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mp_hindi" sheetId="1" r:id="rId4"/>
    <sheet state="hidden" name="Imp_odia" sheetId="2" r:id="rId5"/>
    <sheet state="hidden" name="Imp_kannada" sheetId="3" r:id="rId6"/>
    <sheet state="visible" name="All" sheetId="4" r:id="rId7"/>
    <sheet state="visible" name="Master_en" sheetId="5" r:id="rId8"/>
    <sheet state="visible" name="cityNames" sheetId="6" r:id="rId9"/>
    <sheet state="visible" name="keys for language tranform pipe" sheetId="7" r:id="rId10"/>
    <sheet state="visible" name="Retailer_app_en" sheetId="8" r:id="rId11"/>
    <sheet state="hidden" name="imp_bangala" sheetId="9" r:id="rId12"/>
  </sheets>
  <definedNames>
    <definedName hidden="1" localSheetId="4" name="Z_0C7A36B9_DE08_4145_BA09_FD95AC9DC240_.wvu.FilterData">Master_en!$A$1:$C$19</definedName>
    <definedName hidden="1" localSheetId="4" name="Z_F0709D5F_2F09_47FF_A2C7_EDE2AE570F3E_.wvu.FilterData">Master_en!$E$227</definedName>
    <definedName hidden="1" localSheetId="4" name="Z_1655C0F8_6873_4EBA_9220_36EA4165A533_.wvu.FilterData">Master_en!$A$1:$Z$1081</definedName>
    <definedName hidden="1" localSheetId="4" name="Z_1E322D37_4BD7_4951_9BD3_997BDA68D817_.wvu.FilterData">Master_en!$E$15</definedName>
    <definedName hidden="1" localSheetId="4" name="Z_3A3ACAD7_56EA_4EB5_91EC_4561616EBF2C_.wvu.FilterData">Master_en!$A$1:$Z$1081</definedName>
    <definedName hidden="1" localSheetId="4" name="Z_C2028B6D_F769_4EF4_8DE2_9E7C6F687D8F_.wvu.FilterData">Master_en!$A$1:$Z$1081</definedName>
    <definedName hidden="1" localSheetId="3" name="Z_D90CB828_D843_4A3F_849D_1DE183AE93B3_.wvu.FilterData">All!$A$1:$M$735</definedName>
    <definedName hidden="1" localSheetId="4" name="Z_D90CB828_D843_4A3F_849D_1DE183AE93B3_.wvu.FilterData">Master_en!$A$1:$C$287</definedName>
    <definedName hidden="1" localSheetId="4" name="Z_98473FF4_E264_4A1E_AC62_8179841E3475_.wvu.FilterData">Master_en!$A$1:$Z$287</definedName>
    <definedName hidden="1" localSheetId="4" name="Z_2D4CB3B7_B84D_4D80_A7C8_046640686541_.wvu.FilterData">Master_en!$A$1:$C$19</definedName>
  </definedNames>
  <calcPr/>
  <customWorkbookViews>
    <customWorkbookView activeSheetId="0" maximized="1" windowHeight="0" windowWidth="0" guid="{2D4CB3B7-B84D-4D80-A7C8-046640686541}" name="Filter 6"/>
    <customWorkbookView activeSheetId="0" maximized="1" windowHeight="0" windowWidth="0" guid="{1E322D37-4BD7-4951-9BD3-997BDA68D817}" name="Filter 7"/>
    <customWorkbookView activeSheetId="0" maximized="1" windowHeight="0" windowWidth="0" guid="{C2028B6D-F769-4EF4-8DE2-9E7C6F687D8F}" name="Filter 4"/>
    <customWorkbookView activeSheetId="0" maximized="1" windowHeight="0" windowWidth="0" guid="{F0709D5F-2F09-47FF-A2C7-EDE2AE570F3E}" name="Filter 5"/>
    <customWorkbookView activeSheetId="0" maximized="1" windowHeight="0" windowWidth="0" guid="{98473FF4-E264-4A1E-AC62-8179841E3475}" name="Filter 2"/>
    <customWorkbookView activeSheetId="0" maximized="1" windowHeight="0" windowWidth="0" guid="{3A3ACAD7-56EA-4EB5-91EC-4561616EBF2C}" name="Filter 3"/>
    <customWorkbookView activeSheetId="0" maximized="1" windowHeight="0" windowWidth="0" guid="{D90CB828-D843-4A3F-849D-1DE183AE93B3}" name="Filter 1"/>
    <customWorkbookView activeSheetId="0" maximized="1" windowHeight="0" windowWidth="0" guid="{0C7A36B9-DE08-4145-BA09-FD95AC9DC240}" name="Filter 8"/>
    <customWorkbookView activeSheetId="0" maximized="1" windowHeight="0" windowWidth="0" guid="{1655C0F8-6873-4EBA-9220-36EA4165A533}" name="Filter 9"/>
  </customWorkbookViews>
</workbook>
</file>

<file path=xl/sharedStrings.xml><?xml version="1.0" encoding="utf-8"?>
<sst xmlns="http://schemas.openxmlformats.org/spreadsheetml/2006/main" count="3065" uniqueCount="2259">
  <si>
    <t>Environment</t>
  </si>
  <si>
    <t>keys</t>
  </si>
  <si>
    <t>Phrase / Cat / Sub</t>
  </si>
  <si>
    <t>Release</t>
  </si>
  <si>
    <t>item</t>
  </si>
  <si>
    <t>Item</t>
  </si>
  <si>
    <t>productItem</t>
  </si>
  <si>
    <t>Product Item</t>
  </si>
  <si>
    <t>price</t>
  </si>
  <si>
    <t>Price</t>
  </si>
  <si>
    <t>cost</t>
  </si>
  <si>
    <t>Cost</t>
  </si>
  <si>
    <t>favourities</t>
  </si>
  <si>
    <t>Favourites</t>
  </si>
  <si>
    <t>mobile</t>
  </si>
  <si>
    <t>Mobile</t>
  </si>
  <si>
    <t>address</t>
  </si>
  <si>
    <t>Address</t>
  </si>
  <si>
    <t xml:space="preserve"> </t>
  </si>
  <si>
    <t>error</t>
  </si>
  <si>
    <t xml:space="preserve">Error </t>
  </si>
  <si>
    <t>selectLanguage</t>
  </si>
  <si>
    <t>Select Language</t>
  </si>
  <si>
    <t>alternatemobile</t>
  </si>
  <si>
    <t>Alternate Mobile</t>
  </si>
  <si>
    <t>vegetarian</t>
  </si>
  <si>
    <t>Vegetarian</t>
  </si>
  <si>
    <t>nonVegetarian</t>
  </si>
  <si>
    <t>Non-Vegetarian</t>
  </si>
  <si>
    <t>manageemployee</t>
  </si>
  <si>
    <t>Manage Employee</t>
  </si>
  <si>
    <t>compliant</t>
  </si>
  <si>
    <t>Compliant</t>
  </si>
  <si>
    <t>proceed</t>
  </si>
  <si>
    <t>Proceed</t>
  </si>
  <si>
    <t>filters</t>
  </si>
  <si>
    <t>Filters</t>
  </si>
  <si>
    <t>sortBy</t>
  </si>
  <si>
    <t>Sort By</t>
  </si>
  <si>
    <t>expiresin</t>
  </si>
  <si>
    <t>Expires in</t>
  </si>
  <si>
    <t>ratings</t>
  </si>
  <si>
    <t>Ratings</t>
  </si>
  <si>
    <t>nearYou</t>
  </si>
  <si>
    <t>Near You</t>
  </si>
  <si>
    <t>mobileNumber</t>
  </si>
  <si>
    <t>Mobile Number</t>
  </si>
  <si>
    <t>otp</t>
  </si>
  <si>
    <t>OTP</t>
  </si>
  <si>
    <t>uploadidentityproof</t>
  </si>
  <si>
    <t>Upload Identity Proof</t>
  </si>
  <si>
    <t>call</t>
  </si>
  <si>
    <t>Call</t>
  </si>
  <si>
    <t>sms</t>
  </si>
  <si>
    <t>SMS</t>
  </si>
  <si>
    <t>whatsApp</t>
  </si>
  <si>
    <t>WhatsApp</t>
  </si>
  <si>
    <t>orderAgain</t>
  </si>
  <si>
    <t>Order Again</t>
  </si>
  <si>
    <t>currentLocation</t>
  </si>
  <si>
    <t>Current Location</t>
  </si>
  <si>
    <t>usingGps</t>
  </si>
  <si>
    <t>Using GPS</t>
  </si>
  <si>
    <t>frequentlyUsed</t>
  </si>
  <si>
    <t>Frequently Used</t>
  </si>
  <si>
    <t>other</t>
  </si>
  <si>
    <t xml:space="preserve">Other </t>
  </si>
  <si>
    <t>work</t>
  </si>
  <si>
    <t xml:space="preserve">Work </t>
  </si>
  <si>
    <t>home</t>
  </si>
  <si>
    <t xml:space="preserve">Home </t>
  </si>
  <si>
    <t>recentSearch</t>
  </si>
  <si>
    <t xml:space="preserve">Recent Search </t>
  </si>
  <si>
    <t>selectLocation</t>
  </si>
  <si>
    <t>Select Location</t>
  </si>
  <si>
    <t>change</t>
  </si>
  <si>
    <t>Change</t>
  </si>
  <si>
    <t>confirmLocation</t>
  </si>
  <si>
    <t>Confirm Location</t>
  </si>
  <si>
    <t>distanceLessThan</t>
  </si>
  <si>
    <t xml:space="preserve">Distance less than </t>
  </si>
  <si>
    <t>km</t>
  </si>
  <si>
    <t>KM</t>
  </si>
  <si>
    <t>moreThan</t>
  </si>
  <si>
    <t>More than</t>
  </si>
  <si>
    <t>all</t>
  </si>
  <si>
    <t>All</t>
  </si>
  <si>
    <t>delivery</t>
  </si>
  <si>
    <t xml:space="preserve">Delivery </t>
  </si>
  <si>
    <t>pickUp</t>
  </si>
  <si>
    <t>Pickup</t>
  </si>
  <si>
    <t>previousOrder</t>
  </si>
  <si>
    <t>Previous Order</t>
  </si>
  <si>
    <t>frequentlyBought</t>
  </si>
  <si>
    <t>Frequently Bought</t>
  </si>
  <si>
    <t>recommended</t>
  </si>
  <si>
    <t>Recommended</t>
  </si>
  <si>
    <t>aboutSeller</t>
  </si>
  <si>
    <t xml:space="preserve">About Seller </t>
  </si>
  <si>
    <t>sellingItems</t>
  </si>
  <si>
    <t>Selling Items</t>
  </si>
  <si>
    <t>menu</t>
  </si>
  <si>
    <t xml:space="preserve">Menu </t>
  </si>
  <si>
    <t>addToFavourites</t>
  </si>
  <si>
    <t>Add to favourites</t>
  </si>
  <si>
    <t>share</t>
  </si>
  <si>
    <t xml:space="preserve">Share </t>
  </si>
  <si>
    <t>shopInformation</t>
  </si>
  <si>
    <t>Shop Information</t>
  </si>
  <si>
    <t>more</t>
  </si>
  <si>
    <t xml:space="preserve">More </t>
  </si>
  <si>
    <t>no.of pieces</t>
  </si>
  <si>
    <t>No.of Pieces</t>
  </si>
  <si>
    <t>vegetables</t>
  </si>
  <si>
    <t xml:space="preserve">Vegetables </t>
  </si>
  <si>
    <t>today</t>
  </si>
  <si>
    <t>Today</t>
  </si>
  <si>
    <t>tomorrow</t>
  </si>
  <si>
    <t>Tomorrow</t>
  </si>
  <si>
    <t>addQuantity</t>
  </si>
  <si>
    <t xml:space="preserve">Add Quantity </t>
  </si>
  <si>
    <t>pieces</t>
  </si>
  <si>
    <t>Pieces</t>
  </si>
  <si>
    <t>numberOfpieces</t>
  </si>
  <si>
    <t>Number of Pieces</t>
  </si>
  <si>
    <t>amount</t>
  </si>
  <si>
    <t xml:space="preserve">Amount </t>
  </si>
  <si>
    <t>viewCart</t>
  </si>
  <si>
    <t>View Cart</t>
  </si>
  <si>
    <t>orderSummary</t>
  </si>
  <si>
    <t>Order Summary</t>
  </si>
  <si>
    <t>detailedBill</t>
  </si>
  <si>
    <t>Detailed Bill</t>
  </si>
  <si>
    <t>cartTotal</t>
  </si>
  <si>
    <t>Cart Total</t>
  </si>
  <si>
    <t>discount</t>
  </si>
  <si>
    <t>Discount</t>
  </si>
  <si>
    <t>total</t>
  </si>
  <si>
    <t>Total</t>
  </si>
  <si>
    <t>selfPickup</t>
  </si>
  <si>
    <t>Self Pickup</t>
  </si>
  <si>
    <t>totalPayable</t>
  </si>
  <si>
    <t>Total Payable</t>
  </si>
  <si>
    <t>payAtPickup</t>
  </si>
  <si>
    <t>Pay at Pickup</t>
  </si>
  <si>
    <t>savedDetails</t>
  </si>
  <si>
    <t>Saved Details</t>
  </si>
  <si>
    <t>debitAtmCard</t>
  </si>
  <si>
    <t>Debit/ATM Card</t>
  </si>
  <si>
    <t>netBanking</t>
  </si>
  <si>
    <t>Net Banking</t>
  </si>
  <si>
    <t>addDebitCreditCard</t>
  </si>
  <si>
    <t>Add Debit/Credit Card</t>
  </si>
  <si>
    <t>wallets&amp;Upi</t>
  </si>
  <si>
    <t>Wallets &amp; UPI</t>
  </si>
  <si>
    <t>phonepe</t>
  </si>
  <si>
    <t>PhonePe</t>
  </si>
  <si>
    <t>paytm</t>
  </si>
  <si>
    <t>Paytm</t>
  </si>
  <si>
    <t>otherUpi</t>
  </si>
  <si>
    <t>Other UPI</t>
  </si>
  <si>
    <t>payNow</t>
  </si>
  <si>
    <t>Pay Now</t>
  </si>
  <si>
    <t>deliverAt</t>
  </si>
  <si>
    <t>Deliver at</t>
  </si>
  <si>
    <t>noContact</t>
  </si>
  <si>
    <t>No Contact</t>
  </si>
  <si>
    <t>scheduleDelivery</t>
  </si>
  <si>
    <t>Schedule Delivery</t>
  </si>
  <si>
    <t>am</t>
  </si>
  <si>
    <t>AM</t>
  </si>
  <si>
    <t>pm</t>
  </si>
  <si>
    <t>PM</t>
  </si>
  <si>
    <t>hour</t>
  </si>
  <si>
    <t>Hour</t>
  </si>
  <si>
    <t>freeDelivery</t>
  </si>
  <si>
    <t>Free Delivery</t>
  </si>
  <si>
    <t>enterCvv</t>
  </si>
  <si>
    <t>Enter CVV</t>
  </si>
  <si>
    <t>cardNumber</t>
  </si>
  <si>
    <t>Card Number</t>
  </si>
  <si>
    <t>expiry</t>
  </si>
  <si>
    <t>Expiry</t>
  </si>
  <si>
    <t>nameOnCard</t>
  </si>
  <si>
    <t>Name on Card</t>
  </si>
  <si>
    <t>saveCardDetails</t>
  </si>
  <si>
    <t>Save Card Details</t>
  </si>
  <si>
    <t>icici</t>
  </si>
  <si>
    <t>ICICI</t>
  </si>
  <si>
    <t>sbi</t>
  </si>
  <si>
    <t>SBI</t>
  </si>
  <si>
    <t>hdfc</t>
  </si>
  <si>
    <t>HDFC</t>
  </si>
  <si>
    <t>moreBanks</t>
  </si>
  <si>
    <t>More Banks</t>
  </si>
  <si>
    <t>orderConfirmed</t>
  </si>
  <si>
    <t>Order Confirmed</t>
  </si>
  <si>
    <t>orderNumber</t>
  </si>
  <si>
    <t>Order Number</t>
  </si>
  <si>
    <t>payment</t>
  </si>
  <si>
    <t xml:space="preserve">Payment </t>
  </si>
  <si>
    <t>dateOfOrder</t>
  </si>
  <si>
    <t>Date of Order</t>
  </si>
  <si>
    <t>terms&amp;conditionsandprivacypolicy</t>
  </si>
  <si>
    <t>Terms &amp; Conditions and Privacy Policy</t>
  </si>
  <si>
    <t>trackOrder</t>
  </si>
  <si>
    <t>Track Order</t>
  </si>
  <si>
    <t>activeOrders</t>
  </si>
  <si>
    <t>Active Orders</t>
  </si>
  <si>
    <t>view</t>
  </si>
  <si>
    <t>View</t>
  </si>
  <si>
    <t>chat</t>
  </si>
  <si>
    <t>Chat</t>
  </si>
  <si>
    <t>orderDetails</t>
  </si>
  <si>
    <t>Order Details</t>
  </si>
  <si>
    <t>cancel</t>
  </si>
  <si>
    <t xml:space="preserve">Cancel </t>
  </si>
  <si>
    <t>PaymentPending</t>
  </si>
  <si>
    <t>Payment Pending</t>
  </si>
  <si>
    <t>support</t>
  </si>
  <si>
    <t>Support</t>
  </si>
  <si>
    <t>Payment</t>
  </si>
  <si>
    <t>orderTotal</t>
  </si>
  <si>
    <t>Order Total</t>
  </si>
  <si>
    <t>orderPlaced</t>
  </si>
  <si>
    <t>Order Placed</t>
  </si>
  <si>
    <t>orderAccepted</t>
  </si>
  <si>
    <t>Order Accepted</t>
  </si>
  <si>
    <t>processing</t>
  </si>
  <si>
    <t>Processing</t>
  </si>
  <si>
    <t>ready</t>
  </si>
  <si>
    <t>Ready</t>
  </si>
  <si>
    <t>dispatched</t>
  </si>
  <si>
    <t>Dispatched</t>
  </si>
  <si>
    <t>contactSeller</t>
  </si>
  <si>
    <t>Contact Seller</t>
  </si>
  <si>
    <t>0.4.1</t>
  </si>
  <si>
    <t>viewOrderSummary</t>
  </si>
  <si>
    <t>View Order Summary</t>
  </si>
  <si>
    <t>addInstructions</t>
  </si>
  <si>
    <t>Add Instructions</t>
  </si>
  <si>
    <t>myAccount</t>
  </si>
  <si>
    <t xml:space="preserve">My Account </t>
  </si>
  <si>
    <t>favourite</t>
  </si>
  <si>
    <t>Favourite</t>
  </si>
  <si>
    <t>settings</t>
  </si>
  <si>
    <t>Settings</t>
  </si>
  <si>
    <t>myAddress</t>
  </si>
  <si>
    <t>My Address</t>
  </si>
  <si>
    <t>myFamily</t>
  </si>
  <si>
    <t>My Family</t>
  </si>
  <si>
    <t>refer</t>
  </si>
  <si>
    <t>Refer</t>
  </si>
  <si>
    <t>consumer</t>
  </si>
  <si>
    <t>Consumer</t>
  </si>
  <si>
    <t>business</t>
  </si>
  <si>
    <t>Business</t>
  </si>
  <si>
    <t>postOrder</t>
  </si>
  <si>
    <t>Post Order</t>
  </si>
  <si>
    <t>logout</t>
  </si>
  <si>
    <t>Log Out</t>
  </si>
  <si>
    <t>me</t>
  </si>
  <si>
    <t>Me</t>
  </si>
  <si>
    <t>contactNumber</t>
  </si>
  <si>
    <t>Contact Number</t>
  </si>
  <si>
    <t>relation</t>
  </si>
  <si>
    <t>Relation</t>
  </si>
  <si>
    <t>getOtp</t>
  </si>
  <si>
    <t>Get OTP</t>
  </si>
  <si>
    <t>enterOtp</t>
  </si>
  <si>
    <t>Enter OTP</t>
  </si>
  <si>
    <t>mail</t>
  </si>
  <si>
    <t>Mail</t>
  </si>
  <si>
    <t>facebook</t>
  </si>
  <si>
    <t>Facebook</t>
  </si>
  <si>
    <t>newaddress</t>
  </si>
  <si>
    <t>New Address</t>
  </si>
  <si>
    <t xml:space="preserve">reorder </t>
  </si>
  <si>
    <t>Reorder</t>
  </si>
  <si>
    <t>contact</t>
  </si>
  <si>
    <t xml:space="preserve">Contact </t>
  </si>
  <si>
    <t>update</t>
  </si>
  <si>
    <t xml:space="preserve">Update </t>
  </si>
  <si>
    <t>OrderNotification</t>
  </si>
  <si>
    <t>Order Notification</t>
  </si>
  <si>
    <t>items</t>
  </si>
  <si>
    <t>Items</t>
  </si>
  <si>
    <t>shops</t>
  </si>
  <si>
    <t>Shops</t>
  </si>
  <si>
    <t>allowLocation</t>
  </si>
  <si>
    <t>Allow Location</t>
  </si>
  <si>
    <t>allowNotification</t>
  </si>
  <si>
    <t>Allow Notification</t>
  </si>
  <si>
    <t>History</t>
  </si>
  <si>
    <t>homeWork</t>
  </si>
  <si>
    <t>Home Work</t>
  </si>
  <si>
    <t>addNewAddress</t>
  </si>
  <si>
    <t>Add New Address</t>
  </si>
  <si>
    <t>landMark</t>
  </si>
  <si>
    <t>Landmark</t>
  </si>
  <si>
    <t>saveAndProceed</t>
  </si>
  <si>
    <t>Save and Proceed</t>
  </si>
  <si>
    <t>termsAndConditions</t>
  </si>
  <si>
    <t xml:space="preserve">Terms and Conditions </t>
  </si>
  <si>
    <t>faqs</t>
  </si>
  <si>
    <t>FAQs</t>
  </si>
  <si>
    <t>privacyPolicy</t>
  </si>
  <si>
    <t xml:space="preserve">Privacy Policy </t>
  </si>
  <si>
    <t>contactUs</t>
  </si>
  <si>
    <t>Contact Us</t>
  </si>
  <si>
    <t>customerCare</t>
  </si>
  <si>
    <t>Customer Care</t>
  </si>
  <si>
    <t>customerCareNumber</t>
  </si>
  <si>
    <t xml:space="preserve">Customer Care Number </t>
  </si>
  <si>
    <t>yes</t>
  </si>
  <si>
    <t>Yes</t>
  </si>
  <si>
    <t>no</t>
  </si>
  <si>
    <t xml:space="preserve">No </t>
  </si>
  <si>
    <t>validateAgain</t>
  </si>
  <si>
    <t>Validate Again</t>
  </si>
  <si>
    <t>employee</t>
  </si>
  <si>
    <t xml:space="preserve">Employee </t>
  </si>
  <si>
    <t>ConfirmPayment</t>
  </si>
  <si>
    <t>Confirm Payment</t>
  </si>
  <si>
    <t>rateorder</t>
  </si>
  <si>
    <t>Rate Order</t>
  </si>
  <si>
    <t>onboard</t>
  </si>
  <si>
    <t xml:space="preserve">Onboard </t>
  </si>
  <si>
    <t>selfOnBoard</t>
  </si>
  <si>
    <t xml:space="preserve">Self Onboard </t>
  </si>
  <si>
    <t>onboardByBusiness</t>
  </si>
  <si>
    <t>Onboard by Business</t>
  </si>
  <si>
    <t>retailer</t>
  </si>
  <si>
    <t>Retailer</t>
  </si>
  <si>
    <t>middleMan</t>
  </si>
  <si>
    <t>Middleman</t>
  </si>
  <si>
    <t>farmer</t>
  </si>
  <si>
    <t>Farmer</t>
  </si>
  <si>
    <t>phoneNumber</t>
  </si>
  <si>
    <t xml:space="preserve">Phone Number </t>
  </si>
  <si>
    <t>houseNo</t>
  </si>
  <si>
    <t>House No</t>
  </si>
  <si>
    <t>building</t>
  </si>
  <si>
    <t xml:space="preserve">Building </t>
  </si>
  <si>
    <t>streetno</t>
  </si>
  <si>
    <t xml:space="preserve">Street no </t>
  </si>
  <si>
    <t>upi</t>
  </si>
  <si>
    <t>UPI</t>
  </si>
  <si>
    <t>state</t>
  </si>
  <si>
    <t>State</t>
  </si>
  <si>
    <t>city</t>
  </si>
  <si>
    <t xml:space="preserve">City </t>
  </si>
  <si>
    <t>pincode</t>
  </si>
  <si>
    <t xml:space="preserve">Pin Code </t>
  </si>
  <si>
    <t>location</t>
  </si>
  <si>
    <t xml:space="preserve">Location </t>
  </si>
  <si>
    <t>submit</t>
  </si>
  <si>
    <t xml:space="preserve">Submit </t>
  </si>
  <si>
    <t>editAddress</t>
  </si>
  <si>
    <t>Edit Address</t>
  </si>
  <si>
    <t>addMember</t>
  </si>
  <si>
    <t>Add Member</t>
  </si>
  <si>
    <t>deliveryWithin</t>
  </si>
  <si>
    <t>Delivery within</t>
  </si>
  <si>
    <t>Home</t>
  </si>
  <si>
    <t>notification</t>
  </si>
  <si>
    <t>Notification</t>
  </si>
  <si>
    <t>voice</t>
  </si>
  <si>
    <t>Voice</t>
  </si>
  <si>
    <t>anotphasbeensentatyourregisteredmobilenumber</t>
  </si>
  <si>
    <t>An OTP has been sent at your registered mobile number</t>
  </si>
  <si>
    <t>delivering</t>
  </si>
  <si>
    <t xml:space="preserve">Delivering </t>
  </si>
  <si>
    <t>notDelivering</t>
  </si>
  <si>
    <t>Not delivering</t>
  </si>
  <si>
    <t>sellerProfile</t>
  </si>
  <si>
    <t>Seller profile</t>
  </si>
  <si>
    <t>fabulous</t>
  </si>
  <si>
    <t>Fabulous</t>
  </si>
  <si>
    <t>customerRated</t>
  </si>
  <si>
    <t>Customer Rated</t>
  </si>
  <si>
    <t>searchlocation</t>
  </si>
  <si>
    <t>Search Location</t>
  </si>
  <si>
    <t>shopByCategories</t>
  </si>
  <si>
    <t>Shop by Categories</t>
  </si>
  <si>
    <t>next</t>
  </si>
  <si>
    <t>Next</t>
  </si>
  <si>
    <t>taptorecordclosingnote</t>
  </si>
  <si>
    <t>Tap to record closing note</t>
  </si>
  <si>
    <t>shopInfo</t>
  </si>
  <si>
    <t>Shop Info</t>
  </si>
  <si>
    <t>enablelocation</t>
  </si>
  <si>
    <t>Enable Location</t>
  </si>
  <si>
    <t>vegatables</t>
  </si>
  <si>
    <t>Vegetables</t>
  </si>
  <si>
    <t>enablenotification</t>
  </si>
  <si>
    <t>Enable Notification</t>
  </si>
  <si>
    <t>changelanguage</t>
  </si>
  <si>
    <t>Change Language</t>
  </si>
  <si>
    <t>confirm</t>
  </si>
  <si>
    <t>Confirm</t>
  </si>
  <si>
    <t>byallowingthelocationyouwillgetallyournearbyrestaurants</t>
  </si>
  <si>
    <t>By allowing the location you will get all your nearby restaurants</t>
  </si>
  <si>
    <t>byallowingthenotificationyouwillgetnotifiedbyyourfavouriterestaurants</t>
  </si>
  <si>
    <t>By allowing the notification you will get notified by your favourite restaurants</t>
  </si>
  <si>
    <t>nowyoucanchooseyoursuitablelanguage</t>
  </si>
  <si>
    <t xml:space="preserve">Now you can choose your suitable language </t>
  </si>
  <si>
    <t>savethisaddressas</t>
  </si>
  <si>
    <t>Save this address as</t>
  </si>
  <si>
    <t>yourlocation</t>
  </si>
  <si>
    <t>Your Location</t>
  </si>
  <si>
    <t>help</t>
  </si>
  <si>
    <t>Help</t>
  </si>
  <si>
    <t>areyousureyouwanttologout</t>
  </si>
  <si>
    <t>Are you sure you want to log out?</t>
  </si>
  <si>
    <t>son</t>
  </si>
  <si>
    <t>Son</t>
  </si>
  <si>
    <t>onboardbysales</t>
  </si>
  <si>
    <t>Onboard by Sales</t>
  </si>
  <si>
    <t>cancelOrder</t>
  </si>
  <si>
    <t>Cancel Order</t>
  </si>
  <si>
    <t>recommendedforyou</t>
  </si>
  <si>
    <t xml:space="preserve">Recommended for You </t>
  </si>
  <si>
    <t>remove</t>
  </si>
  <si>
    <t>Remove</t>
  </si>
  <si>
    <t>adddetails</t>
  </si>
  <si>
    <t>Add Details</t>
  </si>
  <si>
    <t>updateuser</t>
  </si>
  <si>
    <t>Update User</t>
  </si>
  <si>
    <t>nouserscreatedyet</t>
  </si>
  <si>
    <t>No Users Created Yet</t>
  </si>
  <si>
    <t>advance</t>
  </si>
  <si>
    <t>Advance</t>
  </si>
  <si>
    <t>pastOrders</t>
  </si>
  <si>
    <t>Past Orders</t>
  </si>
  <si>
    <t>viewMoreOrders</t>
  </si>
  <si>
    <t>View More Orders</t>
  </si>
  <si>
    <t>ordermanger</t>
  </si>
  <si>
    <t>Order Manager</t>
  </si>
  <si>
    <t>name</t>
  </si>
  <si>
    <t>Name</t>
  </si>
  <si>
    <t>mycomplaints</t>
  </si>
  <si>
    <t>My Complaints</t>
  </si>
  <si>
    <t>complainid</t>
  </si>
  <si>
    <t>Complain ID</t>
  </si>
  <si>
    <t>assignedtoaccountmanager</t>
  </si>
  <si>
    <t>Assigned to Account Manager</t>
  </si>
  <si>
    <t>complainraised</t>
  </si>
  <si>
    <t>Complaint Raised</t>
  </si>
  <si>
    <t>verify</t>
  </si>
  <si>
    <t>Verify</t>
  </si>
  <si>
    <t>yesterday</t>
  </si>
  <si>
    <t>Yesterday</t>
  </si>
  <si>
    <t>referBy</t>
  </si>
  <si>
    <t>Refer by</t>
  </si>
  <si>
    <t>email</t>
  </si>
  <si>
    <t>Email</t>
  </si>
  <si>
    <t>escalatedtostatehead</t>
  </si>
  <si>
    <t>Escalated to State Head</t>
  </si>
  <si>
    <t>escalated to city officer</t>
  </si>
  <si>
    <t>Escalated to City Officer</t>
  </si>
  <si>
    <t>message</t>
  </si>
  <si>
    <t>Message</t>
  </si>
  <si>
    <t>editProfile</t>
  </si>
  <si>
    <t>Edit Profile</t>
  </si>
  <si>
    <t>orderdelivered</t>
  </si>
  <si>
    <t>Order Delivered</t>
  </si>
  <si>
    <t>favoruites</t>
  </si>
  <si>
    <t>savedAddress</t>
  </si>
  <si>
    <t>Saved Address</t>
  </si>
  <si>
    <t>yourorderhasbeendeliveredsuccessully</t>
  </si>
  <si>
    <t xml:space="preserve">Your order has been Delivered Successfully </t>
  </si>
  <si>
    <t>makepayment</t>
  </si>
  <si>
    <t>Make Payment</t>
  </si>
  <si>
    <t>privacyPolicies</t>
  </si>
  <si>
    <t>Privacy policies</t>
  </si>
  <si>
    <t>doyouwanttodelete</t>
  </si>
  <si>
    <t>Do you want to delete?</t>
  </si>
  <si>
    <t>iddetails</t>
  </si>
  <si>
    <t>ID Details</t>
  </si>
  <si>
    <t>byClickingIaccepttheterms&amp;conditionsandprivacypolicy</t>
  </si>
  <si>
    <t>By clicking, I accept the Terms &amp; conditions and Privacy Policy</t>
  </si>
  <si>
    <t>building/locality</t>
  </si>
  <si>
    <t>Building/Locality</t>
  </si>
  <si>
    <t>restaurant</t>
  </si>
  <si>
    <t>Restaurant</t>
  </si>
  <si>
    <t>re-upload</t>
  </si>
  <si>
    <t xml:space="preserve">Re-upload </t>
  </si>
  <si>
    <t>individual</t>
  </si>
  <si>
    <t>Individual</t>
  </si>
  <si>
    <t>didntReceivetheOTP</t>
  </si>
  <si>
    <t>Didnt receive the OTP?</t>
  </si>
  <si>
    <t>verifyVia</t>
  </si>
  <si>
    <t>Verify Via</t>
  </si>
  <si>
    <t>howdoyoufeel</t>
  </si>
  <si>
    <t>How Do You Feel?</t>
  </si>
  <si>
    <t>uploadvoterid</t>
  </si>
  <si>
    <t>Upload Voter ID</t>
  </si>
  <si>
    <t>pickupWithin</t>
  </si>
  <si>
    <t>Pickup within</t>
  </si>
  <si>
    <t>addDebit</t>
  </si>
  <si>
    <t>Add Debit</t>
  </si>
  <si>
    <t>creditCard</t>
  </si>
  <si>
    <t>Credit Card</t>
  </si>
  <si>
    <t>yourOrder</t>
  </si>
  <si>
    <t>Your Order</t>
  </si>
  <si>
    <t>willBe</t>
  </si>
  <si>
    <t>Will Be</t>
  </si>
  <si>
    <t>15digitalphanumericnumber</t>
  </si>
  <si>
    <t>15-digit Alpha Numeric Number</t>
  </si>
  <si>
    <t>deliver</t>
  </si>
  <si>
    <t>Deliver</t>
  </si>
  <si>
    <t>pickupNoShow</t>
  </si>
  <si>
    <t>Pickup No Show</t>
  </si>
  <si>
    <t>house</t>
  </si>
  <si>
    <t>House</t>
  </si>
  <si>
    <t>flat</t>
  </si>
  <si>
    <t>Flat</t>
  </si>
  <si>
    <t>block</t>
  </si>
  <si>
    <t>Block</t>
  </si>
  <si>
    <t>blockNumber</t>
  </si>
  <si>
    <t>Block Number</t>
  </si>
  <si>
    <t>appartment</t>
  </si>
  <si>
    <t>Apartment</t>
  </si>
  <si>
    <t>road</t>
  </si>
  <si>
    <t>Road</t>
  </si>
  <si>
    <t>area</t>
  </si>
  <si>
    <t>Area</t>
  </si>
  <si>
    <t>saveThis</t>
  </si>
  <si>
    <t xml:space="preserve">Save this </t>
  </si>
  <si>
    <t>addressAs</t>
  </si>
  <si>
    <t>Address as</t>
  </si>
  <si>
    <t>areYou</t>
  </si>
  <si>
    <t>Are you</t>
  </si>
  <si>
    <t>sureYou</t>
  </si>
  <si>
    <t xml:space="preserve">sure you </t>
  </si>
  <si>
    <t>wantTo</t>
  </si>
  <si>
    <t>want to</t>
  </si>
  <si>
    <t>logOut</t>
  </si>
  <si>
    <t>LOGOUT</t>
  </si>
  <si>
    <t>smsSent</t>
  </si>
  <si>
    <t>SMS sent</t>
  </si>
  <si>
    <t>successfully</t>
  </si>
  <si>
    <t>Successfully</t>
  </si>
  <si>
    <t>deliverymanager</t>
  </si>
  <si>
    <t>Delivery Manager</t>
  </si>
  <si>
    <t>hasBeen</t>
  </si>
  <si>
    <t>has been</t>
  </si>
  <si>
    <t>sentAt</t>
  </si>
  <si>
    <t>sent at</t>
  </si>
  <si>
    <t>yourRegistered</t>
  </si>
  <si>
    <t>your registered</t>
  </si>
  <si>
    <t>House/Flat/Blockno.</t>
  </si>
  <si>
    <t>House/Flat/Block no.</t>
  </si>
  <si>
    <t>Apartment/Road/Area</t>
  </si>
  <si>
    <t>OrderSubmitted</t>
  </si>
  <si>
    <t>Order Submitted</t>
  </si>
  <si>
    <t>saveas</t>
  </si>
  <si>
    <t>Save as</t>
  </si>
  <si>
    <t>sendTo</t>
  </si>
  <si>
    <t>Send To</t>
  </si>
  <si>
    <t>managereferral</t>
  </si>
  <si>
    <t>Manage Referral</t>
  </si>
  <si>
    <t>in00.30Secs</t>
  </si>
  <si>
    <t>in 00.30 secs</t>
  </si>
  <si>
    <t>fristOrder</t>
  </si>
  <si>
    <t>First Order</t>
  </si>
  <si>
    <t>entermobilenumberforotpverification</t>
  </si>
  <si>
    <t>Enter Mobile number for OTP Verification</t>
  </si>
  <si>
    <t>welcome</t>
  </si>
  <si>
    <t xml:space="preserve">Welcome </t>
  </si>
  <si>
    <t>toSarvmai</t>
  </si>
  <si>
    <t>to SarVM.ai</t>
  </si>
  <si>
    <t>selectYourLanguage</t>
  </si>
  <si>
    <t>Select Your Language</t>
  </si>
  <si>
    <t>gstincluded</t>
  </si>
  <si>
    <t>GST included</t>
  </si>
  <si>
    <t>limitedoffer</t>
  </si>
  <si>
    <t>Limited Offer</t>
  </si>
  <si>
    <t>entityname</t>
  </si>
  <si>
    <t>Entity Name</t>
  </si>
  <si>
    <t>verificationCode</t>
  </si>
  <si>
    <t>Verification Code</t>
  </si>
  <si>
    <t>back</t>
  </si>
  <si>
    <t>Back</t>
  </si>
  <si>
    <t>resendOtp</t>
  </si>
  <si>
    <t>Resend OTP</t>
  </si>
  <si>
    <t>Re Order</t>
  </si>
  <si>
    <t>shopAddress</t>
  </si>
  <si>
    <t>Shop Address</t>
  </si>
  <si>
    <t>searchYourAddress</t>
  </si>
  <si>
    <t>Search your Address</t>
  </si>
  <si>
    <t>enterDetails</t>
  </si>
  <si>
    <t xml:space="preserve">Enter Details   </t>
  </si>
  <si>
    <t>businessName</t>
  </si>
  <si>
    <t>Business Name</t>
  </si>
  <si>
    <t>shopno./building</t>
  </si>
  <si>
    <t xml:space="preserve">Shop no./Building </t>
  </si>
  <si>
    <t>locality/area</t>
  </si>
  <si>
    <t>Locality/Area</t>
  </si>
  <si>
    <t>once+9101234xxxxxorder</t>
  </si>
  <si>
    <t>Once +91 01234xxxxx Order</t>
  </si>
  <si>
    <t>GST Number</t>
  </si>
  <si>
    <t>city/state</t>
  </si>
  <si>
    <t>City/state</t>
  </si>
  <si>
    <t>Pincode</t>
  </si>
  <si>
    <t>saveAndContinue</t>
  </si>
  <si>
    <t>Save and Continue</t>
  </si>
  <si>
    <t>specifyWorkingTime</t>
  </si>
  <si>
    <t>Specify Working Time</t>
  </si>
  <si>
    <t>sameForEveryDay</t>
  </si>
  <si>
    <t>Same for Every Day</t>
  </si>
  <si>
    <t>skip</t>
  </si>
  <si>
    <t>Skip</t>
  </si>
  <si>
    <t>save&amp;Continue</t>
  </si>
  <si>
    <t>Save &amp; Continue</t>
  </si>
  <si>
    <t>sendreferralinvite</t>
  </si>
  <si>
    <t>Send Referral Invite</t>
  </si>
  <si>
    <t>track</t>
  </si>
  <si>
    <t>Track</t>
  </si>
  <si>
    <t>done</t>
  </si>
  <si>
    <t>Done</t>
  </si>
  <si>
    <t>Kyc</t>
  </si>
  <si>
    <t>KYC</t>
  </si>
  <si>
    <t>fathersName</t>
  </si>
  <si>
    <t>Father’s Name</t>
  </si>
  <si>
    <t>dob</t>
  </si>
  <si>
    <t>DOB</t>
  </si>
  <si>
    <t>uploadProofIdentity</t>
  </si>
  <si>
    <t>Upload Proof identity</t>
  </si>
  <si>
    <t>AadharCard</t>
  </si>
  <si>
    <t>Aadhar Card</t>
  </si>
  <si>
    <t>idCardNo.</t>
  </si>
  <si>
    <t>ID Card No.</t>
  </si>
  <si>
    <t>uploadPanCard</t>
  </si>
  <si>
    <t>Upload PAN Card</t>
  </si>
  <si>
    <t>panCardNo</t>
  </si>
  <si>
    <t>PAN Card No.</t>
  </si>
  <si>
    <t>uploadFileForm</t>
  </si>
  <si>
    <t>Upload file from</t>
  </si>
  <si>
    <t>bankDetails</t>
  </si>
  <si>
    <t>Bank Details</t>
  </si>
  <si>
    <t>BeneficiaryName</t>
  </si>
  <si>
    <t>Beneficiary Name</t>
  </si>
  <si>
    <t>bankName</t>
  </si>
  <si>
    <t>Bank Name</t>
  </si>
  <si>
    <t>accountNo</t>
  </si>
  <si>
    <t>Account No.</t>
  </si>
  <si>
    <t>ifsc</t>
  </si>
  <si>
    <t>IFSC</t>
  </si>
  <si>
    <t>uploadPassbookPhoto</t>
  </si>
  <si>
    <t>Upload Passbook photo</t>
  </si>
  <si>
    <t>passbookphoto</t>
  </si>
  <si>
    <t>Passbook Photo</t>
  </si>
  <si>
    <t>pendingOrders</t>
  </si>
  <si>
    <t>Pending Orders</t>
  </si>
  <si>
    <t>details</t>
  </si>
  <si>
    <t>Details</t>
  </si>
  <si>
    <t>reEnterAccountNo</t>
  </si>
  <si>
    <t>Re-enter Account No.</t>
  </si>
  <si>
    <t>reenteraccountnumber</t>
  </si>
  <si>
    <t xml:space="preserve">Re-enter Account Number </t>
  </si>
  <si>
    <t>accountNumber</t>
  </si>
  <si>
    <t>Account Number</t>
  </si>
  <si>
    <t>ifsccode</t>
  </si>
  <si>
    <t>IFSC Code</t>
  </si>
  <si>
    <t>pannumber</t>
  </si>
  <si>
    <t xml:space="preserve">PAN Number </t>
  </si>
  <si>
    <t>selling</t>
  </si>
  <si>
    <t>Selling</t>
  </si>
  <si>
    <t>areyoysure?youwanttosendreferralinvitetothisnumber?</t>
  </si>
  <si>
    <t>Are you sure? You want to send referral invite to this number?</t>
  </si>
  <si>
    <t>addproductdetails</t>
  </si>
  <si>
    <t>Add Product Details</t>
  </si>
  <si>
    <t>expenses</t>
  </si>
  <si>
    <t>Expenses</t>
  </si>
  <si>
    <t>orderhistory</t>
  </si>
  <si>
    <t>Order History</t>
  </si>
  <si>
    <t>crm</t>
  </si>
  <si>
    <t>CRM</t>
  </si>
  <si>
    <t>customer</t>
  </si>
  <si>
    <t>Customer</t>
  </si>
  <si>
    <t>service</t>
  </si>
  <si>
    <t>Service</t>
  </si>
  <si>
    <t>b2bBuy</t>
  </si>
  <si>
    <t>B2B Buy</t>
  </si>
  <si>
    <t>promote</t>
  </si>
  <si>
    <t>Promote</t>
  </si>
  <si>
    <t>usermanagement</t>
  </si>
  <si>
    <t xml:space="preserve">User Management </t>
  </si>
  <si>
    <t>referralmanagement</t>
  </si>
  <si>
    <t>Referral Management</t>
  </si>
  <si>
    <t>P&amp;L</t>
  </si>
  <si>
    <t>P &amp; L</t>
  </si>
  <si>
    <t>subscription</t>
  </si>
  <si>
    <t>Subscription</t>
  </si>
  <si>
    <t>catalog</t>
  </si>
  <si>
    <t>Catalog</t>
  </si>
  <si>
    <t>financemanager</t>
  </si>
  <si>
    <t>Finance Manager</t>
  </si>
  <si>
    <t>posexecutive</t>
  </si>
  <si>
    <t>PoS Executive</t>
  </si>
  <si>
    <t>add</t>
  </si>
  <si>
    <t>Add</t>
  </si>
  <si>
    <t>storemanager</t>
  </si>
  <si>
    <t>Store Manager</t>
  </si>
  <si>
    <t>order</t>
  </si>
  <si>
    <t>Order</t>
  </si>
  <si>
    <t>dispatchedintransit</t>
  </si>
  <si>
    <t>Dispatched(In Transit)</t>
  </si>
  <si>
    <t>YourOrderWillBeDelivered</t>
  </si>
  <si>
    <t>Your Order Will Be Delivered</t>
  </si>
  <si>
    <t>search</t>
  </si>
  <si>
    <t>Search</t>
  </si>
  <si>
    <t>addUser</t>
  </si>
  <si>
    <t>Add User</t>
  </si>
  <si>
    <t>reset</t>
  </si>
  <si>
    <t xml:space="preserve">Reset </t>
  </si>
  <si>
    <t>personal</t>
  </si>
  <si>
    <t>Personal</t>
  </si>
  <si>
    <t>identity</t>
  </si>
  <si>
    <t>Identity</t>
  </si>
  <si>
    <t>description</t>
  </si>
  <si>
    <t>Description</t>
  </si>
  <si>
    <t>employeeId</t>
  </si>
  <si>
    <t>Employee ID</t>
  </si>
  <si>
    <t>fullName</t>
  </si>
  <si>
    <t>Full Name</t>
  </si>
  <si>
    <t>assignRoles</t>
  </si>
  <si>
    <t>Assign Roles</t>
  </si>
  <si>
    <t>emailAddress*</t>
  </si>
  <si>
    <t>Email Address</t>
  </si>
  <si>
    <t>drupefruit10</t>
  </si>
  <si>
    <t>Drupe Fruit (10)</t>
  </si>
  <si>
    <t>education</t>
  </si>
  <si>
    <t>Education</t>
  </si>
  <si>
    <t>AddressLine</t>
  </si>
  <si>
    <t xml:space="preserve">Address line </t>
  </si>
  <si>
    <t>initiatepayment</t>
  </si>
  <si>
    <t>Initiate Payment</t>
  </si>
  <si>
    <t>roles</t>
  </si>
  <si>
    <t>Roles</t>
  </si>
  <si>
    <t>distancekm</t>
  </si>
  <si>
    <t>Distance(km)</t>
  </si>
  <si>
    <t>mandatoryitem</t>
  </si>
  <si>
    <t>Mandatory Item</t>
  </si>
  <si>
    <t>emergencyContact</t>
  </si>
  <si>
    <t>Emergency Contact</t>
  </si>
  <si>
    <t>uploadAdhaarCard</t>
  </si>
  <si>
    <t>Upload Adhaar Card</t>
  </si>
  <si>
    <t>PayOnDelivery</t>
  </si>
  <si>
    <t>Pay On Delivery</t>
  </si>
  <si>
    <t>profilePhoto</t>
  </si>
  <si>
    <t>Profile Photo</t>
  </si>
  <si>
    <t>DeliveryPickup Within</t>
  </si>
  <si>
    <t>Delivery/Pickup Within</t>
  </si>
  <si>
    <t>previous</t>
  </si>
  <si>
    <t>Previous</t>
  </si>
  <si>
    <t>EmergencyContactNumber*</t>
  </si>
  <si>
    <t>Emergency Contact Number *</t>
  </si>
  <si>
    <t>contactName*</t>
  </si>
  <si>
    <t>Contact Name *</t>
  </si>
  <si>
    <t>relationship</t>
  </si>
  <si>
    <t>Relationship</t>
  </si>
  <si>
    <t>userCreatedSuccessfullyyay!</t>
  </si>
  <si>
    <t>User Created Successfully  Yay!</t>
  </si>
  <si>
    <t>yay!</t>
  </si>
  <si>
    <t>YAY!</t>
  </si>
  <si>
    <t xml:space="preserve">DateofJoining </t>
  </si>
  <si>
    <t xml:space="preserve">Date of Joining </t>
  </si>
  <si>
    <t>selecteditems</t>
  </si>
  <si>
    <t>Selected Items</t>
  </si>
  <si>
    <t>inventoryManager</t>
  </si>
  <si>
    <t>Inventory Manager</t>
  </si>
  <si>
    <t>empId</t>
  </si>
  <si>
    <t xml:space="preserve">Emp ID </t>
  </si>
  <si>
    <t>activate</t>
  </si>
  <si>
    <t>Activate</t>
  </si>
  <si>
    <t>deactivate</t>
  </si>
  <si>
    <t>Deactivate</t>
  </si>
  <si>
    <t>phone</t>
  </si>
  <si>
    <t>Phone</t>
  </si>
  <si>
    <t>published</t>
  </si>
  <si>
    <t>Published</t>
  </si>
  <si>
    <t>aadharcard/voterid/bplid/drivinglicense</t>
  </si>
  <si>
    <t>Aadhar Card/ Voter ID/BPL ID/Driving License</t>
  </si>
  <si>
    <t>voterId</t>
  </si>
  <si>
    <t>Voter ID</t>
  </si>
  <si>
    <t>drivingLicense</t>
  </si>
  <si>
    <t>Driving License</t>
  </si>
  <si>
    <t>updateChanges</t>
  </si>
  <si>
    <t>Update Changes</t>
  </si>
  <si>
    <t>basicSalaryPerMonth</t>
  </si>
  <si>
    <t>Basic Salary per month</t>
  </si>
  <si>
    <t>youcannotdeleteactiveuser</t>
  </si>
  <si>
    <t>You cannot delete Active User!</t>
  </si>
  <si>
    <t>deactiveToDelete</t>
  </si>
  <si>
    <t>Deactive to Delete</t>
  </si>
  <si>
    <t>fruits</t>
  </si>
  <si>
    <t>Fruits</t>
  </si>
  <si>
    <t>groceries</t>
  </si>
  <si>
    <t>Groceries</t>
  </si>
  <si>
    <t>fishes</t>
  </si>
  <si>
    <t>Fishes</t>
  </si>
  <si>
    <t>meat</t>
  </si>
  <si>
    <t>Meat</t>
  </si>
  <si>
    <t>dairy</t>
  </si>
  <si>
    <t>Dairy</t>
  </si>
  <si>
    <t>uploadBPLcard</t>
  </si>
  <si>
    <t>Upload BPL card</t>
  </si>
  <si>
    <t>uploaddrivinglicence</t>
  </si>
  <si>
    <t>Upload Driving Licence</t>
  </si>
  <si>
    <t>shopno</t>
  </si>
  <si>
    <t>Shop no</t>
  </si>
  <si>
    <t>pleaseprovidealltherequiredvalue</t>
  </si>
  <si>
    <t>Please provide all the required value</t>
  </si>
  <si>
    <t>unpublish</t>
  </si>
  <si>
    <t>Unpublish</t>
  </si>
  <si>
    <t>publish</t>
  </si>
  <si>
    <t>Publish</t>
  </si>
  <si>
    <t>orders</t>
  </si>
  <si>
    <t>Orders</t>
  </si>
  <si>
    <t>others</t>
  </si>
  <si>
    <t>Others</t>
  </si>
  <si>
    <t>bakery</t>
  </si>
  <si>
    <t>Bakery</t>
  </si>
  <si>
    <t>flowers</t>
  </si>
  <si>
    <t>Flowers</t>
  </si>
  <si>
    <t>appversion:</t>
  </si>
  <si>
    <t>App Version:</t>
  </si>
  <si>
    <t>Deliveryat</t>
  </si>
  <si>
    <t>Delivery at</t>
  </si>
  <si>
    <t>capsules</t>
  </si>
  <si>
    <t>Capsules</t>
  </si>
  <si>
    <t>invalidmanagerid</t>
  </si>
  <si>
    <t>Invalid Manager id</t>
  </si>
  <si>
    <t>invalidmobilenumber</t>
  </si>
  <si>
    <t>Invalid Mobile Number</t>
  </si>
  <si>
    <t>Update</t>
  </si>
  <si>
    <t>product</t>
  </si>
  <si>
    <t>Product</t>
  </si>
  <si>
    <t>updateExisting</t>
  </si>
  <si>
    <t>Update Existing</t>
  </si>
  <si>
    <t>continue</t>
  </si>
  <si>
    <t>Continue</t>
  </si>
  <si>
    <t>showAll</t>
  </si>
  <si>
    <t>Show all</t>
  </si>
  <si>
    <t>procurementmanager</t>
  </si>
  <si>
    <t>Procurement Manager</t>
  </si>
  <si>
    <t>to</t>
  </si>
  <si>
    <t>To</t>
  </si>
  <si>
    <t>inr</t>
  </si>
  <si>
    <t>INR</t>
  </si>
  <si>
    <t>filter</t>
  </si>
  <si>
    <t>Filter</t>
  </si>
  <si>
    <t>invalidrole</t>
  </si>
  <si>
    <t>Invalid Role</t>
  </si>
  <si>
    <t>select</t>
  </si>
  <si>
    <t xml:space="preserve">Select </t>
  </si>
  <si>
    <t>New</t>
  </si>
  <si>
    <t xml:space="preserve">accept </t>
  </si>
  <si>
    <t xml:space="preserve">Accept </t>
  </si>
  <si>
    <t xml:space="preserve">Accepted </t>
  </si>
  <si>
    <t>Accepted</t>
  </si>
  <si>
    <t>Dispatch</t>
  </si>
  <si>
    <t>Reject</t>
  </si>
  <si>
    <t>DoyouwanttoRejecttheorder</t>
  </si>
  <si>
    <t>Do You Want to Reject the order</t>
  </si>
  <si>
    <t>Neworder</t>
  </si>
  <si>
    <t>New Order</t>
  </si>
  <si>
    <t>avaliable</t>
  </si>
  <si>
    <t>Available</t>
  </si>
  <si>
    <t>blockward</t>
  </si>
  <si>
    <t>Block/Ward</t>
  </si>
  <si>
    <t>acceptorder</t>
  </si>
  <si>
    <t>Accept Order</t>
  </si>
  <si>
    <t>Process</t>
  </si>
  <si>
    <t>Doyouwanttocanceltheorder</t>
  </si>
  <si>
    <t>Do you want to Cancel the Order?</t>
  </si>
  <si>
    <t>noshow</t>
  </si>
  <si>
    <t>No Show</t>
  </si>
  <si>
    <t>intransit</t>
  </si>
  <si>
    <t>In Transit</t>
  </si>
  <si>
    <t>Cancelled</t>
  </si>
  <si>
    <t>InStorePickup</t>
  </si>
  <si>
    <t>In Store Pickup</t>
  </si>
  <si>
    <t>HomeDelivery</t>
  </si>
  <si>
    <t>Home Delivery</t>
  </si>
  <si>
    <t>Pickedupat</t>
  </si>
  <si>
    <t>Picked up at</t>
  </si>
  <si>
    <t>Deliveredat</t>
  </si>
  <si>
    <t>Delivered at</t>
  </si>
  <si>
    <t>Rejectedat</t>
  </si>
  <si>
    <t>Rejected at</t>
  </si>
  <si>
    <t xml:space="preserve">Timeslot </t>
  </si>
  <si>
    <t xml:space="preserve">Time slot </t>
  </si>
  <si>
    <t>Notavailable</t>
  </si>
  <si>
    <t>Not available</t>
  </si>
  <si>
    <t>PaymentSuccessful</t>
  </si>
  <si>
    <t>Payment Successful</t>
  </si>
  <si>
    <t>CashReceived</t>
  </si>
  <si>
    <t>Cash Received</t>
  </si>
  <si>
    <t>Return</t>
  </si>
  <si>
    <t>ItemStatus</t>
  </si>
  <si>
    <t>Item Status</t>
  </si>
  <si>
    <t>noReturn</t>
  </si>
  <si>
    <t>No Return</t>
  </si>
  <si>
    <t>sameDay</t>
  </si>
  <si>
    <t>Same Day</t>
  </si>
  <si>
    <t>nextDay</t>
  </si>
  <si>
    <t>Next Day</t>
  </si>
  <si>
    <t xml:space="preserve">Delivered </t>
  </si>
  <si>
    <t>Hrs</t>
  </si>
  <si>
    <t>kg</t>
  </si>
  <si>
    <t>returnWithin</t>
  </si>
  <si>
    <t>Return Within</t>
  </si>
  <si>
    <t>maxQtyPerOrder</t>
  </si>
  <si>
    <t>Max. qty per Order</t>
  </si>
  <si>
    <t>salarypermonth</t>
  </si>
  <si>
    <t>Salary Per Month</t>
  </si>
  <si>
    <t>sales&amp;serviceofficer</t>
  </si>
  <si>
    <t>Sales &amp; Service Officer</t>
  </si>
  <si>
    <t>inStock</t>
  </si>
  <si>
    <t>In Stock</t>
  </si>
  <si>
    <t>outOfStock</t>
  </si>
  <si>
    <t>Out of Stock</t>
  </si>
  <si>
    <t>received</t>
  </si>
  <si>
    <t>Received</t>
  </si>
  <si>
    <t>selectedproductpreview</t>
  </si>
  <si>
    <t>Selected Product Preview</t>
  </si>
  <si>
    <t>Invaliddoj</t>
  </si>
  <si>
    <t>Invalid DOJ</t>
  </si>
  <si>
    <t>saveProduct</t>
  </si>
  <si>
    <t xml:space="preserve">Save Product </t>
  </si>
  <si>
    <t>pendingpayment</t>
  </si>
  <si>
    <t>Pending Payment</t>
  </si>
  <si>
    <t>Date Of Delivery</t>
  </si>
  <si>
    <t>productAddedSuccessfully</t>
  </si>
  <si>
    <t>Product Added Successfully</t>
  </si>
  <si>
    <t>addPhoto</t>
  </si>
  <si>
    <t>Add Photo</t>
  </si>
  <si>
    <t>productListedSuccessfully</t>
  </si>
  <si>
    <t>Product Listed Successfully</t>
  </si>
  <si>
    <t>deletedSuccessfully!</t>
  </si>
  <si>
    <t>Deleted Successfully!</t>
  </si>
  <si>
    <t>invalidfullname</t>
  </si>
  <si>
    <t>Invalid Full Name</t>
  </si>
  <si>
    <t>pendingDetails</t>
  </si>
  <si>
    <t>Pending Details</t>
  </si>
  <si>
    <t>yourproductisunderreview</t>
  </si>
  <si>
    <t>Your product is Under Review</t>
  </si>
  <si>
    <t>willupdateyousoon</t>
  </si>
  <si>
    <t xml:space="preserve">Will Update you soon </t>
  </si>
  <si>
    <t>ok</t>
  </si>
  <si>
    <t>Ok</t>
  </si>
  <si>
    <t>gst18</t>
  </si>
  <si>
    <t>GST (18%)</t>
  </si>
  <si>
    <t>pending</t>
  </si>
  <si>
    <t xml:space="preserve">Pending </t>
  </si>
  <si>
    <t xml:space="preserve">selectyourpreference </t>
  </si>
  <si>
    <t>Select Your Preference</t>
  </si>
  <si>
    <t>pricelist</t>
  </si>
  <si>
    <t>Price List</t>
  </si>
  <si>
    <t>viewall</t>
  </si>
  <si>
    <t>View All</t>
  </si>
  <si>
    <t>youhavegotthereward</t>
  </si>
  <si>
    <t>You have got the Reward</t>
  </si>
  <si>
    <t>addDetail</t>
  </si>
  <si>
    <t>Add Detail</t>
  </si>
  <si>
    <t>Preorderdiscount</t>
  </si>
  <si>
    <t>Pre-Order Discount</t>
  </si>
  <si>
    <t>addmore</t>
  </si>
  <si>
    <t>Add More</t>
  </si>
  <si>
    <t>masalas</t>
  </si>
  <si>
    <t>Masalas</t>
  </si>
  <si>
    <t>oil</t>
  </si>
  <si>
    <t>Oil</t>
  </si>
  <si>
    <t xml:space="preserve">staples </t>
  </si>
  <si>
    <t>Staples</t>
  </si>
  <si>
    <t xml:space="preserve">Drinks &amp; Beverages </t>
  </si>
  <si>
    <t>taptorecordyourcomplain</t>
  </si>
  <si>
    <t>Tap to record your complain</t>
  </si>
  <si>
    <t>rerecord</t>
  </si>
  <si>
    <t>Re-record</t>
  </si>
  <si>
    <t>Successful</t>
  </si>
  <si>
    <t>areyousure.youwanttowithdrawcomplaint</t>
  </si>
  <si>
    <t>Are you sure you want to withdraw complaint?</t>
  </si>
  <si>
    <t>Status</t>
  </si>
  <si>
    <t xml:space="preserve">Status </t>
  </si>
  <si>
    <t>reopen</t>
  </si>
  <si>
    <t>Reopen</t>
  </si>
  <si>
    <t>otpsenttoregisteredmobilenumber</t>
  </si>
  <si>
    <t>OTP sent to registered mobile number</t>
  </si>
  <si>
    <t>doyouhaveGSTINnumber?</t>
  </si>
  <si>
    <t>Do You Have GSTIN Number?</t>
  </si>
  <si>
    <t>PickedUp</t>
  </si>
  <si>
    <t>Picked Up</t>
  </si>
  <si>
    <t>mini.PricePerOrder</t>
  </si>
  <si>
    <t>Mini. price per order</t>
  </si>
  <si>
    <t>passbookphotoisrequired</t>
  </si>
  <si>
    <t>Passbook Photo is required.</t>
  </si>
  <si>
    <t>beneficiarynameisrequired</t>
  </si>
  <si>
    <t>Beneficiary Name is required.</t>
  </si>
  <si>
    <t>banknameisrequired</t>
  </si>
  <si>
    <t>Bank Name is required.</t>
  </si>
  <si>
    <t>accountnumberisrequired</t>
  </si>
  <si>
    <t>Account Number is required.</t>
  </si>
  <si>
    <t>re-enteraccountnumberisrequired</t>
  </si>
  <si>
    <t>Re-enter Account Number is required.</t>
  </si>
  <si>
    <t>accountnumberandre-accountnumberfieldsshouldmatch</t>
  </si>
  <si>
    <t>Account number and Re-account number fields should match</t>
  </si>
  <si>
    <t>selectimagesource</t>
  </si>
  <si>
    <t>Select Image Source</t>
  </si>
  <si>
    <t>loadfromgallery</t>
  </si>
  <si>
    <t>Load From Gallery</t>
  </si>
  <si>
    <t>usecamera</t>
  </si>
  <si>
    <t>Use Camera</t>
  </si>
  <si>
    <t>ItemwillBeRemovedFromtheCart</t>
  </si>
  <si>
    <t>Item will Be Removed From the Cart</t>
  </si>
  <si>
    <t>rewards</t>
  </si>
  <si>
    <t>Rewards</t>
  </si>
  <si>
    <t>tropicalfruit7</t>
  </si>
  <si>
    <t>Tropical Fruit (7)</t>
  </si>
  <si>
    <t>deliverySlot</t>
  </si>
  <si>
    <t>Delivery Slot</t>
  </si>
  <si>
    <t>tropicalfruit</t>
  </si>
  <si>
    <t>Tropical Fruit</t>
  </si>
  <si>
    <t>viewedit</t>
  </si>
  <si>
    <t>View/Edit</t>
  </si>
  <si>
    <t>Km</t>
  </si>
  <si>
    <t>totalrewardsearned</t>
  </si>
  <si>
    <t>Total Rewards Earned</t>
  </si>
  <si>
    <t>useGps</t>
  </si>
  <si>
    <t>use gps</t>
  </si>
  <si>
    <t>onOrdersMore</t>
  </si>
  <si>
    <t>on Orders more</t>
  </si>
  <si>
    <t>than</t>
  </si>
  <si>
    <t>enableFreeShipping</t>
  </si>
  <si>
    <t>Enable free Shipping</t>
  </si>
  <si>
    <t>OTPResentSuccessful</t>
  </si>
  <si>
    <t>OTP Resent Successful</t>
  </si>
  <si>
    <t>didyourecivethepayment</t>
  </si>
  <si>
    <t>did you receive the payment</t>
  </si>
  <si>
    <t xml:space="preserve">InvoiceNumberGSTINNumber </t>
  </si>
  <si>
    <t>Invoice Number GSTIN Number</t>
  </si>
  <si>
    <t>enterMobilenumber</t>
  </si>
  <si>
    <t>Enter Mobile Number</t>
  </si>
  <si>
    <t>numberFor</t>
  </si>
  <si>
    <t>Number for</t>
  </si>
  <si>
    <t>otpVerification</t>
  </si>
  <si>
    <t>OTP Verification</t>
  </si>
  <si>
    <t>terms&amp;Conditions</t>
  </si>
  <si>
    <t>Terms &amp; Conditions</t>
  </si>
  <si>
    <t>andPrivacyPolicy</t>
  </si>
  <si>
    <t>and Privacy Policy</t>
  </si>
  <si>
    <t>pleaseEnterThe</t>
  </si>
  <si>
    <t>Please enter the</t>
  </si>
  <si>
    <t>ReadyForPickup</t>
  </si>
  <si>
    <t>Ready For Pickup</t>
  </si>
  <si>
    <t>otpsentto</t>
  </si>
  <si>
    <t>OTP Sent to</t>
  </si>
  <si>
    <t>didntreceivetheotp?</t>
  </si>
  <si>
    <t>currentaddress</t>
  </si>
  <si>
    <t>Current Address</t>
  </si>
  <si>
    <t>yourShop</t>
  </si>
  <si>
    <t>Your Shop</t>
  </si>
  <si>
    <t>workingHours</t>
  </si>
  <si>
    <t>Working hours</t>
  </si>
  <si>
    <t>nameAsPerPancard</t>
  </si>
  <si>
    <t>Name as per PAN card</t>
  </si>
  <si>
    <t>PanCard</t>
  </si>
  <si>
    <t>PAN Card</t>
  </si>
  <si>
    <t>re-enter</t>
  </si>
  <si>
    <t>Re-enter</t>
  </si>
  <si>
    <t>LocationPermission</t>
  </si>
  <si>
    <t>Location Permission</t>
  </si>
  <si>
    <t>notdelivery</t>
  </si>
  <si>
    <t xml:space="preserve">Not Delivery </t>
  </si>
  <si>
    <t>wholesaler</t>
  </si>
  <si>
    <t>Wholesaler</t>
  </si>
  <si>
    <t>toDelete?</t>
  </si>
  <si>
    <t>to delete?</t>
  </si>
  <si>
    <t>youCannotDelete</t>
  </si>
  <si>
    <t>You Cannot Delete</t>
  </si>
  <si>
    <t>activeUser!</t>
  </si>
  <si>
    <t>Active User!</t>
  </si>
  <si>
    <t>selectCategory</t>
  </si>
  <si>
    <t>Select Category</t>
  </si>
  <si>
    <t>toAddProduct</t>
  </si>
  <si>
    <t>To Add Product</t>
  </si>
  <si>
    <t>mini.qtyperOrder</t>
  </si>
  <si>
    <t xml:space="preserve">MIni. qty per Order </t>
  </si>
  <si>
    <t>SaveAddress</t>
  </si>
  <si>
    <t>Save Address</t>
  </si>
  <si>
    <t>PleaseSaveYourAddresss</t>
  </si>
  <si>
    <t>Please Save Your Address</t>
  </si>
  <si>
    <t>yourUnsaved</t>
  </si>
  <si>
    <t>Your unsaved</t>
  </si>
  <si>
    <t>detailsWill</t>
  </si>
  <si>
    <t>details will</t>
  </si>
  <si>
    <t>beLost</t>
  </si>
  <si>
    <t>be lost.</t>
  </si>
  <si>
    <t>saveChanges</t>
  </si>
  <si>
    <t>Save changes</t>
  </si>
  <si>
    <t>beforeClosing</t>
  </si>
  <si>
    <t>before closing</t>
  </si>
  <si>
    <t>wouldYouLike</t>
  </si>
  <si>
    <t>Would you like</t>
  </si>
  <si>
    <t>toMoveTo</t>
  </si>
  <si>
    <t>to move to</t>
  </si>
  <si>
    <t>Locationisneededfortheapptoworkproperly,kindlygotosettingsandprovidelocationpermissiontoapp.</t>
  </si>
  <si>
    <t>Location is needed for the app to work properly, kindly go to settings and provide location permission to app.</t>
  </si>
  <si>
    <t>areYouSure</t>
  </si>
  <si>
    <t>Are you sure ?</t>
  </si>
  <si>
    <t>doYouWant</t>
  </si>
  <si>
    <t>Do you want</t>
  </si>
  <si>
    <t>max.qtyperorder</t>
  </si>
  <si>
    <t xml:space="preserve">Max. qty per Order </t>
  </si>
  <si>
    <t>rambutanIs</t>
  </si>
  <si>
    <t>Rambutan is</t>
  </si>
  <si>
    <t>movedTo</t>
  </si>
  <si>
    <t>Moved To</t>
  </si>
  <si>
    <t>BPLID</t>
  </si>
  <si>
    <t>BPL ID</t>
  </si>
  <si>
    <t>Searchbyfruitscategory</t>
  </si>
  <si>
    <t xml:space="preserve">Search By Category </t>
  </si>
  <si>
    <t>TypeSomethingHere</t>
  </si>
  <si>
    <t>Type Something Here</t>
  </si>
  <si>
    <t>imSelling</t>
  </si>
  <si>
    <t>Im Selling</t>
  </si>
  <si>
    <t>searchBy</t>
  </si>
  <si>
    <t>Search By</t>
  </si>
  <si>
    <t>fruitsCategory</t>
  </si>
  <si>
    <t>Fruits Category</t>
  </si>
  <si>
    <t>thisorderwasdelivered</t>
  </si>
  <si>
    <t>This Order was Delivered</t>
  </si>
  <si>
    <t>repeatorder</t>
  </si>
  <si>
    <t>Repeat Order</t>
  </si>
  <si>
    <t>DoyouwanttoAccepttheorder</t>
  </si>
  <si>
    <t>Do you want to Accept the order ?</t>
  </si>
  <si>
    <t xml:space="preserve">DoyouwanttoReadytheorder </t>
  </si>
  <si>
    <t>Do you want to Ready the order ?</t>
  </si>
  <si>
    <t>clear</t>
  </si>
  <si>
    <t>Clear</t>
  </si>
  <si>
    <t>selectFruits</t>
  </si>
  <si>
    <t>Select Fruits</t>
  </si>
  <si>
    <t>category</t>
  </si>
  <si>
    <t>Category</t>
  </si>
  <si>
    <t xml:space="preserve">DoyouwanttoDelivertheorder </t>
  </si>
  <si>
    <t>Do you want to Deliver the order ?</t>
  </si>
  <si>
    <t xml:space="preserve">DoyouwanttoPickuptheorder </t>
  </si>
  <si>
    <t>Do you want to Pick Up the order ?</t>
  </si>
  <si>
    <t xml:space="preserve">DoyouwanttoNo-Show theorder </t>
  </si>
  <si>
    <t>Do you want to No-Show the order ?</t>
  </si>
  <si>
    <t>berry</t>
  </si>
  <si>
    <t>Berry</t>
  </si>
  <si>
    <t>productDetails</t>
  </si>
  <si>
    <t>Product Details</t>
  </si>
  <si>
    <t>listed</t>
  </si>
  <si>
    <t>Listed</t>
  </si>
  <si>
    <t>unlisted</t>
  </si>
  <si>
    <t>Unlisted</t>
  </si>
  <si>
    <t>maxReward</t>
  </si>
  <si>
    <t>Max Reward</t>
  </si>
  <si>
    <t>general</t>
  </si>
  <si>
    <t>General</t>
  </si>
  <si>
    <t>sellingOption</t>
  </si>
  <si>
    <t>Selling Option</t>
  </si>
  <si>
    <t>inventory</t>
  </si>
  <si>
    <t>Inventory</t>
  </si>
  <si>
    <t>returnOption</t>
  </si>
  <si>
    <t>Return Option</t>
  </si>
  <si>
    <t>DoyouwanttoCanceltheorder?</t>
  </si>
  <si>
    <t>Do you want to Cancel the order ?</t>
  </si>
  <si>
    <t>placeOfOrigin</t>
  </si>
  <si>
    <t>Place Of Origin</t>
  </si>
  <si>
    <t>aboutProduct</t>
  </si>
  <si>
    <t>About Product</t>
  </si>
  <si>
    <t>grading</t>
  </si>
  <si>
    <t>Grading</t>
  </si>
  <si>
    <t>camera</t>
  </si>
  <si>
    <t>Camera</t>
  </si>
  <si>
    <t>favourites</t>
  </si>
  <si>
    <t>soldBy</t>
  </si>
  <si>
    <t>Sold By</t>
  </si>
  <si>
    <t>street</t>
  </si>
  <si>
    <t>Street</t>
  </si>
  <si>
    <t>kilogram</t>
  </si>
  <si>
    <t>Kilogram</t>
  </si>
  <si>
    <t>liter</t>
  </si>
  <si>
    <t>Liter</t>
  </si>
  <si>
    <t>miniQty</t>
  </si>
  <si>
    <t>Mini.qty</t>
  </si>
  <si>
    <t>perOrderdiscount</t>
  </si>
  <si>
    <t>Per Order Discount</t>
  </si>
  <si>
    <t>maxQty</t>
  </si>
  <si>
    <t>Max qty</t>
  </si>
  <si>
    <t>regularprice</t>
  </si>
  <si>
    <t>Regular Price</t>
  </si>
  <si>
    <t>discountprice</t>
  </si>
  <si>
    <t>Discount Price</t>
  </si>
  <si>
    <t>miniPrice</t>
  </si>
  <si>
    <t>Mini price</t>
  </si>
  <si>
    <t>quantity</t>
  </si>
  <si>
    <t>Quantity</t>
  </si>
  <si>
    <t>costPrice</t>
  </si>
  <si>
    <t>Cost Price</t>
  </si>
  <si>
    <t>sku</t>
  </si>
  <si>
    <t>SKU</t>
  </si>
  <si>
    <t>stockStatus</t>
  </si>
  <si>
    <t>Stock Status</t>
  </si>
  <si>
    <t>days</t>
  </si>
  <si>
    <t>Days</t>
  </si>
  <si>
    <t>hours</t>
  </si>
  <si>
    <t>Hours</t>
  </si>
  <si>
    <t>producAdded</t>
  </si>
  <si>
    <t>Product Added</t>
  </si>
  <si>
    <t>successfullyYay</t>
  </si>
  <si>
    <t>Successfully YAY</t>
  </si>
  <si>
    <t>wouldYou</t>
  </si>
  <si>
    <t xml:space="preserve">Would you </t>
  </si>
  <si>
    <t>likeTo</t>
  </si>
  <si>
    <t>like to</t>
  </si>
  <si>
    <t>moveTo</t>
  </si>
  <si>
    <t>move to</t>
  </si>
  <si>
    <t>ListedItem</t>
  </si>
  <si>
    <t>Listed Item</t>
  </si>
  <si>
    <t>areYouDelivering</t>
  </si>
  <si>
    <t>Are you Delivering</t>
  </si>
  <si>
    <t>paymentMethod</t>
  </si>
  <si>
    <t>Payment Method</t>
  </si>
  <si>
    <t>Categories</t>
  </si>
  <si>
    <t>pickupAnd</t>
  </si>
  <si>
    <t>Pickup and</t>
  </si>
  <si>
    <t>deliveryOptions</t>
  </si>
  <si>
    <t>Delivery Options</t>
  </si>
  <si>
    <t>customerPickup</t>
  </si>
  <si>
    <t>Customer Pickup</t>
  </si>
  <si>
    <t>ownDelivery</t>
  </si>
  <si>
    <t>Own Delivery</t>
  </si>
  <si>
    <t>thirdParty</t>
  </si>
  <si>
    <t>Third Party</t>
  </si>
  <si>
    <t>processingTime</t>
  </si>
  <si>
    <t>Processing Time</t>
  </si>
  <si>
    <t>pickupSlots</t>
  </si>
  <si>
    <t>Pickup Slots</t>
  </si>
  <si>
    <t>startTime</t>
  </si>
  <si>
    <t>Start Time</t>
  </si>
  <si>
    <t>endTime</t>
  </si>
  <si>
    <t>End Time</t>
  </si>
  <si>
    <t>capacity</t>
  </si>
  <si>
    <t>Capacity</t>
  </si>
  <si>
    <t>save</t>
  </si>
  <si>
    <t>Save</t>
  </si>
  <si>
    <t>delete</t>
  </si>
  <si>
    <t>Delete</t>
  </si>
  <si>
    <t>distanceCovers</t>
  </si>
  <si>
    <t>Distance covers</t>
  </si>
  <si>
    <t>deliveryCharge</t>
  </si>
  <si>
    <t>Delivery Charge</t>
  </si>
  <si>
    <t>City/Ward/District</t>
  </si>
  <si>
    <t>onOrder</t>
  </si>
  <si>
    <t>on Order</t>
  </si>
  <si>
    <t xml:space="preserve">totalemployeesfound </t>
  </si>
  <si>
    <t xml:space="preserve">Total Employees Found </t>
  </si>
  <si>
    <t>enableFree</t>
  </si>
  <si>
    <t>Enable Free</t>
  </si>
  <si>
    <t>shipping</t>
  </si>
  <si>
    <t>Shipping</t>
  </si>
  <si>
    <t>availOur</t>
  </si>
  <si>
    <t>Avail Our</t>
  </si>
  <si>
    <t>deliveryService</t>
  </si>
  <si>
    <t>Delivery Service</t>
  </si>
  <si>
    <t>AcceptedOrderDetails</t>
  </si>
  <si>
    <t>Accepted Order Details</t>
  </si>
  <si>
    <t>finalThoughts</t>
  </si>
  <si>
    <t>Final Thoughts</t>
  </si>
  <si>
    <t>itemsfor</t>
  </si>
  <si>
    <t>Items For</t>
  </si>
  <si>
    <t>Doyouwanttoprocessingtheorder</t>
  </si>
  <si>
    <t>Do you want to processing the order?</t>
  </si>
  <si>
    <t>ReadyOrderDetails</t>
  </si>
  <si>
    <t>Ready Order Details</t>
  </si>
  <si>
    <t xml:space="preserve">SearchLanguage </t>
  </si>
  <si>
    <t xml:space="preserve">Language </t>
  </si>
  <si>
    <t>uploadbplcard</t>
  </si>
  <si>
    <t>Upload BPL Card</t>
  </si>
  <si>
    <t>skipfornow</t>
  </si>
  <si>
    <t>Skip Now</t>
  </si>
  <si>
    <t>orderId</t>
  </si>
  <si>
    <t>Order ID</t>
  </si>
  <si>
    <t>Addressdetail</t>
  </si>
  <si>
    <t>Address Detail</t>
  </si>
  <si>
    <t>PanProof</t>
  </si>
  <si>
    <t>PAN Proof</t>
  </si>
  <si>
    <t>Nameasperpancard</t>
  </si>
  <si>
    <t xml:space="preserve">Name as Per Pan Card </t>
  </si>
  <si>
    <t>FixedRetailershop</t>
  </si>
  <si>
    <t>Fixed Retailer Shop</t>
  </si>
  <si>
    <t xml:space="preserve">MobileRetailershop </t>
  </si>
  <si>
    <t xml:space="preserve">Mobile Retailer Shop </t>
  </si>
  <si>
    <t xml:space="preserve">Iown </t>
  </si>
  <si>
    <t xml:space="preserve">I Own </t>
  </si>
  <si>
    <t xml:space="preserve">Membershipplan </t>
  </si>
  <si>
    <t xml:space="preserve">Membership Plan </t>
  </si>
  <si>
    <t>PerMonth</t>
  </si>
  <si>
    <t>Per Month</t>
  </si>
  <si>
    <t>Basic</t>
  </si>
  <si>
    <t>Onlineshopspace</t>
  </si>
  <si>
    <t>Online Shop Space</t>
  </si>
  <si>
    <t xml:space="preserve">Sell/purchase </t>
  </si>
  <si>
    <t xml:space="preserve">Sell/Purchase </t>
  </si>
  <si>
    <t>Creditmanagement</t>
  </si>
  <si>
    <t>Credit Management</t>
  </si>
  <si>
    <t xml:space="preserve">Owndelivery </t>
  </si>
  <si>
    <t xml:space="preserve">Own Delivery </t>
  </si>
  <si>
    <t xml:space="preserve">Onlinepayment </t>
  </si>
  <si>
    <t xml:space="preserve">Online Payment </t>
  </si>
  <si>
    <t>cataloguemanagement</t>
  </si>
  <si>
    <t>Catalogue Management</t>
  </si>
  <si>
    <t xml:space="preserve">PerOrderManagement </t>
  </si>
  <si>
    <t xml:space="preserve">Per Order Management </t>
  </si>
  <si>
    <t xml:space="preserve">Managecustomers </t>
  </si>
  <si>
    <t xml:space="preserve">Manage Customers </t>
  </si>
  <si>
    <t xml:space="preserve">BuyNow </t>
  </si>
  <si>
    <t xml:space="preserve">Buy Now </t>
  </si>
  <si>
    <t xml:space="preserve">selectstate </t>
  </si>
  <si>
    <t>Select State</t>
  </si>
  <si>
    <t xml:space="preserve">Close </t>
  </si>
  <si>
    <t>Open</t>
  </si>
  <si>
    <t>ReferandEarn</t>
  </si>
  <si>
    <t>Refer and Earn</t>
  </si>
  <si>
    <t>Shoppicture</t>
  </si>
  <si>
    <t>Shop Picture</t>
  </si>
  <si>
    <t>Edit</t>
  </si>
  <si>
    <t>Wallet</t>
  </si>
  <si>
    <t>DeliveryOrderDetails</t>
  </si>
  <si>
    <t>Delivery Order Details</t>
  </si>
  <si>
    <t xml:space="preserve">MyRewards </t>
  </si>
  <si>
    <t xml:space="preserve">My Rewards </t>
  </si>
  <si>
    <t>Invitepeoplefromyournetworkandlearncashrewards</t>
  </si>
  <si>
    <t>Invite people and earn cash rewards</t>
  </si>
  <si>
    <t xml:space="preserve">Getcashrewardsupto </t>
  </si>
  <si>
    <t xml:space="preserve">Get Cash Rewards Upto </t>
  </si>
  <si>
    <t xml:space="preserve">Invite </t>
  </si>
  <si>
    <t>Cash</t>
  </si>
  <si>
    <t>TotalReferal</t>
  </si>
  <si>
    <t>Total Referral</t>
  </si>
  <si>
    <t>DeliveredOrderDetails</t>
  </si>
  <si>
    <t>Delivered Order Details</t>
  </si>
  <si>
    <t>Acknowledge</t>
  </si>
  <si>
    <t>Order #</t>
  </si>
  <si>
    <t>ProfileComplete</t>
  </si>
  <si>
    <t>Profile Complete</t>
  </si>
  <si>
    <t xml:space="preserve">Referred </t>
  </si>
  <si>
    <t>invite</t>
  </si>
  <si>
    <t>Invite</t>
  </si>
  <si>
    <t xml:space="preserve">Instruction </t>
  </si>
  <si>
    <t>Deliveryvalet</t>
  </si>
  <si>
    <t>Delivery Valet</t>
  </si>
  <si>
    <t>Wholeseller</t>
  </si>
  <si>
    <t>IncreaseEarningBy150</t>
  </si>
  <si>
    <t xml:space="preserve">Increase Earning By 150% </t>
  </si>
  <si>
    <t xml:space="preserve">Trader/Broker </t>
  </si>
  <si>
    <t>Deliverypartner</t>
  </si>
  <si>
    <t>Delivery Partner</t>
  </si>
  <si>
    <t>Inviteesmobilenumber</t>
  </si>
  <si>
    <t xml:space="preserve">Invitees Mobile Number </t>
  </si>
  <si>
    <t>ReferralSMSsendsucessfully</t>
  </si>
  <si>
    <t>Referral SMS Sent Successfully</t>
  </si>
  <si>
    <t>RequestingReferretoGiveaMissCallon</t>
  </si>
  <si>
    <t>Requesting Referee to Give a Miss Call on</t>
  </si>
  <si>
    <t>totalrewardsearn</t>
  </si>
  <si>
    <t xml:space="preserve">Total Rewards Earn </t>
  </si>
  <si>
    <t>MyReferrals</t>
  </si>
  <si>
    <t>My Referrals</t>
  </si>
  <si>
    <t xml:space="preserve">IncreaseEarningBy </t>
  </si>
  <si>
    <t xml:space="preserve">Increase Earning By </t>
  </si>
  <si>
    <t>IncreaseReferralEarningonEachsuccessfulinvite</t>
  </si>
  <si>
    <t>Increase Referral Earning On Each Successful Invite</t>
  </si>
  <si>
    <t>Youcanwin</t>
  </si>
  <si>
    <t>You Can Win</t>
  </si>
  <si>
    <t>YouWon</t>
  </si>
  <si>
    <t>You Won</t>
  </si>
  <si>
    <t xml:space="preserve">ByReferring </t>
  </si>
  <si>
    <t xml:space="preserve">By Referring </t>
  </si>
  <si>
    <t>Completed</t>
  </si>
  <si>
    <t>Incompleted</t>
  </si>
  <si>
    <t xml:space="preserve">Referralstatus </t>
  </si>
  <si>
    <t xml:space="preserve">Referral Status </t>
  </si>
  <si>
    <t xml:space="preserve">Ordered </t>
  </si>
  <si>
    <t xml:space="preserve">Firstorder </t>
  </si>
  <si>
    <t xml:space="preserve">First order </t>
  </si>
  <si>
    <t xml:space="preserve">Signup </t>
  </si>
  <si>
    <t xml:space="preserve">Sign Up </t>
  </si>
  <si>
    <t>ProfileCompleted</t>
  </si>
  <si>
    <t>Profile Completed</t>
  </si>
  <si>
    <t>Reminder</t>
  </si>
  <si>
    <t xml:space="preserve">SelectLanguage </t>
  </si>
  <si>
    <t xml:space="preserve">Select Language </t>
  </si>
  <si>
    <t>SearchAddress</t>
  </si>
  <si>
    <t>Search Address</t>
  </si>
  <si>
    <t xml:space="preserve">InvitePeopleandearnCashRewards </t>
  </si>
  <si>
    <t xml:space="preserve">Invite People and earn Cash Rewards </t>
  </si>
  <si>
    <t xml:space="preserve">SMSSendSucessfully </t>
  </si>
  <si>
    <t xml:space="preserve">SMS Sent Successfully </t>
  </si>
  <si>
    <t>IncreaseEarningoncashinvite</t>
  </si>
  <si>
    <t>Increase Earning on cash  invite</t>
  </si>
  <si>
    <t xml:space="preserve">Profile </t>
  </si>
  <si>
    <t>Subscribed</t>
  </si>
  <si>
    <t xml:space="preserve">Unsubscribed </t>
  </si>
  <si>
    <t>Unsubscribed</t>
  </si>
  <si>
    <t>IncreaseEarningoneachinvite</t>
  </si>
  <si>
    <t>Increase earning on each invite</t>
  </si>
  <si>
    <t xml:space="preserve">ProductorCategory </t>
  </si>
  <si>
    <t xml:space="preserve">Product or Category </t>
  </si>
  <si>
    <t xml:space="preserve">catalogmanagement </t>
  </si>
  <si>
    <t xml:space="preserve">Catalog Management </t>
  </si>
  <si>
    <t>PaymentManagement</t>
  </si>
  <si>
    <t>Payment Management</t>
  </si>
  <si>
    <t xml:space="preserve">DeliveryManagement </t>
  </si>
  <si>
    <t xml:space="preserve">Delivery Management </t>
  </si>
  <si>
    <t xml:space="preserve">OrderManagement </t>
  </si>
  <si>
    <t xml:space="preserve">Order Management </t>
  </si>
  <si>
    <t xml:space="preserve">CustomerService </t>
  </si>
  <si>
    <t xml:space="preserve">Customer Service </t>
  </si>
  <si>
    <t>Neworderdetails</t>
  </si>
  <si>
    <t>New Order Details</t>
  </si>
  <si>
    <t xml:space="preserve">ExpensesManagement </t>
  </si>
  <si>
    <t xml:space="preserve">Expenses Management </t>
  </si>
  <si>
    <t xml:space="preserve">InventoryManagement </t>
  </si>
  <si>
    <t xml:space="preserve">Inventory Management </t>
  </si>
  <si>
    <t>Complain</t>
  </si>
  <si>
    <t xml:space="preserve">AccountManager </t>
  </si>
  <si>
    <t xml:space="preserve">Account manager </t>
  </si>
  <si>
    <t>ActiveOrder</t>
  </si>
  <si>
    <t>Active Order</t>
  </si>
  <si>
    <t>Refer&amp;earn</t>
  </si>
  <si>
    <t>Refer &amp; Earn</t>
  </si>
  <si>
    <t xml:space="preserve">gstin </t>
  </si>
  <si>
    <t>GSTIN</t>
  </si>
  <si>
    <t>ActivePlan</t>
  </si>
  <si>
    <t>Active Plan</t>
  </si>
  <si>
    <t xml:space="preserve">Expiresin20days </t>
  </si>
  <si>
    <t xml:space="preserve">Expires in 20 days </t>
  </si>
  <si>
    <t>Invoice</t>
  </si>
  <si>
    <t xml:space="preserve">LastSubscriptionOn </t>
  </si>
  <si>
    <t xml:space="preserve">Last Subscription On </t>
  </si>
  <si>
    <t xml:space="preserve">RenewPlan </t>
  </si>
  <si>
    <t xml:space="preserve">Renew Plan </t>
  </si>
  <si>
    <t>ViewOtherPlans</t>
  </si>
  <si>
    <t>View Other Plans</t>
  </si>
  <si>
    <t xml:space="preserve">Offer </t>
  </si>
  <si>
    <t xml:space="preserve">EntryName </t>
  </si>
  <si>
    <t xml:space="preserve">Entry Name </t>
  </si>
  <si>
    <t xml:space="preserve">GSTINNumber </t>
  </si>
  <si>
    <t xml:space="preserve">GSTIN Number </t>
  </si>
  <si>
    <t xml:space="preserve">BasicSubscription </t>
  </si>
  <si>
    <t xml:space="preserve">Basic Subscription </t>
  </si>
  <si>
    <t>GST</t>
  </si>
  <si>
    <t xml:space="preserve">TotalAmount </t>
  </si>
  <si>
    <t xml:space="preserve">Total Amount </t>
  </si>
  <si>
    <t xml:space="preserve">AddProduct </t>
  </si>
  <si>
    <t xml:space="preserve">Add Product </t>
  </si>
  <si>
    <t>UpdateProduct</t>
  </si>
  <si>
    <t>Update Product</t>
  </si>
  <si>
    <t xml:space="preserve">RecommendedProduct </t>
  </si>
  <si>
    <t xml:space="preserve">Recommended Product </t>
  </si>
  <si>
    <t xml:space="preserve">Mycatalog </t>
  </si>
  <si>
    <t xml:space="preserve">My Catalog </t>
  </si>
  <si>
    <t xml:space="preserve">SelectProducts </t>
  </si>
  <si>
    <t xml:space="preserve">Select Products </t>
  </si>
  <si>
    <t>Selectall</t>
  </si>
  <si>
    <t>Select All</t>
  </si>
  <si>
    <t xml:space="preserve">Unpublished </t>
  </si>
  <si>
    <t xml:space="preserve">PreOrder </t>
  </si>
  <si>
    <t xml:space="preserve">Pre Order </t>
  </si>
  <si>
    <t xml:space="preserve">SellingPrice </t>
  </si>
  <si>
    <t xml:space="preserve">Selling Price </t>
  </si>
  <si>
    <t xml:space="preserve">SoldBy </t>
  </si>
  <si>
    <t xml:space="preserve">Sold By </t>
  </si>
  <si>
    <t xml:space="preserve">Liter </t>
  </si>
  <si>
    <t xml:space="preserve">Weight </t>
  </si>
  <si>
    <t xml:space="preserve">Grading </t>
  </si>
  <si>
    <t>PendingApproval</t>
  </si>
  <si>
    <t>Pending Approval</t>
  </si>
  <si>
    <t>Approved</t>
  </si>
  <si>
    <t xml:space="preserve">Rejected </t>
  </si>
  <si>
    <t>Customized</t>
  </si>
  <si>
    <t>Favouriteshop</t>
  </si>
  <si>
    <t>Favourite Shop</t>
  </si>
  <si>
    <t xml:space="preserve">ShopByCategories </t>
  </si>
  <si>
    <t xml:space="preserve">Shop By Categories </t>
  </si>
  <si>
    <t xml:space="preserve">Grocery </t>
  </si>
  <si>
    <t>Fish</t>
  </si>
  <si>
    <t xml:space="preserve">Flower </t>
  </si>
  <si>
    <t xml:space="preserve">Preference </t>
  </si>
  <si>
    <t xml:space="preserve">SelectPreference </t>
  </si>
  <si>
    <t xml:space="preserve">Select Preference </t>
  </si>
  <si>
    <t>FruitsShop</t>
  </si>
  <si>
    <t>Fruits Shop</t>
  </si>
  <si>
    <t>LocalGarden</t>
  </si>
  <si>
    <t>Local Garden</t>
  </si>
  <si>
    <t xml:space="preserve">Nonveg </t>
  </si>
  <si>
    <t xml:space="preserve">Non veg </t>
  </si>
  <si>
    <t xml:space="preserve">Simple </t>
  </si>
  <si>
    <t xml:space="preserve">Aggregate </t>
  </si>
  <si>
    <t xml:space="preserve">MultipleFruits </t>
  </si>
  <si>
    <t xml:space="preserve">Multiple Fruits </t>
  </si>
  <si>
    <t>AddAddress</t>
  </si>
  <si>
    <t>Add Address</t>
  </si>
  <si>
    <t xml:space="preserve">Seasonal </t>
  </si>
  <si>
    <t xml:space="preserve">Items </t>
  </si>
  <si>
    <t xml:space="preserve">Employee/partner </t>
  </si>
  <si>
    <t xml:space="preserve">Refer </t>
  </si>
  <si>
    <t xml:space="preserve">Employeemanagement </t>
  </si>
  <si>
    <t>Employee Management</t>
  </si>
  <si>
    <t>StateHead</t>
  </si>
  <si>
    <t>State Head</t>
  </si>
  <si>
    <t>AddEmployee</t>
  </si>
  <si>
    <t>Add Employee</t>
  </si>
  <si>
    <t xml:space="preserve">ManagerId </t>
  </si>
  <si>
    <t>Manager ID</t>
  </si>
  <si>
    <t>OrgId</t>
  </si>
  <si>
    <t>Org ID</t>
  </si>
  <si>
    <t>AssignRole</t>
  </si>
  <si>
    <t>Assign Role</t>
  </si>
  <si>
    <t xml:space="preserve">CityOfficer </t>
  </si>
  <si>
    <t xml:space="preserve">City Officer </t>
  </si>
  <si>
    <t xml:space="preserve">FrontlineOfficer </t>
  </si>
  <si>
    <t xml:space="preserve">Frontline Officer </t>
  </si>
  <si>
    <t>Employeecreatedsuccessfully</t>
  </si>
  <si>
    <t>Employee Created Successfully YAY!</t>
  </si>
  <si>
    <t xml:space="preserve">AlmoniUser </t>
  </si>
  <si>
    <t xml:space="preserve">Almoni User </t>
  </si>
  <si>
    <t>Undo</t>
  </si>
  <si>
    <t xml:space="preserve">Franchiese </t>
  </si>
  <si>
    <t xml:space="preserve">Franchise </t>
  </si>
  <si>
    <t xml:space="preserve">Freelancer </t>
  </si>
  <si>
    <t>January</t>
  </si>
  <si>
    <t>businessnameisrequired</t>
  </si>
  <si>
    <t>Business Name is Required</t>
  </si>
  <si>
    <t>nameshouldbemin5charslong.</t>
  </si>
  <si>
    <t>Name should be min 5 chars long.</t>
  </si>
  <si>
    <t>shopno.isrequired.</t>
  </si>
  <si>
    <t>Shop no.is required.</t>
  </si>
  <si>
    <t>streetno.isrequired</t>
  </si>
  <si>
    <t>Street no.is required.</t>
  </si>
  <si>
    <t>landmarkisrequired</t>
  </si>
  <si>
    <t>landmark is required.</t>
  </si>
  <si>
    <t>cityisrequired</t>
  </si>
  <si>
    <t>City is required.</t>
  </si>
  <si>
    <t>pincodeisrequired</t>
  </si>
  <si>
    <t>Pincode is required.</t>
  </si>
  <si>
    <t>updategstin</t>
  </si>
  <si>
    <t>Update GSTIN</t>
  </si>
  <si>
    <t>Pancardno.isrequired</t>
  </si>
  <si>
    <t>PAN Card No. is required .</t>
  </si>
  <si>
    <t>Region</t>
  </si>
  <si>
    <t>Doyouwanttocontinuewiththisnumber?</t>
  </si>
  <si>
    <t>Do you want to continue with this number?</t>
  </si>
  <si>
    <t>Pleaseprovidealltherequiredvalues!</t>
  </si>
  <si>
    <t>Please provide all the required values!</t>
  </si>
  <si>
    <t>Taptoretry</t>
  </si>
  <si>
    <t>Tap to retry</t>
  </si>
  <si>
    <t>somethingwentwrong</t>
  </si>
  <si>
    <t>something went wrong</t>
  </si>
  <si>
    <t>Searchbyfruits,Categories</t>
  </si>
  <si>
    <t>Search by Fruits, Categories</t>
  </si>
  <si>
    <t>PleaseEnterPincode</t>
  </si>
  <si>
    <t>Please Enter Pincode</t>
  </si>
  <si>
    <t>PleaseEnterHouse/Flat/Blockno</t>
  </si>
  <si>
    <t>Please Enter House/Flat/Block no</t>
  </si>
  <si>
    <t>PleaseEnterApartment/Road/Area</t>
  </si>
  <si>
    <t>Please Enter Apartment/Road/Area</t>
  </si>
  <si>
    <t>PleaseEnterLandmark</t>
  </si>
  <si>
    <t>Please Enter Landmark</t>
  </si>
  <si>
    <t>Pre-Order</t>
  </si>
  <si>
    <t>BrowseCatalog</t>
  </si>
  <si>
    <t>Browse Catalog</t>
  </si>
  <si>
    <t>IFSCisRequired</t>
  </si>
  <si>
    <t>IFSC is Required</t>
  </si>
  <si>
    <t>PANNumberisRequired.</t>
  </si>
  <si>
    <t>PAN Number is Required.</t>
  </si>
  <si>
    <t>Accept-popupworks!</t>
  </si>
  <si>
    <t>Accept-Popup Works!</t>
  </si>
  <si>
    <t>Accepted-orderworks!</t>
  </si>
  <si>
    <t>Accepted-Order Works!</t>
  </si>
  <si>
    <t>Dispatch-ordersworks!</t>
  </si>
  <si>
    <t>Dispatch-Orders Works!</t>
  </si>
  <si>
    <t>New-orderworks!</t>
  </si>
  <si>
    <t>New-Order Works!</t>
  </si>
  <si>
    <t>PaymentReceived</t>
  </si>
  <si>
    <t>Payment Received</t>
  </si>
  <si>
    <t>DeliveryInstructions</t>
  </si>
  <si>
    <t>Delivery Instructions</t>
  </si>
  <si>
    <t>Picker</t>
  </si>
  <si>
    <t>Loading ...</t>
  </si>
  <si>
    <t>Processing-ordersworks!</t>
  </si>
  <si>
    <t>Processing-Orders Works!</t>
  </si>
  <si>
    <t>Ready-ordersworks!</t>
  </si>
  <si>
    <t>Ready-Orders Works!</t>
  </si>
  <si>
    <t>Environment:Staging</t>
  </si>
  <si>
    <t>Environment: Staging</t>
  </si>
  <si>
    <t>NoDataFound</t>
  </si>
  <si>
    <t>No Data Found</t>
  </si>
  <si>
    <t>Progressbarworks!</t>
  </si>
  <si>
    <t>Progressbar Works!</t>
  </si>
  <si>
    <t>InvoiceNumber</t>
  </si>
  <si>
    <t>Invoice Number</t>
  </si>
  <si>
    <t>IGSTIN</t>
  </si>
  <si>
    <t>ShopName</t>
  </si>
  <si>
    <t>Shop Name</t>
  </si>
  <si>
    <t>PhoneNo.</t>
  </si>
  <si>
    <t>Phone No.</t>
  </si>
  <si>
    <t>Gallery</t>
  </si>
  <si>
    <t>Update&amp;Continue</t>
  </si>
  <si>
    <t>Update &amp; Continue</t>
  </si>
  <si>
    <t xml:space="preserve">alert </t>
  </si>
  <si>
    <t>Alert!!</t>
  </si>
  <si>
    <t>Areyousureyouwanttodelete?</t>
  </si>
  <si>
    <t>Are you sure you want to delete?</t>
  </si>
  <si>
    <t>Organisation</t>
  </si>
  <si>
    <t>SelectOrganistion</t>
  </si>
  <si>
    <t>Select Organization</t>
  </si>
  <si>
    <t>Select&amp;Continue</t>
  </si>
  <si>
    <t>Select &amp; Continue</t>
  </si>
  <si>
    <t>Sarvm</t>
  </si>
  <si>
    <t>Iwilldeliverby</t>
  </si>
  <si>
    <t>I will deliver by</t>
  </si>
  <si>
    <t xml:space="preserve">Pedestrian </t>
  </si>
  <si>
    <t>Bicycle</t>
  </si>
  <si>
    <t>CycleRickshaw</t>
  </si>
  <si>
    <t>Cycle Rickshaw</t>
  </si>
  <si>
    <t>AutoRickshaw</t>
  </si>
  <si>
    <t>Auto Rickshaw</t>
  </si>
  <si>
    <t>Bike</t>
  </si>
  <si>
    <t>E-RIckshaw</t>
  </si>
  <si>
    <t>DrivingLicenseNo</t>
  </si>
  <si>
    <t>Driving License No</t>
  </si>
  <si>
    <t>RC</t>
  </si>
  <si>
    <t>VehiclePermit(optional)</t>
  </si>
  <si>
    <t>Vehicle Permit(optional)</t>
  </si>
  <si>
    <t>UploadVehiclePermitDocs</t>
  </si>
  <si>
    <t>Upload Vehicle Permit Docs</t>
  </si>
  <si>
    <t>UploadRC(Registration Certificate)</t>
  </si>
  <si>
    <t>Upload RC (Registration Certificate)</t>
  </si>
  <si>
    <t xml:space="preserve">OnlineDelivery </t>
  </si>
  <si>
    <t xml:space="preserve">Online Delivery </t>
  </si>
  <si>
    <t>EasyNavigation</t>
  </si>
  <si>
    <t>Easy Navigation</t>
  </si>
  <si>
    <t xml:space="preserve">ManageMultipleDelivery </t>
  </si>
  <si>
    <t xml:space="preserve">Manage Multiple Delivery </t>
  </si>
  <si>
    <t>DistanceManagement</t>
  </si>
  <si>
    <t>Distance Management</t>
  </si>
  <si>
    <t>RateManagement</t>
  </si>
  <si>
    <t>Rate Management</t>
  </si>
  <si>
    <t>Online</t>
  </si>
  <si>
    <t xml:space="preserve">Reportincident </t>
  </si>
  <si>
    <t xml:space="preserve">Report Incident </t>
  </si>
  <si>
    <t xml:space="preserve">Referafriend&amp;Earn </t>
  </si>
  <si>
    <t xml:space="preserve">Refer a Friend &amp; Earn </t>
  </si>
  <si>
    <t xml:space="preserve">NewTrips </t>
  </si>
  <si>
    <t xml:space="preserve">New Trips </t>
  </si>
  <si>
    <t>ExpectedEarnings</t>
  </si>
  <si>
    <t>Expected Earnings</t>
  </si>
  <si>
    <t>OngoingTrip</t>
  </si>
  <si>
    <t>Ongoing Trip</t>
  </si>
  <si>
    <t>Drop-Off</t>
  </si>
  <si>
    <t>Payments</t>
  </si>
  <si>
    <t>Offline</t>
  </si>
  <si>
    <t>NewOrder!</t>
  </si>
  <si>
    <t>New Order!</t>
  </si>
  <si>
    <t>OrderWeight</t>
  </si>
  <si>
    <t>Order Weight</t>
  </si>
  <si>
    <t xml:space="preserve">ReachedPickupLocation </t>
  </si>
  <si>
    <t xml:space="preserve">Reached Pickup Location </t>
  </si>
  <si>
    <t>ReachedDL</t>
  </si>
  <si>
    <t>Reached DL</t>
  </si>
  <si>
    <t>GotoMap</t>
  </si>
  <si>
    <t>Go to Map</t>
  </si>
  <si>
    <t>Deliverto</t>
  </si>
  <si>
    <t>Deliver to</t>
  </si>
  <si>
    <t>UPIID</t>
  </si>
  <si>
    <t>UPI ID</t>
  </si>
  <si>
    <t>Receivedamount</t>
  </si>
  <si>
    <t>Received amount</t>
  </si>
  <si>
    <t>Pendingamount</t>
  </si>
  <si>
    <t>Pending amount</t>
  </si>
  <si>
    <t>SendReminder</t>
  </si>
  <si>
    <t>Send Reminder</t>
  </si>
  <si>
    <t xml:space="preserve">Thisweek </t>
  </si>
  <si>
    <t xml:space="preserve">This Week </t>
  </si>
  <si>
    <t xml:space="preserve">ThisMonth </t>
  </si>
  <si>
    <t xml:space="preserve">This Month </t>
  </si>
  <si>
    <t>ThisWeeksEarnings</t>
  </si>
  <si>
    <t>This Weeks Earnings</t>
  </si>
  <si>
    <t xml:space="preserve">TripsHistory </t>
  </si>
  <si>
    <t xml:space="preserve">Trips History </t>
  </si>
  <si>
    <t xml:space="preserve">Vehicle </t>
  </si>
  <si>
    <t xml:space="preserve">AllIndiaPermit </t>
  </si>
  <si>
    <t xml:space="preserve">All India Permit </t>
  </si>
  <si>
    <t xml:space="preserve">Multi-StatePermit </t>
  </si>
  <si>
    <t xml:space="preserve">Multi - State Permit </t>
  </si>
  <si>
    <t xml:space="preserve">StateLevelPermit </t>
  </si>
  <si>
    <t xml:space="preserve">State Level Permit </t>
  </si>
  <si>
    <t xml:space="preserve">Uploading </t>
  </si>
  <si>
    <t>RCNo.</t>
  </si>
  <si>
    <t>RC No.</t>
  </si>
  <si>
    <t>DeliveryChargesfor</t>
  </si>
  <si>
    <t>Delivery Charges for</t>
  </si>
  <si>
    <t xml:space="preserve">AddWeight </t>
  </si>
  <si>
    <t xml:space="preserve">Add Weight </t>
  </si>
  <si>
    <t>AddDistanceCovers</t>
  </si>
  <si>
    <t>Add Distance Covers</t>
  </si>
  <si>
    <t xml:space="preserve">Distance </t>
  </si>
  <si>
    <t>TripStatus</t>
  </si>
  <si>
    <t>Trip Status</t>
  </si>
  <si>
    <t>Areyousure.DeletetheBankDetails?</t>
  </si>
  <si>
    <t>Are you sure.Delete the Bank Details?</t>
  </si>
  <si>
    <t>BankAccount</t>
  </si>
  <si>
    <t>Bank Account</t>
  </si>
  <si>
    <t>AlternateMobileNumber</t>
  </si>
  <si>
    <t>Alternate Mobile Number</t>
  </si>
  <si>
    <t>AboutMe</t>
  </si>
  <si>
    <t>About Me</t>
  </si>
  <si>
    <t>DeleteAccount</t>
  </si>
  <si>
    <t>Delete Account</t>
  </si>
  <si>
    <t>Pay</t>
  </si>
  <si>
    <t>PayatDelivery</t>
  </si>
  <si>
    <t>Pay at Delivery</t>
  </si>
  <si>
    <t>areyousure</t>
  </si>
  <si>
    <t>Are you Sure .</t>
  </si>
  <si>
    <t>OrderProcessed</t>
  </si>
  <si>
    <t>Order Processed</t>
  </si>
  <si>
    <t>Orderready</t>
  </si>
  <si>
    <t>Order Ready</t>
  </si>
  <si>
    <t>OrderDelivery</t>
  </si>
  <si>
    <t>Order Delivery</t>
  </si>
  <si>
    <t>DoyouwanttoDeliverytheOrder?</t>
  </si>
  <si>
    <t>Do you want to Delivery the Order?</t>
  </si>
  <si>
    <t>Doyouwanttodeliveredtheorder?</t>
  </si>
  <si>
    <t>Do you want to delivered the Order ?</t>
  </si>
  <si>
    <t>Please Wait</t>
  </si>
  <si>
    <t>Featurenotavailable</t>
  </si>
  <si>
    <t>Feature Not Available</t>
  </si>
  <si>
    <t>NodataAvailable.pleasetryAgainlater</t>
  </si>
  <si>
    <t>No data Available.please try Again later</t>
  </si>
  <si>
    <t>Pleaseinputallrequiredfields</t>
  </si>
  <si>
    <t>Please input all required fields</t>
  </si>
  <si>
    <t>byClickingIacceptthe</t>
  </si>
  <si>
    <t>By clicking, I accept the</t>
  </si>
  <si>
    <t>terms&amp;conditions</t>
  </si>
  <si>
    <t>and</t>
  </si>
  <si>
    <t>privacypolicy</t>
  </si>
  <si>
    <t>Privacy Policy</t>
  </si>
  <si>
    <t>refConsumer</t>
  </si>
  <si>
    <t>refIncompleted</t>
  </si>
  <si>
    <t>refComplteted</t>
  </si>
  <si>
    <t>refall</t>
  </si>
  <si>
    <t xml:space="preserve">All </t>
  </si>
  <si>
    <t>reforder</t>
  </si>
  <si>
    <t>refsignup</t>
  </si>
  <si>
    <t>Signup</t>
  </si>
  <si>
    <t>refratings</t>
  </si>
  <si>
    <t>refretailer</t>
  </si>
  <si>
    <t>refunsubscribe</t>
  </si>
  <si>
    <t>Unsubscribe</t>
  </si>
  <si>
    <t>refsubscription</t>
  </si>
  <si>
    <t>Searchnumber</t>
  </si>
  <si>
    <t>Search Number</t>
  </si>
  <si>
    <t>updaterating</t>
  </si>
  <si>
    <t xml:space="preserve">Update Rating </t>
  </si>
  <si>
    <t>remarks</t>
  </si>
  <si>
    <t>Remarks</t>
  </si>
  <si>
    <t>Sweet</t>
  </si>
  <si>
    <t>Paan</t>
  </si>
  <si>
    <t>Pooja Items</t>
  </si>
  <si>
    <t>Home Foods</t>
  </si>
  <si>
    <t>Pet Foods</t>
  </si>
  <si>
    <t>Veg/Non-Veg</t>
  </si>
  <si>
    <t>Vegetable Shops</t>
  </si>
  <si>
    <t>Fish Shops</t>
  </si>
  <si>
    <t>Restaurant Shops</t>
  </si>
  <si>
    <t>Flowers Shops</t>
  </si>
  <si>
    <t>Bakery Shops</t>
  </si>
  <si>
    <t>Fruits Shops</t>
  </si>
  <si>
    <t>Meat Shops</t>
  </si>
  <si>
    <t>GroceryShops</t>
  </si>
  <si>
    <t>Grocery Shops</t>
  </si>
  <si>
    <t>PaanShops</t>
  </si>
  <si>
    <t>Paan Shops</t>
  </si>
  <si>
    <t>SweetShops</t>
  </si>
  <si>
    <t>Sweet Shops</t>
  </si>
  <si>
    <t>HomeFoodShops</t>
  </si>
  <si>
    <t>Home Food Shops</t>
  </si>
  <si>
    <t>PetFoodShops</t>
  </si>
  <si>
    <t>Pet Food Shops</t>
  </si>
  <si>
    <t>Youwanttodeleteyouraccount</t>
  </si>
  <si>
    <t>You want to delete your account</t>
  </si>
  <si>
    <t>AddQuantity(g/kg)</t>
  </si>
  <si>
    <t>Add Quantity (g/kg)</t>
  </si>
  <si>
    <t>AddQuantity(Pieces/Plates)</t>
  </si>
  <si>
    <t>Add Quantity (Pieces/Plates)</t>
  </si>
  <si>
    <t>AddQuantity(ml/l)</t>
  </si>
  <si>
    <t>Add Quantity (ml/l)</t>
  </si>
  <si>
    <t>EnterAmount</t>
  </si>
  <si>
    <t>Enter Amount</t>
  </si>
  <si>
    <t>Enterno.of Pcs</t>
  </si>
  <si>
    <t>Enter no. of Pcs</t>
  </si>
  <si>
    <t>Enterno.of Kgs</t>
  </si>
  <si>
    <t>Enter no. of Kgs</t>
  </si>
  <si>
    <t>Enterno. ofLtr</t>
  </si>
  <si>
    <t>Enter no. of Ltr</t>
  </si>
  <si>
    <t>Pickup/Noshow</t>
  </si>
  <si>
    <t>Pickup/No show</t>
  </si>
  <si>
    <t>Shopaddedtofavourites</t>
  </si>
  <si>
    <t>Shop added to favourites</t>
  </si>
  <si>
    <t>Shopremovedfromfavourites</t>
  </si>
  <si>
    <t>Shop removed from favourites</t>
  </si>
  <si>
    <t>PreOrderManagement</t>
  </si>
  <si>
    <t>Pre Order Management</t>
  </si>
  <si>
    <t>entergstin</t>
  </si>
  <si>
    <t>Enter GSTIN</t>
  </si>
  <si>
    <t>orderorshop</t>
  </si>
  <si>
    <t>order or shop</t>
  </si>
  <si>
    <t>withinkms</t>
  </si>
  <si>
    <t>within kms</t>
  </si>
  <si>
    <t>Uploadprofilephoto</t>
  </si>
  <si>
    <t>Upload profile photo</t>
  </si>
  <si>
    <t>Invalidname</t>
  </si>
  <si>
    <t>Invalid name</t>
  </si>
  <si>
    <t>Invalidnumber</t>
  </si>
  <si>
    <t>Invalid number</t>
  </si>
  <si>
    <t>Addressdeleted !!</t>
  </si>
  <si>
    <t>Address deleted !!</t>
  </si>
  <si>
    <t>Invitevia</t>
  </si>
  <si>
    <t>Invite via</t>
  </si>
  <si>
    <t>whywouldyouliketodeleteyouraccount ?</t>
  </si>
  <si>
    <t>why would you like to delete your account ?</t>
  </si>
  <si>
    <t>Sarvm.aiManagerID</t>
  </si>
  <si>
    <t>Sarvm.ai Manager ID</t>
  </si>
  <si>
    <t>Invalidpincode</t>
  </si>
  <si>
    <t>Invalid pincode</t>
  </si>
  <si>
    <t>Sarvm.Ai</t>
  </si>
  <si>
    <t>Entertext</t>
  </si>
  <si>
    <t>Enter text</t>
  </si>
  <si>
    <t>Shopalready exist for this user</t>
  </si>
  <si>
    <t>Shop already exist for this user</t>
  </si>
  <si>
    <t>ScanQRcode</t>
  </si>
  <si>
    <t>Scan QR code</t>
  </si>
  <si>
    <t>Select UPI App</t>
  </si>
  <si>
    <t>Please enter valid number</t>
  </si>
  <si>
    <t>Payment : Pending</t>
  </si>
  <si>
    <t>Start Delivery</t>
  </si>
  <si>
    <t>Order dispatch</t>
  </si>
  <si>
    <t>Order dispatched</t>
  </si>
  <si>
    <t>Reached Delivery Location</t>
  </si>
  <si>
    <t>Order Pickedup</t>
  </si>
  <si>
    <t>OrderIDorCustomerNumber</t>
  </si>
  <si>
    <t>Order ID or Customer Number</t>
  </si>
  <si>
    <t>OrderRejected</t>
  </si>
  <si>
    <t>Order Rejected</t>
  </si>
  <si>
    <t>OrderCompleted</t>
  </si>
  <si>
    <t>Order Completed</t>
  </si>
  <si>
    <t>OrderCancelled</t>
  </si>
  <si>
    <t>Order Cancelled</t>
  </si>
  <si>
    <t>CustomerPickedup</t>
  </si>
  <si>
    <t>Customer Picked up</t>
  </si>
  <si>
    <t>DeliveryBoy</t>
  </si>
  <si>
    <t>Delivery Boy</t>
  </si>
  <si>
    <t>Removefromfavourites</t>
  </si>
  <si>
    <t>Remove from favourites</t>
  </si>
  <si>
    <t>Searchforproductname</t>
  </si>
  <si>
    <t>Search for product name</t>
  </si>
  <si>
    <t>Apply</t>
  </si>
  <si>
    <t>for</t>
  </si>
  <si>
    <t>Readyfordelivery</t>
  </si>
  <si>
    <t>Ready for delivery</t>
  </si>
  <si>
    <t>Pickedupfordelivery</t>
  </si>
  <si>
    <t>Picked up for delivery</t>
  </si>
  <si>
    <t>AsmaaIndia</t>
  </si>
  <si>
    <t>Asmaa India</t>
  </si>
  <si>
    <t>JyotiEnterprises</t>
  </si>
  <si>
    <t>Jyoti Enterprises</t>
  </si>
  <si>
    <t>CleanTech</t>
  </si>
  <si>
    <t>Clean Tech</t>
  </si>
  <si>
    <t>Agency-Excelience</t>
  </si>
  <si>
    <t>Agency - Excelience</t>
  </si>
  <si>
    <t>within</t>
  </si>
  <si>
    <t>kms</t>
  </si>
  <si>
    <t>EnterIDCardNo</t>
  </si>
  <si>
    <t>Enter ID Card No</t>
  </si>
  <si>
    <t>EnterName</t>
  </si>
  <si>
    <t>Enter Name</t>
  </si>
  <si>
    <t>EnterShopNoorBuilding</t>
  </si>
  <si>
    <t>Enter Shop No or Building</t>
  </si>
  <si>
    <t>EnterLocalityorArea</t>
  </si>
  <si>
    <t>Enter Locality or Area</t>
  </si>
  <si>
    <t>EnterStreetno</t>
  </si>
  <si>
    <t>Enter Street no</t>
  </si>
  <si>
    <t>EnterLandmark</t>
  </si>
  <si>
    <t>Enter Landmark</t>
  </si>
  <si>
    <t>EnterCityorState</t>
  </si>
  <si>
    <t>Enter City or State</t>
  </si>
  <si>
    <t>EnterPincode</t>
  </si>
  <si>
    <t>Enter Pincode</t>
  </si>
  <si>
    <t>EnterPANCardNo</t>
  </si>
  <si>
    <t>Enter PAN Card No</t>
  </si>
  <si>
    <t>EnterNameasperPANcard</t>
  </si>
  <si>
    <t>Enter Name as per PAN card</t>
  </si>
  <si>
    <t>EnterFather’sName</t>
  </si>
  <si>
    <t>Enter Father’s Name</t>
  </si>
  <si>
    <t>findthedate</t>
  </si>
  <si>
    <t>find the date</t>
  </si>
  <si>
    <t>scanmyshop</t>
  </si>
  <si>
    <t>scan my shop</t>
  </si>
  <si>
    <t>MyShopQRCode</t>
  </si>
  <si>
    <t>My Shop QR Code</t>
  </si>
  <si>
    <t>Comment</t>
  </si>
  <si>
    <t>Download</t>
  </si>
  <si>
    <t>Map</t>
  </si>
  <si>
    <t>Satellite</t>
  </si>
  <si>
    <t>BHIM</t>
  </si>
  <si>
    <t>Uber</t>
  </si>
  <si>
    <t>Gpay</t>
  </si>
  <si>
    <t>G pay</t>
  </si>
  <si>
    <t>Axispay</t>
  </si>
  <si>
    <t>Axis pay</t>
  </si>
  <si>
    <t>Mobikwik</t>
  </si>
  <si>
    <t>SBIpay</t>
  </si>
  <si>
    <t>SBI pay</t>
  </si>
  <si>
    <t>Existing</t>
  </si>
  <si>
    <t>Active</t>
  </si>
  <si>
    <t>InActive</t>
  </si>
  <si>
    <t>3days</t>
  </si>
  <si>
    <t>3 days</t>
  </si>
  <si>
    <t>5days</t>
  </si>
  <si>
    <t>5 days</t>
  </si>
  <si>
    <t>7days</t>
  </si>
  <si>
    <t>7 days</t>
  </si>
  <si>
    <t>Pushnotification</t>
  </si>
  <si>
    <t>Push notification</t>
  </si>
  <si>
    <t>Remainder</t>
  </si>
  <si>
    <t>ProcessOrder</t>
  </si>
  <si>
    <t>Process Order</t>
  </si>
  <si>
    <t>DispatchOrder</t>
  </si>
  <si>
    <t>Dispatch Order</t>
  </si>
  <si>
    <t>Complaint</t>
  </si>
  <si>
    <t>QR Code</t>
  </si>
  <si>
    <t>Environment:Dev</t>
  </si>
  <si>
    <t>Environment: Dev</t>
  </si>
  <si>
    <t>Paid</t>
  </si>
  <si>
    <t>﻿Theuserhasalreadyanactivereferral</t>
  </si>
  <si>
    <t>﻿The user has already an active referral</t>
  </si>
  <si>
    <t>Thedicountcannotbegreaterthan99%</t>
  </si>
  <si>
    <t>The dicount cannot be greater than 99%</t>
  </si>
  <si>
    <t>Minimumorderquantity</t>
  </si>
  <si>
    <t>Minimum order quantity</t>
  </si>
  <si>
    <t>Gram</t>
  </si>
  <si>
    <t>OrderAggregation</t>
  </si>
  <si>
    <t>Order Aggregation</t>
  </si>
  <si>
    <t>TotalWeight</t>
  </si>
  <si>
    <t>Total Weight</t>
  </si>
  <si>
    <t>TotalLitres</t>
  </si>
  <si>
    <t>Total Litres</t>
  </si>
  <si>
    <t>TotalPieces</t>
  </si>
  <si>
    <t>Total Pieces</t>
  </si>
  <si>
    <t>TotalPlates</t>
  </si>
  <si>
    <t>Total Plates</t>
  </si>
  <si>
    <t>Itemstobedelivered</t>
  </si>
  <si>
    <t>Items to be delivered</t>
  </si>
  <si>
    <t>Lastorder</t>
  </si>
  <si>
    <t>Last order</t>
  </si>
  <si>
    <t>Paymentprocessingcancelledbyuse</t>
  </si>
  <si>
    <t>Payment processing cancelled by use</t>
  </si>
  <si>
    <t>PleasescanthereferralQRcode</t>
  </si>
  <si>
    <t>Please scan the referral QR code</t>
  </si>
  <si>
    <t>imagesavedsuccessfully</t>
  </si>
  <si>
    <t>image saved successfully</t>
  </si>
  <si>
    <t>SaveYourLocation!</t>
  </si>
  <si>
    <t>Save Your Location!</t>
  </si>
  <si>
    <t>Pleaseenteryourlocationtohelpusfindtheshopsnearyou</t>
  </si>
  <si>
    <t>Please enter your location to help us find the shops near you</t>
  </si>
  <si>
    <t>DoYouHave</t>
  </si>
  <si>
    <t>Do You Have</t>
  </si>
  <si>
    <t>refferalcode?</t>
  </si>
  <si>
    <t>refferal code?</t>
  </si>
  <si>
    <t>FavouritesShops</t>
  </si>
  <si>
    <t>Favourites Shops</t>
  </si>
  <si>
    <t>AddressAdded!!</t>
  </si>
  <si>
    <t>Address Added !!</t>
  </si>
  <si>
    <t>ratingsuccess</t>
  </si>
  <si>
    <t>rating success</t>
  </si>
  <si>
    <t>employeestatusupdated!!</t>
  </si>
  <si>
    <t>employee status updated!!</t>
  </si>
  <si>
    <t>areyousureyouwanttodeactivate?</t>
  </si>
  <si>
    <t>are you sure you want to deactivate?</t>
  </si>
  <si>
    <t>Areyousureyouwanttoleavethepagewithoutsavingchanges?Changenotsaved!</t>
  </si>
  <si>
    <t>Are you sure you want to leave the page without saving changes?</t>
  </si>
  <si>
    <t>Changenotsaved!</t>
  </si>
  <si>
    <t>Change not saved!</t>
  </si>
  <si>
    <t>Userdatauploaded!</t>
  </si>
  <si>
    <t>User data uploaded!</t>
  </si>
  <si>
    <t>MinOrderQuantity</t>
  </si>
  <si>
    <t>Min Order Quantity</t>
  </si>
  <si>
    <t>PaymentDone-AcknowledgementPending</t>
  </si>
  <si>
    <t>Payment Done-Acknowledgement Pending</t>
  </si>
  <si>
    <t>DateofPickup</t>
  </si>
  <si>
    <t>Date of Pickup</t>
  </si>
  <si>
    <t>06AM-10PM</t>
  </si>
  <si>
    <t>Logistic</t>
  </si>
  <si>
    <t>NoOrderFound</t>
  </si>
  <si>
    <t>No Order Found</t>
  </si>
  <si>
    <t>ProcurementManagement</t>
  </si>
  <si>
    <t>Procurement Management</t>
  </si>
  <si>
    <t>sortby</t>
  </si>
  <si>
    <t>NewTrip</t>
  </si>
  <si>
    <t>New Trip</t>
  </si>
  <si>
    <t>OngoingTrips</t>
  </si>
  <si>
    <t>Ongoing Trips</t>
  </si>
  <si>
    <t>TodaysEarnings:</t>
  </si>
  <si>
    <t>Todays Earnings:</t>
  </si>
  <si>
    <t>Earningson</t>
  </si>
  <si>
    <t>Earnings on</t>
  </si>
  <si>
    <t>Week</t>
  </si>
  <si>
    <t>Month</t>
  </si>
  <si>
    <t>CustomerManagement</t>
  </si>
  <si>
    <t>Customer Management</t>
  </si>
  <si>
    <t>About</t>
  </si>
  <si>
    <t>KYCForm</t>
  </si>
  <si>
    <t>KYC Form</t>
  </si>
  <si>
    <t>PoliceVerification</t>
  </si>
  <si>
    <t>Police Verification</t>
  </si>
  <si>
    <t>AadharCardNo.</t>
  </si>
  <si>
    <t>Aadhar Card No.</t>
  </si>
  <si>
    <t>PoliceStationName</t>
  </si>
  <si>
    <t>Police Station Name</t>
  </si>
  <si>
    <t>LocalityorArea</t>
  </si>
  <si>
    <t>Locality or Area</t>
  </si>
  <si>
    <t>UploadPoliceVerificationCard</t>
  </si>
  <si>
    <t>Upload Police Verification Card</t>
  </si>
  <si>
    <t>VehicleDetails</t>
  </si>
  <si>
    <t>Vehicle Details</t>
  </si>
  <si>
    <t>LicenseType</t>
  </si>
  <si>
    <t>License Type</t>
  </si>
  <si>
    <t>ValidUpto</t>
  </si>
  <si>
    <t>Valid Upto</t>
  </si>
  <si>
    <t>IssuingState</t>
  </si>
  <si>
    <t>Issuing State</t>
  </si>
  <si>
    <t>VehicleNumber</t>
  </si>
  <si>
    <t>Vehicle Number</t>
  </si>
  <si>
    <t>ValidFrom</t>
  </si>
  <si>
    <t>Valid From</t>
  </si>
  <si>
    <t>DewormingCertificate</t>
  </si>
  <si>
    <t>Deworming Certificate</t>
  </si>
  <si>
    <t>UploadDewormingCertificate</t>
  </si>
  <si>
    <t>Upload Deworming Certificate</t>
  </si>
  <si>
    <t>EditProfileDocs</t>
  </si>
  <si>
    <t>Edit Profile Docs</t>
  </si>
  <si>
    <t>UploadVehicleInsurance</t>
  </si>
  <si>
    <t>Upload Vehicle Insurance</t>
  </si>
  <si>
    <t>UploadRCLicense</t>
  </si>
  <si>
    <t>Upload RC License</t>
  </si>
  <si>
    <t>FlatRate</t>
  </si>
  <si>
    <t>Flat Rate</t>
  </si>
  <si>
    <t>EditVehicleDocs</t>
  </si>
  <si>
    <t>Edit Vehicle Docs</t>
  </si>
  <si>
    <t>DoYouWanttoLogOut?</t>
  </si>
  <si>
    <t>Do You Want to Log Out?</t>
  </si>
  <si>
    <t>English</t>
  </si>
  <si>
    <t>hindi</t>
  </si>
  <si>
    <t>delhi</t>
  </si>
  <si>
    <t>Delhi</t>
  </si>
  <si>
    <t>दिल्ली</t>
  </si>
  <si>
    <t>mumbai</t>
  </si>
  <si>
    <t>Mumbai</t>
  </si>
  <si>
    <t>मुंबई</t>
  </si>
  <si>
    <t>kolkata</t>
  </si>
  <si>
    <t>Kolkata</t>
  </si>
  <si>
    <t>कोलकाता</t>
  </si>
  <si>
    <t>noida</t>
  </si>
  <si>
    <t>Noida</t>
  </si>
  <si>
    <t>नोएडा</t>
  </si>
  <si>
    <t>chennai</t>
  </si>
  <si>
    <t>Chennai</t>
  </si>
  <si>
    <t>चेन्नई</t>
  </si>
  <si>
    <t>lucknow</t>
  </si>
  <si>
    <t>Lucknow</t>
  </si>
  <si>
    <t>लखनऊ</t>
  </si>
  <si>
    <t>agra</t>
  </si>
  <si>
    <t>Agra</t>
  </si>
  <si>
    <t>आगरा</t>
  </si>
  <si>
    <t>pune</t>
  </si>
  <si>
    <t>Pune</t>
  </si>
  <si>
    <t>पुणे</t>
  </si>
  <si>
    <t>amrisar</t>
  </si>
  <si>
    <t>Amrisar</t>
  </si>
  <si>
    <t>अमरीसारी</t>
  </si>
  <si>
    <t>gurgaon</t>
  </si>
  <si>
    <t>Gurgaon</t>
  </si>
  <si>
    <t>गुडगाँव</t>
  </si>
  <si>
    <t>kochi</t>
  </si>
  <si>
    <t>Kochi</t>
  </si>
  <si>
    <t>कोच्चि</t>
  </si>
  <si>
    <t>hyderabad</t>
  </si>
  <si>
    <t>Hyderabad</t>
  </si>
  <si>
    <t>हैदराबाद</t>
  </si>
  <si>
    <t>mandatoryItem</t>
  </si>
  <si>
    <t>HouseHold</t>
  </si>
  <si>
    <t>houseHold</t>
  </si>
  <si>
    <t>Vegitables</t>
  </si>
  <si>
    <t>vegitables</t>
  </si>
  <si>
    <t>Sprout</t>
  </si>
  <si>
    <t>sprout</t>
  </si>
  <si>
    <t>grocery</t>
  </si>
  <si>
    <t>fish</t>
  </si>
  <si>
    <t>Flower</t>
  </si>
  <si>
    <t>flower</t>
  </si>
  <si>
    <t>Rating</t>
  </si>
  <si>
    <t>rating</t>
  </si>
  <si>
    <t>payOnDelivery</t>
  </si>
  <si>
    <t>Helps</t>
  </si>
  <si>
    <t>helps</t>
  </si>
  <si>
    <t>Delivery slot</t>
  </si>
  <si>
    <t>Delivered</t>
  </si>
  <si>
    <t>delivered</t>
  </si>
  <si>
    <t>frequentlyBounght</t>
  </si>
  <si>
    <t>StoredDetails</t>
  </si>
  <si>
    <t>storedDetails</t>
  </si>
  <si>
    <t>What is the customer care number?</t>
  </si>
  <si>
    <t>whatIsTheCustomerCareNumber</t>
  </si>
  <si>
    <t>ReOrder</t>
  </si>
  <si>
    <t>reOrder</t>
  </si>
  <si>
    <t>rateOrder</t>
  </si>
  <si>
    <t>phases</t>
  </si>
  <si>
    <t>I'm Selling</t>
  </si>
  <si>
    <t>Search by</t>
  </si>
  <si>
    <t>fruits Category</t>
  </si>
  <si>
    <t>drupeFruit</t>
  </si>
  <si>
    <t>Drupe fruit</t>
  </si>
  <si>
    <t>pomeFruit</t>
  </si>
  <si>
    <t>Pome fruit</t>
  </si>
  <si>
    <t>saveContinue</t>
  </si>
  <si>
    <t>Save&amp;Continue</t>
  </si>
  <si>
    <t>perOrder</t>
  </si>
  <si>
    <t>per Order</t>
  </si>
  <si>
    <t>regularPrice</t>
  </si>
  <si>
    <t>Regular price</t>
  </si>
  <si>
    <t>discountPrice</t>
  </si>
  <si>
    <t xml:space="preserve">like to </t>
  </si>
  <si>
    <t>No</t>
  </si>
  <si>
    <t>procesingTime</t>
  </si>
  <si>
    <t>more than</t>
  </si>
  <si>
    <t>Enable free</t>
  </si>
  <si>
    <t>avail our</t>
  </si>
  <si>
    <t>delivery service</t>
  </si>
  <si>
    <t>DelieveryPartner</t>
  </si>
  <si>
    <t>Welcome</t>
  </si>
  <si>
    <t>enterMobileNumber</t>
  </si>
  <si>
    <t>Search your address</t>
  </si>
  <si>
    <t>shopNo</t>
  </si>
  <si>
    <t>Shop No.</t>
  </si>
  <si>
    <t>building/Locality</t>
  </si>
  <si>
    <t>landmark</t>
  </si>
  <si>
    <t>City</t>
  </si>
  <si>
    <t>father'sName</t>
  </si>
  <si>
    <t>adharCard</t>
  </si>
  <si>
    <t>Adhaar Card</t>
  </si>
  <si>
    <t>management</t>
  </si>
  <si>
    <t>Management</t>
  </si>
  <si>
    <t>Delivery</t>
  </si>
  <si>
    <t>user</t>
  </si>
  <si>
    <t>User</t>
  </si>
  <si>
    <t>Managemnt</t>
  </si>
  <si>
    <t>User Management</t>
  </si>
  <si>
    <t>Email Address *</t>
  </si>
  <si>
    <t>mobileNumber*</t>
  </si>
  <si>
    <t>Mobile Number *</t>
  </si>
  <si>
    <t>userManagement</t>
  </si>
  <si>
    <t>dateOfJoining*</t>
  </si>
  <si>
    <t>Date of Joining *</t>
  </si>
  <si>
    <t>CLEAR</t>
  </si>
  <si>
    <t>userCreatedSuccessfully</t>
  </si>
  <si>
    <t>User Created Successfully</t>
  </si>
  <si>
    <t>doj</t>
  </si>
  <si>
    <t>DOJ</t>
  </si>
  <si>
    <t>inventoryManager,..</t>
  </si>
  <si>
    <t>Inventory Manager,...</t>
  </si>
  <si>
    <t>tropicalFruits</t>
  </si>
  <si>
    <t>Tropical Fruits</t>
  </si>
  <si>
    <t>drupe</t>
  </si>
  <si>
    <t>Drupe</t>
  </si>
  <si>
    <t>pome</t>
  </si>
  <si>
    <t>Pome</t>
  </si>
  <si>
    <t>Fruit</t>
  </si>
  <si>
    <t>nuts</t>
  </si>
  <si>
    <t>Nuts</t>
  </si>
  <si>
    <t>legume</t>
  </si>
  <si>
    <t>Legume</t>
  </si>
  <si>
    <t>tropical</t>
  </si>
  <si>
    <t>Tropical</t>
  </si>
  <si>
    <t>dragonFruit</t>
  </si>
  <si>
    <t>Dragon fruit</t>
  </si>
  <si>
    <t>fruit</t>
  </si>
  <si>
    <t>passionFruit</t>
  </si>
  <si>
    <t>Passion fruit</t>
  </si>
  <si>
    <t>rambutan</t>
  </si>
  <si>
    <t>Rambutan</t>
  </si>
  <si>
    <t>acail</t>
  </si>
  <si>
    <t>Acai</t>
  </si>
  <si>
    <t>jackFruit</t>
  </si>
  <si>
    <t>Jack fruit</t>
  </si>
  <si>
    <t>mangosteen</t>
  </si>
  <si>
    <t>Mangosteen</t>
  </si>
  <si>
    <t>lychee</t>
  </si>
  <si>
    <t>Lychee</t>
  </si>
  <si>
    <t>AboutProduct</t>
  </si>
  <si>
    <t xml:space="preserve">Save product </t>
  </si>
  <si>
    <t>tropicalFruit(7)</t>
  </si>
  <si>
    <t>viewALl</t>
  </si>
  <si>
    <t>View all</t>
  </si>
  <si>
    <t>unlist</t>
  </si>
  <si>
    <t>Unlist</t>
  </si>
  <si>
    <t>drupeFruit(10)</t>
  </si>
  <si>
    <t>costprice</t>
  </si>
  <si>
    <t>processignTime</t>
  </si>
  <si>
    <t>Processign Time</t>
  </si>
  <si>
    <t>Mins</t>
  </si>
  <si>
    <t xml:space="preserve"> mins</t>
  </si>
  <si>
    <t>deliverySlots</t>
  </si>
  <si>
    <t>Delivery Slots</t>
  </si>
  <si>
    <t xml:space="preserve"> km</t>
  </si>
  <si>
    <t>deliveryPartner</t>
  </si>
  <si>
    <t>enterMobile</t>
  </si>
  <si>
    <t>Enter mobile</t>
  </si>
  <si>
    <t>number for</t>
  </si>
  <si>
    <t>Verification code</t>
  </si>
  <si>
    <t>sentFor</t>
  </si>
  <si>
    <t xml:space="preserve">sent for </t>
  </si>
  <si>
    <t>didn'tReceive</t>
  </si>
  <si>
    <t>Didn’t receive</t>
  </si>
  <si>
    <t>theOtp</t>
  </si>
  <si>
    <t>the OTP</t>
  </si>
  <si>
    <t xml:space="preserve"> Working hours</t>
  </si>
  <si>
    <t>nameAsPer</t>
  </si>
  <si>
    <t>Name as per</t>
  </si>
  <si>
    <t>accountNo.</t>
  </si>
  <si>
    <t>Are you sure.</t>
  </si>
  <si>
    <t>You cannot delete</t>
  </si>
  <si>
    <t>to Add Product</t>
  </si>
  <si>
    <t>mini.qty</t>
  </si>
  <si>
    <t xml:space="preserve">MIni. qty </t>
  </si>
  <si>
    <t>Mini. price</t>
  </si>
  <si>
    <t>listedItem</t>
  </si>
  <si>
    <t>max.qty</t>
  </si>
  <si>
    <t>Max. qty</t>
  </si>
  <si>
    <t>moved to</t>
  </si>
  <si>
    <t xml:space="preserve"> Delivery Options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</si>
</sst>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Inconsolata"/>
    </font>
    <font>
      <color rgb="FF000000"/>
      <name val="Arial"/>
      <scheme val="minor"/>
    </font>
    <font>
      <color rgb="FF000000"/>
      <name val="Arial"/>
    </font>
    <font>
      <b/>
      <color rgb="FF000000"/>
      <name val="Arial"/>
      <scheme val="minor"/>
    </font>
    <font>
      <sz val="10.0"/>
      <color rgb="FF000000"/>
      <name val="Arial"/>
    </font>
    <font>
      <color rgb="FF000000"/>
      <name val="Roboto"/>
    </font>
    <font>
      <color rgb="FF202124"/>
      <name val="Roboto"/>
    </font>
    <font>
      <sz val="11.0"/>
      <color rgb="FF202124"/>
      <name val="Roboto"/>
    </font>
    <font>
      <sz val="10.0"/>
      <color rgb="FF202124"/>
      <name val="Arial"/>
      <scheme val="minor"/>
    </font>
    <font>
      <sz val="10.0"/>
      <color rgb="FF202124"/>
      <name val="Roboto"/>
    </font>
    <font>
      <color rgb="FF222222"/>
      <name val="Arial"/>
    </font>
    <font>
      <color theme="1"/>
      <name val="Arial"/>
    </font>
    <font>
      <u/>
      <color rgb="FF000000"/>
    </font>
    <font>
      <sz val="9.0"/>
      <color rgb="FF1F1F1F"/>
      <name val="&quot;Google Sans&quot;"/>
    </font>
    <font>
      <u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2" fontId="4" numFmtId="0" xfId="0" applyFill="1" applyFont="1"/>
    <xf borderId="0" fillId="2" fontId="2" numFmtId="0" xfId="0" applyFont="1"/>
    <xf borderId="0" fillId="3" fontId="2" numFmtId="0" xfId="0" applyFill="1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2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0" fillId="4" fontId="5" numFmtId="0" xfId="0" applyAlignment="1" applyFill="1" applyFont="1">
      <alignment readingOrder="0"/>
    </xf>
    <xf borderId="1" fillId="0" fontId="6" numFmtId="0" xfId="0" applyAlignment="1" applyBorder="1" applyFont="1">
      <alignment vertical="bottom"/>
    </xf>
    <xf borderId="0" fillId="0" fontId="7" numFmtId="0" xfId="0" applyFont="1"/>
    <xf borderId="0" fillId="2" fontId="8" numFmtId="0" xfId="0" applyAlignment="1" applyFont="1">
      <alignment readingOrder="0"/>
    </xf>
    <xf borderId="2" fillId="0" fontId="6" numFmtId="0" xfId="0" applyAlignment="1" applyBorder="1" applyFont="1">
      <alignment readingOrder="0" vertical="bottom"/>
    </xf>
    <xf borderId="0" fillId="4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3" fillId="0" fontId="6" numFmtId="0" xfId="0" applyAlignment="1" applyBorder="1" applyFont="1">
      <alignment readingOrder="0" vertical="bottom"/>
    </xf>
    <xf borderId="4" fillId="0" fontId="6" numFmtId="0" xfId="0" applyAlignment="1" applyBorder="1" applyFont="1">
      <alignment readingOrder="0" vertical="bottom"/>
    </xf>
    <xf borderId="4" fillId="0" fontId="6" numFmtId="0" xfId="0" applyAlignment="1" applyBorder="1" applyFont="1">
      <alignment vertical="bottom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0" numFmtId="0" xfId="0" applyAlignment="1" applyFont="1">
      <alignment readingOrder="0" vertical="bottom"/>
    </xf>
    <xf borderId="0" fillId="5" fontId="5" numFmtId="0" xfId="0" applyAlignment="1" applyFill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2" fontId="0" numFmtId="0" xfId="0" applyAlignment="1" applyFont="1">
      <alignment vertical="bottom"/>
    </xf>
    <xf borderId="0" fillId="2" fontId="0" numFmtId="0" xfId="0" applyAlignment="1" applyFont="1">
      <alignment vertical="bottom"/>
    </xf>
    <xf borderId="0" fillId="2" fontId="11" numFmtId="0" xfId="0" applyAlignment="1" applyFont="1">
      <alignment readingOrder="0"/>
    </xf>
    <xf borderId="0" fillId="2" fontId="10" numFmtId="0" xfId="0" applyAlignment="1" applyFont="1">
      <alignment horizontal="left" readingOrder="0" shrinkToFit="0" wrapText="1"/>
    </xf>
    <xf borderId="0" fillId="2" fontId="0" numFmtId="0" xfId="0" applyAlignment="1" applyFont="1">
      <alignment horizontal="left" readingOrder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15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2" fontId="6" numFmtId="0" xfId="0" applyAlignment="1" applyFont="1">
      <alignment horizontal="left" readingOrder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0" fontId="15" numFmtId="0" xfId="0" applyAlignment="1" applyFont="1">
      <alignment vertical="bottom"/>
    </xf>
    <xf borderId="0" fillId="0" fontId="15" numFmtId="0" xfId="0" applyAlignment="1" applyFont="1">
      <alignment readingOrder="0" shrinkToFit="0" vertical="bottom" wrapText="0"/>
    </xf>
    <xf borderId="0" fillId="0" fontId="15" numFmtId="0" xfId="0" applyAlignment="1" applyFont="1">
      <alignment shrinkToFit="0" vertical="bottom" wrapText="0"/>
    </xf>
    <xf borderId="0" fillId="0" fontId="18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rvam.ai/" TargetMode="External"/><Relationship Id="rId2" Type="http://schemas.openxmlformats.org/officeDocument/2006/relationships/hyperlink" Target="http://sarvm.ai" TargetMode="External"/><Relationship Id="rId3" Type="http://schemas.openxmlformats.org/officeDocument/2006/relationships/hyperlink" Target="http://sarvm.ai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arvm.ai" TargetMode="External"/><Relationship Id="rId2" Type="http://schemas.openxmlformats.org/officeDocument/2006/relationships/hyperlink" Target="http://sarvm.ai" TargetMode="External"/><Relationship Id="rId3" Type="http://schemas.openxmlformats.org/officeDocument/2006/relationships/hyperlink" Target="http://sarvm.ai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arvm.ai" TargetMode="External"/><Relationship Id="rId2" Type="http://schemas.openxmlformats.org/officeDocument/2006/relationships/hyperlink" Target="http://sarvm.ai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arvm.ai" TargetMode="External"/><Relationship Id="rId2" Type="http://schemas.openxmlformats.org/officeDocument/2006/relationships/hyperlink" Target="http://sarvm.ai" TargetMode="External"/><Relationship Id="rId3" Type="http://schemas.openxmlformats.org/officeDocument/2006/relationships/hyperlink" Target="http://sarvm.ai" TargetMode="External"/><Relationship Id="rId4" Type="http://schemas.openxmlformats.org/officeDocument/2006/relationships/hyperlink" Target="http://sarvm.ai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://sarvm.ai" TargetMode="External"/><Relationship Id="rId9" Type="http://schemas.openxmlformats.org/officeDocument/2006/relationships/hyperlink" Target="http://sarvm.ai" TargetMode="External"/><Relationship Id="rId5" Type="http://schemas.openxmlformats.org/officeDocument/2006/relationships/hyperlink" Target="http://sarvm.ai" TargetMode="External"/><Relationship Id="rId6" Type="http://schemas.openxmlformats.org/officeDocument/2006/relationships/hyperlink" Target="http://sarvm.ai" TargetMode="External"/><Relationship Id="rId7" Type="http://schemas.openxmlformats.org/officeDocument/2006/relationships/hyperlink" Target="http://sarvm.ai" TargetMode="External"/><Relationship Id="rId8" Type="http://schemas.openxmlformats.org/officeDocument/2006/relationships/hyperlink" Target="http://sarvm.ai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arvm.ai" TargetMode="External"/><Relationship Id="rId2" Type="http://schemas.openxmlformats.org/officeDocument/2006/relationships/hyperlink" Target="http://sarvm.ai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sarvm.ai" TargetMode="External"/><Relationship Id="rId2" Type="http://schemas.openxmlformats.org/officeDocument/2006/relationships/hyperlink" Target="http://sarvm.ai" TargetMode="External"/><Relationship Id="rId3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IFERROR(__xludf.DUMMYFUNCTION("IMPORTRANGE(""https://docs.google.com/spreadsheets/d/1jd2pD1srxpwUFQnAU6x1Ssk-bhJXls_KBtsZrdPDEbI"",""Hindi!A:z"")"),"keys")</f>
        <v>keys</v>
      </c>
      <c r="B1" s="2" t="str">
        <f>IFERROR(__xludf.DUMMYFUNCTION("""COMPUTED_VALUE"""),"Phrase / Cat / Sub")</f>
        <v>Phrase / Cat / Sub</v>
      </c>
      <c r="C1" s="2" t="str">
        <f>IFERROR(__xludf.DUMMYFUNCTION("""COMPUTED_VALUE"""),"Release")</f>
        <v>Release</v>
      </c>
      <c r="D1" s="2" t="str">
        <f>IFERROR(__xludf.DUMMYFUNCTION("""COMPUTED_VALUE"""),"Hindi")</f>
        <v>Hindi</v>
      </c>
      <c r="E1" s="2" t="str">
        <f>IFERROR(__xludf.DUMMYFUNCTION("""COMPUTED_VALUE"""),"QC")</f>
        <v>QC</v>
      </c>
      <c r="F1" s="2" t="str">
        <f>IFERROR(__xludf.DUMMYFUNCTION("""COMPUTED_VALUE"""),"eng pharse (hindi)")</f>
        <v>eng pharse (hindi)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tr">
        <f>IFERROR(__xludf.DUMMYFUNCTION("""COMPUTED_VALUE"""),"item")</f>
        <v>item</v>
      </c>
      <c r="B2" s="2" t="str">
        <f>IFERROR(__xludf.DUMMYFUNCTION("""COMPUTED_VALUE"""),"Item")</f>
        <v>Item</v>
      </c>
      <c r="C2" s="2"/>
      <c r="D2" s="2" t="str">
        <f>IFERROR(__xludf.DUMMYFUNCTION("""COMPUTED_VALUE"""),"वस्तु")</f>
        <v>वस्तु</v>
      </c>
      <c r="E2" s="2" t="str">
        <f>IFERROR(__xludf.DUMMYFUNCTION("""COMPUTED_VALUE"""),"OK")</f>
        <v>OK</v>
      </c>
      <c r="F2" s="2" t="str">
        <f>IFERROR(__xludf.DUMMYFUNCTION("""COMPUTED_VALUE"""),"Vastu")</f>
        <v>Vastu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tr">
        <f>IFERROR(__xludf.DUMMYFUNCTION("""COMPUTED_VALUE"""),"productItem")</f>
        <v>productItem</v>
      </c>
      <c r="B3" s="2" t="str">
        <f>IFERROR(__xludf.DUMMYFUNCTION("""COMPUTED_VALUE"""),"Product Item")</f>
        <v>Product Item</v>
      </c>
      <c r="C3" s="2"/>
      <c r="D3" s="2" t="str">
        <f>IFERROR(__xludf.DUMMYFUNCTION("""COMPUTED_VALUE"""),"उत्पाद")</f>
        <v>उत्पाद</v>
      </c>
      <c r="E3" s="2" t="str">
        <f>IFERROR(__xludf.DUMMYFUNCTION("""COMPUTED_VALUE"""),"OK")</f>
        <v>OK</v>
      </c>
      <c r="F3" s="2" t="str">
        <f>IFERROR(__xludf.DUMMYFUNCTION("""COMPUTED_VALUE"""),"utpad")</f>
        <v>utpad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tr">
        <f>IFERROR(__xludf.DUMMYFUNCTION("""COMPUTED_VALUE"""),"price")</f>
        <v>price</v>
      </c>
      <c r="B4" s="2" t="str">
        <f>IFERROR(__xludf.DUMMYFUNCTION("""COMPUTED_VALUE"""),"Price")</f>
        <v>Price</v>
      </c>
      <c r="C4" s="2"/>
      <c r="D4" s="2" t="str">
        <f>IFERROR(__xludf.DUMMYFUNCTION("""COMPUTED_VALUE"""),"कीमत")</f>
        <v>कीमत</v>
      </c>
      <c r="E4" s="2" t="str">
        <f>IFERROR(__xludf.DUMMYFUNCTION("""COMPUTED_VALUE"""),"OK")</f>
        <v>OK</v>
      </c>
      <c r="F4" s="2" t="str">
        <f>IFERROR(__xludf.DUMMYFUNCTION("""COMPUTED_VALUE"""),"kimat")</f>
        <v>kimat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tr">
        <f>IFERROR(__xludf.DUMMYFUNCTION("""COMPUTED_VALUE"""),"cost")</f>
        <v>cost</v>
      </c>
      <c r="B5" s="2" t="str">
        <f>IFERROR(__xludf.DUMMYFUNCTION("""COMPUTED_VALUE"""),"Cost")</f>
        <v>Cost</v>
      </c>
      <c r="C5" s="2"/>
      <c r="D5" s="2" t="str">
        <f>IFERROR(__xludf.DUMMYFUNCTION("""COMPUTED_VALUE"""),"लागत")</f>
        <v>लागत</v>
      </c>
      <c r="E5" s="2" t="str">
        <f>IFERROR(__xludf.DUMMYFUNCTION("""COMPUTED_VALUE"""),"OK")</f>
        <v>OK</v>
      </c>
      <c r="F5" s="2" t="str">
        <f>IFERROR(__xludf.DUMMYFUNCTION("""COMPUTED_VALUE"""),"laagat")</f>
        <v>laagat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tr">
        <f>IFERROR(__xludf.DUMMYFUNCTION("""COMPUTED_VALUE"""),"favourities")</f>
        <v>favourities</v>
      </c>
      <c r="B6" s="2" t="str">
        <f>IFERROR(__xludf.DUMMYFUNCTION("""COMPUTED_VALUE"""),"Favourites")</f>
        <v>Favourites</v>
      </c>
      <c r="C6" s="2">
        <f>IFERROR(__xludf.DUMMYFUNCTION("""COMPUTED_VALUE"""),0.3)</f>
        <v>0.3</v>
      </c>
      <c r="D6" s="2" t="str">
        <f>IFERROR(__xludf.DUMMYFUNCTION("""COMPUTED_VALUE"""),"पसंदीदा")</f>
        <v>पसंदीदा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tr">
        <f>IFERROR(__xludf.DUMMYFUNCTION("""COMPUTED_VALUE"""),"mobile")</f>
        <v>mobile</v>
      </c>
      <c r="B7" s="2" t="str">
        <f>IFERROR(__xludf.DUMMYFUNCTION("""COMPUTED_VALUE"""),"Mobile")</f>
        <v>Mobile</v>
      </c>
      <c r="C7" s="2">
        <f>IFERROR(__xludf.DUMMYFUNCTION("""COMPUTED_VALUE"""),0.3)</f>
        <v>0.3</v>
      </c>
      <c r="D7" s="2" t="str">
        <f>IFERROR(__xludf.DUMMYFUNCTION("""COMPUTED_VALUE"""),"गतिमान")</f>
        <v>गतिमान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tr">
        <f>IFERROR(__xludf.DUMMYFUNCTION("""COMPUTED_VALUE"""),"address")</f>
        <v>address</v>
      </c>
      <c r="B8" s="2" t="str">
        <f>IFERROR(__xludf.DUMMYFUNCTION("""COMPUTED_VALUE"""),"Address")</f>
        <v>Address</v>
      </c>
      <c r="C8" s="2"/>
      <c r="D8" s="2" t="str">
        <f>IFERROR(__xludf.DUMMYFUNCTION("""COMPUTED_VALUE"""),"पता")</f>
        <v>पता</v>
      </c>
      <c r="E8" s="2" t="str">
        <f>IFERROR(__xludf.DUMMYFUNCTION("""COMPUTED_VALUE"""),"OK")</f>
        <v>OK</v>
      </c>
      <c r="F8" s="2" t="str">
        <f>IFERROR(__xludf.DUMMYFUNCTION("""COMPUTED_VALUE"""),"Pata")</f>
        <v>Pata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tr">
        <f>IFERROR(__xludf.DUMMYFUNCTION("""COMPUTED_VALUE"""),"error")</f>
        <v>error</v>
      </c>
      <c r="B9" s="2" t="str">
        <f>IFERROR(__xludf.DUMMYFUNCTION("""COMPUTED_VALUE"""),"Error ")</f>
        <v>Error </v>
      </c>
      <c r="C9" s="2"/>
      <c r="D9" s="2" t="str">
        <f>IFERROR(__xludf.DUMMYFUNCTION("""COMPUTED_VALUE"""),"गलती")</f>
        <v>गलती</v>
      </c>
      <c r="E9" s="2" t="str">
        <f>IFERROR(__xludf.DUMMYFUNCTION("""COMPUTED_VALUE"""),"OK")</f>
        <v>OK</v>
      </c>
      <c r="F9" s="2" t="str">
        <f>IFERROR(__xludf.DUMMYFUNCTION("""COMPUTED_VALUE"""),"galati")</f>
        <v>galati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tr">
        <f>IFERROR(__xludf.DUMMYFUNCTION("""COMPUTED_VALUE"""),"selectLanguage")</f>
        <v>selectLanguage</v>
      </c>
      <c r="B10" s="2" t="str">
        <f>IFERROR(__xludf.DUMMYFUNCTION("""COMPUTED_VALUE"""),"Select Language")</f>
        <v>Select Language</v>
      </c>
      <c r="C10" s="2">
        <f>IFERROR(__xludf.DUMMYFUNCTION("""COMPUTED_VALUE"""),0.1)</f>
        <v>0.1</v>
      </c>
      <c r="D10" s="2" t="str">
        <f>IFERROR(__xludf.DUMMYFUNCTION("""COMPUTED_VALUE"""),"भाषा चुने")</f>
        <v>भाषा चुने</v>
      </c>
      <c r="E10" s="2" t="str">
        <f>IFERROR(__xludf.DUMMYFUNCTION("""COMPUTED_VALUE"""),"OK")</f>
        <v>OK</v>
      </c>
      <c r="F10" s="2" t="str">
        <f>IFERROR(__xludf.DUMMYFUNCTION("""COMPUTED_VALUE"""),"apni bhasha ka chayan kare")</f>
        <v>apni bhasha ka chayan kare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tr">
        <f>IFERROR(__xludf.DUMMYFUNCTION("""COMPUTED_VALUE"""),"alternatemobile")</f>
        <v>alternatemobile</v>
      </c>
      <c r="B11" s="2" t="str">
        <f>IFERROR(__xludf.DUMMYFUNCTION("""COMPUTED_VALUE"""),"Alternate Mobile")</f>
        <v>Alternate Mobile</v>
      </c>
      <c r="C11" s="2">
        <f>IFERROR(__xludf.DUMMYFUNCTION("""COMPUTED_VALUE"""),0.3)</f>
        <v>0.3</v>
      </c>
      <c r="D11" s="2" t="str">
        <f>IFERROR(__xludf.DUMMYFUNCTION("""COMPUTED_VALUE"""),"वैकल्पिक मोबाइल")</f>
        <v>वैकल्पिक मोबाइल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tr">
        <f>IFERROR(__xludf.DUMMYFUNCTION("""COMPUTED_VALUE"""),"vegetarian")</f>
        <v>vegetarian</v>
      </c>
      <c r="B12" s="2" t="str">
        <f>IFERROR(__xludf.DUMMYFUNCTION("""COMPUTED_VALUE"""),"Vegetarian")</f>
        <v>Vegetarian</v>
      </c>
      <c r="C12" s="2">
        <f>IFERROR(__xludf.DUMMYFUNCTION("""COMPUTED_VALUE"""),0.1)</f>
        <v>0.1</v>
      </c>
      <c r="D12" s="2" t="str">
        <f>IFERROR(__xludf.DUMMYFUNCTION("""COMPUTED_VALUE"""),"शाकाहारी")</f>
        <v>शाकाहारी</v>
      </c>
      <c r="E12" s="2" t="str">
        <f>IFERROR(__xludf.DUMMYFUNCTION("""COMPUTED_VALUE"""),"OK")</f>
        <v>OK</v>
      </c>
      <c r="F12" s="2" t="str">
        <f>IFERROR(__xludf.DUMMYFUNCTION("""COMPUTED_VALUE"""),"sabji")</f>
        <v>sabji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tr">
        <f>IFERROR(__xludf.DUMMYFUNCTION("""COMPUTED_VALUE"""),"nonVegetarian")</f>
        <v>nonVegetarian</v>
      </c>
      <c r="B13" s="2" t="str">
        <f>IFERROR(__xludf.DUMMYFUNCTION("""COMPUTED_VALUE"""),"Non-Vegetarian")</f>
        <v>Non-Vegetarian</v>
      </c>
      <c r="C13" s="2">
        <f>IFERROR(__xludf.DUMMYFUNCTION("""COMPUTED_VALUE"""),0.1)</f>
        <v>0.1</v>
      </c>
      <c r="D13" s="2" t="str">
        <f>IFERROR(__xludf.DUMMYFUNCTION("""COMPUTED_VALUE"""),"मांसाहारी")</f>
        <v>मांसाहारी</v>
      </c>
      <c r="E13" s="2" t="str">
        <f>IFERROR(__xludf.DUMMYFUNCTION("""COMPUTED_VALUE"""),"OK")</f>
        <v>OK</v>
      </c>
      <c r="F13" s="2" t="str">
        <f>IFERROR(__xludf.DUMMYFUNCTION("""COMPUTED_VALUE"""),"gair-vanaspati")</f>
        <v>gair-vanaspati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tr">
        <f>IFERROR(__xludf.DUMMYFUNCTION("""COMPUTED_VALUE"""),"manageemployee")</f>
        <v>manageemployee</v>
      </c>
      <c r="B14" s="2" t="str">
        <f>IFERROR(__xludf.DUMMYFUNCTION("""COMPUTED_VALUE"""),"Manage Employee")</f>
        <v>Manage Employee</v>
      </c>
      <c r="C14" s="2">
        <f>IFERROR(__xludf.DUMMYFUNCTION("""COMPUTED_VALUE"""),0.3)</f>
        <v>0.3</v>
      </c>
      <c r="D14" s="2" t="str">
        <f>IFERROR(__xludf.DUMMYFUNCTION("""COMPUTED_VALUE"""),"कर्मचारी का प्रबंधन करें")</f>
        <v>कर्मचारी का प्रबंधन करें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tr">
        <f>IFERROR(__xludf.DUMMYFUNCTION("""COMPUTED_VALUE"""),"compliant")</f>
        <v>compliant</v>
      </c>
      <c r="B15" s="2" t="str">
        <f>IFERROR(__xludf.DUMMYFUNCTION("""COMPUTED_VALUE"""),"Compliant")</f>
        <v>Compliant</v>
      </c>
      <c r="C15" s="2">
        <f>IFERROR(__xludf.DUMMYFUNCTION("""COMPUTED_VALUE"""),0.3)</f>
        <v>0.3</v>
      </c>
      <c r="D15" s="2" t="str">
        <f>IFERROR(__xludf.DUMMYFUNCTION("""COMPUTED_VALUE"""),"अनुरूप")</f>
        <v>अनुरूप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tr">
        <f>IFERROR(__xludf.DUMMYFUNCTION("""COMPUTED_VALUE"""),"proceed")</f>
        <v>proceed</v>
      </c>
      <c r="B16" s="2" t="str">
        <f>IFERROR(__xludf.DUMMYFUNCTION("""COMPUTED_VALUE"""),"Proceed")</f>
        <v>Proceed</v>
      </c>
      <c r="C16" s="2">
        <f>IFERROR(__xludf.DUMMYFUNCTION("""COMPUTED_VALUE"""),0.1)</f>
        <v>0.1</v>
      </c>
      <c r="D16" s="2" t="str">
        <f>IFERROR(__xludf.DUMMYFUNCTION("""COMPUTED_VALUE"""),"आगे बढ़ना")</f>
        <v>आगे बढ़ना</v>
      </c>
      <c r="E16" s="2" t="str">
        <f>IFERROR(__xludf.DUMMYFUNCTION("""COMPUTED_VALUE"""),"OK")</f>
        <v>OK</v>
      </c>
      <c r="F16" s="2" t="str">
        <f>IFERROR(__xludf.DUMMYFUNCTION("""COMPUTED_VALUE"""),"aage badhna")</f>
        <v>aage badhna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tr">
        <f>IFERROR(__xludf.DUMMYFUNCTION("""COMPUTED_VALUE"""),"filters")</f>
        <v>filters</v>
      </c>
      <c r="B17" s="2" t="str">
        <f>IFERROR(__xludf.DUMMYFUNCTION("""COMPUTED_VALUE"""),"Filters")</f>
        <v>Filters</v>
      </c>
      <c r="C17" s="2">
        <f>IFERROR(__xludf.DUMMYFUNCTION("""COMPUTED_VALUE"""),0.2)</f>
        <v>0.2</v>
      </c>
      <c r="D17" s="2" t="str">
        <f>IFERROR(__xludf.DUMMYFUNCTION("""COMPUTED_VALUE"""),"फिल्टर")</f>
        <v>फिल्टर</v>
      </c>
      <c r="E17" s="2" t="str">
        <f>IFERROR(__xludf.DUMMYFUNCTION("""COMPUTED_VALUE"""),"OK")</f>
        <v>OK</v>
      </c>
      <c r="F17" s="2" t="str">
        <f>IFERROR(__xludf.DUMMYFUNCTION("""COMPUTED_VALUE"""),"filter")</f>
        <v>filter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tr">
        <f>IFERROR(__xludf.DUMMYFUNCTION("""COMPUTED_VALUE"""),"sortBy")</f>
        <v>sortBy</v>
      </c>
      <c r="B18" s="2" t="str">
        <f>IFERROR(__xludf.DUMMYFUNCTION("""COMPUTED_VALUE"""),"Sort By")</f>
        <v>Sort By</v>
      </c>
      <c r="C18" s="2">
        <f>IFERROR(__xludf.DUMMYFUNCTION("""COMPUTED_VALUE"""),0.2)</f>
        <v>0.2</v>
      </c>
      <c r="D18" s="2" t="str">
        <f>IFERROR(__xludf.DUMMYFUNCTION("""COMPUTED_VALUE"""),"क्रमबद्ध करें")</f>
        <v>क्रमबद्ध करें</v>
      </c>
      <c r="E18" s="2" t="str">
        <f>IFERROR(__xludf.DUMMYFUNCTION("""COMPUTED_VALUE"""),"OK")</f>
        <v>OK</v>
      </c>
      <c r="F18" s="2" t="str">
        <f>IFERROR(__xludf.DUMMYFUNCTION("""COMPUTED_VALUE"""),"iske anusar krambadh kare")</f>
        <v>iske anusar krambadh kare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tr">
        <f>IFERROR(__xludf.DUMMYFUNCTION("""COMPUTED_VALUE"""),"expiresin")</f>
        <v>expiresin</v>
      </c>
      <c r="B19" s="2" t="str">
        <f>IFERROR(__xludf.DUMMYFUNCTION("""COMPUTED_VALUE"""),"Expires in")</f>
        <v>Expires in</v>
      </c>
      <c r="C19" s="2">
        <f>IFERROR(__xludf.DUMMYFUNCTION("""COMPUTED_VALUE"""),0.2)</f>
        <v>0.2</v>
      </c>
      <c r="D19" s="2" t="str">
        <f>IFERROR(__xludf.DUMMYFUNCTION("""COMPUTED_VALUE"""),"में समाप्त होने वाला है")</f>
        <v>में समाप्त होने वाला है</v>
      </c>
      <c r="E19" s="2" t="str">
        <f>IFERROR(__xludf.DUMMYFUNCTION("""COMPUTED_VALUE"""),"ok")</f>
        <v>ok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tr">
        <f>IFERROR(__xludf.DUMMYFUNCTION("""COMPUTED_VALUE"""),"ratings")</f>
        <v>ratings</v>
      </c>
      <c r="B20" s="2" t="str">
        <f>IFERROR(__xludf.DUMMYFUNCTION("""COMPUTED_VALUE"""),"Ratings")</f>
        <v>Ratings</v>
      </c>
      <c r="C20" s="2">
        <f>IFERROR(__xludf.DUMMYFUNCTION("""COMPUTED_VALUE"""),0.2)</f>
        <v>0.2</v>
      </c>
      <c r="D20" s="2" t="str">
        <f>IFERROR(__xludf.DUMMYFUNCTION("""COMPUTED_VALUE"""),"रेटिंग")</f>
        <v>रेटिंग</v>
      </c>
      <c r="E20" s="2" t="str">
        <f>IFERROR(__xludf.DUMMYFUNCTION("""COMPUTED_VALUE"""),"OK")</f>
        <v>OK</v>
      </c>
      <c r="F20" s="2" t="str">
        <f>IFERROR(__xludf.DUMMYFUNCTION("""COMPUTED_VALUE"""),"ratng 4+")</f>
        <v>ratng 4+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tr">
        <f>IFERROR(__xludf.DUMMYFUNCTION("""COMPUTED_VALUE"""),"nearYou")</f>
        <v>nearYou</v>
      </c>
      <c r="B21" s="2" t="str">
        <f>IFERROR(__xludf.DUMMYFUNCTION("""COMPUTED_VALUE"""),"Near You")</f>
        <v>Near You</v>
      </c>
      <c r="C21" s="2">
        <f>IFERROR(__xludf.DUMMYFUNCTION("""COMPUTED_VALUE"""),0.1)</f>
        <v>0.1</v>
      </c>
      <c r="D21" s="2" t="str">
        <f>IFERROR(__xludf.DUMMYFUNCTION("""COMPUTED_VALUE"""),"आप के पास")</f>
        <v>आप के पास</v>
      </c>
      <c r="E21" s="2" t="str">
        <f>IFERROR(__xludf.DUMMYFUNCTION("""COMPUTED_VALUE"""),"OK")</f>
        <v>OK</v>
      </c>
      <c r="F21" s="2" t="str">
        <f>IFERROR(__xludf.DUMMYFUNCTION("""COMPUTED_VALUE"""),"aap k pas")</f>
        <v>aap k pas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tr">
        <f>IFERROR(__xludf.DUMMYFUNCTION("""COMPUTED_VALUE"""),"mobileNumber")</f>
        <v>mobileNumber</v>
      </c>
      <c r="B22" s="2" t="str">
        <f>IFERROR(__xludf.DUMMYFUNCTION("""COMPUTED_VALUE"""),"Mobile Number")</f>
        <v>Mobile Number</v>
      </c>
      <c r="C22" s="2">
        <f>IFERROR(__xludf.DUMMYFUNCTION("""COMPUTED_VALUE"""),0.1)</f>
        <v>0.1</v>
      </c>
      <c r="D22" s="2" t="str">
        <f>IFERROR(__xludf.DUMMYFUNCTION("""COMPUTED_VALUE"""),"मोबाइल नंबर")</f>
        <v>मोबाइल नंबर</v>
      </c>
      <c r="E22" s="2" t="str">
        <f>IFERROR(__xludf.DUMMYFUNCTION("""COMPUTED_VALUE"""),"OK")</f>
        <v>OK</v>
      </c>
      <c r="F22" s="2" t="str">
        <f>IFERROR(__xludf.DUMMYFUNCTION("""COMPUTED_VALUE"""),"mobile number")</f>
        <v>mobile number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tr">
        <f>IFERROR(__xludf.DUMMYFUNCTION("""COMPUTED_VALUE"""),"otp")</f>
        <v>otp</v>
      </c>
      <c r="B23" s="2" t="str">
        <f>IFERROR(__xludf.DUMMYFUNCTION("""COMPUTED_VALUE"""),"OTP")</f>
        <v>OTP</v>
      </c>
      <c r="C23" s="2">
        <f>IFERROR(__xludf.DUMMYFUNCTION("""COMPUTED_VALUE"""),0.5)</f>
        <v>0.5</v>
      </c>
      <c r="D23" s="2" t="str">
        <f>IFERROR(__xludf.DUMMYFUNCTION("""COMPUTED_VALUE"""),"ओटीपी")</f>
        <v>ओटीपी</v>
      </c>
      <c r="E23" s="2" t="str">
        <f>IFERROR(__xludf.DUMMYFUNCTION("""COMPUTED_VALUE"""),"OK")</f>
        <v>OK</v>
      </c>
      <c r="F23" s="2" t="str">
        <f>IFERROR(__xludf.DUMMYFUNCTION("""COMPUTED_VALUE"""),"otp")</f>
        <v>otp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tr">
        <f>IFERROR(__xludf.DUMMYFUNCTION("""COMPUTED_VALUE"""),"uploadidentityproof")</f>
        <v>uploadidentityproof</v>
      </c>
      <c r="B24" s="2" t="str">
        <f>IFERROR(__xludf.DUMMYFUNCTION("""COMPUTED_VALUE"""),"Upload Identity Proof")</f>
        <v>Upload Identity Proof</v>
      </c>
      <c r="C24" s="2">
        <f>IFERROR(__xludf.DUMMYFUNCTION("""COMPUTED_VALUE"""),0.2)</f>
        <v>0.2</v>
      </c>
      <c r="D24" s="2" t="str">
        <f>IFERROR(__xludf.DUMMYFUNCTION("""COMPUTED_VALUE"""),"पहचान प्रमाण अपलोड करें")</f>
        <v>पहचान प्रमाण अपलोड करें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tr">
        <f>IFERROR(__xludf.DUMMYFUNCTION("""COMPUTED_VALUE"""),"call")</f>
        <v>call</v>
      </c>
      <c r="B25" s="2" t="str">
        <f>IFERROR(__xludf.DUMMYFUNCTION("""COMPUTED_VALUE"""),"Call")</f>
        <v>Call</v>
      </c>
      <c r="C25" s="2">
        <f>IFERROR(__xludf.DUMMYFUNCTION("""COMPUTED_VALUE"""),0.1)</f>
        <v>0.1</v>
      </c>
      <c r="D25" s="2" t="str">
        <f>IFERROR(__xludf.DUMMYFUNCTION("""COMPUTED_VALUE"""),"फ़ोन कॉल")</f>
        <v>फ़ोन कॉल</v>
      </c>
      <c r="E25" s="2" t="str">
        <f>IFERROR(__xludf.DUMMYFUNCTION("""COMPUTED_VALUE"""),"OK")</f>
        <v>OK</v>
      </c>
      <c r="F25" s="2" t="str">
        <f>IFERROR(__xludf.DUMMYFUNCTION("""COMPUTED_VALUE"""),"bulana")</f>
        <v>bulana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tr">
        <f>IFERROR(__xludf.DUMMYFUNCTION("""COMPUTED_VALUE"""),"sms")</f>
        <v>sms</v>
      </c>
      <c r="B26" s="2" t="str">
        <f>IFERROR(__xludf.DUMMYFUNCTION("""COMPUTED_VALUE"""),"SMS")</f>
        <v>SMS</v>
      </c>
      <c r="C26" s="2">
        <f>IFERROR(__xludf.DUMMYFUNCTION("""COMPUTED_VALUE"""),0.1)</f>
        <v>0.1</v>
      </c>
      <c r="D26" s="2" t="str">
        <f>IFERROR(__xludf.DUMMYFUNCTION("""COMPUTED_VALUE"""),"एसएमएस")</f>
        <v>एसएमएस</v>
      </c>
      <c r="E26" s="2" t="str">
        <f>IFERROR(__xludf.DUMMYFUNCTION("""COMPUTED_VALUE"""),"OK")</f>
        <v>OK</v>
      </c>
      <c r="F26" s="2" t="str">
        <f>IFERROR(__xludf.DUMMYFUNCTION("""COMPUTED_VALUE"""),"sms")</f>
        <v>sms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tr">
        <f>IFERROR(__xludf.DUMMYFUNCTION("""COMPUTED_VALUE"""),"whatsApp")</f>
        <v>whatsApp</v>
      </c>
      <c r="B27" s="2" t="str">
        <f>IFERROR(__xludf.DUMMYFUNCTION("""COMPUTED_VALUE"""),"WhatsApp")</f>
        <v>WhatsApp</v>
      </c>
      <c r="C27" s="2"/>
      <c r="D27" s="2" t="str">
        <f>IFERROR(__xludf.DUMMYFUNCTION("""COMPUTED_VALUE"""),"WhatsApp")</f>
        <v>WhatsApp</v>
      </c>
      <c r="E27" s="2" t="str">
        <f>IFERROR(__xludf.DUMMYFUNCTION("""COMPUTED_VALUE"""),"OK")</f>
        <v>OK</v>
      </c>
      <c r="F27" s="2" t="str">
        <f>IFERROR(__xludf.DUMMYFUNCTION("""COMPUTED_VALUE"""),"whatsapp")</f>
        <v>whatsapp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tr">
        <f>IFERROR(__xludf.DUMMYFUNCTION("""COMPUTED_VALUE"""),"orderAgain")</f>
        <v>orderAgain</v>
      </c>
      <c r="B28" s="2" t="str">
        <f>IFERROR(__xludf.DUMMYFUNCTION("""COMPUTED_VALUE"""),"Order Again")</f>
        <v>Order Again</v>
      </c>
      <c r="C28" s="2"/>
      <c r="D28" s="2" t="str">
        <f>IFERROR(__xludf.DUMMYFUNCTION("""COMPUTED_VALUE"""),"फिर से आदेश देना")</f>
        <v>फिर से आदेश देना</v>
      </c>
      <c r="E28" s="2" t="str">
        <f>IFERROR(__xludf.DUMMYFUNCTION("""COMPUTED_VALUE"""),"OK")</f>
        <v>OK</v>
      </c>
      <c r="F28" s="2" t="str">
        <f>IFERROR(__xludf.DUMMYFUNCTION("""COMPUTED_VALUE"""),"phir se adesh de")</f>
        <v>phir se adesh de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tr">
        <f>IFERROR(__xludf.DUMMYFUNCTION("""COMPUTED_VALUE"""),"currentLocation")</f>
        <v>currentLocation</v>
      </c>
      <c r="B29" s="2" t="str">
        <f>IFERROR(__xludf.DUMMYFUNCTION("""COMPUTED_VALUE"""),"Current Location")</f>
        <v>Current Location</v>
      </c>
      <c r="C29" s="2"/>
      <c r="D29" s="2" t="str">
        <f>IFERROR(__xludf.DUMMYFUNCTION("""COMPUTED_VALUE"""),"वर्तमान स्थान")</f>
        <v>वर्तमान स्थान</v>
      </c>
      <c r="E29" s="2" t="str">
        <f>IFERROR(__xludf.DUMMYFUNCTION("""COMPUTED_VALUE"""),"OK")</f>
        <v>OK</v>
      </c>
      <c r="F29" s="2" t="str">
        <f>IFERROR(__xludf.DUMMYFUNCTION("""COMPUTED_VALUE"""),"vartaman sthan")</f>
        <v>vartaman sthan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tr">
        <f>IFERROR(__xludf.DUMMYFUNCTION("""COMPUTED_VALUE"""),"usingGps")</f>
        <v>usingGps</v>
      </c>
      <c r="B30" s="2" t="str">
        <f>IFERROR(__xludf.DUMMYFUNCTION("""COMPUTED_VALUE"""),"Using GPS")</f>
        <v>Using GPS</v>
      </c>
      <c r="C30" s="2">
        <f>IFERROR(__xludf.DUMMYFUNCTION("""COMPUTED_VALUE"""),0.2)</f>
        <v>0.2</v>
      </c>
      <c r="D30" s="2" t="str">
        <f>IFERROR(__xludf.DUMMYFUNCTION("""COMPUTED_VALUE"""),"जीपीएस का उपयोग करना")</f>
        <v>जीपीएस का उपयोग करना</v>
      </c>
      <c r="E30" s="2" t="str">
        <f>IFERROR(__xludf.DUMMYFUNCTION("""COMPUTED_VALUE"""),"OK")</f>
        <v>OK</v>
      </c>
      <c r="F30" s="2" t="str">
        <f>IFERROR(__xludf.DUMMYFUNCTION("""COMPUTED_VALUE"""),"gps ka upyog karna")</f>
        <v>gps ka upyog karna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tr">
        <f>IFERROR(__xludf.DUMMYFUNCTION("""COMPUTED_VALUE"""),"frequentlyUsed")</f>
        <v>frequentlyUsed</v>
      </c>
      <c r="B31" s="2" t="str">
        <f>IFERROR(__xludf.DUMMYFUNCTION("""COMPUTED_VALUE"""),"Frequently Used")</f>
        <v>Frequently Used</v>
      </c>
      <c r="C31" s="2">
        <f>IFERROR(__xludf.DUMMYFUNCTION("""COMPUTED_VALUE"""),0.2)</f>
        <v>0.2</v>
      </c>
      <c r="D31" s="2" t="str">
        <f>IFERROR(__xludf.DUMMYFUNCTION("""COMPUTED_VALUE"""),"बहुधा प्रयुक्त")</f>
        <v>बहुधा प्रयुक्त</v>
      </c>
      <c r="E31" s="2" t="str">
        <f>IFERROR(__xludf.DUMMYFUNCTION("""COMPUTED_VALUE"""),"OK")</f>
        <v>OK</v>
      </c>
      <c r="F31" s="2" t="str">
        <f>IFERROR(__xludf.DUMMYFUNCTION("""COMPUTED_VALUE"""),"bahudha prayukt")</f>
        <v>bahudha prayukt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tr">
        <f>IFERROR(__xludf.DUMMYFUNCTION("""COMPUTED_VALUE"""),"other")</f>
        <v>other</v>
      </c>
      <c r="B32" s="2" t="str">
        <f>IFERROR(__xludf.DUMMYFUNCTION("""COMPUTED_VALUE"""),"Other ")</f>
        <v>Other </v>
      </c>
      <c r="C32" s="2">
        <f>IFERROR(__xludf.DUMMYFUNCTION("""COMPUTED_VALUE"""),0.3)</f>
        <v>0.3</v>
      </c>
      <c r="D32" s="2" t="str">
        <f>IFERROR(__xludf.DUMMYFUNCTION("""COMPUTED_VALUE"""),"अन्य")</f>
        <v>अन्य</v>
      </c>
      <c r="E32" s="2" t="str">
        <f>IFERROR(__xludf.DUMMYFUNCTION("""COMPUTED_VALUE"""),"OK")</f>
        <v>OK</v>
      </c>
      <c r="F32" s="2" t="str">
        <f>IFERROR(__xludf.DUMMYFUNCTION("""COMPUTED_VALUE"""),"anya")</f>
        <v>anya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tr">
        <f>IFERROR(__xludf.DUMMYFUNCTION("""COMPUTED_VALUE"""),"work")</f>
        <v>work</v>
      </c>
      <c r="B33" s="2" t="str">
        <f>IFERROR(__xludf.DUMMYFUNCTION("""COMPUTED_VALUE"""),"Work ")</f>
        <v>Work </v>
      </c>
      <c r="C33" s="2">
        <f>IFERROR(__xludf.DUMMYFUNCTION("""COMPUTED_VALUE"""),0.2)</f>
        <v>0.2</v>
      </c>
      <c r="D33" s="2" t="str">
        <f>IFERROR(__xludf.DUMMYFUNCTION("""COMPUTED_VALUE"""),"काम")</f>
        <v>काम</v>
      </c>
      <c r="E33" s="2" t="str">
        <f>IFERROR(__xludf.DUMMYFUNCTION("""COMPUTED_VALUE"""),"OK")</f>
        <v>OK</v>
      </c>
      <c r="F33" s="2" t="str">
        <f>IFERROR(__xludf.DUMMYFUNCTION("""COMPUTED_VALUE"""),"kaam")</f>
        <v>kaam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tr">
        <f>IFERROR(__xludf.DUMMYFUNCTION("""COMPUTED_VALUE"""),"home")</f>
        <v>home</v>
      </c>
      <c r="B34" s="2" t="str">
        <f>IFERROR(__xludf.DUMMYFUNCTION("""COMPUTED_VALUE"""),"Home ")</f>
        <v>Home </v>
      </c>
      <c r="C34" s="2">
        <f>IFERROR(__xludf.DUMMYFUNCTION("""COMPUTED_VALUE"""),0.1)</f>
        <v>0.1</v>
      </c>
      <c r="D34" s="2" t="str">
        <f>IFERROR(__xludf.DUMMYFUNCTION("""COMPUTED_VALUE"""),"होम")</f>
        <v>होम</v>
      </c>
      <c r="E34" s="2" t="str">
        <f>IFERROR(__xludf.DUMMYFUNCTION("""COMPUTED_VALUE"""),"OK")</f>
        <v>OK</v>
      </c>
      <c r="F34" s="2" t="str">
        <f>IFERROR(__xludf.DUMMYFUNCTION("""COMPUTED_VALUE"""),"ghar")</f>
        <v>ghar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tr">
        <f>IFERROR(__xludf.DUMMYFUNCTION("""COMPUTED_VALUE"""),"recentSearch")</f>
        <v>recentSearch</v>
      </c>
      <c r="B35" s="2" t="str">
        <f>IFERROR(__xludf.DUMMYFUNCTION("""COMPUTED_VALUE"""),"Recent Search ")</f>
        <v>Recent Search </v>
      </c>
      <c r="C35" s="2">
        <f>IFERROR(__xludf.DUMMYFUNCTION("""COMPUTED_VALUE"""),0.2)</f>
        <v>0.2</v>
      </c>
      <c r="D35" s="2" t="str">
        <f>IFERROR(__xludf.DUMMYFUNCTION("""COMPUTED_VALUE"""),"हाल ही में खोज")</f>
        <v>हाल ही में खोज</v>
      </c>
      <c r="E35" s="2" t="str">
        <f>IFERROR(__xludf.DUMMYFUNCTION("""COMPUTED_VALUE"""),"OK")</f>
        <v>OK</v>
      </c>
      <c r="F35" s="2" t="str">
        <f>IFERROR(__xludf.DUMMYFUNCTION("""COMPUTED_VALUE"""),"haal hi mai khoj")</f>
        <v>haal hi mai khoj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tr">
        <f>IFERROR(__xludf.DUMMYFUNCTION("""COMPUTED_VALUE"""),"selectLocation")</f>
        <v>selectLocation</v>
      </c>
      <c r="B36" s="2" t="str">
        <f>IFERROR(__xludf.DUMMYFUNCTION("""COMPUTED_VALUE"""),"Select Location")</f>
        <v>Select Location</v>
      </c>
      <c r="C36" s="2">
        <f>IFERROR(__xludf.DUMMYFUNCTION("""COMPUTED_VALUE"""),0.2)</f>
        <v>0.2</v>
      </c>
      <c r="D36" s="2" t="str">
        <f>IFERROR(__xludf.DUMMYFUNCTION("""COMPUTED_VALUE"""),"स्थान चुनें")</f>
        <v>स्थान चुनें</v>
      </c>
      <c r="E36" s="2" t="str">
        <f>IFERROR(__xludf.DUMMYFUNCTION("""COMPUTED_VALUE"""),"OK")</f>
        <v>OK</v>
      </c>
      <c r="F36" s="2" t="str">
        <f>IFERROR(__xludf.DUMMYFUNCTION("""COMPUTED_VALUE"""),"sthaan chune")</f>
        <v>sthaan chune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tr">
        <f>IFERROR(__xludf.DUMMYFUNCTION("""COMPUTED_VALUE"""),"change")</f>
        <v>change</v>
      </c>
      <c r="B37" s="2" t="str">
        <f>IFERROR(__xludf.DUMMYFUNCTION("""COMPUTED_VALUE"""),"Change")</f>
        <v>Change</v>
      </c>
      <c r="C37" s="2">
        <f>IFERROR(__xludf.DUMMYFUNCTION("""COMPUTED_VALUE"""),0.1)</f>
        <v>0.1</v>
      </c>
      <c r="D37" s="2" t="str">
        <f>IFERROR(__xludf.DUMMYFUNCTION("""COMPUTED_VALUE"""),"परिवर्तन")</f>
        <v>परिवर्तन</v>
      </c>
      <c r="E37" s="2" t="str">
        <f>IFERROR(__xludf.DUMMYFUNCTION("""COMPUTED_VALUE"""),"OK")</f>
        <v>OK</v>
      </c>
      <c r="F37" s="2" t="str">
        <f>IFERROR(__xludf.DUMMYFUNCTION("""COMPUTED_VALUE"""),"parivartan")</f>
        <v>parivartan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tr">
        <f>IFERROR(__xludf.DUMMYFUNCTION("""COMPUTED_VALUE"""),"confirmLocation")</f>
        <v>confirmLocation</v>
      </c>
      <c r="B38" s="2" t="str">
        <f>IFERROR(__xludf.DUMMYFUNCTION("""COMPUTED_VALUE"""),"Confirm Location")</f>
        <v>Confirm Location</v>
      </c>
      <c r="C38" s="2">
        <f>IFERROR(__xludf.DUMMYFUNCTION("""COMPUTED_VALUE"""),0.2)</f>
        <v>0.2</v>
      </c>
      <c r="D38" s="2" t="str">
        <f>IFERROR(__xludf.DUMMYFUNCTION("""COMPUTED_VALUE"""),"स्थान की पुष्टि करें")</f>
        <v>स्थान की पुष्टि करें</v>
      </c>
      <c r="E38" s="2" t="str">
        <f>IFERROR(__xludf.DUMMYFUNCTION("""COMPUTED_VALUE"""),"OK")</f>
        <v>OK</v>
      </c>
      <c r="F38" s="2" t="str">
        <f>IFERROR(__xludf.DUMMYFUNCTION("""COMPUTED_VALUE"""),"stan ki pushti kare")</f>
        <v>stan ki pushti kare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tr">
        <f>IFERROR(__xludf.DUMMYFUNCTION("""COMPUTED_VALUE"""),"distanceLessThan")</f>
        <v>distanceLessThan</v>
      </c>
      <c r="B39" s="2" t="str">
        <f>IFERROR(__xludf.DUMMYFUNCTION("""COMPUTED_VALUE"""),"Distance less than ")</f>
        <v>Distance less than </v>
      </c>
      <c r="C39" s="2"/>
      <c r="D39" s="2" t="str">
        <f>IFERROR(__xludf.DUMMYFUNCTION("""COMPUTED_VALUE"""),"दूरी से कम")</f>
        <v>दूरी से कम</v>
      </c>
      <c r="E39" s="2" t="str">
        <f>IFERROR(__xludf.DUMMYFUNCTION("""COMPUTED_VALUE"""),"OK")</f>
        <v>OK</v>
      </c>
      <c r="F39" s="2" t="str">
        <f>IFERROR(__xludf.DUMMYFUNCTION("""COMPUTED_VALUE"""),"duri se kam")</f>
        <v>duri se kam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tr">
        <f>IFERROR(__xludf.DUMMYFUNCTION("""COMPUTED_VALUE"""),"km")</f>
        <v>km</v>
      </c>
      <c r="B40" s="2" t="str">
        <f>IFERROR(__xludf.DUMMYFUNCTION("""COMPUTED_VALUE"""),"KM")</f>
        <v>KM</v>
      </c>
      <c r="C40" s="2"/>
      <c r="D40" s="2" t="str">
        <f>IFERROR(__xludf.DUMMYFUNCTION("""COMPUTED_VALUE"""),"किमी")</f>
        <v>किमी</v>
      </c>
      <c r="E40" s="2" t="str">
        <f>IFERROR(__xludf.DUMMYFUNCTION("""COMPUTED_VALUE"""),"OK")</f>
        <v>OK</v>
      </c>
      <c r="F40" s="2" t="str">
        <f>IFERROR(__xludf.DUMMYFUNCTION("""COMPUTED_VALUE"""),"kimi")</f>
        <v>kimi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tr">
        <f>IFERROR(__xludf.DUMMYFUNCTION("""COMPUTED_VALUE"""),"moreThan")</f>
        <v>moreThan</v>
      </c>
      <c r="B41" s="2" t="str">
        <f>IFERROR(__xludf.DUMMYFUNCTION("""COMPUTED_VALUE"""),"More than")</f>
        <v>More than</v>
      </c>
      <c r="C41" s="2"/>
      <c r="D41" s="2" t="str">
        <f>IFERROR(__xludf.DUMMYFUNCTION("""COMPUTED_VALUE"""),"इससे अधिक")</f>
        <v>इससे अधिक</v>
      </c>
      <c r="E41" s="2" t="str">
        <f>IFERROR(__xludf.DUMMYFUNCTION("""COMPUTED_VALUE"""),"OK")</f>
        <v>OK</v>
      </c>
      <c r="F41" s="2" t="str">
        <f>IFERROR(__xludf.DUMMYFUNCTION("""COMPUTED_VALUE"""),"isse adhik")</f>
        <v>isse adhik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tr">
        <f>IFERROR(__xludf.DUMMYFUNCTION("""COMPUTED_VALUE"""),"all")</f>
        <v>all</v>
      </c>
      <c r="B42" s="2" t="str">
        <f>IFERROR(__xludf.DUMMYFUNCTION("""COMPUTED_VALUE"""),"All")</f>
        <v>All</v>
      </c>
      <c r="C42" s="2">
        <f>IFERROR(__xludf.DUMMYFUNCTION("""COMPUTED_VALUE"""),0.1)</f>
        <v>0.1</v>
      </c>
      <c r="D42" s="2" t="str">
        <f>IFERROR(__xludf.DUMMYFUNCTION("""COMPUTED_VALUE"""),"सभी")</f>
        <v>सभी</v>
      </c>
      <c r="E42" s="2" t="str">
        <f>IFERROR(__xludf.DUMMYFUNCTION("""COMPUTED_VALUE"""),"OK")</f>
        <v>OK</v>
      </c>
      <c r="F42" s="2" t="str">
        <f>IFERROR(__xludf.DUMMYFUNCTION("""COMPUTED_VALUE"""),"sabhi")</f>
        <v>sabhi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tr">
        <f>IFERROR(__xludf.DUMMYFUNCTION("""COMPUTED_VALUE"""),"delivery")</f>
        <v>delivery</v>
      </c>
      <c r="B43" s="2" t="str">
        <f>IFERROR(__xludf.DUMMYFUNCTION("""COMPUTED_VALUE"""),"Delivery ")</f>
        <v>Delivery </v>
      </c>
      <c r="C43" s="2">
        <f>IFERROR(__xludf.DUMMYFUNCTION("""COMPUTED_VALUE"""),0.5)</f>
        <v>0.5</v>
      </c>
      <c r="D43" s="2" t="str">
        <f>IFERROR(__xludf.DUMMYFUNCTION("""COMPUTED_VALUE"""),"वितरण")</f>
        <v>वितरण</v>
      </c>
      <c r="E43" s="2" t="str">
        <f>IFERROR(__xludf.DUMMYFUNCTION("""COMPUTED_VALUE"""),"OK")</f>
        <v>OK</v>
      </c>
      <c r="F43" s="2" t="str">
        <f>IFERROR(__xludf.DUMMYFUNCTION("""COMPUTED_VALUE"""),"vitran")</f>
        <v>vitran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tr">
        <f>IFERROR(__xludf.DUMMYFUNCTION("""COMPUTED_VALUE"""),"pickUp")</f>
        <v>pickUp</v>
      </c>
      <c r="B44" s="2" t="str">
        <f>IFERROR(__xludf.DUMMYFUNCTION("""COMPUTED_VALUE"""),"Pickup")</f>
        <v>Pickup</v>
      </c>
      <c r="C44" s="2">
        <f>IFERROR(__xludf.DUMMYFUNCTION("""COMPUTED_VALUE"""),0.4)</f>
        <v>0.4</v>
      </c>
      <c r="D44" s="2" t="str">
        <f>IFERROR(__xludf.DUMMYFUNCTION("""COMPUTED_VALUE"""),"उठाना")</f>
        <v>उठाना</v>
      </c>
      <c r="E44" s="2" t="str">
        <f>IFERROR(__xludf.DUMMYFUNCTION("""COMPUTED_VALUE"""),"OK")</f>
        <v>OK</v>
      </c>
      <c r="F44" s="2" t="str">
        <f>IFERROR(__xludf.DUMMYFUNCTION("""COMPUTED_VALUE"""),"utana")</f>
        <v>utana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tr">
        <f>IFERROR(__xludf.DUMMYFUNCTION("""COMPUTED_VALUE"""),"previousOrder")</f>
        <v>previousOrder</v>
      </c>
      <c r="B45" s="2" t="str">
        <f>IFERROR(__xludf.DUMMYFUNCTION("""COMPUTED_VALUE"""),"Previous Order")</f>
        <v>Previous Order</v>
      </c>
      <c r="C45" s="2"/>
      <c r="D45" s="2" t="str">
        <f>IFERROR(__xludf.DUMMYFUNCTION("""COMPUTED_VALUE"""),"पिछला आदेश")</f>
        <v>पिछला आदेश</v>
      </c>
      <c r="E45" s="2" t="str">
        <f>IFERROR(__xludf.DUMMYFUNCTION("""COMPUTED_VALUE"""),"OK")</f>
        <v>OK</v>
      </c>
      <c r="F45" s="2" t="str">
        <f>IFERROR(__xludf.DUMMYFUNCTION("""COMPUTED_VALUE"""),"pichla")</f>
        <v>pichla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tr">
        <f>IFERROR(__xludf.DUMMYFUNCTION("""COMPUTED_VALUE"""),"frequentlyBought")</f>
        <v>frequentlyBought</v>
      </c>
      <c r="B46" s="2" t="str">
        <f>IFERROR(__xludf.DUMMYFUNCTION("""COMPUTED_VALUE"""),"Frequently Bought")</f>
        <v>Frequently Bought</v>
      </c>
      <c r="C46" s="2"/>
      <c r="D46" s="2" t="str">
        <f>IFERROR(__xludf.DUMMYFUNCTION("""COMPUTED_VALUE"""),"अक्सर खरीदा")</f>
        <v>अक्सर खरीदा</v>
      </c>
      <c r="E46" s="2" t="str">
        <f>IFERROR(__xludf.DUMMYFUNCTION("""COMPUTED_VALUE"""),"OK")</f>
        <v>OK</v>
      </c>
      <c r="F46" s="2" t="str">
        <f>IFERROR(__xludf.DUMMYFUNCTION("""COMPUTED_VALUE"""),"aksar kharida")</f>
        <v>aksar kharida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tr">
        <f>IFERROR(__xludf.DUMMYFUNCTION("""COMPUTED_VALUE"""),"recommended")</f>
        <v>recommended</v>
      </c>
      <c r="B47" s="2" t="str">
        <f>IFERROR(__xludf.DUMMYFUNCTION("""COMPUTED_VALUE"""),"Recommended")</f>
        <v>Recommended</v>
      </c>
      <c r="C47" s="2"/>
      <c r="D47" s="2" t="str">
        <f>IFERROR(__xludf.DUMMYFUNCTION("""COMPUTED_VALUE"""),"अनुशंसित")</f>
        <v>अनुशंसित</v>
      </c>
      <c r="E47" s="2" t="str">
        <f>IFERROR(__xludf.DUMMYFUNCTION("""COMPUTED_VALUE"""),"OK")</f>
        <v>OK</v>
      </c>
      <c r="F47" s="2" t="str">
        <f>IFERROR(__xludf.DUMMYFUNCTION("""COMPUTED_VALUE"""),"anushansik")</f>
        <v>anushansik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tr">
        <f>IFERROR(__xludf.DUMMYFUNCTION("""COMPUTED_VALUE"""),"aboutSeller")</f>
        <v>aboutSeller</v>
      </c>
      <c r="B48" s="2" t="str">
        <f>IFERROR(__xludf.DUMMYFUNCTION("""COMPUTED_VALUE"""),"About Seller ")</f>
        <v>About Seller </v>
      </c>
      <c r="C48" s="2"/>
      <c r="D48" s="2" t="str">
        <f>IFERROR(__xludf.DUMMYFUNCTION("""COMPUTED_VALUE"""),"विक्रेता के बारे में")</f>
        <v>विक्रेता के बारे में</v>
      </c>
      <c r="E48" s="2" t="str">
        <f>IFERROR(__xludf.DUMMYFUNCTION("""COMPUTED_VALUE"""),"OK")</f>
        <v>OK</v>
      </c>
      <c r="F48" s="2" t="str">
        <f>IFERROR(__xludf.DUMMYFUNCTION("""COMPUTED_VALUE"""),"vikrati k bare mai")</f>
        <v>vikrati k bare mai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tr">
        <f>IFERROR(__xludf.DUMMYFUNCTION("""COMPUTED_VALUE"""),"sellingItems")</f>
        <v>sellingItems</v>
      </c>
      <c r="B49" s="2" t="str">
        <f>IFERROR(__xludf.DUMMYFUNCTION("""COMPUTED_VALUE"""),"Selling Items")</f>
        <v>Selling Items</v>
      </c>
      <c r="C49" s="2"/>
      <c r="D49" s="2" t="str">
        <f>IFERROR(__xludf.DUMMYFUNCTION("""COMPUTED_VALUE"""),"बेचना आइटम")</f>
        <v>बेचना आइटम</v>
      </c>
      <c r="E49" s="2" t="str">
        <f>IFERROR(__xludf.DUMMYFUNCTION("""COMPUTED_VALUE"""),"OK")</f>
        <v>OK</v>
      </c>
      <c r="F49" s="2" t="str">
        <f>IFERROR(__xludf.DUMMYFUNCTION("""COMPUTED_VALUE"""),"bechana item")</f>
        <v>bechana item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tr">
        <f>IFERROR(__xludf.DUMMYFUNCTION("""COMPUTED_VALUE"""),"menu")</f>
        <v>menu</v>
      </c>
      <c r="B50" s="2" t="str">
        <f>IFERROR(__xludf.DUMMYFUNCTION("""COMPUTED_VALUE"""),"Menu ")</f>
        <v>Menu </v>
      </c>
      <c r="C50" s="2"/>
      <c r="D50" s="2" t="str">
        <f>IFERROR(__xludf.DUMMYFUNCTION("""COMPUTED_VALUE"""),"मेन्यू")</f>
        <v>मेन्यू</v>
      </c>
      <c r="E50" s="2" t="str">
        <f>IFERROR(__xludf.DUMMYFUNCTION("""COMPUTED_VALUE"""),"OK")</f>
        <v>OK</v>
      </c>
      <c r="F50" s="2" t="str">
        <f>IFERROR(__xludf.DUMMYFUNCTION("""COMPUTED_VALUE"""),"menu")</f>
        <v>menu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tr">
        <f>IFERROR(__xludf.DUMMYFUNCTION("""COMPUTED_VALUE"""),"addToFavourites")</f>
        <v>addToFavourites</v>
      </c>
      <c r="B51" s="2" t="str">
        <f>IFERROR(__xludf.DUMMYFUNCTION("""COMPUTED_VALUE"""),"Add to favourites")</f>
        <v>Add to favourites</v>
      </c>
      <c r="C51" s="2"/>
      <c r="D51" s="2" t="str">
        <f>IFERROR(__xludf.DUMMYFUNCTION("""COMPUTED_VALUE"""),"पसंदीदा करने के लिए जोड़ें")</f>
        <v>पसंदीदा करने के लिए जोड़ें</v>
      </c>
      <c r="E51" s="2" t="str">
        <f>IFERROR(__xludf.DUMMYFUNCTION("""COMPUTED_VALUE"""),"OK")</f>
        <v>OK</v>
      </c>
      <c r="F51" s="2" t="str">
        <f>IFERROR(__xludf.DUMMYFUNCTION("""COMPUTED_VALUE"""),"pasandida mai jode")</f>
        <v>pasandida mai jode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tr">
        <f>IFERROR(__xludf.DUMMYFUNCTION("""COMPUTED_VALUE"""),"share")</f>
        <v>share</v>
      </c>
      <c r="B52" s="2" t="str">
        <f>IFERROR(__xludf.DUMMYFUNCTION("""COMPUTED_VALUE"""),"Share ")</f>
        <v>Share </v>
      </c>
      <c r="C52" s="2"/>
      <c r="D52" s="2" t="str">
        <f>IFERROR(__xludf.DUMMYFUNCTION("""COMPUTED_VALUE"""),"शेयर करना")</f>
        <v>शेयर करना</v>
      </c>
      <c r="E52" s="2" t="str">
        <f>IFERROR(__xludf.DUMMYFUNCTION("""COMPUTED_VALUE"""),"OK")</f>
        <v>OK</v>
      </c>
      <c r="F52" s="2" t="str">
        <f>IFERROR(__xludf.DUMMYFUNCTION("""COMPUTED_VALUE"""),"share karna")</f>
        <v>share karna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tr">
        <f>IFERROR(__xludf.DUMMYFUNCTION("""COMPUTED_VALUE"""),"shopInformation")</f>
        <v>shopInformation</v>
      </c>
      <c r="B53" s="2" t="str">
        <f>IFERROR(__xludf.DUMMYFUNCTION("""COMPUTED_VALUE"""),"Shop Information")</f>
        <v>Shop Information</v>
      </c>
      <c r="C53" s="2"/>
      <c r="D53" s="2" t="str">
        <f>IFERROR(__xludf.DUMMYFUNCTION("""COMPUTED_VALUE"""),"दुकान की सूचना")</f>
        <v>दुकान की सूचना</v>
      </c>
      <c r="E53" s="2" t="str">
        <f>IFERROR(__xludf.DUMMYFUNCTION("""COMPUTED_VALUE"""),"OK")</f>
        <v>OK</v>
      </c>
      <c r="F53" s="2" t="str">
        <f>IFERROR(__xludf.DUMMYFUNCTION("""COMPUTED_VALUE"""),"dukaan ki suchna")</f>
        <v>dukaan ki suchna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tr">
        <f>IFERROR(__xludf.DUMMYFUNCTION("""COMPUTED_VALUE"""),"more")</f>
        <v>more</v>
      </c>
      <c r="B54" s="2" t="str">
        <f>IFERROR(__xludf.DUMMYFUNCTION("""COMPUTED_VALUE"""),"More ")</f>
        <v>More </v>
      </c>
      <c r="C54" s="2">
        <f>IFERROR(__xludf.DUMMYFUNCTION("""COMPUTED_VALUE"""),0.2)</f>
        <v>0.2</v>
      </c>
      <c r="D54" s="2" t="str">
        <f>IFERROR(__xludf.DUMMYFUNCTION("""COMPUTED_VALUE"""),"अधिक")</f>
        <v>अधिक</v>
      </c>
      <c r="E54" s="2" t="str">
        <f>IFERROR(__xludf.DUMMYFUNCTION("""COMPUTED_VALUE"""),"OK")</f>
        <v>OK</v>
      </c>
      <c r="F54" s="2" t="str">
        <f>IFERROR(__xludf.DUMMYFUNCTION("""COMPUTED_VALUE"""),"adhik")</f>
        <v>adhik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tr">
        <f>IFERROR(__xludf.DUMMYFUNCTION("""COMPUTED_VALUE"""),"no.of pieces")</f>
        <v>no.of pieces</v>
      </c>
      <c r="B55" s="2" t="str">
        <f>IFERROR(__xludf.DUMMYFUNCTION("""COMPUTED_VALUE"""),"No.of Pieces")</f>
        <v>No.of Pieces</v>
      </c>
      <c r="C55" s="2">
        <f>IFERROR(__xludf.DUMMYFUNCTION("""COMPUTED_VALUE"""),0.3)</f>
        <v>0.3</v>
      </c>
      <c r="D55" s="2" t="str">
        <f>IFERROR(__xludf.DUMMYFUNCTION("""COMPUTED_VALUE"""),"सं।")</f>
        <v>सं।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tr">
        <f>IFERROR(__xludf.DUMMYFUNCTION("""COMPUTED_VALUE"""),"vegetables")</f>
        <v>vegetables</v>
      </c>
      <c r="B56" s="2" t="str">
        <f>IFERROR(__xludf.DUMMYFUNCTION("""COMPUTED_VALUE"""),"Vegetables ")</f>
        <v>Vegetables </v>
      </c>
      <c r="C56" s="2"/>
      <c r="D56" s="2" t="str">
        <f>IFERROR(__xludf.DUMMYFUNCTION("""COMPUTED_VALUE"""),"सब्ज़ियाँ")</f>
        <v>सब्ज़ियाँ</v>
      </c>
      <c r="E56" s="2" t="str">
        <f>IFERROR(__xludf.DUMMYFUNCTION("""COMPUTED_VALUE"""),"OK")</f>
        <v>OK</v>
      </c>
      <c r="F56" s="2" t="str">
        <f>IFERROR(__xludf.DUMMYFUNCTION("""COMPUTED_VALUE"""),"sabziya")</f>
        <v>sabziya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tr">
        <f>IFERROR(__xludf.DUMMYFUNCTION("""COMPUTED_VALUE"""),"today")</f>
        <v>today</v>
      </c>
      <c r="B57" s="2" t="str">
        <f>IFERROR(__xludf.DUMMYFUNCTION("""COMPUTED_VALUE"""),"Today")</f>
        <v>Today</v>
      </c>
      <c r="C57" s="2">
        <f>IFERROR(__xludf.DUMMYFUNCTION("""COMPUTED_VALUE"""),0.4)</f>
        <v>0.4</v>
      </c>
      <c r="D57" s="2" t="str">
        <f>IFERROR(__xludf.DUMMYFUNCTION("""COMPUTED_VALUE"""),"आज")</f>
        <v>आज</v>
      </c>
      <c r="E57" s="2" t="str">
        <f>IFERROR(__xludf.DUMMYFUNCTION("""COMPUTED_VALUE"""),"OK")</f>
        <v>OK</v>
      </c>
      <c r="F57" s="2" t="str">
        <f>IFERROR(__xludf.DUMMYFUNCTION("""COMPUTED_VALUE"""),"aaj")</f>
        <v>aaj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tr">
        <f>IFERROR(__xludf.DUMMYFUNCTION("""COMPUTED_VALUE"""),"tomorrow")</f>
        <v>tomorrow</v>
      </c>
      <c r="B58" s="2" t="str">
        <f>IFERROR(__xludf.DUMMYFUNCTION("""COMPUTED_VALUE"""),"Tomorrow")</f>
        <v>Tomorrow</v>
      </c>
      <c r="C58" s="2">
        <f>IFERROR(__xludf.DUMMYFUNCTION("""COMPUTED_VALUE"""),0.4)</f>
        <v>0.4</v>
      </c>
      <c r="D58" s="2" t="str">
        <f>IFERROR(__xludf.DUMMYFUNCTION("""COMPUTED_VALUE"""),"कल")</f>
        <v>कल</v>
      </c>
      <c r="E58" s="2" t="str">
        <f>IFERROR(__xludf.DUMMYFUNCTION("""COMPUTED_VALUE"""),"OK")</f>
        <v>OK</v>
      </c>
      <c r="F58" s="2" t="str">
        <f>IFERROR(__xludf.DUMMYFUNCTION("""COMPUTED_VALUE"""),"kal ka din")</f>
        <v>kal ka din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tr">
        <f>IFERROR(__xludf.DUMMYFUNCTION("""COMPUTED_VALUE"""),"addQuantity")</f>
        <v>addQuantity</v>
      </c>
      <c r="B59" s="2" t="str">
        <f>IFERROR(__xludf.DUMMYFUNCTION("""COMPUTED_VALUE"""),"Add Quantity ")</f>
        <v>Add Quantity </v>
      </c>
      <c r="C59" s="2">
        <f>IFERROR(__xludf.DUMMYFUNCTION("""COMPUTED_VALUE"""),0.3)</f>
        <v>0.3</v>
      </c>
      <c r="D59" s="2" t="str">
        <f>IFERROR(__xludf.DUMMYFUNCTION("""COMPUTED_VALUE"""),"मात्रा जोड़ें")</f>
        <v>मात्रा जोड़ें</v>
      </c>
      <c r="E59" s="2" t="str">
        <f>IFERROR(__xludf.DUMMYFUNCTION("""COMPUTED_VALUE"""),"OK")</f>
        <v>OK</v>
      </c>
      <c r="F59" s="2" t="str">
        <f>IFERROR(__xludf.DUMMYFUNCTION("""COMPUTED_VALUE"""),"matra jode")</f>
        <v>matra jode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tr">
        <f>IFERROR(__xludf.DUMMYFUNCTION("""COMPUTED_VALUE"""),"pieces")</f>
        <v>pieces</v>
      </c>
      <c r="B60" s="2" t="str">
        <f>IFERROR(__xludf.DUMMYFUNCTION("""COMPUTED_VALUE"""),"Pieces")</f>
        <v>Pieces</v>
      </c>
      <c r="C60" s="2">
        <f>IFERROR(__xludf.DUMMYFUNCTION("""COMPUTED_VALUE"""),0.2)</f>
        <v>0.2</v>
      </c>
      <c r="D60" s="2" t="str">
        <f>IFERROR(__xludf.DUMMYFUNCTION("""COMPUTED_VALUE"""),"टुकड़े")</f>
        <v>टुकड़े</v>
      </c>
      <c r="E60" s="2" t="str">
        <f>IFERROR(__xludf.DUMMYFUNCTION("""COMPUTED_VALUE"""),"OK")</f>
        <v>OK</v>
      </c>
      <c r="F60" s="2" t="str">
        <f>IFERROR(__xludf.DUMMYFUNCTION("""COMPUTED_VALUE"""),"tukde")</f>
        <v>tukde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tr">
        <f>IFERROR(__xludf.DUMMYFUNCTION("""COMPUTED_VALUE"""),"numberOfpieces")</f>
        <v>numberOfpieces</v>
      </c>
      <c r="B61" s="2" t="str">
        <f>IFERROR(__xludf.DUMMYFUNCTION("""COMPUTED_VALUE"""),"Number of Pieces")</f>
        <v>Number of Pieces</v>
      </c>
      <c r="C61" s="2"/>
      <c r="D61" s="2" t="str">
        <f>IFERROR(__xludf.DUMMYFUNCTION("""COMPUTED_VALUE"""),"टुकड़ों की संख्या")</f>
        <v>टुकड़ों की संख्या</v>
      </c>
      <c r="E61" s="2" t="str">
        <f>IFERROR(__xludf.DUMMYFUNCTION("""COMPUTED_VALUE"""),"OK")</f>
        <v>OK</v>
      </c>
      <c r="F61" s="2" t="str">
        <f>IFERROR(__xludf.DUMMYFUNCTION("""COMPUTED_VALUE"""),"tukdo ki sankhya")</f>
        <v>tukdo ki sankhya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tr">
        <f>IFERROR(__xludf.DUMMYFUNCTION("""COMPUTED_VALUE"""),"amount")</f>
        <v>amount</v>
      </c>
      <c r="B62" s="2" t="str">
        <f>IFERROR(__xludf.DUMMYFUNCTION("""COMPUTED_VALUE"""),"Amount ")</f>
        <v>Amount </v>
      </c>
      <c r="C62" s="2">
        <f>IFERROR(__xludf.DUMMYFUNCTION("""COMPUTED_VALUE"""),0.2)</f>
        <v>0.2</v>
      </c>
      <c r="D62" s="2" t="str">
        <f>IFERROR(__xludf.DUMMYFUNCTION("""COMPUTED_VALUE"""),"मात्रा")</f>
        <v>मात्रा</v>
      </c>
      <c r="E62" s="2" t="str">
        <f>IFERROR(__xludf.DUMMYFUNCTION("""COMPUTED_VALUE"""),"OK")</f>
        <v>OK</v>
      </c>
      <c r="F62" s="2" t="str">
        <f>IFERROR(__xludf.DUMMYFUNCTION("""COMPUTED_VALUE"""),"rashi")</f>
        <v>rashi</v>
      </c>
      <c r="G62" s="2" t="str">
        <f>IFERROR(__xludf.DUMMYFUNCTION("""COMPUTED_VALUE"""),"rasi")</f>
        <v>rasi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tr">
        <f>IFERROR(__xludf.DUMMYFUNCTION("""COMPUTED_VALUE"""),"viewCart")</f>
        <v>viewCart</v>
      </c>
      <c r="B63" s="2" t="str">
        <f>IFERROR(__xludf.DUMMYFUNCTION("""COMPUTED_VALUE"""),"View Cart")</f>
        <v>View Cart</v>
      </c>
      <c r="C63" s="2">
        <f>IFERROR(__xludf.DUMMYFUNCTION("""COMPUTED_VALUE"""),0.3)</f>
        <v>0.3</v>
      </c>
      <c r="D63" s="2" t="str">
        <f>IFERROR(__xludf.DUMMYFUNCTION("""COMPUTED_VALUE"""),"ऑर्डर विवरण")</f>
        <v>ऑर्डर विवरण</v>
      </c>
      <c r="E63" s="2"/>
      <c r="F63" s="2" t="str">
        <f>IFERROR(__xludf.DUMMYFUNCTION("""COMPUTED_VALUE"""),"gadi dekhe")</f>
        <v>gadi dekhe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tr">
        <f>IFERROR(__xludf.DUMMYFUNCTION("""COMPUTED_VALUE"""),"orderSummary")</f>
        <v>orderSummary</v>
      </c>
      <c r="B64" s="2" t="str">
        <f>IFERROR(__xludf.DUMMYFUNCTION("""COMPUTED_VALUE"""),"Order Summary")</f>
        <v>Order Summary</v>
      </c>
      <c r="C64" s="2">
        <f>IFERROR(__xludf.DUMMYFUNCTION("""COMPUTED_VALUE"""),0.4)</f>
        <v>0.4</v>
      </c>
      <c r="D64" s="2" t="str">
        <f>IFERROR(__xludf.DUMMYFUNCTION("""COMPUTED_VALUE"""),"आदेश सारांश")</f>
        <v>आदेश सारांश</v>
      </c>
      <c r="E64" s="2" t="str">
        <f>IFERROR(__xludf.DUMMYFUNCTION("""COMPUTED_VALUE"""),"??")</f>
        <v>??</v>
      </c>
      <c r="F64" s="2" t="str">
        <f>IFERROR(__xludf.DUMMYFUNCTION("""COMPUTED_VALUE"""),"adesh saransh")</f>
        <v>adesh saransh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tr">
        <f>IFERROR(__xludf.DUMMYFUNCTION("""COMPUTED_VALUE"""),"detailedBill")</f>
        <v>detailedBill</v>
      </c>
      <c r="B65" s="2" t="str">
        <f>IFERROR(__xludf.DUMMYFUNCTION("""COMPUTED_VALUE"""),"Detailed Bill")</f>
        <v>Detailed Bill</v>
      </c>
      <c r="C65" s="2"/>
      <c r="D65" s="2" t="str">
        <f>IFERROR(__xludf.DUMMYFUNCTION("""COMPUTED_VALUE"""),"विस्तृत बिल")</f>
        <v>विस्तृत बिल</v>
      </c>
      <c r="E65" s="2" t="str">
        <f>IFERROR(__xludf.DUMMYFUNCTION("""COMPUTED_VALUE"""),"OK")</f>
        <v>OK</v>
      </c>
      <c r="F65" s="2" t="str">
        <f>IFERROR(__xludf.DUMMYFUNCTION("""COMPUTED_VALUE"""),"vistrut bill")</f>
        <v>vistrut bill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tr">
        <f>IFERROR(__xludf.DUMMYFUNCTION("""COMPUTED_VALUE"""),"cartTotal")</f>
        <v>cartTotal</v>
      </c>
      <c r="B66" s="2" t="str">
        <f>IFERROR(__xludf.DUMMYFUNCTION("""COMPUTED_VALUE"""),"Cart Total")</f>
        <v>Cart Total</v>
      </c>
      <c r="C66" s="2"/>
      <c r="D66" s="2" t="str">
        <f>IFERROR(__xludf.DUMMYFUNCTION("""COMPUTED_VALUE"""),"कुल योग")</f>
        <v>कुल योग</v>
      </c>
      <c r="E66" s="2" t="str">
        <f>IFERROR(__xludf.DUMMYFUNCTION("""COMPUTED_VALUE"""),"OK")</f>
        <v>OK</v>
      </c>
      <c r="F66" s="2" t="str">
        <f>IFERROR(__xludf.DUMMYFUNCTION("""COMPUTED_VALUE"""),"kul gadi")</f>
        <v>kul gadi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tr">
        <f>IFERROR(__xludf.DUMMYFUNCTION("""COMPUTED_VALUE"""),"discount")</f>
        <v>discount</v>
      </c>
      <c r="B67" s="2" t="str">
        <f>IFERROR(__xludf.DUMMYFUNCTION("""COMPUTED_VALUE"""),"Discount")</f>
        <v>Discount</v>
      </c>
      <c r="C67" s="2"/>
      <c r="D67" s="2" t="str">
        <f>IFERROR(__xludf.DUMMYFUNCTION("""COMPUTED_VALUE"""),"छूट")</f>
        <v>छूट</v>
      </c>
      <c r="E67" s="2" t="str">
        <f>IFERROR(__xludf.DUMMYFUNCTION("""COMPUTED_VALUE"""),"OK")</f>
        <v>OK</v>
      </c>
      <c r="F67" s="2" t="str">
        <f>IFERROR(__xludf.DUMMYFUNCTION("""COMPUTED_VALUE"""),"chhut")</f>
        <v>chhut</v>
      </c>
      <c r="G67" s="2" t="str">
        <f>IFERROR(__xludf.DUMMYFUNCTION("""COMPUTED_VALUE"""),"chhoot")</f>
        <v>chhoot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tr">
        <f>IFERROR(__xludf.DUMMYFUNCTION("""COMPUTED_VALUE"""),"total")</f>
        <v>total</v>
      </c>
      <c r="B68" s="2" t="str">
        <f>IFERROR(__xludf.DUMMYFUNCTION("""COMPUTED_VALUE"""),"Total")</f>
        <v>Total</v>
      </c>
      <c r="C68" s="2"/>
      <c r="D68" s="2" t="str">
        <f>IFERROR(__xludf.DUMMYFUNCTION("""COMPUTED_VALUE"""),"कुल")</f>
        <v>कुल</v>
      </c>
      <c r="E68" s="2" t="str">
        <f>IFERROR(__xludf.DUMMYFUNCTION("""COMPUTED_VALUE"""),"OK")</f>
        <v>OK</v>
      </c>
      <c r="F68" s="2" t="str">
        <f>IFERROR(__xludf.DUMMYFUNCTION("""COMPUTED_VALUE"""),"kul ")</f>
        <v>kul 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tr">
        <f>IFERROR(__xludf.DUMMYFUNCTION("""COMPUTED_VALUE"""),"selfPickup")</f>
        <v>selfPickup</v>
      </c>
      <c r="B69" s="2" t="str">
        <f>IFERROR(__xludf.DUMMYFUNCTION("""COMPUTED_VALUE"""),"Self Pickup")</f>
        <v>Self Pickup</v>
      </c>
      <c r="C69" s="2"/>
      <c r="D69" s="2" t="str">
        <f>IFERROR(__xludf.DUMMYFUNCTION("""COMPUTED_VALUE"""),"स्व चयन")</f>
        <v>स्व चयन</v>
      </c>
      <c r="E69" s="2" t="str">
        <f>IFERROR(__xludf.DUMMYFUNCTION("""COMPUTED_VALUE"""),"??")</f>
        <v>??</v>
      </c>
      <c r="F69" s="2" t="str">
        <f>IFERROR(__xludf.DUMMYFUNCTION("""COMPUTED_VALUE"""),"sva chayan")</f>
        <v>sva chayan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tr">
        <f>IFERROR(__xludf.DUMMYFUNCTION("""COMPUTED_VALUE"""),"totalPayable")</f>
        <v>totalPayable</v>
      </c>
      <c r="B70" s="2" t="str">
        <f>IFERROR(__xludf.DUMMYFUNCTION("""COMPUTED_VALUE"""),"Total Payable")</f>
        <v>Total Payable</v>
      </c>
      <c r="C70" s="2"/>
      <c r="D70" s="2" t="str">
        <f>IFERROR(__xludf.DUMMYFUNCTION("""COMPUTED_VALUE"""),"कुल देय")</f>
        <v>कुल देय</v>
      </c>
      <c r="E70" s="2" t="str">
        <f>IFERROR(__xludf.DUMMYFUNCTION("""COMPUTED_VALUE"""),"OK")</f>
        <v>OK</v>
      </c>
      <c r="F70" s="2" t="str">
        <f>IFERROR(__xludf.DUMMYFUNCTION("""COMPUTED_VALUE"""),"kul deya")</f>
        <v>kul deya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tr">
        <f>IFERROR(__xludf.DUMMYFUNCTION("""COMPUTED_VALUE"""),"payAtPickup")</f>
        <v>payAtPickup</v>
      </c>
      <c r="B71" s="2" t="str">
        <f>IFERROR(__xludf.DUMMYFUNCTION("""COMPUTED_VALUE"""),"Pay at Pickup")</f>
        <v>Pay at Pickup</v>
      </c>
      <c r="C71" s="2"/>
      <c r="D71" s="2" t="str">
        <f>IFERROR(__xludf.DUMMYFUNCTION("""COMPUTED_VALUE"""),"पिकअप पर भुगतान करें")</f>
        <v>पिकअप पर भुगतान करें</v>
      </c>
      <c r="E71" s="2" t="str">
        <f>IFERROR(__xludf.DUMMYFUNCTION("""COMPUTED_VALUE"""),"OK")</f>
        <v>OK</v>
      </c>
      <c r="F71" s="2" t="str">
        <f>IFERROR(__xludf.DUMMYFUNCTION("""COMPUTED_VALUE"""),"pickup par bhugtaan kare")</f>
        <v>pickup par bhugtaan kare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tr">
        <f>IFERROR(__xludf.DUMMYFUNCTION("""COMPUTED_VALUE"""),"savedDetails")</f>
        <v>savedDetails</v>
      </c>
      <c r="B72" s="2" t="str">
        <f>IFERROR(__xludf.DUMMYFUNCTION("""COMPUTED_VALUE"""),"Saved Details")</f>
        <v>Saved Details</v>
      </c>
      <c r="C72" s="2"/>
      <c r="D72" s="2" t="str">
        <f>IFERROR(__xludf.DUMMYFUNCTION("""COMPUTED_VALUE"""),"बचाए गए विवरण")</f>
        <v>बचाए गए विवरण</v>
      </c>
      <c r="E72" s="2" t="str">
        <f>IFERROR(__xludf.DUMMYFUNCTION("""COMPUTED_VALUE"""),"OK")</f>
        <v>OK</v>
      </c>
      <c r="F72" s="2" t="str">
        <f>IFERROR(__xludf.DUMMYFUNCTION("""COMPUTED_VALUE"""),"bachaye gaye vivran")</f>
        <v>bachaye gaye vivran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tr">
        <f>IFERROR(__xludf.DUMMYFUNCTION("""COMPUTED_VALUE"""),"debitAtmCard")</f>
        <v>debitAtmCard</v>
      </c>
      <c r="B73" s="2" t="str">
        <f>IFERROR(__xludf.DUMMYFUNCTION("""COMPUTED_VALUE"""),"Debit/ATM Card")</f>
        <v>Debit/ATM Card</v>
      </c>
      <c r="C73" s="2"/>
      <c r="D73" s="2" t="str">
        <f>IFERROR(__xludf.DUMMYFUNCTION("""COMPUTED_VALUE"""),"डेबिट/एटीएम कार्ड")</f>
        <v>डेबिट/एटीएम कार्ड</v>
      </c>
      <c r="E73" s="2" t="str">
        <f>IFERROR(__xludf.DUMMYFUNCTION("""COMPUTED_VALUE"""),"OK")</f>
        <v>OK</v>
      </c>
      <c r="F73" s="2" t="str">
        <f>IFERROR(__xludf.DUMMYFUNCTION("""COMPUTED_VALUE"""),"debit/atm card")</f>
        <v>debit/atm card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tr">
        <f>IFERROR(__xludf.DUMMYFUNCTION("""COMPUTED_VALUE"""),"netBanking")</f>
        <v>netBanking</v>
      </c>
      <c r="B74" s="2" t="str">
        <f>IFERROR(__xludf.DUMMYFUNCTION("""COMPUTED_VALUE"""),"Net Banking")</f>
        <v>Net Banking</v>
      </c>
      <c r="C74" s="2"/>
      <c r="D74" s="2" t="str">
        <f>IFERROR(__xludf.DUMMYFUNCTION("""COMPUTED_VALUE"""),"
नेट बैंकिंग")</f>
        <v>
नेट बैंकिंग</v>
      </c>
      <c r="E74" s="2" t="str">
        <f>IFERROR(__xludf.DUMMYFUNCTION("""COMPUTED_VALUE"""),"OK")</f>
        <v>OK</v>
      </c>
      <c r="F74" s="2" t="str">
        <f>IFERROR(__xludf.DUMMYFUNCTION("""COMPUTED_VALUE"""),"shudh banking")</f>
        <v>shudh banking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tr">
        <f>IFERROR(__xludf.DUMMYFUNCTION("""COMPUTED_VALUE"""),"addDebitCreditCard")</f>
        <v>addDebitCreditCard</v>
      </c>
      <c r="B75" s="2" t="str">
        <f>IFERROR(__xludf.DUMMYFUNCTION("""COMPUTED_VALUE"""),"Add Debit/Credit Card")</f>
        <v>Add Debit/Credit Card</v>
      </c>
      <c r="C75" s="2"/>
      <c r="D75" s="2" t="str">
        <f>IFERROR(__xludf.DUMMYFUNCTION("""COMPUTED_VALUE"""),"डेबिट/क्रेडिट कार्ड जोड़ें")</f>
        <v>डेबिट/क्रेडिट कार्ड जोड़ें</v>
      </c>
      <c r="E75" s="2" t="str">
        <f>IFERROR(__xludf.DUMMYFUNCTION("""COMPUTED_VALUE"""),"OK")</f>
        <v>OK</v>
      </c>
      <c r="F75" s="2" t="str">
        <f>IFERROR(__xludf.DUMMYFUNCTION("""COMPUTED_VALUE"""),"debit/atm card jode")</f>
        <v>debit/atm card jode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tr">
        <f>IFERROR(__xludf.DUMMYFUNCTION("""COMPUTED_VALUE"""),"wallets&amp;Upi")</f>
        <v>wallets&amp;Upi</v>
      </c>
      <c r="B76" s="2" t="str">
        <f>IFERROR(__xludf.DUMMYFUNCTION("""COMPUTED_VALUE"""),"Wallets &amp; UPI")</f>
        <v>Wallets &amp; UPI</v>
      </c>
      <c r="C76" s="2"/>
      <c r="D76" s="2" t="str">
        <f>IFERROR(__xludf.DUMMYFUNCTION("""COMPUTED_VALUE"""),"बटुए और यूपीआई")</f>
        <v>बटुए और यूपीआई</v>
      </c>
      <c r="E76" s="2" t="str">
        <f>IFERROR(__xludf.DUMMYFUNCTION("""COMPUTED_VALUE"""),"OK")</f>
        <v>OK</v>
      </c>
      <c r="F76" s="2" t="str">
        <f>IFERROR(__xludf.DUMMYFUNCTION("""COMPUTED_VALUE"""),"batue or upi")</f>
        <v>batue or upi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tr">
        <f>IFERROR(__xludf.DUMMYFUNCTION("""COMPUTED_VALUE"""),"phonepe")</f>
        <v>phonepe</v>
      </c>
      <c r="B77" s="2" t="str">
        <f>IFERROR(__xludf.DUMMYFUNCTION("""COMPUTED_VALUE"""),"PhonePe")</f>
        <v>PhonePe</v>
      </c>
      <c r="C77" s="2"/>
      <c r="D77" s="2" t="str">
        <f>IFERROR(__xludf.DUMMYFUNCTION("""COMPUTED_VALUE"""),"फोनपे")</f>
        <v>फोनपे</v>
      </c>
      <c r="E77" s="2" t="str">
        <f>IFERROR(__xludf.DUMMYFUNCTION("""COMPUTED_VALUE"""),"OK")</f>
        <v>OK</v>
      </c>
      <c r="F77" s="2" t="str">
        <f>IFERROR(__xludf.DUMMYFUNCTION("""COMPUTED_VALUE"""),"phonepe")</f>
        <v>phonepe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tr">
        <f>IFERROR(__xludf.DUMMYFUNCTION("""COMPUTED_VALUE"""),"paytm")</f>
        <v>paytm</v>
      </c>
      <c r="B78" s="2" t="str">
        <f>IFERROR(__xludf.DUMMYFUNCTION("""COMPUTED_VALUE"""),"Paytm")</f>
        <v>Paytm</v>
      </c>
      <c r="C78" s="2"/>
      <c r="D78" s="2" t="str">
        <f>IFERROR(__xludf.DUMMYFUNCTION("""COMPUTED_VALUE"""),"पेटीएम")</f>
        <v>पेटीएम</v>
      </c>
      <c r="E78" s="2" t="str">
        <f>IFERROR(__xludf.DUMMYFUNCTION("""COMPUTED_VALUE"""),"OK")</f>
        <v>OK</v>
      </c>
      <c r="F78" s="2" t="str">
        <f>IFERROR(__xludf.DUMMYFUNCTION("""COMPUTED_VALUE"""),"paytm")</f>
        <v>paytm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tr">
        <f>IFERROR(__xludf.DUMMYFUNCTION("""COMPUTED_VALUE"""),"otherUpi")</f>
        <v>otherUpi</v>
      </c>
      <c r="B79" s="2" t="str">
        <f>IFERROR(__xludf.DUMMYFUNCTION("""COMPUTED_VALUE"""),"Other UPI")</f>
        <v>Other UPI</v>
      </c>
      <c r="C79" s="2"/>
      <c r="D79" s="2" t="str">
        <f>IFERROR(__xludf.DUMMYFUNCTION("""COMPUTED_VALUE"""),"अन्य यूपीआई")</f>
        <v>अन्य यूपीआई</v>
      </c>
      <c r="E79" s="2" t="str">
        <f>IFERROR(__xludf.DUMMYFUNCTION("""COMPUTED_VALUE"""),"OK")</f>
        <v>OK</v>
      </c>
      <c r="F79" s="2" t="str">
        <f>IFERROR(__xludf.DUMMYFUNCTION("""COMPUTED_VALUE"""),"anya upi")</f>
        <v>anya upi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tr">
        <f>IFERROR(__xludf.DUMMYFUNCTION("""COMPUTED_VALUE"""),"payNow")</f>
        <v>payNow</v>
      </c>
      <c r="B80" s="2" t="str">
        <f>IFERROR(__xludf.DUMMYFUNCTION("""COMPUTED_VALUE"""),"Pay Now")</f>
        <v>Pay Now</v>
      </c>
      <c r="C80" s="2"/>
      <c r="D80" s="2" t="str">
        <f>IFERROR(__xludf.DUMMYFUNCTION("""COMPUTED_VALUE"""),"अब भुगतान करें")</f>
        <v>अब भुगतान करें</v>
      </c>
      <c r="E80" s="2" t="str">
        <f>IFERROR(__xludf.DUMMYFUNCTION("""COMPUTED_VALUE"""),"OK")</f>
        <v>OK</v>
      </c>
      <c r="F80" s="2" t="str">
        <f>IFERROR(__xludf.DUMMYFUNCTION("""COMPUTED_VALUE"""),"surakshit rup se bhugtan kare")</f>
        <v>surakshit rup se bhugtan kare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tr">
        <f>IFERROR(__xludf.DUMMYFUNCTION("""COMPUTED_VALUE"""),"deliverAt")</f>
        <v>deliverAt</v>
      </c>
      <c r="B81" s="2" t="str">
        <f>IFERROR(__xludf.DUMMYFUNCTION("""COMPUTED_VALUE"""),"Deliver at")</f>
        <v>Deliver at</v>
      </c>
      <c r="C81" s="2"/>
      <c r="D81" s="2" t="str">
        <f>IFERROR(__xludf.DUMMYFUNCTION("""COMPUTED_VALUE"""),"पर वितरित करें")</f>
        <v>पर वितरित करें</v>
      </c>
      <c r="E81" s="2" t="str">
        <f>IFERROR(__xludf.DUMMYFUNCTION("""COMPUTED_VALUE"""),"??")</f>
        <v>??</v>
      </c>
      <c r="F81" s="2" t="str">
        <f>IFERROR(__xludf.DUMMYFUNCTION("""COMPUTED_VALUE"""),"pareshani karna")</f>
        <v>pareshani karna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tr">
        <f>IFERROR(__xludf.DUMMYFUNCTION("""COMPUTED_VALUE"""),"noContact")</f>
        <v>noContact</v>
      </c>
      <c r="B82" s="2" t="str">
        <f>IFERROR(__xludf.DUMMYFUNCTION("""COMPUTED_VALUE"""),"No Contact")</f>
        <v>No Contact</v>
      </c>
      <c r="C82" s="2"/>
      <c r="D82" s="2" t="str">
        <f>IFERROR(__xludf.DUMMYFUNCTION("""COMPUTED_VALUE"""),"कोई संपर्क नहीं")</f>
        <v>कोई संपर्क नहीं</v>
      </c>
      <c r="E82" s="2" t="str">
        <f>IFERROR(__xludf.DUMMYFUNCTION("""COMPUTED_VALUE"""),"OK")</f>
        <v>OK</v>
      </c>
      <c r="F82" s="2" t="str">
        <f>IFERROR(__xludf.DUMMYFUNCTION("""COMPUTED_VALUE"""),"koi sampark nahi")</f>
        <v>koi sampark nahi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tr">
        <f>IFERROR(__xludf.DUMMYFUNCTION("""COMPUTED_VALUE"""),"scheduleDelivery")</f>
        <v>scheduleDelivery</v>
      </c>
      <c r="B83" s="2" t="str">
        <f>IFERROR(__xludf.DUMMYFUNCTION("""COMPUTED_VALUE"""),"Schedule Delivery")</f>
        <v>Schedule Delivery</v>
      </c>
      <c r="C83" s="2">
        <f>IFERROR(__xludf.DUMMYFUNCTION("""COMPUTED_VALUE"""),0.3)</f>
        <v>0.3</v>
      </c>
      <c r="D83" s="2" t="str">
        <f>IFERROR(__xludf.DUMMYFUNCTION("""COMPUTED_VALUE"""),"अनुसूची वितरण")</f>
        <v>अनुसूची वितरण</v>
      </c>
      <c r="E83" s="2" t="str">
        <f>IFERROR(__xludf.DUMMYFUNCTION("""COMPUTED_VALUE"""),"OK")</f>
        <v>OK</v>
      </c>
      <c r="F83" s="2" t="str">
        <f>IFERROR(__xludf.DUMMYFUNCTION("""COMPUTED_VALUE"""),"samay par delivery")</f>
        <v>samay par delivery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tr">
        <f>IFERROR(__xludf.DUMMYFUNCTION("""COMPUTED_VALUE"""),"am")</f>
        <v>am</v>
      </c>
      <c r="B84" s="2" t="str">
        <f>IFERROR(__xludf.DUMMYFUNCTION("""COMPUTED_VALUE"""),"AM")</f>
        <v>AM</v>
      </c>
      <c r="C84" s="2"/>
      <c r="D84" s="2" t="str">
        <f>IFERROR(__xludf.DUMMYFUNCTION("""COMPUTED_VALUE"""),"पूर्वाह्न")</f>
        <v>पूर्वाह्न</v>
      </c>
      <c r="E84" s="2" t="str">
        <f>IFERROR(__xludf.DUMMYFUNCTION("""COMPUTED_VALUE"""),"OK")</f>
        <v>OK</v>
      </c>
      <c r="F84" s="2" t="str">
        <f>IFERROR(__xludf.DUMMYFUNCTION("""COMPUTED_VALUE"""),"purvah")</f>
        <v>purvah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tr">
        <f>IFERROR(__xludf.DUMMYFUNCTION("""COMPUTED_VALUE"""),"pm")</f>
        <v>pm</v>
      </c>
      <c r="B85" s="2" t="str">
        <f>IFERROR(__xludf.DUMMYFUNCTION("""COMPUTED_VALUE"""),"PM")</f>
        <v>PM</v>
      </c>
      <c r="C85" s="2"/>
      <c r="D85" s="2" t="str">
        <f>IFERROR(__xludf.DUMMYFUNCTION("""COMPUTED_VALUE"""),"बजे")</f>
        <v>बजे</v>
      </c>
      <c r="E85" s="2" t="str">
        <f>IFERROR(__xludf.DUMMYFUNCTION("""COMPUTED_VALUE"""),"OK")</f>
        <v>OK</v>
      </c>
      <c r="F85" s="2" t="str">
        <f>IFERROR(__xludf.DUMMYFUNCTION("""COMPUTED_VALUE"""),"baje")</f>
        <v>baje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tr">
        <f>IFERROR(__xludf.DUMMYFUNCTION("""COMPUTED_VALUE"""),"hour")</f>
        <v>hour</v>
      </c>
      <c r="B86" s="2" t="str">
        <f>IFERROR(__xludf.DUMMYFUNCTION("""COMPUTED_VALUE"""),"Hour")</f>
        <v>Hour</v>
      </c>
      <c r="C86" s="2"/>
      <c r="D86" s="2" t="str">
        <f>IFERROR(__xludf.DUMMYFUNCTION("""COMPUTED_VALUE"""),"घंटा")</f>
        <v>घंटा</v>
      </c>
      <c r="E86" s="2" t="str">
        <f>IFERROR(__xludf.DUMMYFUNCTION("""COMPUTED_VALUE"""),"OK")</f>
        <v>OK</v>
      </c>
      <c r="F86" s="2" t="str">
        <f>IFERROR(__xludf.DUMMYFUNCTION("""COMPUTED_VALUE"""),"ghanta")</f>
        <v>ghanta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tr">
        <f>IFERROR(__xludf.DUMMYFUNCTION("""COMPUTED_VALUE"""),"freeDelivery")</f>
        <v>freeDelivery</v>
      </c>
      <c r="B87" s="2" t="str">
        <f>IFERROR(__xludf.DUMMYFUNCTION("""COMPUTED_VALUE"""),"Free Delivery")</f>
        <v>Free Delivery</v>
      </c>
      <c r="C87" s="2"/>
      <c r="D87" s="2" t="str">
        <f>IFERROR(__xludf.DUMMYFUNCTION("""COMPUTED_VALUE"""),"नि: शुल्क डिलिवरी")</f>
        <v>नि: शुल्क डिलिवरी</v>
      </c>
      <c r="E87" s="2" t="str">
        <f>IFERROR(__xludf.DUMMYFUNCTION("""COMPUTED_VALUE"""),"OK")</f>
        <v>OK</v>
      </c>
      <c r="F87" s="2" t="str">
        <f>IFERROR(__xludf.DUMMYFUNCTION("""COMPUTED_VALUE"""),"ni: shulk delivery")</f>
        <v>ni: shulk delivery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tr">
        <f>IFERROR(__xludf.DUMMYFUNCTION("""COMPUTED_VALUE"""),"enterCvv")</f>
        <v>enterCvv</v>
      </c>
      <c r="B88" s="2" t="str">
        <f>IFERROR(__xludf.DUMMYFUNCTION("""COMPUTED_VALUE"""),"Enter CVV")</f>
        <v>Enter CVV</v>
      </c>
      <c r="C88" s="2"/>
      <c r="D88" s="2" t="str">
        <f>IFERROR(__xludf.DUMMYFUNCTION("""COMPUTED_VALUE"""),"CVV दर्ज करें")</f>
        <v>CVV दर्ज करें</v>
      </c>
      <c r="E88" s="2" t="str">
        <f>IFERROR(__xludf.DUMMYFUNCTION("""COMPUTED_VALUE"""),"OK")</f>
        <v>OK</v>
      </c>
      <c r="F88" s="2" t="str">
        <f>IFERROR(__xludf.DUMMYFUNCTION("""COMPUTED_VALUE"""),"cvv darj kare")</f>
        <v>cvv darj kare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tr">
        <f>IFERROR(__xludf.DUMMYFUNCTION("""COMPUTED_VALUE"""),"cardNumber")</f>
        <v>cardNumber</v>
      </c>
      <c r="B89" s="2" t="str">
        <f>IFERROR(__xludf.DUMMYFUNCTION("""COMPUTED_VALUE"""),"Card Number")</f>
        <v>Card Number</v>
      </c>
      <c r="C89" s="2"/>
      <c r="D89" s="2" t="str">
        <f>IFERROR(__xludf.DUMMYFUNCTION("""COMPUTED_VALUE"""),"कार्ड संख्या")</f>
        <v>कार्ड संख्या</v>
      </c>
      <c r="E89" s="2" t="str">
        <f>IFERROR(__xludf.DUMMYFUNCTION("""COMPUTED_VALUE"""),"OK")</f>
        <v>OK</v>
      </c>
      <c r="F89" s="2" t="str">
        <f>IFERROR(__xludf.DUMMYFUNCTION("""COMPUTED_VALUE"""),"card number")</f>
        <v>card number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tr">
        <f>IFERROR(__xludf.DUMMYFUNCTION("""COMPUTED_VALUE"""),"expiry")</f>
        <v>expiry</v>
      </c>
      <c r="B90" s="2" t="str">
        <f>IFERROR(__xludf.DUMMYFUNCTION("""COMPUTED_VALUE"""),"Expiry")</f>
        <v>Expiry</v>
      </c>
      <c r="C90" s="2"/>
      <c r="D90" s="2" t="str">
        <f>IFERROR(__xludf.DUMMYFUNCTION("""COMPUTED_VALUE"""),"समाप्ति")</f>
        <v>समाप्ति</v>
      </c>
      <c r="E90" s="2" t="str">
        <f>IFERROR(__xludf.DUMMYFUNCTION("""COMPUTED_VALUE"""),"OK")</f>
        <v>OK</v>
      </c>
      <c r="F90" s="2" t="str">
        <f>IFERROR(__xludf.DUMMYFUNCTION("""COMPUTED_VALUE"""),"sampatti")</f>
        <v>sampatti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tr">
        <f>IFERROR(__xludf.DUMMYFUNCTION("""COMPUTED_VALUE"""),"nameOnCard")</f>
        <v>nameOnCard</v>
      </c>
      <c r="B91" s="2" t="str">
        <f>IFERROR(__xludf.DUMMYFUNCTION("""COMPUTED_VALUE"""),"Name on Card")</f>
        <v>Name on Card</v>
      </c>
      <c r="C91" s="2"/>
      <c r="D91" s="2" t="str">
        <f>IFERROR(__xludf.DUMMYFUNCTION("""COMPUTED_VALUE"""),"कार्ड पर नाम")</f>
        <v>कार्ड पर नाम</v>
      </c>
      <c r="E91" s="2" t="str">
        <f>IFERROR(__xludf.DUMMYFUNCTION("""COMPUTED_VALUE"""),"OK")</f>
        <v>OK</v>
      </c>
      <c r="F91" s="2" t="str">
        <f>IFERROR(__xludf.DUMMYFUNCTION("""COMPUTED_VALUE"""),"card par naam")</f>
        <v>card par naam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tr">
        <f>IFERROR(__xludf.DUMMYFUNCTION("""COMPUTED_VALUE"""),"saveCardDetails")</f>
        <v>saveCardDetails</v>
      </c>
      <c r="B92" s="2" t="str">
        <f>IFERROR(__xludf.DUMMYFUNCTION("""COMPUTED_VALUE"""),"Save Card Details")</f>
        <v>Save Card Details</v>
      </c>
      <c r="C92" s="2"/>
      <c r="D92" s="2" t="str">
        <f>IFERROR(__xludf.DUMMYFUNCTION("""COMPUTED_VALUE"""),"कार्ड विवरण सहेजें")</f>
        <v>कार्ड विवरण सहेजें</v>
      </c>
      <c r="E92" s="2" t="str">
        <f>IFERROR(__xludf.DUMMYFUNCTION("""COMPUTED_VALUE"""),"OK")</f>
        <v>OK</v>
      </c>
      <c r="F92" s="2" t="str">
        <f>IFERROR(__xludf.DUMMYFUNCTION("""COMPUTED_VALUE"""),"card vivran saheje")</f>
        <v>card vivran saheje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tr">
        <f>IFERROR(__xludf.DUMMYFUNCTION("""COMPUTED_VALUE"""),"icici")</f>
        <v>icici</v>
      </c>
      <c r="B93" s="2" t="str">
        <f>IFERROR(__xludf.DUMMYFUNCTION("""COMPUTED_VALUE"""),"ICICI")</f>
        <v>ICICI</v>
      </c>
      <c r="C93" s="2"/>
      <c r="D93" s="2" t="str">
        <f>IFERROR(__xludf.DUMMYFUNCTION("""COMPUTED_VALUE"""),"आईसीआईसीआई")</f>
        <v>आईसीआईसीआई</v>
      </c>
      <c r="E93" s="2" t="str">
        <f>IFERROR(__xludf.DUMMYFUNCTION("""COMPUTED_VALUE"""),"OK")</f>
        <v>OK</v>
      </c>
      <c r="F93" s="2" t="str">
        <f>IFERROR(__xludf.DUMMYFUNCTION("""COMPUTED_VALUE"""),"icici")</f>
        <v>icici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tr">
        <f>IFERROR(__xludf.DUMMYFUNCTION("""COMPUTED_VALUE"""),"sbi")</f>
        <v>sbi</v>
      </c>
      <c r="B94" s="2" t="str">
        <f>IFERROR(__xludf.DUMMYFUNCTION("""COMPUTED_VALUE"""),"SBI")</f>
        <v>SBI</v>
      </c>
      <c r="C94" s="2"/>
      <c r="D94" s="2" t="str">
        <f>IFERROR(__xludf.DUMMYFUNCTION("""COMPUTED_VALUE"""),"स्टेट बैंक ऑफ इंडिया")</f>
        <v>स्टेट बैंक ऑफ इंडिया</v>
      </c>
      <c r="E94" s="2" t="str">
        <f>IFERROR(__xludf.DUMMYFUNCTION("""COMPUTED_VALUE"""),"OK")</f>
        <v>OK</v>
      </c>
      <c r="F94" s="2" t="str">
        <f>IFERROR(__xludf.DUMMYFUNCTION("""COMPUTED_VALUE"""),"sbi")</f>
        <v>sbi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tr">
        <f>IFERROR(__xludf.DUMMYFUNCTION("""COMPUTED_VALUE"""),"hdfc")</f>
        <v>hdfc</v>
      </c>
      <c r="B95" s="2" t="str">
        <f>IFERROR(__xludf.DUMMYFUNCTION("""COMPUTED_VALUE"""),"HDFC")</f>
        <v>HDFC</v>
      </c>
      <c r="C95" s="2"/>
      <c r="D95" s="2" t="str">
        <f>IFERROR(__xludf.DUMMYFUNCTION("""COMPUTED_VALUE"""),"एचडीएफसी")</f>
        <v>एचडीएफसी</v>
      </c>
      <c r="E95" s="2" t="str">
        <f>IFERROR(__xludf.DUMMYFUNCTION("""COMPUTED_VALUE"""),"OK")</f>
        <v>OK</v>
      </c>
      <c r="F95" s="2" t="str">
        <f>IFERROR(__xludf.DUMMYFUNCTION("""COMPUTED_VALUE"""),"hdfc")</f>
        <v>hdfc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tr">
        <f>IFERROR(__xludf.DUMMYFUNCTION("""COMPUTED_VALUE"""),"moreBanks")</f>
        <v>moreBanks</v>
      </c>
      <c r="B96" s="2" t="str">
        <f>IFERROR(__xludf.DUMMYFUNCTION("""COMPUTED_VALUE"""),"More Banks")</f>
        <v>More Banks</v>
      </c>
      <c r="C96" s="2"/>
      <c r="D96" s="2" t="str">
        <f>IFERROR(__xludf.DUMMYFUNCTION("""COMPUTED_VALUE"""),"अधिक बैंक")</f>
        <v>अधिक बैंक</v>
      </c>
      <c r="E96" s="2" t="str">
        <f>IFERROR(__xludf.DUMMYFUNCTION("""COMPUTED_VALUE"""),"OK")</f>
        <v>OK</v>
      </c>
      <c r="F96" s="2" t="str">
        <f>IFERROR(__xludf.DUMMYFUNCTION("""COMPUTED_VALUE"""),"adhik bank")</f>
        <v>adhik bank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tr">
        <f>IFERROR(__xludf.DUMMYFUNCTION("""COMPUTED_VALUE"""),"orderConfirmed")</f>
        <v>orderConfirmed</v>
      </c>
      <c r="B97" s="2" t="str">
        <f>IFERROR(__xludf.DUMMYFUNCTION("""COMPUTED_VALUE"""),"Order Confirmed")</f>
        <v>Order Confirmed</v>
      </c>
      <c r="C97" s="2"/>
      <c r="D97" s="2" t="str">
        <f>IFERROR(__xludf.DUMMYFUNCTION("""COMPUTED_VALUE"""),"ऑर्डर की पुष्टि की गई")</f>
        <v>ऑर्डर की पुष्टि की गई</v>
      </c>
      <c r="E97" s="2" t="str">
        <f>IFERROR(__xludf.DUMMYFUNCTION("""COMPUTED_VALUE"""),"not ok")</f>
        <v>not ok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tr">
        <f>IFERROR(__xludf.DUMMYFUNCTION("""COMPUTED_VALUE"""),"orderNumber")</f>
        <v>orderNumber</v>
      </c>
      <c r="B98" s="2" t="str">
        <f>IFERROR(__xludf.DUMMYFUNCTION("""COMPUTED_VALUE"""),"Order Number")</f>
        <v>Order Number</v>
      </c>
      <c r="C98" s="2"/>
      <c r="D98" s="2" t="str">
        <f>IFERROR(__xludf.DUMMYFUNCTION("""COMPUTED_VALUE"""),"क्रम संख्या")</f>
        <v>क्रम संख्या</v>
      </c>
      <c r="E98" s="2" t="str">
        <f>IFERROR(__xludf.DUMMYFUNCTION("""COMPUTED_VALUE"""),"OK")</f>
        <v>OK</v>
      </c>
      <c r="F98" s="2" t="str">
        <f>IFERROR(__xludf.DUMMYFUNCTION("""COMPUTED_VALUE"""),"kram sankhya")</f>
        <v>kram sankhya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tr">
        <f>IFERROR(__xludf.DUMMYFUNCTION("""COMPUTED_VALUE"""),"payment")</f>
        <v>payment</v>
      </c>
      <c r="B99" s="2" t="str">
        <f>IFERROR(__xludf.DUMMYFUNCTION("""COMPUTED_VALUE"""),"Payment ")</f>
        <v>Payment </v>
      </c>
      <c r="C99" s="2"/>
      <c r="D99" s="2" t="str">
        <f>IFERROR(__xludf.DUMMYFUNCTION("""COMPUTED_VALUE"""),"भुगतान")</f>
        <v>भुगतान</v>
      </c>
      <c r="E99" s="2" t="str">
        <f>IFERROR(__xludf.DUMMYFUNCTION("""COMPUTED_VALUE"""),"OK")</f>
        <v>OK</v>
      </c>
      <c r="F99" s="2" t="str">
        <f>IFERROR(__xludf.DUMMYFUNCTION("""COMPUTED_VALUE"""),"bhugtaan")</f>
        <v>bhugtaan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tr">
        <f>IFERROR(__xludf.DUMMYFUNCTION("""COMPUTED_VALUE"""),"dateOfOrder")</f>
        <v>dateOfOrder</v>
      </c>
      <c r="B100" s="2" t="str">
        <f>IFERROR(__xludf.DUMMYFUNCTION("""COMPUTED_VALUE"""),"Date of Order")</f>
        <v>Date of Order</v>
      </c>
      <c r="C100" s="2"/>
      <c r="D100" s="2" t="str">
        <f>IFERROR(__xludf.DUMMYFUNCTION("""COMPUTED_VALUE"""),"आदेश की तिथि")</f>
        <v>आदेश की तिथि</v>
      </c>
      <c r="E100" s="2" t="str">
        <f>IFERROR(__xludf.DUMMYFUNCTION("""COMPUTED_VALUE"""),"OK")</f>
        <v>OK</v>
      </c>
      <c r="F100" s="2" t="str">
        <f>IFERROR(__xludf.DUMMYFUNCTION("""COMPUTED_VALUE"""),"adesh ki tithi")</f>
        <v>adesh ki tithi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tr">
        <f>IFERROR(__xludf.DUMMYFUNCTION("""COMPUTED_VALUE"""),"terms&amp;conditionsandprivacypolicy")</f>
        <v>terms&amp;conditionsandprivacypolicy</v>
      </c>
      <c r="B101" s="2" t="str">
        <f>IFERROR(__xludf.DUMMYFUNCTION("""COMPUTED_VALUE"""),"Terms &amp; Conditions and Privacy Policy")</f>
        <v>Terms &amp; Conditions and Privacy Policy</v>
      </c>
      <c r="C101" s="2">
        <f>IFERROR(__xludf.DUMMYFUNCTION("""COMPUTED_VALUE"""),0.2)</f>
        <v>0.2</v>
      </c>
      <c r="D101" s="2" t="str">
        <f>IFERROR(__xludf.DUMMYFUNCTION("""COMPUTED_VALUE"""),"नियम और शर्तें और गोपनीयता नीति")</f>
        <v>नियम और शर्तें और गोपनीयता नीति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tr">
        <f>IFERROR(__xludf.DUMMYFUNCTION("""COMPUTED_VALUE"""),"trackOrder")</f>
        <v>trackOrder</v>
      </c>
      <c r="B102" s="2" t="str">
        <f>IFERROR(__xludf.DUMMYFUNCTION("""COMPUTED_VALUE"""),"Track Order")</f>
        <v>Track Order</v>
      </c>
      <c r="C102" s="2">
        <f>IFERROR(__xludf.DUMMYFUNCTION("""COMPUTED_VALUE"""),0.2)</f>
        <v>0.2</v>
      </c>
      <c r="D102" s="2" t="str">
        <f>IFERROR(__xludf.DUMMYFUNCTION("""COMPUTED_VALUE"""),"ऑर्डर पर नज़र रखना")</f>
        <v>ऑर्डर पर नज़र रखना</v>
      </c>
      <c r="E102" s="2" t="str">
        <f>IFERROR(__xludf.DUMMYFUNCTION("""COMPUTED_VALUE"""),"OK")</f>
        <v>OK</v>
      </c>
      <c r="F102" s="2" t="str">
        <f>IFERROR(__xludf.DUMMYFUNCTION("""COMPUTED_VALUE"""),"order per nazar rakhe")</f>
        <v>order per nazar rakhe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tr">
        <f>IFERROR(__xludf.DUMMYFUNCTION("""COMPUTED_VALUE"""),"activeOrders")</f>
        <v>activeOrders</v>
      </c>
      <c r="B103" s="2" t="str">
        <f>IFERROR(__xludf.DUMMYFUNCTION("""COMPUTED_VALUE"""),"Active Orders")</f>
        <v>Active Orders</v>
      </c>
      <c r="C103" s="2"/>
      <c r="D103" s="2" t="str">
        <f>IFERROR(__xludf.DUMMYFUNCTION("""COMPUTED_VALUE"""),"सक्रिय आदेश")</f>
        <v>सक्रिय आदेश</v>
      </c>
      <c r="E103" s="2" t="str">
        <f>IFERROR(__xludf.DUMMYFUNCTION("""COMPUTED_VALUE"""),"OK")</f>
        <v>OK</v>
      </c>
      <c r="F103" s="2" t="str">
        <f>IFERROR(__xludf.DUMMYFUNCTION("""COMPUTED_VALUE"""),"sakriya adesh")</f>
        <v>sakriya adesh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tr">
        <f>IFERROR(__xludf.DUMMYFUNCTION("""COMPUTED_VALUE"""),"view")</f>
        <v>view</v>
      </c>
      <c r="B104" s="2" t="str">
        <f>IFERROR(__xludf.DUMMYFUNCTION("""COMPUTED_VALUE"""),"View")</f>
        <v>View</v>
      </c>
      <c r="C104" s="2"/>
      <c r="D104" s="2" t="str">
        <f>IFERROR(__xludf.DUMMYFUNCTION("""COMPUTED_VALUE"""),"देखना")</f>
        <v>देखना</v>
      </c>
      <c r="E104" s="2" t="str">
        <f>IFERROR(__xludf.DUMMYFUNCTION("""COMPUTED_VALUE"""),"OK")</f>
        <v>OK</v>
      </c>
      <c r="F104" s="2" t="str">
        <f>IFERROR(__xludf.DUMMYFUNCTION("""COMPUTED_VALUE"""),"hashya")</f>
        <v>hashya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tr">
        <f>IFERROR(__xludf.DUMMYFUNCTION("""COMPUTED_VALUE"""),"chat")</f>
        <v>chat</v>
      </c>
      <c r="B105" s="2" t="str">
        <f>IFERROR(__xludf.DUMMYFUNCTION("""COMPUTED_VALUE"""),"Chat")</f>
        <v>Chat</v>
      </c>
      <c r="C105" s="2"/>
      <c r="D105" s="2" t="str">
        <f>IFERROR(__xludf.DUMMYFUNCTION("""COMPUTED_VALUE"""),"बात करना")</f>
        <v>बात करना</v>
      </c>
      <c r="E105" s="2" t="str">
        <f>IFERROR(__xludf.DUMMYFUNCTION("""COMPUTED_VALUE"""),"OK")</f>
        <v>OK</v>
      </c>
      <c r="F105" s="2" t="str">
        <f>IFERROR(__xludf.DUMMYFUNCTION("""COMPUTED_VALUE"""),"baat karna")</f>
        <v>baat karna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tr">
        <f>IFERROR(__xludf.DUMMYFUNCTION("""COMPUTED_VALUE"""),"orderDetails")</f>
        <v>orderDetails</v>
      </c>
      <c r="B106" s="2" t="str">
        <f>IFERROR(__xludf.DUMMYFUNCTION("""COMPUTED_VALUE"""),"Order Details")</f>
        <v>Order Details</v>
      </c>
      <c r="C106" s="2"/>
      <c r="D106" s="2" t="str">
        <f>IFERROR(__xludf.DUMMYFUNCTION("""COMPUTED_VALUE"""),"ऑर्डर का विवरण")</f>
        <v>ऑर्डर का विवरण</v>
      </c>
      <c r="E106" s="2" t="str">
        <f>IFERROR(__xludf.DUMMYFUNCTION("""COMPUTED_VALUE"""),"OK")</f>
        <v>OK</v>
      </c>
      <c r="F106" s="2" t="str">
        <f>IFERROR(__xludf.DUMMYFUNCTION("""COMPUTED_VALUE"""),"order ka vivran")</f>
        <v>order ka vivran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tr">
        <f>IFERROR(__xludf.DUMMYFUNCTION("""COMPUTED_VALUE"""),"cancel")</f>
        <v>cancel</v>
      </c>
      <c r="B107" s="2" t="str">
        <f>IFERROR(__xludf.DUMMYFUNCTION("""COMPUTED_VALUE"""),"Cancel ")</f>
        <v>Cancel </v>
      </c>
      <c r="C107" s="2">
        <f>IFERROR(__xludf.DUMMYFUNCTION("""COMPUTED_VALUE"""),0.4)</f>
        <v>0.4</v>
      </c>
      <c r="D107" s="2" t="str">
        <f>IFERROR(__xludf.DUMMYFUNCTION("""COMPUTED_VALUE"""),"रद्द करना")</f>
        <v>रद्द करना</v>
      </c>
      <c r="E107" s="2" t="str">
        <f>IFERROR(__xludf.DUMMYFUNCTION("""COMPUTED_VALUE"""),"OK")</f>
        <v>OK</v>
      </c>
      <c r="F107" s="2" t="str">
        <f>IFERROR(__xludf.DUMMYFUNCTION("""COMPUTED_VALUE"""),"raddh karna")</f>
        <v>raddh karna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tr">
        <f>IFERROR(__xludf.DUMMYFUNCTION("""COMPUTED_VALUE"""),"PaymentPending")</f>
        <v>PaymentPending</v>
      </c>
      <c r="B108" s="2" t="str">
        <f>IFERROR(__xludf.DUMMYFUNCTION("""COMPUTED_VALUE"""),"Payment Pending")</f>
        <v>Payment Pending</v>
      </c>
      <c r="C108" s="2">
        <f>IFERROR(__xludf.DUMMYFUNCTION("""COMPUTED_VALUE"""),0.3)</f>
        <v>0.3</v>
      </c>
      <c r="D108" s="2" t="str">
        <f>IFERROR(__xludf.DUMMYFUNCTION("""COMPUTED_VALUE"""),"भुगतान लंबित")</f>
        <v>भुगतान लंबित</v>
      </c>
      <c r="E108" s="2" t="str">
        <f>IFERROR(__xludf.DUMMYFUNCTION("""COMPUTED_VALUE"""),"OK")</f>
        <v>OK</v>
      </c>
      <c r="F108" s="2" t="str">
        <f>IFERROR(__xludf.DUMMYFUNCTION("""COMPUTED_VALUE"""),"vitan")</f>
        <v>vitan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tr">
        <f>IFERROR(__xludf.DUMMYFUNCTION("""COMPUTED_VALUE"""),"support")</f>
        <v>support</v>
      </c>
      <c r="B109" s="2" t="str">
        <f>IFERROR(__xludf.DUMMYFUNCTION("""COMPUTED_VALUE"""),"Support")</f>
        <v>Support</v>
      </c>
      <c r="C109" s="2"/>
      <c r="D109" s="2" t="str">
        <f>IFERROR(__xludf.DUMMYFUNCTION("""COMPUTED_VALUE"""),"सहायता")</f>
        <v>सहायता</v>
      </c>
      <c r="E109" s="2" t="str">
        <f>IFERROR(__xludf.DUMMYFUNCTION("""COMPUTED_VALUE"""),"OK")</f>
        <v>OK</v>
      </c>
      <c r="F109" s="2" t="str">
        <f>IFERROR(__xludf.DUMMYFUNCTION("""COMPUTED_VALUE"""),"sahyog")</f>
        <v>sahyog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tr">
        <f>IFERROR(__xludf.DUMMYFUNCTION("""COMPUTED_VALUE"""),"payment")</f>
        <v>payment</v>
      </c>
      <c r="B110" s="2" t="str">
        <f>IFERROR(__xludf.DUMMYFUNCTION("""COMPUTED_VALUE"""),"Payment")</f>
        <v>Payment</v>
      </c>
      <c r="C110" s="2"/>
      <c r="D110" s="2" t="str">
        <f>IFERROR(__xludf.DUMMYFUNCTION("""COMPUTED_VALUE"""),"भुगतान")</f>
        <v>भुगतान</v>
      </c>
      <c r="E110" s="2" t="str">
        <f>IFERROR(__xludf.DUMMYFUNCTION("""COMPUTED_VALUE"""),"OK")</f>
        <v>OK</v>
      </c>
      <c r="F110" s="2" t="str">
        <f>IFERROR(__xludf.DUMMYFUNCTION("""COMPUTED_VALUE"""),"bhugtaan")</f>
        <v>bhugtaan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tr">
        <f>IFERROR(__xludf.DUMMYFUNCTION("""COMPUTED_VALUE"""),"orderTotal")</f>
        <v>orderTotal</v>
      </c>
      <c r="B111" s="2" t="str">
        <f>IFERROR(__xludf.DUMMYFUNCTION("""COMPUTED_VALUE"""),"Order Total")</f>
        <v>Order Total</v>
      </c>
      <c r="C111" s="2">
        <f>IFERROR(__xludf.DUMMYFUNCTION("""COMPUTED_VALUE"""),0.5)</f>
        <v>0.5</v>
      </c>
      <c r="D111" s="2" t="str">
        <f>IFERROR(__xludf.DUMMYFUNCTION("""COMPUTED_VALUE"""),"कुल आर्डर")</f>
        <v>कुल आर्डर</v>
      </c>
      <c r="E111" s="2" t="str">
        <f>IFERROR(__xludf.DUMMYFUNCTION("""COMPUTED_VALUE"""),"OK")</f>
        <v>OK</v>
      </c>
      <c r="F111" s="2" t="str">
        <f>IFERROR(__xludf.DUMMYFUNCTION("""COMPUTED_VALUE"""),"kul order")</f>
        <v>kul order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tr">
        <f>IFERROR(__xludf.DUMMYFUNCTION("""COMPUTED_VALUE"""),"orderPlaced")</f>
        <v>orderPlaced</v>
      </c>
      <c r="B112" s="2" t="str">
        <f>IFERROR(__xludf.DUMMYFUNCTION("""COMPUTED_VALUE"""),"Order Placed")</f>
        <v>Order Placed</v>
      </c>
      <c r="C112" s="2"/>
      <c r="D112" s="2" t="str">
        <f>IFERROR(__xludf.DUMMYFUNCTION("""COMPUTED_VALUE"""),"आदेश रखा")</f>
        <v>आदेश रखा</v>
      </c>
      <c r="E112" s="2" t="str">
        <f>IFERROR(__xludf.DUMMYFUNCTION("""COMPUTED_VALUE"""),"OK")</f>
        <v>OK</v>
      </c>
      <c r="F112" s="2" t="str">
        <f>IFERROR(__xludf.DUMMYFUNCTION("""COMPUTED_VALUE"""),"adesh rakhna")</f>
        <v>adesh rakhna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tr">
        <f>IFERROR(__xludf.DUMMYFUNCTION("""COMPUTED_VALUE"""),"orderAccepted")</f>
        <v>orderAccepted</v>
      </c>
      <c r="B113" s="2" t="str">
        <f>IFERROR(__xludf.DUMMYFUNCTION("""COMPUTED_VALUE"""),"Order Accepted")</f>
        <v>Order Accepted</v>
      </c>
      <c r="C113" s="2"/>
      <c r="D113" s="2" t="str">
        <f>IFERROR(__xludf.DUMMYFUNCTION("""COMPUTED_VALUE"""),"आदेश स्वीकार किया गया")</f>
        <v>आदेश स्वीकार किया गया</v>
      </c>
      <c r="E113" s="2" t="str">
        <f>IFERROR(__xludf.DUMMYFUNCTION("""COMPUTED_VALUE"""),"OK")</f>
        <v>OK</v>
      </c>
      <c r="F113" s="2" t="str">
        <f>IFERROR(__xludf.DUMMYFUNCTION("""COMPUTED_VALUE"""),"adesh svikaar kiya gaya")</f>
        <v>adesh svikaar kiya gaya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tr">
        <f>IFERROR(__xludf.DUMMYFUNCTION("""COMPUTED_VALUE"""),"processing")</f>
        <v>processing</v>
      </c>
      <c r="B114" s="2" t="str">
        <f>IFERROR(__xludf.DUMMYFUNCTION("""COMPUTED_VALUE"""),"Processing")</f>
        <v>Processing</v>
      </c>
      <c r="C114" s="2">
        <f>IFERROR(__xludf.DUMMYFUNCTION("""COMPUTED_VALUE"""),0.4)</f>
        <v>0.4</v>
      </c>
      <c r="D114" s="2" t="str">
        <f>IFERROR(__xludf.DUMMYFUNCTION("""COMPUTED_VALUE"""),"प्रसंस्करण")</f>
        <v>प्रसंस्करण</v>
      </c>
      <c r="E114" s="2" t="str">
        <f>IFERROR(__xludf.DUMMYFUNCTION("""COMPUTED_VALUE"""),"OK")</f>
        <v>OK</v>
      </c>
      <c r="F114" s="2" t="str">
        <f>IFERROR(__xludf.DUMMYFUNCTION("""COMPUTED_VALUE"""),"pransskaran")</f>
        <v>pransskaran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tr">
        <f>IFERROR(__xludf.DUMMYFUNCTION("""COMPUTED_VALUE"""),"ready")</f>
        <v>ready</v>
      </c>
      <c r="B115" s="2" t="str">
        <f>IFERROR(__xludf.DUMMYFUNCTION("""COMPUTED_VALUE"""),"Ready")</f>
        <v>Ready</v>
      </c>
      <c r="C115" s="2">
        <f>IFERROR(__xludf.DUMMYFUNCTION("""COMPUTED_VALUE"""),0.4)</f>
        <v>0.4</v>
      </c>
      <c r="D115" s="2" t="str">
        <f>IFERROR(__xludf.DUMMYFUNCTION("""COMPUTED_VALUE"""),"तैयार")</f>
        <v>तैयार</v>
      </c>
      <c r="E115" s="2" t="str">
        <f>IFERROR(__xludf.DUMMYFUNCTION("""COMPUTED_VALUE"""),"OK")</f>
        <v>OK</v>
      </c>
      <c r="F115" s="2" t="str">
        <f>IFERROR(__xludf.DUMMYFUNCTION("""COMPUTED_VALUE"""),"tayyar")</f>
        <v>tayyar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tr">
        <f>IFERROR(__xludf.DUMMYFUNCTION("""COMPUTED_VALUE"""),"dispatched")</f>
        <v>dispatched</v>
      </c>
      <c r="B116" s="2" t="str">
        <f>IFERROR(__xludf.DUMMYFUNCTION("""COMPUTED_VALUE"""),"Dispatched")</f>
        <v>Dispatched</v>
      </c>
      <c r="C116" s="2"/>
      <c r="D116" s="2" t="str">
        <f>IFERROR(__xludf.DUMMYFUNCTION("""COMPUTED_VALUE"""),"भेजा गया")</f>
        <v>भेजा गया</v>
      </c>
      <c r="E116" s="2" t="str">
        <f>IFERROR(__xludf.DUMMYFUNCTION("""COMPUTED_VALUE"""),"OK")</f>
        <v>OK</v>
      </c>
      <c r="F116" s="2" t="str">
        <f>IFERROR(__xludf.DUMMYFUNCTION("""COMPUTED_VALUE"""),"bhej gaya")</f>
        <v>bhej gaya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tr">
        <f>IFERROR(__xludf.DUMMYFUNCTION("""COMPUTED_VALUE"""),"contactSeller")</f>
        <v>contactSeller</v>
      </c>
      <c r="B117" s="2" t="str">
        <f>IFERROR(__xludf.DUMMYFUNCTION("""COMPUTED_VALUE"""),"Contact Seller")</f>
        <v>Contact Seller</v>
      </c>
      <c r="C117" s="2" t="str">
        <f>IFERROR(__xludf.DUMMYFUNCTION("""COMPUTED_VALUE"""),"0.4.1")</f>
        <v>0.4.1</v>
      </c>
      <c r="D117" s="2" t="str">
        <f>IFERROR(__xludf.DUMMYFUNCTION("""COMPUTED_VALUE"""),"विक्रेता से संपर्क कारें")</f>
        <v>विक्रेता से संपर्क कारें</v>
      </c>
      <c r="E117" s="2" t="str">
        <f>IFERROR(__xludf.DUMMYFUNCTION("""COMPUTED_VALUE"""),"OK")</f>
        <v>OK</v>
      </c>
      <c r="F117" s="2" t="str">
        <f>IFERROR(__xludf.DUMMYFUNCTION("""COMPUTED_VALUE"""),"vikreta se sampark kare")</f>
        <v>vikreta se sampark kare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tr">
        <f>IFERROR(__xludf.DUMMYFUNCTION("""COMPUTED_VALUE"""),"viewOrderSummary")</f>
        <v>viewOrderSummary</v>
      </c>
      <c r="B118" s="2" t="str">
        <f>IFERROR(__xludf.DUMMYFUNCTION("""COMPUTED_VALUE"""),"View Order Summary")</f>
        <v>View Order Summary</v>
      </c>
      <c r="C118" s="2"/>
      <c r="D118" s="2" t="str">
        <f>IFERROR(__xludf.DUMMYFUNCTION("""COMPUTED_VALUE"""),"देखें आदेश सारांश")</f>
        <v>देखें आदेश सारांश</v>
      </c>
      <c r="E118" s="2" t="str">
        <f>IFERROR(__xludf.DUMMYFUNCTION("""COMPUTED_VALUE"""),"OK")</f>
        <v>OK</v>
      </c>
      <c r="F118" s="2" t="str">
        <f>IFERROR(__xludf.DUMMYFUNCTION("""COMPUTED_VALUE"""),"dekhe adesh saransh")</f>
        <v>dekhe adesh saransh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tr">
        <f>IFERROR(__xludf.DUMMYFUNCTION("""COMPUTED_VALUE"""),"addInstructions")</f>
        <v>addInstructions</v>
      </c>
      <c r="B119" s="2" t="str">
        <f>IFERROR(__xludf.DUMMYFUNCTION("""COMPUTED_VALUE"""),"Add Instructions")</f>
        <v>Add Instructions</v>
      </c>
      <c r="C119" s="2"/>
      <c r="D119" s="2" t="str">
        <f>IFERROR(__xludf.DUMMYFUNCTION("""COMPUTED_VALUE"""),"निर्देश जोड़ें")</f>
        <v>निर्देश जोड़ें</v>
      </c>
      <c r="E119" s="2" t="str">
        <f>IFERROR(__xludf.DUMMYFUNCTION("""COMPUTED_VALUE"""),"OK")</f>
        <v>OK</v>
      </c>
      <c r="F119" s="2" t="str">
        <f>IFERROR(__xludf.DUMMYFUNCTION("""COMPUTED_VALUE"""),"nirdesh jode")</f>
        <v>nirdesh jode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tr">
        <f>IFERROR(__xludf.DUMMYFUNCTION("""COMPUTED_VALUE"""),"myAccount")</f>
        <v>myAccount</v>
      </c>
      <c r="B120" s="2" t="str">
        <f>IFERROR(__xludf.DUMMYFUNCTION("""COMPUTED_VALUE"""),"My Account ")</f>
        <v>My Account </v>
      </c>
      <c r="C120" s="2">
        <f>IFERROR(__xludf.DUMMYFUNCTION("""COMPUTED_VALUE"""),0.1)</f>
        <v>0.1</v>
      </c>
      <c r="D120" s="2" t="str">
        <f>IFERROR(__xludf.DUMMYFUNCTION("""COMPUTED_VALUE"""),"मेरा खाता")</f>
        <v>मेरा खाता</v>
      </c>
      <c r="E120" s="2" t="str">
        <f>IFERROR(__xludf.DUMMYFUNCTION("""COMPUTED_VALUE"""),"OK")</f>
        <v>OK</v>
      </c>
      <c r="F120" s="2" t="str">
        <f>IFERROR(__xludf.DUMMYFUNCTION("""COMPUTED_VALUE"""),"mera khata")</f>
        <v>mera khata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tr">
        <f>IFERROR(__xludf.DUMMYFUNCTION("""COMPUTED_VALUE"""),"favourite")</f>
        <v>favourite</v>
      </c>
      <c r="B121" s="2" t="str">
        <f>IFERROR(__xludf.DUMMYFUNCTION("""COMPUTED_VALUE"""),"Favourite")</f>
        <v>Favourite</v>
      </c>
      <c r="C121" s="2">
        <f>IFERROR(__xludf.DUMMYFUNCTION("""COMPUTED_VALUE"""),0.1)</f>
        <v>0.1</v>
      </c>
      <c r="D121" s="2" t="str">
        <f>IFERROR(__xludf.DUMMYFUNCTION("""COMPUTED_VALUE"""),"पसंदीदा")</f>
        <v>पसंदीदा</v>
      </c>
      <c r="E121" s="2" t="str">
        <f>IFERROR(__xludf.DUMMYFUNCTION("""COMPUTED_VALUE"""),"OK")</f>
        <v>OK</v>
      </c>
      <c r="F121" s="2" t="str">
        <f>IFERROR(__xludf.DUMMYFUNCTION("""COMPUTED_VALUE"""),"pasandida")</f>
        <v>pasandida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tr">
        <f>IFERROR(__xludf.DUMMYFUNCTION("""COMPUTED_VALUE"""),"settings")</f>
        <v>settings</v>
      </c>
      <c r="B122" s="2" t="str">
        <f>IFERROR(__xludf.DUMMYFUNCTION("""COMPUTED_VALUE"""),"Settings")</f>
        <v>Settings</v>
      </c>
      <c r="C122" s="2">
        <f>IFERROR(__xludf.DUMMYFUNCTION("""COMPUTED_VALUE"""),0.1)</f>
        <v>0.1</v>
      </c>
      <c r="D122" s="2" t="str">
        <f>IFERROR(__xludf.DUMMYFUNCTION("""COMPUTED_VALUE"""),"समायोजन")</f>
        <v>समायोजन</v>
      </c>
      <c r="E122" s="2" t="str">
        <f>IFERROR(__xludf.DUMMYFUNCTION("""COMPUTED_VALUE"""),"OK")</f>
        <v>OK</v>
      </c>
      <c r="F122" s="2" t="str">
        <f>IFERROR(__xludf.DUMMYFUNCTION("""COMPUTED_VALUE"""),"samayojna")</f>
        <v>samayojna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tr">
        <f>IFERROR(__xludf.DUMMYFUNCTION("""COMPUTED_VALUE"""),"myAddress")</f>
        <v>myAddress</v>
      </c>
      <c r="B123" s="2" t="str">
        <f>IFERROR(__xludf.DUMMYFUNCTION("""COMPUTED_VALUE"""),"My Address")</f>
        <v>My Address</v>
      </c>
      <c r="C123" s="2">
        <f>IFERROR(__xludf.DUMMYFUNCTION("""COMPUTED_VALUE"""),0.1)</f>
        <v>0.1</v>
      </c>
      <c r="D123" s="2" t="str">
        <f>IFERROR(__xludf.DUMMYFUNCTION("""COMPUTED_VALUE"""),"मेरा पता")</f>
        <v>मेरा पता</v>
      </c>
      <c r="E123" s="2" t="str">
        <f>IFERROR(__xludf.DUMMYFUNCTION("""COMPUTED_VALUE"""),"OK")</f>
        <v>OK</v>
      </c>
      <c r="F123" s="2" t="str">
        <f>IFERROR(__xludf.DUMMYFUNCTION("""COMPUTED_VALUE"""),"mera pata")</f>
        <v>mera pata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tr">
        <f>IFERROR(__xludf.DUMMYFUNCTION("""COMPUTED_VALUE"""),"myFamily")</f>
        <v>myFamily</v>
      </c>
      <c r="B124" s="2" t="str">
        <f>IFERROR(__xludf.DUMMYFUNCTION("""COMPUTED_VALUE"""),"My Family")</f>
        <v>My Family</v>
      </c>
      <c r="C124" s="2">
        <f>IFERROR(__xludf.DUMMYFUNCTION("""COMPUTED_VALUE"""),0.5)</f>
        <v>0.5</v>
      </c>
      <c r="D124" s="2" t="str">
        <f>IFERROR(__xludf.DUMMYFUNCTION("""COMPUTED_VALUE"""),"मेरा परिवार")</f>
        <v>मेरा परिवार</v>
      </c>
      <c r="E124" s="2" t="str">
        <f>IFERROR(__xludf.DUMMYFUNCTION("""COMPUTED_VALUE"""),"OK")</f>
        <v>OK</v>
      </c>
      <c r="F124" s="2" t="str">
        <f>IFERROR(__xludf.DUMMYFUNCTION("""COMPUTED_VALUE"""),"mera parivar")</f>
        <v>mera parivar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tr">
        <f>IFERROR(__xludf.DUMMYFUNCTION("""COMPUTED_VALUE"""),"refer")</f>
        <v>refer</v>
      </c>
      <c r="B125" s="2" t="str">
        <f>IFERROR(__xludf.DUMMYFUNCTION("""COMPUTED_VALUE"""),"Refer")</f>
        <v>Refer</v>
      </c>
      <c r="C125" s="2">
        <f>IFERROR(__xludf.DUMMYFUNCTION("""COMPUTED_VALUE"""),0.1)</f>
        <v>0.1</v>
      </c>
      <c r="D125" s="2" t="str">
        <f>IFERROR(__xludf.DUMMYFUNCTION("""COMPUTED_VALUE"""),"उद्घृत करना")</f>
        <v>उद्घृत करना</v>
      </c>
      <c r="E125" s="2" t="str">
        <f>IFERROR(__xludf.DUMMYFUNCTION("""COMPUTED_VALUE"""),"OK")</f>
        <v>OK</v>
      </c>
      <c r="F125" s="2" t="str">
        <f>IFERROR(__xludf.DUMMYFUNCTION("""COMPUTED_VALUE"""),"udghrut karna")</f>
        <v>udghrut karna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tr">
        <f>IFERROR(__xludf.DUMMYFUNCTION("""COMPUTED_VALUE"""),"consumer")</f>
        <v>consumer</v>
      </c>
      <c r="B126" s="2" t="str">
        <f>IFERROR(__xludf.DUMMYFUNCTION("""COMPUTED_VALUE"""),"Consumer")</f>
        <v>Consumer</v>
      </c>
      <c r="C126" s="2">
        <f>IFERROR(__xludf.DUMMYFUNCTION("""COMPUTED_VALUE"""),0.1)</f>
        <v>0.1</v>
      </c>
      <c r="D126" s="2" t="str">
        <f>IFERROR(__xludf.DUMMYFUNCTION("""COMPUTED_VALUE"""),"उपभोक्ता")</f>
        <v>उपभोक्ता</v>
      </c>
      <c r="E126" s="2" t="str">
        <f>IFERROR(__xludf.DUMMYFUNCTION("""COMPUTED_VALUE"""),"OK")</f>
        <v>OK</v>
      </c>
      <c r="F126" s="2" t="str">
        <f>IFERROR(__xludf.DUMMYFUNCTION("""COMPUTED_VALUE"""),"vyaktigat")</f>
        <v>vyaktigat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tr">
        <f>IFERROR(__xludf.DUMMYFUNCTION("""COMPUTED_VALUE"""),"business")</f>
        <v>business</v>
      </c>
      <c r="B127" s="2" t="str">
        <f>IFERROR(__xludf.DUMMYFUNCTION("""COMPUTED_VALUE"""),"Business")</f>
        <v>Business</v>
      </c>
      <c r="C127" s="2">
        <f>IFERROR(__xludf.DUMMYFUNCTION("""COMPUTED_VALUE"""),0.5)</f>
        <v>0.5</v>
      </c>
      <c r="D127" s="2" t="str">
        <f>IFERROR(__xludf.DUMMYFUNCTION("""COMPUTED_VALUE"""),"व्यवसाय")</f>
        <v>व्यवसाय</v>
      </c>
      <c r="E127" s="2" t="str">
        <f>IFERROR(__xludf.DUMMYFUNCTION("""COMPUTED_VALUE"""),"OK")</f>
        <v>OK</v>
      </c>
      <c r="F127" s="2" t="str">
        <f>IFERROR(__xludf.DUMMYFUNCTION("""COMPUTED_VALUE"""),"basa")</f>
        <v>basa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tr">
        <f>IFERROR(__xludf.DUMMYFUNCTION("""COMPUTED_VALUE"""),"postOrder")</f>
        <v>postOrder</v>
      </c>
      <c r="B128" s="2" t="str">
        <f>IFERROR(__xludf.DUMMYFUNCTION("""COMPUTED_VALUE"""),"Post Order")</f>
        <v>Post Order</v>
      </c>
      <c r="C128" s="2"/>
      <c r="D128" s="2" t="str">
        <f>IFERROR(__xludf.DUMMYFUNCTION("""COMPUTED_VALUE"""),"पोस्ट ऑर्डर")</f>
        <v>पोस्ट ऑर्डर</v>
      </c>
      <c r="E128" s="2" t="str">
        <f>IFERROR(__xludf.DUMMYFUNCTION("""COMPUTED_VALUE"""),"OK")</f>
        <v>OK</v>
      </c>
      <c r="F128" s="2" t="str">
        <f>IFERROR(__xludf.DUMMYFUNCTION("""COMPUTED_VALUE"""),"post order")</f>
        <v>post order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tr">
        <f>IFERROR(__xludf.DUMMYFUNCTION("""COMPUTED_VALUE"""),"logout")</f>
        <v>logout</v>
      </c>
      <c r="B129" s="2" t="str">
        <f>IFERROR(__xludf.DUMMYFUNCTION("""COMPUTED_VALUE"""),"Log Out")</f>
        <v>Log Out</v>
      </c>
      <c r="C129" s="2">
        <f>IFERROR(__xludf.DUMMYFUNCTION("""COMPUTED_VALUE"""),0.1)</f>
        <v>0.1</v>
      </c>
      <c r="D129" s="2" t="str">
        <f>IFERROR(__xludf.DUMMYFUNCTION("""COMPUTED_VALUE"""),"लॉग आउट")</f>
        <v>लॉग आउट</v>
      </c>
      <c r="E129" s="2" t="str">
        <f>IFERROR(__xludf.DUMMYFUNCTION("""COMPUTED_VALUE"""),"OK")</f>
        <v>OK</v>
      </c>
      <c r="F129" s="2" t="str">
        <f>IFERROR(__xludf.DUMMYFUNCTION("""COMPUTED_VALUE"""),"logout")</f>
        <v>logout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tr">
        <f>IFERROR(__xludf.DUMMYFUNCTION("""COMPUTED_VALUE"""),"me")</f>
        <v>me</v>
      </c>
      <c r="B130" s="2" t="str">
        <f>IFERROR(__xludf.DUMMYFUNCTION("""COMPUTED_VALUE"""),"Me")</f>
        <v>Me</v>
      </c>
      <c r="C130" s="2">
        <f>IFERROR(__xludf.DUMMYFUNCTION("""COMPUTED_VALUE"""),0.5)</f>
        <v>0.5</v>
      </c>
      <c r="D130" s="2" t="str">
        <f>IFERROR(__xludf.DUMMYFUNCTION("""COMPUTED_VALUE"""),"मुझे")</f>
        <v>मुझे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tr">
        <f>IFERROR(__xludf.DUMMYFUNCTION("""COMPUTED_VALUE"""),"contactNumber")</f>
        <v>contactNumber</v>
      </c>
      <c r="B131" s="2" t="str">
        <f>IFERROR(__xludf.DUMMYFUNCTION("""COMPUTED_VALUE"""),"Contact Number")</f>
        <v>Contact Number</v>
      </c>
      <c r="C131" s="2"/>
      <c r="D131" s="2" t="str">
        <f>IFERROR(__xludf.DUMMYFUNCTION("""COMPUTED_VALUE"""),"संपर्क संख्या")</f>
        <v>संपर्क संख्या</v>
      </c>
      <c r="E131" s="2" t="str">
        <f>IFERROR(__xludf.DUMMYFUNCTION("""COMPUTED_VALUE"""),"OK")</f>
        <v>OK</v>
      </c>
      <c r="F131" s="2" t="str">
        <f>IFERROR(__xludf.DUMMYFUNCTION("""COMPUTED_VALUE"""),"sampark sankhya")</f>
        <v>sampark sankhya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tr">
        <f>IFERROR(__xludf.DUMMYFUNCTION("""COMPUTED_VALUE"""),"relation")</f>
        <v>relation</v>
      </c>
      <c r="B132" s="2" t="str">
        <f>IFERROR(__xludf.DUMMYFUNCTION("""COMPUTED_VALUE"""),"Relation")</f>
        <v>Relation</v>
      </c>
      <c r="C132" s="2">
        <f>IFERROR(__xludf.DUMMYFUNCTION("""COMPUTED_VALUE"""),0.5)</f>
        <v>0.5</v>
      </c>
      <c r="D132" s="2" t="str">
        <f>IFERROR(__xludf.DUMMYFUNCTION("""COMPUTED_VALUE"""),"रिश्ता")</f>
        <v>रिश्ता</v>
      </c>
      <c r="E132" s="2" t="str">
        <f>IFERROR(__xludf.DUMMYFUNCTION("""COMPUTED_VALUE"""),"OK")</f>
        <v>OK</v>
      </c>
      <c r="F132" s="2" t="str">
        <f>IFERROR(__xludf.DUMMYFUNCTION("""COMPUTED_VALUE"""),"rishta")</f>
        <v>rishta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tr">
        <f>IFERROR(__xludf.DUMMYFUNCTION("""COMPUTED_VALUE"""),"getOtp")</f>
        <v>getOtp</v>
      </c>
      <c r="B133" s="2" t="str">
        <f>IFERROR(__xludf.DUMMYFUNCTION("""COMPUTED_VALUE"""),"Get OTP")</f>
        <v>Get OTP</v>
      </c>
      <c r="C133" s="2">
        <f>IFERROR(__xludf.DUMMYFUNCTION("""COMPUTED_VALUE"""),0.1)</f>
        <v>0.1</v>
      </c>
      <c r="D133" s="2" t="str">
        <f>IFERROR(__xludf.DUMMYFUNCTION("""COMPUTED_VALUE"""),"ओटीपी प्राप्त करें")</f>
        <v>ओटीपी प्राप्त करें</v>
      </c>
      <c r="E133" s="2" t="str">
        <f>IFERROR(__xludf.DUMMYFUNCTION("""COMPUTED_VALUE"""),"OK")</f>
        <v>OK</v>
      </c>
      <c r="F133" s="2" t="str">
        <f>IFERROR(__xludf.DUMMYFUNCTION("""COMPUTED_VALUE"""),"otp prapt karna")</f>
        <v>otp prapt karna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tr">
        <f>IFERROR(__xludf.DUMMYFUNCTION("""COMPUTED_VALUE"""),"enterOtp")</f>
        <v>enterOtp</v>
      </c>
      <c r="B134" s="2" t="str">
        <f>IFERROR(__xludf.DUMMYFUNCTION("""COMPUTED_VALUE"""),"Enter OTP")</f>
        <v>Enter OTP</v>
      </c>
      <c r="C134" s="2">
        <f>IFERROR(__xludf.DUMMYFUNCTION("""COMPUTED_VALUE"""),0.1)</f>
        <v>0.1</v>
      </c>
      <c r="D134" s="2" t="str">
        <f>IFERROR(__xludf.DUMMYFUNCTION("""COMPUTED_VALUE"""),"ओटीपी दर्ज करें")</f>
        <v>ओटीपी दर्ज करें</v>
      </c>
      <c r="E134" s="2" t="str">
        <f>IFERROR(__xludf.DUMMYFUNCTION("""COMPUTED_VALUE"""),"OK")</f>
        <v>OK</v>
      </c>
      <c r="F134" s="2" t="str">
        <f>IFERROR(__xludf.DUMMYFUNCTION("""COMPUTED_VALUE"""),"otp darj karna")</f>
        <v>otp darj karna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tr">
        <f>IFERROR(__xludf.DUMMYFUNCTION("""COMPUTED_VALUE"""),"mail")</f>
        <v>mail</v>
      </c>
      <c r="B135" s="2" t="str">
        <f>IFERROR(__xludf.DUMMYFUNCTION("""COMPUTED_VALUE"""),"Mail")</f>
        <v>Mail</v>
      </c>
      <c r="C135" s="2"/>
      <c r="D135" s="2" t="str">
        <f>IFERROR(__xludf.DUMMYFUNCTION("""COMPUTED_VALUE"""),"मेल")</f>
        <v>मेल</v>
      </c>
      <c r="E135" s="2" t="str">
        <f>IFERROR(__xludf.DUMMYFUNCTION("""COMPUTED_VALUE"""),"OK")</f>
        <v>OK</v>
      </c>
      <c r="F135" s="2" t="str">
        <f>IFERROR(__xludf.DUMMYFUNCTION("""COMPUTED_VALUE"""),"mail")</f>
        <v>mail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tr">
        <f>IFERROR(__xludf.DUMMYFUNCTION("""COMPUTED_VALUE"""),"facebook")</f>
        <v>facebook</v>
      </c>
      <c r="B136" s="2" t="str">
        <f>IFERROR(__xludf.DUMMYFUNCTION("""COMPUTED_VALUE"""),"Facebook")</f>
        <v>Facebook</v>
      </c>
      <c r="C136" s="2"/>
      <c r="D136" s="2" t="str">
        <f>IFERROR(__xludf.DUMMYFUNCTION("""COMPUTED_VALUE"""),"फेसबुक")</f>
        <v>फेसबुक</v>
      </c>
      <c r="E136" s="2" t="str">
        <f>IFERROR(__xludf.DUMMYFUNCTION("""COMPUTED_VALUE"""),"OK")</f>
        <v>OK</v>
      </c>
      <c r="F136" s="2" t="str">
        <f>IFERROR(__xludf.DUMMYFUNCTION("""COMPUTED_VALUE"""),"facebook")</f>
        <v>facebook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tr">
        <f>IFERROR(__xludf.DUMMYFUNCTION("""COMPUTED_VALUE"""),"newaddress")</f>
        <v>newaddress</v>
      </c>
      <c r="B137" s="2" t="str">
        <f>IFERROR(__xludf.DUMMYFUNCTION("""COMPUTED_VALUE"""),"New Address")</f>
        <v>New Address</v>
      </c>
      <c r="C137" s="2">
        <f>IFERROR(__xludf.DUMMYFUNCTION("""COMPUTED_VALUE"""),0.3)</f>
        <v>0.3</v>
      </c>
      <c r="D137" s="2" t="str">
        <f>IFERROR(__xludf.DUMMYFUNCTION("""COMPUTED_VALUE"""),"नया पता")</f>
        <v>नया पता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tr">
        <f>IFERROR(__xludf.DUMMYFUNCTION("""COMPUTED_VALUE"""),"reorder ")</f>
        <v>reorder </v>
      </c>
      <c r="B138" s="2" t="str">
        <f>IFERROR(__xludf.DUMMYFUNCTION("""COMPUTED_VALUE"""),"Reorder")</f>
        <v>Reorder</v>
      </c>
      <c r="C138" s="2">
        <f>IFERROR(__xludf.DUMMYFUNCTION("""COMPUTED_VALUE"""),0.5)</f>
        <v>0.5</v>
      </c>
      <c r="D138" s="2" t="str">
        <f>IFERROR(__xludf.DUMMYFUNCTION("""COMPUTED_VALUE"""),"पुन: व्यवस्थित करें")</f>
        <v>पुन: व्यवस्थित करें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tr">
        <f>IFERROR(__xludf.DUMMYFUNCTION("""COMPUTED_VALUE"""),"contact")</f>
        <v>contact</v>
      </c>
      <c r="B139" s="2" t="str">
        <f>IFERROR(__xludf.DUMMYFUNCTION("""COMPUTED_VALUE"""),"Contact ")</f>
        <v>Contact </v>
      </c>
      <c r="C139" s="2"/>
      <c r="D139" s="2" t="str">
        <f>IFERROR(__xludf.DUMMYFUNCTION("""COMPUTED_VALUE"""),"संपर्क")</f>
        <v>संपर्क</v>
      </c>
      <c r="E139" s="2" t="str">
        <f>IFERROR(__xludf.DUMMYFUNCTION("""COMPUTED_VALUE"""),"no")</f>
        <v>no</v>
      </c>
      <c r="F139" s="2" t="str">
        <f>IFERROR(__xludf.DUMMYFUNCTION("""COMPUTED_VALUE"""),"sampark sankhya")</f>
        <v>sampark sankhya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tr">
        <f>IFERROR(__xludf.DUMMYFUNCTION("""COMPUTED_VALUE"""),"update")</f>
        <v>update</v>
      </c>
      <c r="B140" s="2" t="str">
        <f>IFERROR(__xludf.DUMMYFUNCTION("""COMPUTED_VALUE"""),"Update ")</f>
        <v>Update </v>
      </c>
      <c r="C140" s="2">
        <f>IFERROR(__xludf.DUMMYFUNCTION("""COMPUTED_VALUE"""),0.2)</f>
        <v>0.2</v>
      </c>
      <c r="D140" s="2" t="str">
        <f>IFERROR(__xludf.DUMMYFUNCTION("""COMPUTED_VALUE"""),"अद्यतन")</f>
        <v>अद्यतन</v>
      </c>
      <c r="E140" s="2" t="str">
        <f>IFERROR(__xludf.DUMMYFUNCTION("""COMPUTED_VALUE"""),"OK")</f>
        <v>OK</v>
      </c>
      <c r="F140" s="2" t="str">
        <f>IFERROR(__xludf.DUMMYFUNCTION("""COMPUTED_VALUE"""),"update kare")</f>
        <v>update kare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tr">
        <f>IFERROR(__xludf.DUMMYFUNCTION("""COMPUTED_VALUE"""),"OrderNotification")</f>
        <v>OrderNotification</v>
      </c>
      <c r="B141" s="2" t="str">
        <f>IFERROR(__xludf.DUMMYFUNCTION("""COMPUTED_VALUE"""),"Order Notification")</f>
        <v>Order Notification</v>
      </c>
      <c r="C141" s="2">
        <f>IFERROR(__xludf.DUMMYFUNCTION("""COMPUTED_VALUE"""),0.3)</f>
        <v>0.3</v>
      </c>
      <c r="D141" s="2" t="str">
        <f>IFERROR(__xludf.DUMMYFUNCTION("""COMPUTED_VALUE"""),"आदेश अधिसूचना")</f>
        <v>आदेश अधिसूचना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tr">
        <f>IFERROR(__xludf.DUMMYFUNCTION("""COMPUTED_VALUE"""),"items")</f>
        <v>items</v>
      </c>
      <c r="B142" s="2" t="str">
        <f>IFERROR(__xludf.DUMMYFUNCTION("""COMPUTED_VALUE"""),"Items")</f>
        <v>Items</v>
      </c>
      <c r="C142" s="2"/>
      <c r="D142" s="2" t="str">
        <f>IFERROR(__xludf.DUMMYFUNCTION("""COMPUTED_VALUE"""),"सामान")</f>
        <v>सामान</v>
      </c>
      <c r="E142" s="2" t="str">
        <f>IFERROR(__xludf.DUMMYFUNCTION("""COMPUTED_VALUE"""),"OK")</f>
        <v>OK</v>
      </c>
      <c r="F142" s="2" t="str">
        <f>IFERROR(__xludf.DUMMYFUNCTION("""COMPUTED_VALUE"""),"samaan")</f>
        <v>samaan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tr">
        <f>IFERROR(__xludf.DUMMYFUNCTION("""COMPUTED_VALUE"""),"shops")</f>
        <v>shops</v>
      </c>
      <c r="B143" s="2" t="str">
        <f>IFERROR(__xludf.DUMMYFUNCTION("""COMPUTED_VALUE"""),"Shops")</f>
        <v>Shops</v>
      </c>
      <c r="C143" s="2"/>
      <c r="D143" s="2" t="str">
        <f>IFERROR(__xludf.DUMMYFUNCTION("""COMPUTED_VALUE"""),"दुकानें")</f>
        <v>दुकानें</v>
      </c>
      <c r="E143" s="2" t="str">
        <f>IFERROR(__xludf.DUMMYFUNCTION("""COMPUTED_VALUE"""),"OK")</f>
        <v>OK</v>
      </c>
      <c r="F143" s="2" t="str">
        <f>IFERROR(__xludf.DUMMYFUNCTION("""COMPUTED_VALUE"""),"dukaan ka")</f>
        <v>dukaan ka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tr">
        <f>IFERROR(__xludf.DUMMYFUNCTION("""COMPUTED_VALUE"""),"allowLocation")</f>
        <v>allowLocation</v>
      </c>
      <c r="B144" s="2" t="str">
        <f>IFERROR(__xludf.DUMMYFUNCTION("""COMPUTED_VALUE"""),"Allow Location")</f>
        <v>Allow Location</v>
      </c>
      <c r="C144" s="2"/>
      <c r="D144" s="2" t="str">
        <f>IFERROR(__xludf.DUMMYFUNCTION("""COMPUTED_VALUE"""),"स्थान की अनुमति दें")</f>
        <v>स्थान की अनुमति दें</v>
      </c>
      <c r="E144" s="2" t="str">
        <f>IFERROR(__xludf.DUMMYFUNCTION("""COMPUTED_VALUE"""),"OK")</f>
        <v>OK</v>
      </c>
      <c r="F144" s="2" t="str">
        <f>IFERROR(__xludf.DUMMYFUNCTION("""COMPUTED_VALUE"""),"sthan ki anumati kare")</f>
        <v>sthan ki anumati kare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tr">
        <f>IFERROR(__xludf.DUMMYFUNCTION("""COMPUTED_VALUE"""),"allowNotification")</f>
        <v>allowNotification</v>
      </c>
      <c r="B145" s="2" t="str">
        <f>IFERROR(__xludf.DUMMYFUNCTION("""COMPUTED_VALUE"""),"Allow Notification")</f>
        <v>Allow Notification</v>
      </c>
      <c r="C145" s="2"/>
      <c r="D145" s="2" t="str">
        <f>IFERROR(__xludf.DUMMYFUNCTION("""COMPUTED_VALUE"""),"अधिसूचना की अनुमति दें")</f>
        <v>अधिसूचना की अनुमति दें</v>
      </c>
      <c r="E145" s="2" t="str">
        <f>IFERROR(__xludf.DUMMYFUNCTION("""COMPUTED_VALUE"""),"OK")</f>
        <v>OK</v>
      </c>
      <c r="F145" s="2" t="str">
        <f>IFERROR(__xludf.DUMMYFUNCTION("""COMPUTED_VALUE"""),"adhisuchna ki anumati")</f>
        <v>adhisuchna ki anumati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tr">
        <f>IFERROR(__xludf.DUMMYFUNCTION("""COMPUTED_VALUE"""),"History")</f>
        <v>History</v>
      </c>
      <c r="B146" s="2" t="str">
        <f>IFERROR(__xludf.DUMMYFUNCTION("""COMPUTED_VALUE"""),"History")</f>
        <v>History</v>
      </c>
      <c r="C146" s="2">
        <f>IFERROR(__xludf.DUMMYFUNCTION("""COMPUTED_VALUE"""),0.3)</f>
        <v>0.3</v>
      </c>
      <c r="D146" s="2" t="str">
        <f>IFERROR(__xludf.DUMMYFUNCTION("""COMPUTED_VALUE"""),"इतिहास")</f>
        <v>इतिहास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tr">
        <f>IFERROR(__xludf.DUMMYFUNCTION("""COMPUTED_VALUE"""),"homeWork")</f>
        <v>homeWork</v>
      </c>
      <c r="B147" s="2" t="str">
        <f>IFERROR(__xludf.DUMMYFUNCTION("""COMPUTED_VALUE"""),"Home Work")</f>
        <v>Home Work</v>
      </c>
      <c r="C147" s="2"/>
      <c r="D147" s="2" t="str">
        <f>IFERROR(__xludf.DUMMYFUNCTION("""COMPUTED_VALUE"""),"गृहकार्य")</f>
        <v>गृहकार्य</v>
      </c>
      <c r="E147" s="2" t="str">
        <f>IFERROR(__xludf.DUMMYFUNCTION("""COMPUTED_VALUE"""),"OK")</f>
        <v>OK</v>
      </c>
      <c r="F147" s="2" t="str">
        <f>IFERROR(__xludf.DUMMYFUNCTION("""COMPUTED_VALUE"""),"ghar ka path")</f>
        <v>ghar ka path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 t="str">
        <f>IFERROR(__xludf.DUMMYFUNCTION("""COMPUTED_VALUE"""),"addNewAddress")</f>
        <v>addNewAddress</v>
      </c>
      <c r="B148" s="2" t="str">
        <f>IFERROR(__xludf.DUMMYFUNCTION("""COMPUTED_VALUE"""),"Add New Address")</f>
        <v>Add New Address</v>
      </c>
      <c r="C148" s="2">
        <f>IFERROR(__xludf.DUMMYFUNCTION("""COMPUTED_VALUE"""),0.5)</f>
        <v>0.5</v>
      </c>
      <c r="D148" s="2" t="str">
        <f>IFERROR(__xludf.DUMMYFUNCTION("""COMPUTED_VALUE"""),"नया पता जोड़ें")</f>
        <v>नया पता जोड़ें</v>
      </c>
      <c r="E148" s="2" t="str">
        <f>IFERROR(__xludf.DUMMYFUNCTION("""COMPUTED_VALUE"""),"OK")</f>
        <v>OK</v>
      </c>
      <c r="F148" s="2" t="str">
        <f>IFERROR(__xludf.DUMMYFUNCTION("""COMPUTED_VALUE"""),"naya pata jode")</f>
        <v>naya pata jode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tr">
        <f>IFERROR(__xludf.DUMMYFUNCTION("""COMPUTED_VALUE"""),"landMark")</f>
        <v>landMark</v>
      </c>
      <c r="B149" s="2" t="str">
        <f>IFERROR(__xludf.DUMMYFUNCTION("""COMPUTED_VALUE"""),"Landmark")</f>
        <v>Landmark</v>
      </c>
      <c r="C149" s="2"/>
      <c r="D149" s="2" t="str">
        <f>IFERROR(__xludf.DUMMYFUNCTION("""COMPUTED_VALUE"""),"सीमाचिह्न")</f>
        <v>सीमाचिह्न</v>
      </c>
      <c r="E149" s="2" t="str">
        <f>IFERROR(__xludf.DUMMYFUNCTION("""COMPUTED_VALUE"""),"OK")</f>
        <v>OK</v>
      </c>
      <c r="F149" s="2" t="str">
        <f>IFERROR(__xludf.DUMMYFUNCTION("""COMPUTED_VALUE"""),"simachinh")</f>
        <v>simachinh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tr">
        <f>IFERROR(__xludf.DUMMYFUNCTION("""COMPUTED_VALUE"""),"saveAndProceed")</f>
        <v>saveAndProceed</v>
      </c>
      <c r="B150" s="2" t="str">
        <f>IFERROR(__xludf.DUMMYFUNCTION("""COMPUTED_VALUE"""),"Save and Proceed")</f>
        <v>Save and Proceed</v>
      </c>
      <c r="C150" s="2">
        <f>IFERROR(__xludf.DUMMYFUNCTION("""COMPUTED_VALUE"""),0.3)</f>
        <v>0.3</v>
      </c>
      <c r="D150" s="2" t="str">
        <f>IFERROR(__xludf.DUMMYFUNCTION("""COMPUTED_VALUE"""),"सहेजें और आगे बढ़ें")</f>
        <v>सहेजें और आगे बढ़ें</v>
      </c>
      <c r="E150" s="2" t="str">
        <f>IFERROR(__xludf.DUMMYFUNCTION("""COMPUTED_VALUE"""),"OK")</f>
        <v>OK</v>
      </c>
      <c r="F150" s="2" t="str">
        <f>IFERROR(__xludf.DUMMYFUNCTION("""COMPUTED_VALUE"""),"saheje aur aage badhe")</f>
        <v>saheje aur aage badhe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tr">
        <f>IFERROR(__xludf.DUMMYFUNCTION("""COMPUTED_VALUE"""),"termsAndConditions")</f>
        <v>termsAndConditions</v>
      </c>
      <c r="B151" s="2" t="str">
        <f>IFERROR(__xludf.DUMMYFUNCTION("""COMPUTED_VALUE"""),"Terms and Conditions ")</f>
        <v>Terms and Conditions </v>
      </c>
      <c r="C151" s="2">
        <f>IFERROR(__xludf.DUMMYFUNCTION("""COMPUTED_VALUE"""),0.3)</f>
        <v>0.3</v>
      </c>
      <c r="D151" s="2" t="str">
        <f>IFERROR(__xludf.DUMMYFUNCTION("""COMPUTED_VALUE"""),"नियम और शर्तें")</f>
        <v>नियम और शर्तें</v>
      </c>
      <c r="E151" s="2" t="str">
        <f>IFERROR(__xludf.DUMMYFUNCTION("""COMPUTED_VALUE"""),"OK")</f>
        <v>OK</v>
      </c>
      <c r="F151" s="2" t="str">
        <f>IFERROR(__xludf.DUMMYFUNCTION("""COMPUTED_VALUE"""),"niyam aur shatre")</f>
        <v>niyam aur shatre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 t="str">
        <f>IFERROR(__xludf.DUMMYFUNCTION("""COMPUTED_VALUE"""),"faqs")</f>
        <v>faqs</v>
      </c>
      <c r="B152" s="2" t="str">
        <f>IFERROR(__xludf.DUMMYFUNCTION("""COMPUTED_VALUE"""),"FAQs")</f>
        <v>FAQs</v>
      </c>
      <c r="C152" s="2">
        <f>IFERROR(__xludf.DUMMYFUNCTION("""COMPUTED_VALUE"""),0.2)</f>
        <v>0.2</v>
      </c>
      <c r="D152" s="2" t="str">
        <f>IFERROR(__xludf.DUMMYFUNCTION("""COMPUTED_VALUE"""),"पूछे जाने वाले प्रश्न")</f>
        <v>पूछे जाने वाले प्रश्न</v>
      </c>
      <c r="E152" s="2" t="str">
        <f>IFERROR(__xludf.DUMMYFUNCTION("""COMPUTED_VALUE"""),"OK")</f>
        <v>OK</v>
      </c>
      <c r="F152" s="2" t="str">
        <f>IFERROR(__xludf.DUMMYFUNCTION("""COMPUTED_VALUE"""),"samanya prashnottar")</f>
        <v>samanya prashnottar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 t="str">
        <f>IFERROR(__xludf.DUMMYFUNCTION("""COMPUTED_VALUE"""),"privacyPolicy")</f>
        <v>privacyPolicy</v>
      </c>
      <c r="B153" s="2" t="str">
        <f>IFERROR(__xludf.DUMMYFUNCTION("""COMPUTED_VALUE"""),"Privacy Policy ")</f>
        <v>Privacy Policy </v>
      </c>
      <c r="C153" s="2">
        <f>IFERROR(__xludf.DUMMYFUNCTION("""COMPUTED_VALUE"""),0.3)</f>
        <v>0.3</v>
      </c>
      <c r="D153" s="2" t="str">
        <f>IFERROR(__xludf.DUMMYFUNCTION("""COMPUTED_VALUE"""),"गोपनीयता नीति")</f>
        <v>गोपनीयता नीति</v>
      </c>
      <c r="E153" s="2" t="str">
        <f>IFERROR(__xludf.DUMMYFUNCTION("""COMPUTED_VALUE"""),"OK")</f>
        <v>OK</v>
      </c>
      <c r="F153" s="2" t="str">
        <f>IFERROR(__xludf.DUMMYFUNCTION("""COMPUTED_VALUE"""),"gopniyata niti")</f>
        <v>gopniyata niti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tr">
        <f>IFERROR(__xludf.DUMMYFUNCTION("""COMPUTED_VALUE"""),"contactUs")</f>
        <v>contactUs</v>
      </c>
      <c r="B154" s="2" t="str">
        <f>IFERROR(__xludf.DUMMYFUNCTION("""COMPUTED_VALUE"""),"Contact Us")</f>
        <v>Contact Us</v>
      </c>
      <c r="C154" s="2"/>
      <c r="D154" s="2" t="str">
        <f>IFERROR(__xludf.DUMMYFUNCTION("""COMPUTED_VALUE"""),"संपर्क करें")</f>
        <v>संपर्क करें</v>
      </c>
      <c r="E154" s="2" t="str">
        <f>IFERROR(__xludf.DUMMYFUNCTION("""COMPUTED_VALUE"""),"OK")</f>
        <v>OK</v>
      </c>
      <c r="F154" s="2" t="str">
        <f>IFERROR(__xludf.DUMMYFUNCTION("""COMPUTED_VALUE"""),"sampark kare")</f>
        <v>sampark kare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 t="str">
        <f>IFERROR(__xludf.DUMMYFUNCTION("""COMPUTED_VALUE"""),"customerCare")</f>
        <v>customerCare</v>
      </c>
      <c r="B155" s="2" t="str">
        <f>IFERROR(__xludf.DUMMYFUNCTION("""COMPUTED_VALUE"""),"Customer Care")</f>
        <v>Customer Care</v>
      </c>
      <c r="C155" s="2"/>
      <c r="D155" s="2" t="str">
        <f>IFERROR(__xludf.DUMMYFUNCTION("""COMPUTED_VALUE"""),"ग्राहक देखभाल")</f>
        <v>ग्राहक देखभाल</v>
      </c>
      <c r="E155" s="2" t="str">
        <f>IFERROR(__xludf.DUMMYFUNCTION("""COMPUTED_VALUE"""),"OK")</f>
        <v>OK</v>
      </c>
      <c r="F155" s="2" t="str">
        <f>IFERROR(__xludf.DUMMYFUNCTION("""COMPUTED_VALUE"""),"grahatk dekhbaal")</f>
        <v>grahatk dekhbaal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 t="str">
        <f>IFERROR(__xludf.DUMMYFUNCTION("""COMPUTED_VALUE"""),"customerCareNumber")</f>
        <v>customerCareNumber</v>
      </c>
      <c r="B156" s="2" t="str">
        <f>IFERROR(__xludf.DUMMYFUNCTION("""COMPUTED_VALUE"""),"Customer Care Number ")</f>
        <v>Customer Care Number </v>
      </c>
      <c r="C156" s="2"/>
      <c r="D156" s="2" t="str">
        <f>IFERROR(__xludf.DUMMYFUNCTION("""COMPUTED_VALUE"""),"ग्राहक देखभाल संख्या")</f>
        <v>ग्राहक देखभाल संख्या</v>
      </c>
      <c r="E156" s="2" t="str">
        <f>IFERROR(__xludf.DUMMYFUNCTION("""COMPUTED_VALUE"""),"OK")</f>
        <v>OK</v>
      </c>
      <c r="F156" s="2" t="str">
        <f>IFERROR(__xludf.DUMMYFUNCTION("""COMPUTED_VALUE"""),"gharhak dekhbaal sankhya")</f>
        <v>gharhak dekhbaal sankhya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 t="str">
        <f>IFERROR(__xludf.DUMMYFUNCTION("""COMPUTED_VALUE"""),"yes")</f>
        <v>yes</v>
      </c>
      <c r="B157" s="2" t="str">
        <f>IFERROR(__xludf.DUMMYFUNCTION("""COMPUTED_VALUE"""),"Yes")</f>
        <v>Yes</v>
      </c>
      <c r="C157" s="2">
        <f>IFERROR(__xludf.DUMMYFUNCTION("""COMPUTED_VALUE"""),0.5)</f>
        <v>0.5</v>
      </c>
      <c r="D157" s="2" t="str">
        <f>IFERROR(__xludf.DUMMYFUNCTION("""COMPUTED_VALUE"""),"हाँ")</f>
        <v>हाँ</v>
      </c>
      <c r="E157" s="2" t="str">
        <f>IFERROR(__xludf.DUMMYFUNCTION("""COMPUTED_VALUE"""),"OK")</f>
        <v>OK</v>
      </c>
      <c r="F157" s="2" t="str">
        <f>IFERROR(__xludf.DUMMYFUNCTION("""COMPUTED_VALUE"""),"haan")</f>
        <v>haan</v>
      </c>
      <c r="G157" s="2" t="str">
        <f>IFERROR(__xludf.DUMMYFUNCTION("""COMPUTED_VALUE"""),"huh")</f>
        <v>huh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 t="str">
        <f>IFERROR(__xludf.DUMMYFUNCTION("""COMPUTED_VALUE"""),"no")</f>
        <v>no</v>
      </c>
      <c r="B158" s="2" t="str">
        <f>IFERROR(__xludf.DUMMYFUNCTION("""COMPUTED_VALUE"""),"No ")</f>
        <v>No </v>
      </c>
      <c r="C158" s="2">
        <f>IFERROR(__xludf.DUMMYFUNCTION("""COMPUTED_VALUE"""),0.1)</f>
        <v>0.1</v>
      </c>
      <c r="D158" s="2" t="str">
        <f>IFERROR(__xludf.DUMMYFUNCTION("""COMPUTED_VALUE"""),"नहीं")</f>
        <v>नहीं</v>
      </c>
      <c r="E158" s="2" t="str">
        <f>IFERROR(__xludf.DUMMYFUNCTION("""COMPUTED_VALUE"""),"OK")</f>
        <v>OK</v>
      </c>
      <c r="F158" s="2" t="str">
        <f>IFERROR(__xludf.DUMMYFUNCTION("""COMPUTED_VALUE"""),"nahi")</f>
        <v>nahi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 t="str">
        <f>IFERROR(__xludf.DUMMYFUNCTION("""COMPUTED_VALUE"""),"validateAgain")</f>
        <v>validateAgain</v>
      </c>
      <c r="B159" s="2" t="str">
        <f>IFERROR(__xludf.DUMMYFUNCTION("""COMPUTED_VALUE"""),"Validate Again")</f>
        <v>Validate Again</v>
      </c>
      <c r="C159" s="2"/>
      <c r="D159" s="2" t="str">
        <f>IFERROR(__xludf.DUMMYFUNCTION("""COMPUTED_VALUE"""),"फिर से मान्य करें")</f>
        <v>फिर से मान्य करें</v>
      </c>
      <c r="E159" s="2" t="str">
        <f>IFERROR(__xludf.DUMMYFUNCTION("""COMPUTED_VALUE"""),"OK")</f>
        <v>OK</v>
      </c>
      <c r="F159" s="2" t="str">
        <f>IFERROR(__xludf.DUMMYFUNCTION("""COMPUTED_VALUE"""),"fir se manya kare")</f>
        <v>fir se manya kare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 t="str">
        <f>IFERROR(__xludf.DUMMYFUNCTION("""COMPUTED_VALUE"""),"employee")</f>
        <v>employee</v>
      </c>
      <c r="B160" s="2" t="str">
        <f>IFERROR(__xludf.DUMMYFUNCTION("""COMPUTED_VALUE"""),"Employee ")</f>
        <v>Employee </v>
      </c>
      <c r="C160" s="2">
        <f>IFERROR(__xludf.DUMMYFUNCTION("""COMPUTED_VALUE"""),0.2)</f>
        <v>0.2</v>
      </c>
      <c r="D160" s="2" t="str">
        <f>IFERROR(__xludf.DUMMYFUNCTION("""COMPUTED_VALUE"""),"कर्मचारी")</f>
        <v>कर्मचारी</v>
      </c>
      <c r="E160" s="2" t="str">
        <f>IFERROR(__xludf.DUMMYFUNCTION("""COMPUTED_VALUE"""),"OK")</f>
        <v>OK</v>
      </c>
      <c r="F160" s="2" t="str">
        <f>IFERROR(__xludf.DUMMYFUNCTION("""COMPUTED_VALUE"""),"karmchari")</f>
        <v>karmchari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 t="str">
        <f>IFERROR(__xludf.DUMMYFUNCTION("""COMPUTED_VALUE"""),"ConfirmPayment")</f>
        <v>ConfirmPayment</v>
      </c>
      <c r="B161" s="2" t="str">
        <f>IFERROR(__xludf.DUMMYFUNCTION("""COMPUTED_VALUE"""),"Confirm Payment")</f>
        <v>Confirm Payment</v>
      </c>
      <c r="C161" s="2">
        <f>IFERROR(__xludf.DUMMYFUNCTION("""COMPUTED_VALUE"""),0.3)</f>
        <v>0.3</v>
      </c>
      <c r="D161" s="2" t="str">
        <f>IFERROR(__xludf.DUMMYFUNCTION("""COMPUTED_VALUE"""),"भुगतान की पुष्टि करें")</f>
        <v>भुगतान की पुष्टि करें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 t="str">
        <f>IFERROR(__xludf.DUMMYFUNCTION("""COMPUTED_VALUE"""),"rateorder")</f>
        <v>rateorder</v>
      </c>
      <c r="B162" s="2" t="str">
        <f>IFERROR(__xludf.DUMMYFUNCTION("""COMPUTED_VALUE"""),"Rate Order")</f>
        <v>Rate Order</v>
      </c>
      <c r="C162" s="2">
        <f>IFERROR(__xludf.DUMMYFUNCTION("""COMPUTED_VALUE"""),0.5)</f>
        <v>0.5</v>
      </c>
      <c r="D162" s="2" t="str">
        <f>IFERROR(__xludf.DUMMYFUNCTION("""COMPUTED_VALUE"""),"दर आदेश")</f>
        <v>दर आदेश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 t="str">
        <f>IFERROR(__xludf.DUMMYFUNCTION("""COMPUTED_VALUE"""),"onboard")</f>
        <v>onboard</v>
      </c>
      <c r="B163" s="2" t="str">
        <f>IFERROR(__xludf.DUMMYFUNCTION("""COMPUTED_VALUE"""),"Onboard ")</f>
        <v>Onboard </v>
      </c>
      <c r="C163" s="2">
        <f>IFERROR(__xludf.DUMMYFUNCTION("""COMPUTED_VALUE"""),0.5)</f>
        <v>0.5</v>
      </c>
      <c r="D163" s="2" t="str">
        <f>IFERROR(__xludf.DUMMYFUNCTION("""COMPUTED_VALUE"""),"सवार")</f>
        <v>सवार</v>
      </c>
      <c r="E163" s="2" t="str">
        <f>IFERROR(__xludf.DUMMYFUNCTION("""COMPUTED_VALUE"""),"OK")</f>
        <v>OK</v>
      </c>
      <c r="F163" s="2" t="str">
        <f>IFERROR(__xludf.DUMMYFUNCTION("""COMPUTED_VALUE"""),"savar")</f>
        <v>savar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 t="str">
        <f>IFERROR(__xludf.DUMMYFUNCTION("""COMPUTED_VALUE"""),"selfOnBoard")</f>
        <v>selfOnBoard</v>
      </c>
      <c r="B164" s="2" t="str">
        <f>IFERROR(__xludf.DUMMYFUNCTION("""COMPUTED_VALUE"""),"Self Onboard ")</f>
        <v>Self Onboard </v>
      </c>
      <c r="C164" s="2"/>
      <c r="D164" s="2" t="str">
        <f>IFERROR(__xludf.DUMMYFUNCTION("""COMPUTED_VALUE"""),"स्वप्नल")</f>
        <v>स्वप्नल</v>
      </c>
      <c r="E164" s="2" t="str">
        <f>IFERROR(__xludf.DUMMYFUNCTION("""COMPUTED_VALUE"""),"OK")</f>
        <v>OK</v>
      </c>
      <c r="F164" s="2" t="str">
        <f>IFERROR(__xludf.DUMMYFUNCTION("""COMPUTED_VALUE"""),"board par sva")</f>
        <v>board par sva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 t="str">
        <f>IFERROR(__xludf.DUMMYFUNCTION("""COMPUTED_VALUE"""),"onboardByBusiness")</f>
        <v>onboardByBusiness</v>
      </c>
      <c r="B165" s="2" t="str">
        <f>IFERROR(__xludf.DUMMYFUNCTION("""COMPUTED_VALUE"""),"Onboard by Business")</f>
        <v>Onboard by Business</v>
      </c>
      <c r="C165" s="2"/>
      <c r="D165" s="2" t="str">
        <f>IFERROR(__xludf.DUMMYFUNCTION("""COMPUTED_VALUE"""),"व्यवसाय द्वारा जहाज पर")</f>
        <v>व्यवसाय द्वारा जहाज पर</v>
      </c>
      <c r="E165" s="2" t="str">
        <f>IFERROR(__xludf.DUMMYFUNCTION("""COMPUTED_VALUE"""),"OK")</f>
        <v>OK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 t="str">
        <f>IFERROR(__xludf.DUMMYFUNCTION("""COMPUTED_VALUE"""),"retailer")</f>
        <v>retailer</v>
      </c>
      <c r="B166" s="2" t="str">
        <f>IFERROR(__xludf.DUMMYFUNCTION("""COMPUTED_VALUE"""),"Retailer")</f>
        <v>Retailer</v>
      </c>
      <c r="C166" s="2">
        <f>IFERROR(__xludf.DUMMYFUNCTION("""COMPUTED_VALUE"""),0.1)</f>
        <v>0.1</v>
      </c>
      <c r="D166" s="2" t="str">
        <f>IFERROR(__xludf.DUMMYFUNCTION("""COMPUTED_VALUE"""),"फुटकर विक्रेता")</f>
        <v>फुटकर विक्रेता</v>
      </c>
      <c r="E166" s="2" t="str">
        <f>IFERROR(__xludf.DUMMYFUNCTION("""COMPUTED_VALUE"""),"OK")</f>
        <v>OK</v>
      </c>
      <c r="F166" s="2" t="str">
        <f>IFERROR(__xludf.DUMMYFUNCTION("""COMPUTED_VALUE"""),"futkar vikrati")</f>
        <v>futkar vikrati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 t="str">
        <f>IFERROR(__xludf.DUMMYFUNCTION("""COMPUTED_VALUE"""),"middleMan")</f>
        <v>middleMan</v>
      </c>
      <c r="B167" s="2" t="str">
        <f>IFERROR(__xludf.DUMMYFUNCTION("""COMPUTED_VALUE"""),"Middleman")</f>
        <v>Middleman</v>
      </c>
      <c r="C167" s="2">
        <f>IFERROR(__xludf.DUMMYFUNCTION("""COMPUTED_VALUE"""),0.5)</f>
        <v>0.5</v>
      </c>
      <c r="D167" s="2" t="str">
        <f>IFERROR(__xludf.DUMMYFUNCTION("""COMPUTED_VALUE"""),"बिचौलिया")</f>
        <v>बिचौलिया</v>
      </c>
      <c r="E167" s="2" t="str">
        <f>IFERROR(__xludf.DUMMYFUNCTION("""COMPUTED_VALUE"""),"OK")</f>
        <v>OK</v>
      </c>
      <c r="F167" s="2" t="str">
        <f>IFERROR(__xludf.DUMMYFUNCTION("""COMPUTED_VALUE"""),"middle man")</f>
        <v>middle man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 t="str">
        <f>IFERROR(__xludf.DUMMYFUNCTION("""COMPUTED_VALUE"""),"farmer")</f>
        <v>farmer</v>
      </c>
      <c r="B168" s="2" t="str">
        <f>IFERROR(__xludf.DUMMYFUNCTION("""COMPUTED_VALUE"""),"Farmer")</f>
        <v>Farmer</v>
      </c>
      <c r="C168" s="2">
        <f>IFERROR(__xludf.DUMMYFUNCTION("""COMPUTED_VALUE"""),0.1)</f>
        <v>0.1</v>
      </c>
      <c r="D168" s="2" t="str">
        <f>IFERROR(__xludf.DUMMYFUNCTION("""COMPUTED_VALUE"""),"किसान")</f>
        <v>किसान</v>
      </c>
      <c r="E168" s="2" t="str">
        <f>IFERROR(__xludf.DUMMYFUNCTION("""COMPUTED_VALUE"""),"OK")</f>
        <v>OK</v>
      </c>
      <c r="F168" s="2" t="str">
        <f>IFERROR(__xludf.DUMMYFUNCTION("""COMPUTED_VALUE"""),"bhutpurv")</f>
        <v>bhutpurv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 t="str">
        <f>IFERROR(__xludf.DUMMYFUNCTION("""COMPUTED_VALUE"""),"phoneNumber")</f>
        <v>phoneNumber</v>
      </c>
      <c r="B169" s="2" t="str">
        <f>IFERROR(__xludf.DUMMYFUNCTION("""COMPUTED_VALUE"""),"Phone Number ")</f>
        <v>Phone Number </v>
      </c>
      <c r="C169" s="2">
        <f>IFERROR(__xludf.DUMMYFUNCTION("""COMPUTED_VALUE"""),0.5)</f>
        <v>0.5</v>
      </c>
      <c r="D169" s="2" t="str">
        <f>IFERROR(__xludf.DUMMYFUNCTION("""COMPUTED_VALUE"""),"फ़ोन नंबर")</f>
        <v>फ़ोन नंबर</v>
      </c>
      <c r="E169" s="2" t="str">
        <f>IFERROR(__xludf.DUMMYFUNCTION("""COMPUTED_VALUE"""),"OK")</f>
        <v>OK</v>
      </c>
      <c r="F169" s="2" t="str">
        <f>IFERROR(__xludf.DUMMYFUNCTION("""COMPUTED_VALUE"""),"phone number")</f>
        <v>phone number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 t="str">
        <f>IFERROR(__xludf.DUMMYFUNCTION("""COMPUTED_VALUE"""),"houseNo")</f>
        <v>houseNo</v>
      </c>
      <c r="B170" s="2" t="str">
        <f>IFERROR(__xludf.DUMMYFUNCTION("""COMPUTED_VALUE"""),"House No")</f>
        <v>House No</v>
      </c>
      <c r="C170" s="2">
        <f>IFERROR(__xludf.DUMMYFUNCTION("""COMPUTED_VALUE"""),0.5)</f>
        <v>0.5</v>
      </c>
      <c r="D170" s="2" t="str">
        <f>IFERROR(__xludf.DUMMYFUNCTION("""COMPUTED_VALUE"""),"मकान नंबर")</f>
        <v>मकान नंबर</v>
      </c>
      <c r="E170" s="2" t="str">
        <f>IFERROR(__xludf.DUMMYFUNCTION("""COMPUTED_VALUE"""),"OK")</f>
        <v>OK</v>
      </c>
      <c r="F170" s="2" t="str">
        <f>IFERROR(__xludf.DUMMYFUNCTION("""COMPUTED_VALUE"""),"ghar ka number")</f>
        <v>ghar ka number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 t="str">
        <f>IFERROR(__xludf.DUMMYFUNCTION("""COMPUTED_VALUE"""),"building")</f>
        <v>building</v>
      </c>
      <c r="B171" s="2" t="str">
        <f>IFERROR(__xludf.DUMMYFUNCTION("""COMPUTED_VALUE"""),"Building ")</f>
        <v>Building </v>
      </c>
      <c r="C171" s="2">
        <f>IFERROR(__xludf.DUMMYFUNCTION("""COMPUTED_VALUE"""),0.5)</f>
        <v>0.5</v>
      </c>
      <c r="D171" s="2" t="str">
        <f>IFERROR(__xludf.DUMMYFUNCTION("""COMPUTED_VALUE"""),"इमारत")</f>
        <v>इमारत</v>
      </c>
      <c r="E171" s="2" t="str">
        <f>IFERROR(__xludf.DUMMYFUNCTION("""COMPUTED_VALUE"""),"OK")</f>
        <v>OK</v>
      </c>
      <c r="F171" s="2" t="str">
        <f>IFERROR(__xludf.DUMMYFUNCTION("""COMPUTED_VALUE"""),"imarat")</f>
        <v>imarat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 t="str">
        <f>IFERROR(__xludf.DUMMYFUNCTION("""COMPUTED_VALUE"""),"streetno")</f>
        <v>streetno</v>
      </c>
      <c r="B172" s="2" t="str">
        <f>IFERROR(__xludf.DUMMYFUNCTION("""COMPUTED_VALUE"""),"Street no ")</f>
        <v>Street no </v>
      </c>
      <c r="C172" s="2">
        <f>IFERROR(__xludf.DUMMYFUNCTION("""COMPUTED_VALUE"""),0.1)</f>
        <v>0.1</v>
      </c>
      <c r="D172" s="2" t="str">
        <f>IFERROR(__xludf.DUMMYFUNCTION("""COMPUTED_VALUE"""),"गली नंबर")</f>
        <v>गली नंबर</v>
      </c>
      <c r="E172" s="2" t="str">
        <f>IFERROR(__xludf.DUMMYFUNCTION("""COMPUTED_VALUE"""),"OK")</f>
        <v>OK</v>
      </c>
      <c r="F172" s="2" t="str">
        <f>IFERROR(__xludf.DUMMYFUNCTION("""COMPUTED_VALUE"""),"sadak")</f>
        <v>sadak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 t="str">
        <f>IFERROR(__xludf.DUMMYFUNCTION("""COMPUTED_VALUE"""),"upi")</f>
        <v>upi</v>
      </c>
      <c r="B173" s="2" t="str">
        <f>IFERROR(__xludf.DUMMYFUNCTION("""COMPUTED_VALUE"""),"UPI")</f>
        <v>UPI</v>
      </c>
      <c r="C173" s="2">
        <f>IFERROR(__xludf.DUMMYFUNCTION("""COMPUTED_VALUE"""),0.3)</f>
        <v>0.3</v>
      </c>
      <c r="D173" s="2" t="str">
        <f>IFERROR(__xludf.DUMMYFUNCTION("""COMPUTED_VALUE"""),"है मैं")</f>
        <v>है मैं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 t="str">
        <f>IFERROR(__xludf.DUMMYFUNCTION("""COMPUTED_VALUE"""),"state")</f>
        <v>state</v>
      </c>
      <c r="B174" s="2" t="str">
        <f>IFERROR(__xludf.DUMMYFUNCTION("""COMPUTED_VALUE"""),"State")</f>
        <v>State</v>
      </c>
      <c r="C174" s="2">
        <f>IFERROR(__xludf.DUMMYFUNCTION("""COMPUTED_VALUE"""),0.1)</f>
        <v>0.1</v>
      </c>
      <c r="D174" s="2" t="str">
        <f>IFERROR(__xludf.DUMMYFUNCTION("""COMPUTED_VALUE"""),"राज्य")</f>
        <v>राज्य</v>
      </c>
      <c r="E174" s="2" t="str">
        <f>IFERROR(__xludf.DUMMYFUNCTION("""COMPUTED_VALUE"""),"OK")</f>
        <v>OK</v>
      </c>
      <c r="F174" s="2" t="str">
        <f>IFERROR(__xludf.DUMMYFUNCTION("""COMPUTED_VALUE"""),"rajya")</f>
        <v>rajya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 t="str">
        <f>IFERROR(__xludf.DUMMYFUNCTION("""COMPUTED_VALUE"""),"city")</f>
        <v>city</v>
      </c>
      <c r="B175" s="2" t="str">
        <f>IFERROR(__xludf.DUMMYFUNCTION("""COMPUTED_VALUE"""),"City ")</f>
        <v>City </v>
      </c>
      <c r="C175" s="2">
        <f>IFERROR(__xludf.DUMMYFUNCTION("""COMPUTED_VALUE"""),0.1)</f>
        <v>0.1</v>
      </c>
      <c r="D175" s="2" t="str">
        <f>IFERROR(__xludf.DUMMYFUNCTION("""COMPUTED_VALUE"""),"शहर")</f>
        <v>शहर</v>
      </c>
      <c r="E175" s="2" t="str">
        <f>IFERROR(__xludf.DUMMYFUNCTION("""COMPUTED_VALUE"""),"OK")</f>
        <v>OK</v>
      </c>
      <c r="F175" s="2" t="str">
        <f>IFERROR(__xludf.DUMMYFUNCTION("""COMPUTED_VALUE"""),"shaher")</f>
        <v>shaher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 t="str">
        <f>IFERROR(__xludf.DUMMYFUNCTION("""COMPUTED_VALUE"""),"pincode")</f>
        <v>pincode</v>
      </c>
      <c r="B176" s="2" t="str">
        <f>IFERROR(__xludf.DUMMYFUNCTION("""COMPUTED_VALUE"""),"Pin Code ")</f>
        <v>Pin Code </v>
      </c>
      <c r="C176" s="2"/>
      <c r="D176" s="2" t="str">
        <f>IFERROR(__xludf.DUMMYFUNCTION("""COMPUTED_VALUE"""),"पिन कोड")</f>
        <v>पिन कोड</v>
      </c>
      <c r="E176" s="2" t="str">
        <f>IFERROR(__xludf.DUMMYFUNCTION("""COMPUTED_VALUE"""),"OK")</f>
        <v>OK</v>
      </c>
      <c r="F176" s="2" t="str">
        <f>IFERROR(__xludf.DUMMYFUNCTION("""COMPUTED_VALUE"""),"pin code")</f>
        <v>pin code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 t="str">
        <f>IFERROR(__xludf.DUMMYFUNCTION("""COMPUTED_VALUE"""),"location")</f>
        <v>location</v>
      </c>
      <c r="B177" s="2" t="str">
        <f>IFERROR(__xludf.DUMMYFUNCTION("""COMPUTED_VALUE"""),"Location ")</f>
        <v>Location </v>
      </c>
      <c r="C177" s="2">
        <f>IFERROR(__xludf.DUMMYFUNCTION("""COMPUTED_VALUE"""),0.2)</f>
        <v>0.2</v>
      </c>
      <c r="D177" s="2" t="str">
        <f>IFERROR(__xludf.DUMMYFUNCTION("""COMPUTED_VALUE"""),"जगह")</f>
        <v>जगह</v>
      </c>
      <c r="E177" s="2" t="str">
        <f>IFERROR(__xludf.DUMMYFUNCTION("""COMPUTED_VALUE"""),"OK")</f>
        <v>OK</v>
      </c>
      <c r="F177" s="2" t="str">
        <f>IFERROR(__xludf.DUMMYFUNCTION("""COMPUTED_VALUE"""),"sthan")</f>
        <v>sthan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 t="str">
        <f>IFERROR(__xludf.DUMMYFUNCTION("""COMPUTED_VALUE"""),"submit")</f>
        <v>submit</v>
      </c>
      <c r="B178" s="2" t="str">
        <f>IFERROR(__xludf.DUMMYFUNCTION("""COMPUTED_VALUE"""),"Submit ")</f>
        <v>Submit </v>
      </c>
      <c r="C178" s="2">
        <f>IFERROR(__xludf.DUMMYFUNCTION("""COMPUTED_VALUE"""),0.3)</f>
        <v>0.3</v>
      </c>
      <c r="D178" s="2" t="str">
        <f>IFERROR(__xludf.DUMMYFUNCTION("""COMPUTED_VALUE"""),"जमा करना")</f>
        <v>जमा करना</v>
      </c>
      <c r="E178" s="2" t="str">
        <f>IFERROR(__xludf.DUMMYFUNCTION("""COMPUTED_VALUE"""),"OK")</f>
        <v>OK</v>
      </c>
      <c r="F178" s="2" t="str">
        <f>IFERROR(__xludf.DUMMYFUNCTION("""COMPUTED_VALUE"""),"prastut")</f>
        <v>prastut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 t="str">
        <f>IFERROR(__xludf.DUMMYFUNCTION("""COMPUTED_VALUE"""),"editAddress")</f>
        <v>editAddress</v>
      </c>
      <c r="B179" s="2" t="str">
        <f>IFERROR(__xludf.DUMMYFUNCTION("""COMPUTED_VALUE"""),"Edit Address")</f>
        <v>Edit Address</v>
      </c>
      <c r="C179" s="2">
        <f>IFERROR(__xludf.DUMMYFUNCTION("""COMPUTED_VALUE"""),0.3)</f>
        <v>0.3</v>
      </c>
      <c r="D179" s="2" t="str">
        <f>IFERROR(__xludf.DUMMYFUNCTION("""COMPUTED_VALUE"""),"पता संपादित करें")</f>
        <v>पता संपादित करें</v>
      </c>
      <c r="E179" s="2" t="str">
        <f>IFERROR(__xludf.DUMMYFUNCTION("""COMPUTED_VALUE"""),"OK")</f>
        <v>OK</v>
      </c>
      <c r="F179" s="2" t="str">
        <f>IFERROR(__xludf.DUMMYFUNCTION("""COMPUTED_VALUE"""),"pata sampdit kare")</f>
        <v>pata sampdit kare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 t="str">
        <f>IFERROR(__xludf.DUMMYFUNCTION("""COMPUTED_VALUE"""),"addMember")</f>
        <v>addMember</v>
      </c>
      <c r="B180" s="2" t="str">
        <f>IFERROR(__xludf.DUMMYFUNCTION("""COMPUTED_VALUE"""),"Add Member")</f>
        <v>Add Member</v>
      </c>
      <c r="C180" s="2">
        <f>IFERROR(__xludf.DUMMYFUNCTION("""COMPUTED_VALUE"""),0.5)</f>
        <v>0.5</v>
      </c>
      <c r="D180" s="2" t="str">
        <f>IFERROR(__xludf.DUMMYFUNCTION("""COMPUTED_VALUE"""),"सदस्य जोड़ें")</f>
        <v>सदस्य जोड़ें</v>
      </c>
      <c r="E180" s="2" t="str">
        <f>IFERROR(__xludf.DUMMYFUNCTION("""COMPUTED_VALUE"""),"OK")</f>
        <v>OK</v>
      </c>
      <c r="F180" s="2" t="str">
        <f>IFERROR(__xludf.DUMMYFUNCTION("""COMPUTED_VALUE"""),"sadasya jode")</f>
        <v>sadasya jode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 t="str">
        <f>IFERROR(__xludf.DUMMYFUNCTION("""COMPUTED_VALUE"""),"deliveryWithin")</f>
        <v>deliveryWithin</v>
      </c>
      <c r="B181" s="2" t="str">
        <f>IFERROR(__xludf.DUMMYFUNCTION("""COMPUTED_VALUE"""),"Delivery within")</f>
        <v>Delivery within</v>
      </c>
      <c r="C181" s="2"/>
      <c r="D181" s="2" t="str">
        <f>IFERROR(__xludf.DUMMYFUNCTION("""COMPUTED_VALUE"""),"भीतर वितरण")</f>
        <v>भीतर वितरण</v>
      </c>
      <c r="E181" s="2" t="str">
        <f>IFERROR(__xludf.DUMMYFUNCTION("""COMPUTED_VALUE"""),"OK")</f>
        <v>OK</v>
      </c>
      <c r="F181" s="2" t="str">
        <f>IFERROR(__xludf.DUMMYFUNCTION("""COMPUTED_VALUE"""),"bhitar vitran")</f>
        <v>bhitar vitran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 t="str">
        <f>IFERROR(__xludf.DUMMYFUNCTION("""COMPUTED_VALUE"""),"home")</f>
        <v>home</v>
      </c>
      <c r="B182" s="2" t="str">
        <f>IFERROR(__xludf.DUMMYFUNCTION("""COMPUTED_VALUE"""),"Home")</f>
        <v>Home</v>
      </c>
      <c r="C182" s="2">
        <f>IFERROR(__xludf.DUMMYFUNCTION("""COMPUTED_VALUE"""),0.1)</f>
        <v>0.1</v>
      </c>
      <c r="D182" s="2" t="str">
        <f>IFERROR(__xludf.DUMMYFUNCTION("""COMPUTED_VALUE"""),"घर")</f>
        <v>घर</v>
      </c>
      <c r="E182" s="2" t="str">
        <f>IFERROR(__xludf.DUMMYFUNCTION("""COMPUTED_VALUE"""),"OK")</f>
        <v>OK</v>
      </c>
      <c r="F182" s="2" t="str">
        <f>IFERROR(__xludf.DUMMYFUNCTION("""COMPUTED_VALUE"""),"ghar ")</f>
        <v>ghar 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 t="str">
        <f>IFERROR(__xludf.DUMMYFUNCTION("""COMPUTED_VALUE"""),"notification")</f>
        <v>notification</v>
      </c>
      <c r="B183" s="2" t="str">
        <f>IFERROR(__xludf.DUMMYFUNCTION("""COMPUTED_VALUE"""),"Notification")</f>
        <v>Notification</v>
      </c>
      <c r="C183" s="2"/>
      <c r="D183" s="2" t="str">
        <f>IFERROR(__xludf.DUMMYFUNCTION("""COMPUTED_VALUE"""),"अधिसूचना")</f>
        <v>अधिसूचना</v>
      </c>
      <c r="E183" s="2" t="str">
        <f>IFERROR(__xludf.DUMMYFUNCTION("""COMPUTED_VALUE"""),"OK")</f>
        <v>OK</v>
      </c>
      <c r="F183" s="2" t="str">
        <f>IFERROR(__xludf.DUMMYFUNCTION("""COMPUTED_VALUE"""),"adhisuchna")</f>
        <v>adhisuchna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 t="str">
        <f>IFERROR(__xludf.DUMMYFUNCTION("""COMPUTED_VALUE"""),"voice")</f>
        <v>voice</v>
      </c>
      <c r="B184" s="2" t="str">
        <f>IFERROR(__xludf.DUMMYFUNCTION("""COMPUTED_VALUE"""),"Voice")</f>
        <v>Voice</v>
      </c>
      <c r="C184" s="2"/>
      <c r="D184" s="2" t="str">
        <f>IFERROR(__xludf.DUMMYFUNCTION("""COMPUTED_VALUE"""),"आवाज़")</f>
        <v>आवाज़</v>
      </c>
      <c r="E184" s="2" t="str">
        <f>IFERROR(__xludf.DUMMYFUNCTION("""COMPUTED_VALUE"""),"OK")</f>
        <v>OK</v>
      </c>
      <c r="F184" s="2" t="str">
        <f>IFERROR(__xludf.DUMMYFUNCTION("""COMPUTED_VALUE"""),"awaz")</f>
        <v>awaz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 t="str">
        <f>IFERROR(__xludf.DUMMYFUNCTION("""COMPUTED_VALUE"""),"anotphasbeensentatyourregisteredmobilenumber")</f>
        <v>anotphasbeensentatyourregisteredmobilenumber</v>
      </c>
      <c r="B185" s="2" t="str">
        <f>IFERROR(__xludf.DUMMYFUNCTION("""COMPUTED_VALUE"""),"An OTP has been sent at your registered mobile number")</f>
        <v>An OTP has been sent at your registered mobile number</v>
      </c>
      <c r="C185" s="2">
        <f>IFERROR(__xludf.DUMMYFUNCTION("""COMPUTED_VALUE"""),0.5)</f>
        <v>0.5</v>
      </c>
      <c r="D185" s="2" t="str">
        <f>IFERROR(__xludf.DUMMYFUNCTION("""COMPUTED_VALUE"""),"आपके पंजीकृत मोबाइल नंबर पर एक ओटीपी भेजा गया है")</f>
        <v>आपके पंजीकृत मोबाइल नंबर पर एक ओटीपी भेजा गया है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 t="str">
        <f>IFERROR(__xludf.DUMMYFUNCTION("""COMPUTED_VALUE"""),"delivering")</f>
        <v>delivering</v>
      </c>
      <c r="B186" s="2" t="str">
        <f>IFERROR(__xludf.DUMMYFUNCTION("""COMPUTED_VALUE"""),"Delivering ")</f>
        <v>Delivering </v>
      </c>
      <c r="C186" s="2">
        <f>IFERROR(__xludf.DUMMYFUNCTION("""COMPUTED_VALUE"""),0.1)</f>
        <v>0.1</v>
      </c>
      <c r="D186" s="2" t="str">
        <f>IFERROR(__xludf.DUMMYFUNCTION("""COMPUTED_VALUE"""),"देते")</f>
        <v>देते</v>
      </c>
      <c r="E186" s="2" t="str">
        <f>IFERROR(__xludf.DUMMYFUNCTION("""COMPUTED_VALUE"""),"OK")</f>
        <v>OK</v>
      </c>
      <c r="F186" s="2" t="str">
        <f>IFERROR(__xludf.DUMMYFUNCTION("""COMPUTED_VALUE"""),"dete")</f>
        <v>dete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 t="str">
        <f>IFERROR(__xludf.DUMMYFUNCTION("""COMPUTED_VALUE"""),"notDelivering")</f>
        <v>notDelivering</v>
      </c>
      <c r="B187" s="2" t="str">
        <f>IFERROR(__xludf.DUMMYFUNCTION("""COMPUTED_VALUE"""),"Not delivering")</f>
        <v>Not delivering</v>
      </c>
      <c r="C187" s="2"/>
      <c r="D187" s="2" t="str">
        <f>IFERROR(__xludf.DUMMYFUNCTION("""COMPUTED_VALUE"""),"डिलीवर नहीं")</f>
        <v>डिलीवर नहीं</v>
      </c>
      <c r="E187" s="2" t="str">
        <f>IFERROR(__xludf.DUMMYFUNCTION("""COMPUTED_VALUE"""),"OK")</f>
        <v>OK</v>
      </c>
      <c r="F187" s="2" t="str">
        <f>IFERROR(__xludf.DUMMYFUNCTION("""COMPUTED_VALUE"""),"deliver nahi")</f>
        <v>deliver nahi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 t="str">
        <f>IFERROR(__xludf.DUMMYFUNCTION("""COMPUTED_VALUE"""),"sellerProfile")</f>
        <v>sellerProfile</v>
      </c>
      <c r="B188" s="2" t="str">
        <f>IFERROR(__xludf.DUMMYFUNCTION("""COMPUTED_VALUE"""),"Seller profile")</f>
        <v>Seller profile</v>
      </c>
      <c r="C188" s="2"/>
      <c r="D188" s="2" t="str">
        <f>IFERROR(__xludf.DUMMYFUNCTION("""COMPUTED_VALUE"""),"विक्रेता की प्रोफ़ाइल")</f>
        <v>विक्रेता की प्रोफ़ाइल</v>
      </c>
      <c r="E188" s="2" t="str">
        <f>IFERROR(__xludf.DUMMYFUNCTION("""COMPUTED_VALUE"""),"OK")</f>
        <v>OK</v>
      </c>
      <c r="F188" s="2" t="str">
        <f>IFERROR(__xludf.DUMMYFUNCTION("""COMPUTED_VALUE"""),"vikrata ka byora")</f>
        <v>vikrata ka byora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 t="str">
        <f>IFERROR(__xludf.DUMMYFUNCTION("""COMPUTED_VALUE"""),"fabulous")</f>
        <v>fabulous</v>
      </c>
      <c r="B189" s="2" t="str">
        <f>IFERROR(__xludf.DUMMYFUNCTION("""COMPUTED_VALUE"""),"Fabulous")</f>
        <v>Fabulous</v>
      </c>
      <c r="C189" s="2"/>
      <c r="D189" s="2" t="str">
        <f>IFERROR(__xludf.DUMMYFUNCTION("""COMPUTED_VALUE"""),"आश्चर्यजनक")</f>
        <v>आश्चर्यजनक</v>
      </c>
      <c r="E189" s="2" t="str">
        <f>IFERROR(__xludf.DUMMYFUNCTION("""COMPUTED_VALUE"""),"OK")</f>
        <v>OK</v>
      </c>
      <c r="F189" s="2" t="str">
        <f>IFERROR(__xludf.DUMMYFUNCTION("""COMPUTED_VALUE"""),"ashcharyachanak")</f>
        <v>ashcharyachanak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 t="str">
        <f>IFERROR(__xludf.DUMMYFUNCTION("""COMPUTED_VALUE"""),"customerRated")</f>
        <v>customerRated</v>
      </c>
      <c r="B190" s="2" t="str">
        <f>IFERROR(__xludf.DUMMYFUNCTION("""COMPUTED_VALUE"""),"Customer Rated")</f>
        <v>Customer Rated</v>
      </c>
      <c r="C190" s="2"/>
      <c r="D190" s="2" t="str">
        <f>IFERROR(__xludf.DUMMYFUNCTION("""COMPUTED_VALUE"""),"ग्राहक रेटेड")</f>
        <v>ग्राहक रेटेड</v>
      </c>
      <c r="E190" s="2" t="str">
        <f>IFERROR(__xludf.DUMMYFUNCTION("""COMPUTED_VALUE"""),"OK")</f>
        <v>OK</v>
      </c>
      <c r="F190" s="2" t="str">
        <f>IFERROR(__xludf.DUMMYFUNCTION("""COMPUTED_VALUE"""),"grahak reted")</f>
        <v>grahak reted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 t="str">
        <f>IFERROR(__xludf.DUMMYFUNCTION("""COMPUTED_VALUE"""),"searchlocation")</f>
        <v>searchlocation</v>
      </c>
      <c r="B191" s="2" t="str">
        <f>IFERROR(__xludf.DUMMYFUNCTION("""COMPUTED_VALUE"""),"Search Location")</f>
        <v>Search Location</v>
      </c>
      <c r="C191" s="2">
        <f>IFERROR(__xludf.DUMMYFUNCTION("""COMPUTED_VALUE"""),0.5)</f>
        <v>0.5</v>
      </c>
      <c r="D191" s="2" t="str">
        <f>IFERROR(__xludf.DUMMYFUNCTION("""COMPUTED_VALUE"""),"खोज स्थान")</f>
        <v>खोज स्थान</v>
      </c>
      <c r="E191" s="2" t="str">
        <f>IFERROR(__xludf.DUMMYFUNCTION("""COMPUTED_VALUE"""),"OK")</f>
        <v>OK</v>
      </c>
      <c r="F191" s="2" t="str">
        <f>IFERROR(__xludf.DUMMYFUNCTION("""COMPUTED_VALUE"""),"khuj sthan")</f>
        <v>khuj sthan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 t="str">
        <f>IFERROR(__xludf.DUMMYFUNCTION("""COMPUTED_VALUE"""),"shopByCategories")</f>
        <v>shopByCategories</v>
      </c>
      <c r="B192" s="2" t="str">
        <f>IFERROR(__xludf.DUMMYFUNCTION("""COMPUTED_VALUE"""),"Shop by Categories")</f>
        <v>Shop by Categories</v>
      </c>
      <c r="C192" s="2"/>
      <c r="D192" s="2" t="str">
        <f>IFERROR(__xludf.DUMMYFUNCTION("""COMPUTED_VALUE"""),"श्रेणियों द्वारा दुकान")</f>
        <v>श्रेणियों द्वारा दुकान</v>
      </c>
      <c r="E192" s="2" t="str">
        <f>IFERROR(__xludf.DUMMYFUNCTION("""COMPUTED_VALUE"""),"OK")</f>
        <v>OK</v>
      </c>
      <c r="F192" s="2" t="str">
        <f>IFERROR(__xludf.DUMMYFUNCTION("""COMPUTED_VALUE"""),"shreniya dwara dukaan")</f>
        <v>shreniya dwara dukaan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 t="str">
        <f>IFERROR(__xludf.DUMMYFUNCTION("""COMPUTED_VALUE"""),"next")</f>
        <v>next</v>
      </c>
      <c r="B193" s="2" t="str">
        <f>IFERROR(__xludf.DUMMYFUNCTION("""COMPUTED_VALUE"""),"Next")</f>
        <v>Next</v>
      </c>
      <c r="C193" s="2">
        <f>IFERROR(__xludf.DUMMYFUNCTION("""COMPUTED_VALUE"""),0.5)</f>
        <v>0.5</v>
      </c>
      <c r="D193" s="2" t="str">
        <f>IFERROR(__xludf.DUMMYFUNCTION("""COMPUTED_VALUE"""),"अगला")</f>
        <v>अगला</v>
      </c>
      <c r="E193" s="2" t="str">
        <f>IFERROR(__xludf.DUMMYFUNCTION("""COMPUTED_VALUE"""),"OK")</f>
        <v>OK</v>
      </c>
      <c r="F193" s="2" t="str">
        <f>IFERROR(__xludf.DUMMYFUNCTION("""COMPUTED_VALUE"""),"agla")</f>
        <v>agla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 t="str">
        <f>IFERROR(__xludf.DUMMYFUNCTION("""COMPUTED_VALUE"""),"taptorecordclosingnote")</f>
        <v>taptorecordclosingnote</v>
      </c>
      <c r="B194" s="2" t="str">
        <f>IFERROR(__xludf.DUMMYFUNCTION("""COMPUTED_VALUE"""),"Tap to record closing note")</f>
        <v>Tap to record closing note</v>
      </c>
      <c r="C194" s="2">
        <f>IFERROR(__xludf.DUMMYFUNCTION("""COMPUTED_VALUE"""),0.3)</f>
        <v>0.3</v>
      </c>
      <c r="D194" s="2" t="str">
        <f>IFERROR(__xludf.DUMMYFUNCTION("""COMPUTED_VALUE"""),"समापन नोट रिकॉर्ड करने के लिए टैप करें")</f>
        <v>समापन नोट रिकॉर्ड करने के लिए टैप करें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 t="str">
        <f>IFERROR(__xludf.DUMMYFUNCTION("""COMPUTED_VALUE"""),"shopInfo")</f>
        <v>shopInfo</v>
      </c>
      <c r="B195" s="2" t="str">
        <f>IFERROR(__xludf.DUMMYFUNCTION("""COMPUTED_VALUE"""),"Shop Info")</f>
        <v>Shop Info</v>
      </c>
      <c r="C195" s="2"/>
      <c r="D195" s="2" t="str">
        <f>IFERROR(__xludf.DUMMYFUNCTION("""COMPUTED_VALUE"""),"दुकान की जानकारी")</f>
        <v>दुकान की जानकारी</v>
      </c>
      <c r="E195" s="2" t="str">
        <f>IFERROR(__xludf.DUMMYFUNCTION("""COMPUTED_VALUE"""),"OK")</f>
        <v>OK</v>
      </c>
      <c r="F195" s="2" t="str">
        <f>IFERROR(__xludf.DUMMYFUNCTION("""COMPUTED_VALUE"""),"dukaan ki jankari")</f>
        <v>dukaan ki jankari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 t="str">
        <f>IFERROR(__xludf.DUMMYFUNCTION("""COMPUTED_VALUE"""),"enablelocation")</f>
        <v>enablelocation</v>
      </c>
      <c r="B196" s="2" t="str">
        <f>IFERROR(__xludf.DUMMYFUNCTION("""COMPUTED_VALUE"""),"Enable Location")</f>
        <v>Enable Location</v>
      </c>
      <c r="C196" s="2">
        <f>IFERROR(__xludf.DUMMYFUNCTION("""COMPUTED_VALUE"""),0.5)</f>
        <v>0.5</v>
      </c>
      <c r="D196" s="2" t="str">
        <f>IFERROR(__xludf.DUMMYFUNCTION("""COMPUTED_VALUE"""),"स्थान सक्षम करें")</f>
        <v>स्थान सक्षम करें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 t="str">
        <f>IFERROR(__xludf.DUMMYFUNCTION("""COMPUTED_VALUE"""),"vegatables")</f>
        <v>vegatables</v>
      </c>
      <c r="B197" s="2" t="str">
        <f>IFERROR(__xludf.DUMMYFUNCTION("""COMPUTED_VALUE"""),"Vegetables")</f>
        <v>Vegetables</v>
      </c>
      <c r="C197" s="2"/>
      <c r="D197" s="2" t="str">
        <f>IFERROR(__xludf.DUMMYFUNCTION("""COMPUTED_VALUE"""),"सब्ज़ियाँ")</f>
        <v>सब्ज़ियाँ</v>
      </c>
      <c r="E197" s="2" t="str">
        <f>IFERROR(__xludf.DUMMYFUNCTION("""COMPUTED_VALUE"""),"OK")</f>
        <v>OK</v>
      </c>
      <c r="F197" s="2" t="str">
        <f>IFERROR(__xludf.DUMMYFUNCTION("""COMPUTED_VALUE"""),"shakhs")</f>
        <v>shakhs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 t="str">
        <f>IFERROR(__xludf.DUMMYFUNCTION("""COMPUTED_VALUE"""),"enablenotification")</f>
        <v>enablenotification</v>
      </c>
      <c r="B198" s="2" t="str">
        <f>IFERROR(__xludf.DUMMYFUNCTION("""COMPUTED_VALUE"""),"Enable Notification")</f>
        <v>Enable Notification</v>
      </c>
      <c r="C198" s="2">
        <f>IFERROR(__xludf.DUMMYFUNCTION("""COMPUTED_VALUE"""),0.5)</f>
        <v>0.5</v>
      </c>
      <c r="D198" s="2" t="str">
        <f>IFERROR(__xludf.DUMMYFUNCTION("""COMPUTED_VALUE"""),"सूचना सक्षम करें")</f>
        <v>सूचना सक्षम करें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 t="str">
        <f>IFERROR(__xludf.DUMMYFUNCTION("""COMPUTED_VALUE"""),"changelanguage")</f>
        <v>changelanguage</v>
      </c>
      <c r="B199" s="2" t="str">
        <f>IFERROR(__xludf.DUMMYFUNCTION("""COMPUTED_VALUE"""),"Change Language")</f>
        <v>Change Language</v>
      </c>
      <c r="C199" s="2">
        <f>IFERROR(__xludf.DUMMYFUNCTION("""COMPUTED_VALUE"""),0.5)</f>
        <v>0.5</v>
      </c>
      <c r="D199" s="2" t="str">
        <f>IFERROR(__xludf.DUMMYFUNCTION("""COMPUTED_VALUE"""),"भाषा बदलें")</f>
        <v>भाषा बदलें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 t="str">
        <f>IFERROR(__xludf.DUMMYFUNCTION("""COMPUTED_VALUE"""),"confirm")</f>
        <v>confirm</v>
      </c>
      <c r="B200" s="2" t="str">
        <f>IFERROR(__xludf.DUMMYFUNCTION("""COMPUTED_VALUE"""),"Confirm")</f>
        <v>Confirm</v>
      </c>
      <c r="C200" s="2">
        <f>IFERROR(__xludf.DUMMYFUNCTION("""COMPUTED_VALUE"""),0.3)</f>
        <v>0.3</v>
      </c>
      <c r="D200" s="2" t="str">
        <f>IFERROR(__xludf.DUMMYFUNCTION("""COMPUTED_VALUE"""),"पुष्टि करना")</f>
        <v>पुष्टि करना</v>
      </c>
      <c r="E200" s="2" t="str">
        <f>IFERROR(__xludf.DUMMYFUNCTION("""COMPUTED_VALUE"""),"OK")</f>
        <v>OK</v>
      </c>
      <c r="F200" s="2" t="str">
        <f>IFERROR(__xludf.DUMMYFUNCTION("""COMPUTED_VALUE"""),"pushti kare")</f>
        <v>pushti kare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 t="str">
        <f>IFERROR(__xludf.DUMMYFUNCTION("""COMPUTED_VALUE"""),"byallowingthelocationyouwillgetallyournearbyrestaurants")</f>
        <v>byallowingthelocationyouwillgetallyournearbyrestaurants</v>
      </c>
      <c r="B201" s="2" t="str">
        <f>IFERROR(__xludf.DUMMYFUNCTION("""COMPUTED_VALUE"""),"By allowing the location you will get all your nearby restaurants")</f>
        <v>By allowing the location you will get all your nearby restaurants</v>
      </c>
      <c r="C201" s="2">
        <f>IFERROR(__xludf.DUMMYFUNCTION("""COMPUTED_VALUE"""),0.5)</f>
        <v>0.5</v>
      </c>
      <c r="D201" s="2" t="str">
        <f>IFERROR(__xludf.DUMMYFUNCTION("""COMPUTED_VALUE"""),"स्थान की अनुमति देकर आपको अपने सभी पास के रेस्तरां मिलेंगे")</f>
        <v>स्थान की अनुमति देकर आपको अपने सभी पास के रेस्तरां मिलेंगे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 t="str">
        <f>IFERROR(__xludf.DUMMYFUNCTION("""COMPUTED_VALUE"""),"byallowingthenotificationyouwillgetnotifiedbyyourfavouriterestaurants")</f>
        <v>byallowingthenotificationyouwillgetnotifiedbyyourfavouriterestaurants</v>
      </c>
      <c r="B202" s="2" t="str">
        <f>IFERROR(__xludf.DUMMYFUNCTION("""COMPUTED_VALUE"""),"By allowing the notification you will get notified by your favourite restaurants")</f>
        <v>By allowing the notification you will get notified by your favourite restaurants</v>
      </c>
      <c r="C202" s="2">
        <f>IFERROR(__xludf.DUMMYFUNCTION("""COMPUTED_VALUE"""),0.5)</f>
        <v>0.5</v>
      </c>
      <c r="D202" s="2" t="str">
        <f>IFERROR(__xludf.DUMMYFUNCTION("""COMPUTED_VALUE"""),"अधिसूचना की अनुमति देकर आपको अपने पसंदीदा रेस्तरां द्वारा सूचित किया जाएगा")</f>
        <v>अधिसूचना की अनुमति देकर आपको अपने पसंदीदा रेस्तरां द्वारा सूचित किया जाएगा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 t="str">
        <f>IFERROR(__xludf.DUMMYFUNCTION("""COMPUTED_VALUE"""),"nowyoucanchooseyoursuitablelanguage")</f>
        <v>nowyoucanchooseyoursuitablelanguage</v>
      </c>
      <c r="B203" s="2" t="str">
        <f>IFERROR(__xludf.DUMMYFUNCTION("""COMPUTED_VALUE"""),"Now you can choose your suitable language ")</f>
        <v>Now you can choose your suitable language </v>
      </c>
      <c r="C203" s="2">
        <f>IFERROR(__xludf.DUMMYFUNCTION("""COMPUTED_VALUE"""),0.5)</f>
        <v>0.5</v>
      </c>
      <c r="D203" s="2" t="str">
        <f>IFERROR(__xludf.DUMMYFUNCTION("""COMPUTED_VALUE"""),"अब आप अपनी उपयुक्त भाषा चुन सकते हैं")</f>
        <v>अब आप अपनी उपयुक्त भाषा चुन सकते हैं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 t="str">
        <f>IFERROR(__xludf.DUMMYFUNCTION("""COMPUTED_VALUE"""),"savethisaddressas")</f>
        <v>savethisaddressas</v>
      </c>
      <c r="B204" s="2" t="str">
        <f>IFERROR(__xludf.DUMMYFUNCTION("""COMPUTED_VALUE"""),"Save this address as")</f>
        <v>Save this address as</v>
      </c>
      <c r="C204" s="2">
        <f>IFERROR(__xludf.DUMMYFUNCTION("""COMPUTED_VALUE"""),0.5)</f>
        <v>0.5</v>
      </c>
      <c r="D204" s="2" t="str">
        <f>IFERROR(__xludf.DUMMYFUNCTION("""COMPUTED_VALUE"""),"इस पते को सहेजें")</f>
        <v>इस पते को सहेजें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 t="str">
        <f>IFERROR(__xludf.DUMMYFUNCTION("""COMPUTED_VALUE"""),"yourlocation")</f>
        <v>yourlocation</v>
      </c>
      <c r="B205" s="2" t="str">
        <f>IFERROR(__xludf.DUMMYFUNCTION("""COMPUTED_VALUE"""),"Your Location")</f>
        <v>Your Location</v>
      </c>
      <c r="C205" s="2">
        <f>IFERROR(__xludf.DUMMYFUNCTION("""COMPUTED_VALUE"""),0.5)</f>
        <v>0.5</v>
      </c>
      <c r="D205" s="2" t="str">
        <f>IFERROR(__xludf.DUMMYFUNCTION("""COMPUTED_VALUE"""),"आपका स्थान")</f>
        <v>आपका स्थान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 t="str">
        <f>IFERROR(__xludf.DUMMYFUNCTION("""COMPUTED_VALUE"""),"help")</f>
        <v>help</v>
      </c>
      <c r="B206" s="2" t="str">
        <f>IFERROR(__xludf.DUMMYFUNCTION("""COMPUTED_VALUE"""),"Help")</f>
        <v>Help</v>
      </c>
      <c r="C206" s="2">
        <f>IFERROR(__xludf.DUMMYFUNCTION("""COMPUTED_VALUE"""),0.2)</f>
        <v>0.2</v>
      </c>
      <c r="D206" s="2" t="str">
        <f>IFERROR(__xludf.DUMMYFUNCTION("""COMPUTED_VALUE"""),"मदद")</f>
        <v>मदद</v>
      </c>
      <c r="E206" s="2" t="str">
        <f>IFERROR(__xludf.DUMMYFUNCTION("""COMPUTED_VALUE"""),"OK")</f>
        <v>OK</v>
      </c>
      <c r="F206" s="2" t="str">
        <f>IFERROR(__xludf.DUMMYFUNCTION("""COMPUTED_VALUE"""),"madad karna")</f>
        <v>madad karna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 t="str">
        <f>IFERROR(__xludf.DUMMYFUNCTION("""COMPUTED_VALUE"""),"areyousureyouwanttologout")</f>
        <v>areyousureyouwanttologout</v>
      </c>
      <c r="B207" s="2" t="str">
        <f>IFERROR(__xludf.DUMMYFUNCTION("""COMPUTED_VALUE"""),"Are you sure you want to log out?")</f>
        <v>Are you sure you want to log out?</v>
      </c>
      <c r="C207" s="2">
        <f>IFERROR(__xludf.DUMMYFUNCTION("""COMPUTED_VALUE"""),0.5)</f>
        <v>0.5</v>
      </c>
      <c r="D207" s="2" t="str">
        <f>IFERROR(__xludf.DUMMYFUNCTION("""COMPUTED_VALUE"""),"क्या आप लॉग आउट करना चाहते हैं?")</f>
        <v>क्या आप लॉग आउट करना चाहते हैं?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 t="str">
        <f>IFERROR(__xludf.DUMMYFUNCTION("""COMPUTED_VALUE"""),"son")</f>
        <v>son</v>
      </c>
      <c r="B208" s="2" t="str">
        <f>IFERROR(__xludf.DUMMYFUNCTION("""COMPUTED_VALUE"""),"Son")</f>
        <v>Son</v>
      </c>
      <c r="C208" s="2">
        <f>IFERROR(__xludf.DUMMYFUNCTION("""COMPUTED_VALUE"""),0.5)</f>
        <v>0.5</v>
      </c>
      <c r="D208" s="2" t="str">
        <f>IFERROR(__xludf.DUMMYFUNCTION("""COMPUTED_VALUE"""),"बेटा")</f>
        <v>बेटा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 t="str">
        <f>IFERROR(__xludf.DUMMYFUNCTION("""COMPUTED_VALUE"""),"onboardbysales")</f>
        <v>onboardbysales</v>
      </c>
      <c r="B209" s="2" t="str">
        <f>IFERROR(__xludf.DUMMYFUNCTION("""COMPUTED_VALUE"""),"Onboard by Sales")</f>
        <v>Onboard by Sales</v>
      </c>
      <c r="C209" s="2">
        <f>IFERROR(__xludf.DUMMYFUNCTION("""COMPUTED_VALUE"""),0.5)</f>
        <v>0.5</v>
      </c>
      <c r="D209" s="2" t="str">
        <f>IFERROR(__xludf.DUMMYFUNCTION("""COMPUTED_VALUE"""),"बिक्री द्वारा जहाज पर")</f>
        <v>बिक्री द्वारा जहाज पर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 t="str">
        <f>IFERROR(__xludf.DUMMYFUNCTION("""COMPUTED_VALUE"""),"ratings")</f>
        <v>ratings</v>
      </c>
      <c r="B210" s="2" t="str">
        <f>IFERROR(__xludf.DUMMYFUNCTION("""COMPUTED_VALUE"""),"Ratings")</f>
        <v>Ratings</v>
      </c>
      <c r="C210" s="2">
        <f>IFERROR(__xludf.DUMMYFUNCTION("""COMPUTED_VALUE"""),0.5)</f>
        <v>0.5</v>
      </c>
      <c r="D210" s="2" t="str">
        <f>IFERROR(__xludf.DUMMYFUNCTION("""COMPUTED_VALUE"""),"रेटिंग")</f>
        <v>रेटिंग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 t="str">
        <f>IFERROR(__xludf.DUMMYFUNCTION("""COMPUTED_VALUE"""),"cancelOrder")</f>
        <v>cancelOrder</v>
      </c>
      <c r="B211" s="2" t="str">
        <f>IFERROR(__xludf.DUMMYFUNCTION("""COMPUTED_VALUE"""),"Cancel Order")</f>
        <v>Cancel Order</v>
      </c>
      <c r="C211" s="2"/>
      <c r="D211" s="2" t="str">
        <f>IFERROR(__xludf.DUMMYFUNCTION("""COMPUTED_VALUE"""),"आदेश रद्द")</f>
        <v>आदेश रद्द</v>
      </c>
      <c r="E211" s="2" t="str">
        <f>IFERROR(__xludf.DUMMYFUNCTION("""COMPUTED_VALUE"""),"OK")</f>
        <v>OK</v>
      </c>
      <c r="F211" s="2" t="str">
        <f>IFERROR(__xludf.DUMMYFUNCTION("""COMPUTED_VALUE"""),"adesh raddh")</f>
        <v>adesh raddh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 t="str">
        <f>IFERROR(__xludf.DUMMYFUNCTION("""COMPUTED_VALUE"""),"recommendedforyou")</f>
        <v>recommendedforyou</v>
      </c>
      <c r="B212" s="2" t="str">
        <f>IFERROR(__xludf.DUMMYFUNCTION("""COMPUTED_VALUE"""),"Recommended for You ")</f>
        <v>Recommended for You </v>
      </c>
      <c r="C212" s="2">
        <f>IFERROR(__xludf.DUMMYFUNCTION("""COMPUTED_VALUE"""),0.5)</f>
        <v>0.5</v>
      </c>
      <c r="D212" s="2" t="str">
        <f>IFERROR(__xludf.DUMMYFUNCTION("""COMPUTED_VALUE"""),"आप के लिए अनुशंसित")</f>
        <v>आप के लिए अनुशंसित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 t="str">
        <f>IFERROR(__xludf.DUMMYFUNCTION("""COMPUTED_VALUE"""),"remove")</f>
        <v>remove</v>
      </c>
      <c r="B213" s="2" t="str">
        <f>IFERROR(__xludf.DUMMYFUNCTION("""COMPUTED_VALUE"""),"Remove")</f>
        <v>Remove</v>
      </c>
      <c r="C213" s="2">
        <f>IFERROR(__xludf.DUMMYFUNCTION("""COMPUTED_VALUE"""),0.5)</f>
        <v>0.5</v>
      </c>
      <c r="D213" s="2" t="str">
        <f>IFERROR(__xludf.DUMMYFUNCTION("""COMPUTED_VALUE"""),"निकालना")</f>
        <v>निकालना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 t="str">
        <f>IFERROR(__xludf.DUMMYFUNCTION("""COMPUTED_VALUE"""),"adddetails")</f>
        <v>adddetails</v>
      </c>
      <c r="B214" s="2" t="str">
        <f>IFERROR(__xludf.DUMMYFUNCTION("""COMPUTED_VALUE"""),"Add Details")</f>
        <v>Add Details</v>
      </c>
      <c r="C214" s="2">
        <f>IFERROR(__xludf.DUMMYFUNCTION("""COMPUTED_VALUE"""),0.5)</f>
        <v>0.5</v>
      </c>
      <c r="D214" s="2" t="str">
        <f>IFERROR(__xludf.DUMMYFUNCTION("""COMPUTED_VALUE"""),"विवरण जोड़ें")</f>
        <v>विवरण जोड़ें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 t="str">
        <f>IFERROR(__xludf.DUMMYFUNCTION("""COMPUTED_VALUE"""),"updateuser")</f>
        <v>updateuser</v>
      </c>
      <c r="B215" s="2" t="str">
        <f>IFERROR(__xludf.DUMMYFUNCTION("""COMPUTED_VALUE"""),"Update User")</f>
        <v>Update User</v>
      </c>
      <c r="C215" s="2">
        <f>IFERROR(__xludf.DUMMYFUNCTION("""COMPUTED_VALUE"""),0.5)</f>
        <v>0.5</v>
      </c>
      <c r="D215" s="2" t="str">
        <f>IFERROR(__xludf.DUMMYFUNCTION("""COMPUTED_VALUE"""),"अद्यतन उपयोगकर्ता")</f>
        <v>अद्यतन उपयोगकर्ता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 t="str">
        <f>IFERROR(__xludf.DUMMYFUNCTION("""COMPUTED_VALUE"""),"nouserscreatedyet")</f>
        <v>nouserscreatedyet</v>
      </c>
      <c r="B216" s="2" t="str">
        <f>IFERROR(__xludf.DUMMYFUNCTION("""COMPUTED_VALUE"""),"No Users Created Yet")</f>
        <v>No Users Created Yet</v>
      </c>
      <c r="C216" s="2">
        <f>IFERROR(__xludf.DUMMYFUNCTION("""COMPUTED_VALUE"""),0.5)</f>
        <v>0.5</v>
      </c>
      <c r="D216" s="2" t="str">
        <f>IFERROR(__xludf.DUMMYFUNCTION("""COMPUTED_VALUE"""),"अभी तक कोई उपयोगकर्ता नहीं बनाया गया है")</f>
        <v>अभी तक कोई उपयोगकर्ता नहीं बनाया गया है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 t="str">
        <f>IFERROR(__xludf.DUMMYFUNCTION("""COMPUTED_VALUE"""),"advance")</f>
        <v>advance</v>
      </c>
      <c r="B217" s="2" t="str">
        <f>IFERROR(__xludf.DUMMYFUNCTION("""COMPUTED_VALUE"""),"Advance")</f>
        <v>Advance</v>
      </c>
      <c r="C217" s="2">
        <f>IFERROR(__xludf.DUMMYFUNCTION("""COMPUTED_VALUE"""),0.5)</f>
        <v>0.5</v>
      </c>
      <c r="D217" s="2" t="str">
        <f>IFERROR(__xludf.DUMMYFUNCTION("""COMPUTED_VALUE"""),"अग्रिम")</f>
        <v>अग्रिम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 t="str">
        <f>IFERROR(__xludf.DUMMYFUNCTION("""COMPUTED_VALUE"""),"pastOrders")</f>
        <v>pastOrders</v>
      </c>
      <c r="B218" s="2" t="str">
        <f>IFERROR(__xludf.DUMMYFUNCTION("""COMPUTED_VALUE"""),"Past Orders")</f>
        <v>Past Orders</v>
      </c>
      <c r="C218" s="2">
        <f>IFERROR(__xludf.DUMMYFUNCTION("""COMPUTED_VALUE"""),0.5)</f>
        <v>0.5</v>
      </c>
      <c r="D218" s="2" t="str">
        <f>IFERROR(__xludf.DUMMYFUNCTION("""COMPUTED_VALUE"""),"अतीत के आदेश")</f>
        <v>अतीत के आदेश</v>
      </c>
      <c r="E218" s="2" t="str">
        <f>IFERROR(__xludf.DUMMYFUNCTION("""COMPUTED_VALUE"""),"OK")</f>
        <v>OK</v>
      </c>
      <c r="F218" s="2" t="str">
        <f>IFERROR(__xludf.DUMMYFUNCTION("""COMPUTED_VALUE"""),"atit ka adesh")</f>
        <v>atit ka adesh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 t="str">
        <f>IFERROR(__xludf.DUMMYFUNCTION("""COMPUTED_VALUE"""),"viewMoreOrders")</f>
        <v>viewMoreOrders</v>
      </c>
      <c r="B219" s="2" t="str">
        <f>IFERROR(__xludf.DUMMYFUNCTION("""COMPUTED_VALUE"""),"View More Orders")</f>
        <v>View More Orders</v>
      </c>
      <c r="C219" s="2">
        <f>IFERROR(__xludf.DUMMYFUNCTION("""COMPUTED_VALUE"""),0.5)</f>
        <v>0.5</v>
      </c>
      <c r="D219" s="2" t="str">
        <f>IFERROR(__xludf.DUMMYFUNCTION("""COMPUTED_VALUE"""),"अधिक आदेश देखें")</f>
        <v>अधिक आदेश देखें</v>
      </c>
      <c r="E219" s="2" t="str">
        <f>IFERROR(__xludf.DUMMYFUNCTION("""COMPUTED_VALUE"""),"OK")</f>
        <v>OK</v>
      </c>
      <c r="F219" s="2" t="str">
        <f>IFERROR(__xludf.DUMMYFUNCTION("""COMPUTED_VALUE"""),"adhik adesh dekhe")</f>
        <v>adhik adesh dekhe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 t="str">
        <f>IFERROR(__xludf.DUMMYFUNCTION("""COMPUTED_VALUE"""),"ordermanger")</f>
        <v>ordermanger</v>
      </c>
      <c r="B220" s="2" t="str">
        <f>IFERROR(__xludf.DUMMYFUNCTION("""COMPUTED_VALUE"""),"Order Manager")</f>
        <v>Order Manager</v>
      </c>
      <c r="C220" s="2">
        <f>IFERROR(__xludf.DUMMYFUNCTION("""COMPUTED_VALUE"""),0.5)</f>
        <v>0.5</v>
      </c>
      <c r="D220" s="2" t="str">
        <f>IFERROR(__xludf.DUMMYFUNCTION("""COMPUTED_VALUE"""),"आदेश प्रबंधक")</f>
        <v>आदेश प्रबंधक</v>
      </c>
      <c r="E220" s="2"/>
      <c r="F220" s="2"/>
      <c r="G220" s="2"/>
      <c r="H220" s="2" t="str">
        <f>IFERROR(__xludf.DUMMYFUNCTION("""COMPUTED_VALUE"""),"whats app")</f>
        <v>whats app</v>
      </c>
      <c r="I220" s="2" t="str">
        <f>IFERROR(__xludf.DUMMYFUNCTION("""COMPUTED_VALUE"""),"व्हाट्स ऐप")</f>
        <v>व्हाट्स ऐप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 t="str">
        <f>IFERROR(__xludf.DUMMYFUNCTION("""COMPUTED_VALUE"""),"name")</f>
        <v>name</v>
      </c>
      <c r="B221" s="2" t="str">
        <f>IFERROR(__xludf.DUMMYFUNCTION("""COMPUTED_VALUE"""),"Name")</f>
        <v>Name</v>
      </c>
      <c r="C221" s="2">
        <f>IFERROR(__xludf.DUMMYFUNCTION("""COMPUTED_VALUE"""),0.1)</f>
        <v>0.1</v>
      </c>
      <c r="D221" s="2" t="str">
        <f>IFERROR(__xludf.DUMMYFUNCTION("""COMPUTED_VALUE"""),"नाम")</f>
        <v>नाम</v>
      </c>
      <c r="E221" s="2" t="str">
        <f>IFERROR(__xludf.DUMMYFUNCTION("""COMPUTED_VALUE"""),"OK")</f>
        <v>OK</v>
      </c>
      <c r="F221" s="2" t="str">
        <f>IFERROR(__xludf.DUMMYFUNCTION("""COMPUTED_VALUE"""),"naam")</f>
        <v>naam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 t="str">
        <f>IFERROR(__xludf.DUMMYFUNCTION("""COMPUTED_VALUE"""),"mycomplaints")</f>
        <v>mycomplaints</v>
      </c>
      <c r="B222" s="2" t="str">
        <f>IFERROR(__xludf.DUMMYFUNCTION("""COMPUTED_VALUE"""),"My Complaints")</f>
        <v>My Complaints</v>
      </c>
      <c r="C222" s="2">
        <f>IFERROR(__xludf.DUMMYFUNCTION("""COMPUTED_VALUE"""),0.3)</f>
        <v>0.3</v>
      </c>
      <c r="D222" s="2" t="str">
        <f>IFERROR(__xludf.DUMMYFUNCTION("""COMPUTED_VALUE"""),"मेरी शिकायतें")</f>
        <v>मेरी शिकायतें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 t="str">
        <f>IFERROR(__xludf.DUMMYFUNCTION("""COMPUTED_VALUE"""),"complainid")</f>
        <v>complainid</v>
      </c>
      <c r="B223" s="2" t="str">
        <f>IFERROR(__xludf.DUMMYFUNCTION("""COMPUTED_VALUE"""),"Complain ID")</f>
        <v>Complain ID</v>
      </c>
      <c r="C223" s="2">
        <f>IFERROR(__xludf.DUMMYFUNCTION("""COMPUTED_VALUE"""),0.3)</f>
        <v>0.3</v>
      </c>
      <c r="D223" s="2" t="str">
        <f>IFERROR(__xludf.DUMMYFUNCTION("""COMPUTED_VALUE"""),"शिकायत आईडी")</f>
        <v>शिकायत आईडी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 t="str">
        <f>IFERROR(__xludf.DUMMYFUNCTION("""COMPUTED_VALUE"""),"assignedtoaccountmanager")</f>
        <v>assignedtoaccountmanager</v>
      </c>
      <c r="B224" s="2" t="str">
        <f>IFERROR(__xludf.DUMMYFUNCTION("""COMPUTED_VALUE"""),"Assigned to Account Manager")</f>
        <v>Assigned to Account Manager</v>
      </c>
      <c r="C224" s="2">
        <f>IFERROR(__xludf.DUMMYFUNCTION("""COMPUTED_VALUE"""),0.3)</f>
        <v>0.3</v>
      </c>
      <c r="D224" s="2" t="str">
        <f>IFERROR(__xludf.DUMMYFUNCTION("""COMPUTED_VALUE"""),"खाता प्रबंधक को सौंपा गया")</f>
        <v>खाता प्रबंधक को सौंपा गया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 t="str">
        <f>IFERROR(__xludf.DUMMYFUNCTION("""COMPUTED_VALUE"""),"complainraised")</f>
        <v>complainraised</v>
      </c>
      <c r="B225" s="2" t="str">
        <f>IFERROR(__xludf.DUMMYFUNCTION("""COMPUTED_VALUE"""),"Complaint Raised")</f>
        <v>Complaint Raised</v>
      </c>
      <c r="C225" s="2">
        <f>IFERROR(__xludf.DUMMYFUNCTION("""COMPUTED_VALUE"""),0.3)</f>
        <v>0.3</v>
      </c>
      <c r="D225" s="2" t="str">
        <f>IFERROR(__xludf.DUMMYFUNCTION("""COMPUTED_VALUE"""),"शिकायत उठाई")</f>
        <v>शिकायत उठाई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 t="str">
        <f>IFERROR(__xludf.DUMMYFUNCTION("""COMPUTED_VALUE"""),"verify")</f>
        <v>verify</v>
      </c>
      <c r="B226" s="2" t="str">
        <f>IFERROR(__xludf.DUMMYFUNCTION("""COMPUTED_VALUE"""),"Verify")</f>
        <v>Verify</v>
      </c>
      <c r="C226" s="2">
        <f>IFERROR(__xludf.DUMMYFUNCTION("""COMPUTED_VALUE"""),0.3)</f>
        <v>0.3</v>
      </c>
      <c r="D226" s="2" t="str">
        <f>IFERROR(__xludf.DUMMYFUNCTION("""COMPUTED_VALUE"""),"सत्यापित करना")</f>
        <v>सत्यापित करना</v>
      </c>
      <c r="E226" s="2" t="str">
        <f>IFERROR(__xludf.DUMMYFUNCTION("""COMPUTED_VALUE"""),"OK")</f>
        <v>OK</v>
      </c>
      <c r="F226" s="2" t="str">
        <f>IFERROR(__xludf.DUMMYFUNCTION("""COMPUTED_VALUE"""),"satyapita karna")</f>
        <v>satyapita karna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 t="str">
        <f>IFERROR(__xludf.DUMMYFUNCTION("""COMPUTED_VALUE"""),"yesterday")</f>
        <v>yesterday</v>
      </c>
      <c r="B227" s="2" t="str">
        <f>IFERROR(__xludf.DUMMYFUNCTION("""COMPUTED_VALUE"""),"Yesterday")</f>
        <v>Yesterday</v>
      </c>
      <c r="C227" s="2">
        <f>IFERROR(__xludf.DUMMYFUNCTION("""COMPUTED_VALUE"""),0.3)</f>
        <v>0.3</v>
      </c>
      <c r="D227" s="2" t="str">
        <f>IFERROR(__xludf.DUMMYFUNCTION("""COMPUTED_VALUE"""),"कल")</f>
        <v>कल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 t="str">
        <f>IFERROR(__xludf.DUMMYFUNCTION("""COMPUTED_VALUE"""),"referBy")</f>
        <v>referBy</v>
      </c>
      <c r="B228" s="2" t="str">
        <f>IFERROR(__xludf.DUMMYFUNCTION("""COMPUTED_VALUE"""),"Refer by")</f>
        <v>Refer by</v>
      </c>
      <c r="C228" s="2"/>
      <c r="D228" s="2" t="str">
        <f>IFERROR(__xludf.DUMMYFUNCTION("""COMPUTED_VALUE"""),"का जिक्र करना")</f>
        <v>का जिक्र करना</v>
      </c>
      <c r="E228" s="2" t="str">
        <f>IFERROR(__xludf.DUMMYFUNCTION("""COMPUTED_VALUE"""),"not ok")</f>
        <v>not ok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 t="str">
        <f>IFERROR(__xludf.DUMMYFUNCTION("""COMPUTED_VALUE"""),"email")</f>
        <v>email</v>
      </c>
      <c r="B229" s="2" t="str">
        <f>IFERROR(__xludf.DUMMYFUNCTION("""COMPUTED_VALUE"""),"Email")</f>
        <v>Email</v>
      </c>
      <c r="C229" s="2">
        <f>IFERROR(__xludf.DUMMYFUNCTION("""COMPUTED_VALUE"""),0.2)</f>
        <v>0.2</v>
      </c>
      <c r="D229" s="2" t="str">
        <f>IFERROR(__xludf.DUMMYFUNCTION("""COMPUTED_VALUE"""),"ईमेल")</f>
        <v>ईमेल</v>
      </c>
      <c r="E229" s="2" t="str">
        <f>IFERROR(__xludf.DUMMYFUNCTION("""COMPUTED_VALUE"""),"ok")</f>
        <v>ok</v>
      </c>
      <c r="F229" s="2" t="str">
        <f>IFERROR(__xludf.DUMMYFUNCTION("""COMPUTED_VALUE"""),"email")</f>
        <v>email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 t="str">
        <f>IFERROR(__xludf.DUMMYFUNCTION("""COMPUTED_VALUE"""),"escalatedtostatehead")</f>
        <v>escalatedtostatehead</v>
      </c>
      <c r="B230" s="2" t="str">
        <f>IFERROR(__xludf.DUMMYFUNCTION("""COMPUTED_VALUE"""),"Escalated to State Head")</f>
        <v>Escalated to State Head</v>
      </c>
      <c r="C230" s="2">
        <f>IFERROR(__xludf.DUMMYFUNCTION("""COMPUTED_VALUE"""),0.3)</f>
        <v>0.3</v>
      </c>
      <c r="D230" s="2" t="str">
        <f>IFERROR(__xludf.DUMMYFUNCTION("""COMPUTED_VALUE"""),"स्टेट हेड के लिए बढ़ गया")</f>
        <v>स्टेट हेड के लिए बढ़ गया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 t="str">
        <f>IFERROR(__xludf.DUMMYFUNCTION("""COMPUTED_VALUE"""),"escalated to city officer")</f>
        <v>escalated to city officer</v>
      </c>
      <c r="B231" s="2" t="str">
        <f>IFERROR(__xludf.DUMMYFUNCTION("""COMPUTED_VALUE"""),"Escalated to City Officer")</f>
        <v>Escalated to City Officer</v>
      </c>
      <c r="C231" s="2">
        <f>IFERROR(__xludf.DUMMYFUNCTION("""COMPUTED_VALUE"""),0.3)</f>
        <v>0.3</v>
      </c>
      <c r="D231" s="2" t="str">
        <f>IFERROR(__xludf.DUMMYFUNCTION("""COMPUTED_VALUE"""),"शहर के अधिकारी के लिए बढ़ गया")</f>
        <v>शहर के अधिकारी के लिए बढ़ गया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 t="str">
        <f>IFERROR(__xludf.DUMMYFUNCTION("""COMPUTED_VALUE"""),"message")</f>
        <v>message</v>
      </c>
      <c r="B232" s="2" t="str">
        <f>IFERROR(__xludf.DUMMYFUNCTION("""COMPUTED_VALUE"""),"Message")</f>
        <v>Message</v>
      </c>
      <c r="C232" s="2"/>
      <c r="D232" s="2" t="str">
        <f>IFERROR(__xludf.DUMMYFUNCTION("""COMPUTED_VALUE"""),"संदेश")</f>
        <v>संदेश</v>
      </c>
      <c r="E232" s="2" t="str">
        <f>IFERROR(__xludf.DUMMYFUNCTION("""COMPUTED_VALUE"""),"ok")</f>
        <v>ok</v>
      </c>
      <c r="F232" s="2" t="str">
        <f>IFERROR(__xludf.DUMMYFUNCTION("""COMPUTED_VALUE"""),"SANDESH")</f>
        <v>SANDESH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 t="str">
        <f>IFERROR(__xludf.DUMMYFUNCTION("""COMPUTED_VALUE"""),"editProfile")</f>
        <v>editProfile</v>
      </c>
      <c r="B233" s="2" t="str">
        <f>IFERROR(__xludf.DUMMYFUNCTION("""COMPUTED_VALUE"""),"Edit Profile")</f>
        <v>Edit Profile</v>
      </c>
      <c r="C233" s="2">
        <f>IFERROR(__xludf.DUMMYFUNCTION("""COMPUTED_VALUE"""),0.3)</f>
        <v>0.3</v>
      </c>
      <c r="D233" s="2" t="str">
        <f>IFERROR(__xludf.DUMMYFUNCTION("""COMPUTED_VALUE"""),"प्रोफ़ाइल संपादित करें")</f>
        <v>प्रोफ़ाइल संपादित करें</v>
      </c>
      <c r="E233" s="2" t="str">
        <f>IFERROR(__xludf.DUMMYFUNCTION("""COMPUTED_VALUE"""),"ok")</f>
        <v>ok</v>
      </c>
      <c r="F233" s="2" t="str">
        <f>IFERROR(__xludf.DUMMYFUNCTION("""COMPUTED_VALUE"""),"profile sampdit kare")</f>
        <v>profile sampdit kare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 t="str">
        <f>IFERROR(__xludf.DUMMYFUNCTION("""COMPUTED_VALUE"""),"orderdelivered")</f>
        <v>orderdelivered</v>
      </c>
      <c r="B234" s="2" t="str">
        <f>IFERROR(__xludf.DUMMYFUNCTION("""COMPUTED_VALUE"""),"Order Delivered")</f>
        <v>Order Delivered</v>
      </c>
      <c r="C234" s="2">
        <f>IFERROR(__xludf.DUMMYFUNCTION("""COMPUTED_VALUE"""),0.5)</f>
        <v>0.5</v>
      </c>
      <c r="D234" s="2" t="str">
        <f>IFERROR(__xludf.DUMMYFUNCTION("""COMPUTED_VALUE"""),"आदेश दिया गया")</f>
        <v>आदेश दिया गया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 t="str">
        <f>IFERROR(__xludf.DUMMYFUNCTION("""COMPUTED_VALUE"""),"favoruites")</f>
        <v>favoruites</v>
      </c>
      <c r="B235" s="2" t="str">
        <f>IFERROR(__xludf.DUMMYFUNCTION("""COMPUTED_VALUE"""),"Favourites")</f>
        <v>Favourites</v>
      </c>
      <c r="C235" s="2">
        <f>IFERROR(__xludf.DUMMYFUNCTION("""COMPUTED_VALUE"""),0.2)</f>
        <v>0.2</v>
      </c>
      <c r="D235" s="2" t="str">
        <f>IFERROR(__xludf.DUMMYFUNCTION("""COMPUTED_VALUE"""),"पसंदीदा")</f>
        <v>पसंदीदा</v>
      </c>
      <c r="E235" s="2" t="str">
        <f>IFERROR(__xludf.DUMMYFUNCTION("""COMPUTED_VALUE"""),"not ok")</f>
        <v>not ok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 t="str">
        <f>IFERROR(__xludf.DUMMYFUNCTION("""COMPUTED_VALUE"""),"shops")</f>
        <v>shops</v>
      </c>
      <c r="B236" s="2" t="str">
        <f>IFERROR(__xludf.DUMMYFUNCTION("""COMPUTED_VALUE"""),"Shops")</f>
        <v>Shops</v>
      </c>
      <c r="C236" s="2">
        <f>IFERROR(__xludf.DUMMYFUNCTION("""COMPUTED_VALUE"""),0.2)</f>
        <v>0.2</v>
      </c>
      <c r="D236" s="2" t="str">
        <f>IFERROR(__xludf.DUMMYFUNCTION("""COMPUTED_VALUE"""),"दुकानें")</f>
        <v>दुकानें</v>
      </c>
      <c r="E236" s="2" t="str">
        <f>IFERROR(__xludf.DUMMYFUNCTION("""COMPUTED_VALUE"""),"ok")</f>
        <v>ok</v>
      </c>
      <c r="F236" s="2" t="str">
        <f>IFERROR(__xludf.DUMMYFUNCTION("""COMPUTED_VALUE"""),"dukane")</f>
        <v>dukane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 t="str">
        <f>IFERROR(__xludf.DUMMYFUNCTION("""COMPUTED_VALUE"""),"savedAddress")</f>
        <v>savedAddress</v>
      </c>
      <c r="B237" s="2" t="str">
        <f>IFERROR(__xludf.DUMMYFUNCTION("""COMPUTED_VALUE"""),"Saved Address")</f>
        <v>Saved Address</v>
      </c>
      <c r="C237" s="2">
        <f>IFERROR(__xludf.DUMMYFUNCTION("""COMPUTED_VALUE"""),0.3)</f>
        <v>0.3</v>
      </c>
      <c r="D237" s="2" t="str">
        <f>IFERROR(__xludf.DUMMYFUNCTION("""COMPUTED_VALUE"""),"सहेजा गया पता")</f>
        <v>सहेजा गया पता</v>
      </c>
      <c r="E237" s="2" t="str">
        <f>IFERROR(__xludf.DUMMYFUNCTION("""COMPUTED_VALUE"""),"ok")</f>
        <v>ok</v>
      </c>
      <c r="F237" s="2" t="str">
        <f>IFERROR(__xludf.DUMMYFUNCTION("""COMPUTED_VALUE"""),"saheja gaya pata")</f>
        <v>saheja gaya pata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 t="str">
        <f>IFERROR(__xludf.DUMMYFUNCTION("""COMPUTED_VALUE"""),"yourorderhasbeendeliveredsuccessully")</f>
        <v>yourorderhasbeendeliveredsuccessully</v>
      </c>
      <c r="B238" s="2" t="str">
        <f>IFERROR(__xludf.DUMMYFUNCTION("""COMPUTED_VALUE"""),"Your order has been Delivered Successfully ")</f>
        <v>Your order has been Delivered Successfully </v>
      </c>
      <c r="C238" s="2">
        <f>IFERROR(__xludf.DUMMYFUNCTION("""COMPUTED_VALUE"""),0.5)</f>
        <v>0.5</v>
      </c>
      <c r="D238" s="2" t="str">
        <f>IFERROR(__xludf.DUMMYFUNCTION("""COMPUTED_VALUE"""),"आपका आदेश सफलतापूर्वक दिया गया है")</f>
        <v>आपका आदेश सफलतापूर्वक दिया गया है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 t="str">
        <f>IFERROR(__xludf.DUMMYFUNCTION("""COMPUTED_VALUE"""),"makepayment")</f>
        <v>makepayment</v>
      </c>
      <c r="B239" s="2" t="str">
        <f>IFERROR(__xludf.DUMMYFUNCTION("""COMPUTED_VALUE"""),"Make Payment")</f>
        <v>Make Payment</v>
      </c>
      <c r="C239" s="2">
        <f>IFERROR(__xludf.DUMMYFUNCTION("""COMPUTED_VALUE"""),0.5)</f>
        <v>0.5</v>
      </c>
      <c r="D239" s="2" t="str">
        <f>IFERROR(__xludf.DUMMYFUNCTION("""COMPUTED_VALUE"""),"भुगतान करें")</f>
        <v>भुगतान करें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 t="str">
        <f>IFERROR(__xludf.DUMMYFUNCTION("""COMPUTED_VALUE"""),"privacyPolicies")</f>
        <v>privacyPolicies</v>
      </c>
      <c r="B240" s="2" t="str">
        <f>IFERROR(__xludf.DUMMYFUNCTION("""COMPUTED_VALUE"""),"Privacy policies")</f>
        <v>Privacy policies</v>
      </c>
      <c r="C240" s="2">
        <f>IFERROR(__xludf.DUMMYFUNCTION("""COMPUTED_VALUE"""),0.2)</f>
        <v>0.2</v>
      </c>
      <c r="D240" s="2" t="str">
        <f>IFERROR(__xludf.DUMMYFUNCTION("""COMPUTED_VALUE"""),"गोपनीयता पालिसी")</f>
        <v>गोपनीयता पालिसी</v>
      </c>
      <c r="E240" s="2" t="str">
        <f>IFERROR(__xludf.DUMMYFUNCTION("""COMPUTED_VALUE"""),"ok")</f>
        <v>ok</v>
      </c>
      <c r="F240" s="2" t="str">
        <f>IFERROR(__xludf.DUMMYFUNCTION("""COMPUTED_VALUE"""),"sampark kare")</f>
        <v>sampark kare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 t="str">
        <f>IFERROR(__xludf.DUMMYFUNCTION("""COMPUTED_VALUE"""),"doyouwanttodelete")</f>
        <v>doyouwanttodelete</v>
      </c>
      <c r="B241" s="2" t="str">
        <f>IFERROR(__xludf.DUMMYFUNCTION("""COMPUTED_VALUE"""),"Do you want to delete?")</f>
        <v>Do you want to delete?</v>
      </c>
      <c r="C241" s="2">
        <f>IFERROR(__xludf.DUMMYFUNCTION("""COMPUTED_VALUE"""),0.5)</f>
        <v>0.5</v>
      </c>
      <c r="D241" s="2" t="str">
        <f>IFERROR(__xludf.DUMMYFUNCTION("""COMPUTED_VALUE"""),"क्या आप हटाना चाहते हैं?")</f>
        <v>क्या आप हटाना चाहते हैं?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 t="str">
        <f>IFERROR(__xludf.DUMMYFUNCTION("""COMPUTED_VALUE"""),"iddetails")</f>
        <v>iddetails</v>
      </c>
      <c r="B242" s="2" t="str">
        <f>IFERROR(__xludf.DUMMYFUNCTION("""COMPUTED_VALUE"""),"ID Details")</f>
        <v>ID Details</v>
      </c>
      <c r="C242" s="2">
        <f>IFERROR(__xludf.DUMMYFUNCTION("""COMPUTED_VALUE"""),0.3)</f>
        <v>0.3</v>
      </c>
      <c r="D242" s="2" t="str">
        <f>IFERROR(__xludf.DUMMYFUNCTION("""COMPUTED_VALUE"""),"आईडी विवरण")</f>
        <v>आईडी विवरण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 t="str">
        <f>IFERROR(__xludf.DUMMYFUNCTION("""COMPUTED_VALUE"""),"byClickingIaccepttheterms&amp;conditionsandprivacypolicy")</f>
        <v>byClickingIaccepttheterms&amp;conditionsandprivacypolicy</v>
      </c>
      <c r="B243" s="2" t="str">
        <f>IFERROR(__xludf.DUMMYFUNCTION("""COMPUTED_VALUE"""),"By clicking, I accept the Terms &amp; conditions and Privacy Policy")</f>
        <v>By clicking, I accept the Terms &amp; conditions and Privacy Policy</v>
      </c>
      <c r="C243" s="2">
        <f>IFERROR(__xludf.DUMMYFUNCTION("""COMPUTED_VALUE"""),0.1)</f>
        <v>0.1</v>
      </c>
      <c r="D243" s="2" t="str">
        <f>IFERROR(__xludf.DUMMYFUNCTION("""COMPUTED_VALUE"""),"क्लिक करके, मैं नियम और शर्तें और गोपनीयता नीति स्वीकार करता हूं")</f>
        <v>क्लिक करके, मैं नियम और शर्तें और गोपनीयता नीति स्वीकार करता हूं</v>
      </c>
      <c r="E243" s="2" t="str">
        <f>IFERROR(__xludf.DUMMYFUNCTION("""COMPUTED_VALUE"""),"ok")</f>
        <v>ok</v>
      </c>
      <c r="F243" s="2" t="str">
        <f>IFERROR(__xludf.DUMMYFUNCTION("""COMPUTED_VALUE"""),"mujhe svikar kare")</f>
        <v>mujhe svikar kare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 t="str">
        <f>IFERROR(__xludf.DUMMYFUNCTION("""COMPUTED_VALUE"""),"building/locality")</f>
        <v>building/locality</v>
      </c>
      <c r="B244" s="2" t="str">
        <f>IFERROR(__xludf.DUMMYFUNCTION("""COMPUTED_VALUE"""),"Building/Locality")</f>
        <v>Building/Locality</v>
      </c>
      <c r="C244" s="2">
        <f>IFERROR(__xludf.DUMMYFUNCTION("""COMPUTED_VALUE"""),0.2)</f>
        <v>0.2</v>
      </c>
      <c r="D244" s="2" t="str">
        <f>IFERROR(__xludf.DUMMYFUNCTION("""COMPUTED_VALUE"""),"भवन/स्थानीयता")</f>
        <v>भवन/स्थानीयता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 t="str">
        <f>IFERROR(__xludf.DUMMYFUNCTION("""COMPUTED_VALUE"""),"restaurant")</f>
        <v>restaurant</v>
      </c>
      <c r="B245" s="2" t="str">
        <f>IFERROR(__xludf.DUMMYFUNCTION("""COMPUTED_VALUE"""),"Restaurant")</f>
        <v>Restaurant</v>
      </c>
      <c r="C245" s="2">
        <f>IFERROR(__xludf.DUMMYFUNCTION("""COMPUTED_VALUE"""),0.3)</f>
        <v>0.3</v>
      </c>
      <c r="D245" s="2" t="str">
        <f>IFERROR(__xludf.DUMMYFUNCTION("""COMPUTED_VALUE"""),"रेस्टोरेंट")</f>
        <v>रेस्टोरेंट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 t="str">
        <f>IFERROR(__xludf.DUMMYFUNCTION("""COMPUTED_VALUE"""),"re-upload")</f>
        <v>re-upload</v>
      </c>
      <c r="B246" s="2" t="str">
        <f>IFERROR(__xludf.DUMMYFUNCTION("""COMPUTED_VALUE"""),"Re-upload ")</f>
        <v>Re-upload </v>
      </c>
      <c r="C246" s="2">
        <f>IFERROR(__xludf.DUMMYFUNCTION("""COMPUTED_VALUE"""),0.1)</f>
        <v>0.1</v>
      </c>
      <c r="D246" s="2" t="str">
        <f>IFERROR(__xludf.DUMMYFUNCTION("""COMPUTED_VALUE"""),"पुन: अपलोड")</f>
        <v>पुन: अपलोड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 t="str">
        <f>IFERROR(__xludf.DUMMYFUNCTION("""COMPUTED_VALUE"""),"individual")</f>
        <v>individual</v>
      </c>
      <c r="B247" s="2" t="str">
        <f>IFERROR(__xludf.DUMMYFUNCTION("""COMPUTED_VALUE"""),"Individual")</f>
        <v>Individual</v>
      </c>
      <c r="C247" s="2">
        <f>IFERROR(__xludf.DUMMYFUNCTION("""COMPUTED_VALUE"""),0.1)</f>
        <v>0.1</v>
      </c>
      <c r="D247" s="2" t="str">
        <f>IFERROR(__xludf.DUMMYFUNCTION("""COMPUTED_VALUE"""),"व्यक्ति")</f>
        <v>व्यक्ति</v>
      </c>
      <c r="E247" s="2" t="str">
        <f>IFERROR(__xludf.DUMMYFUNCTION("""COMPUTED_VALUE"""),"ok")</f>
        <v>ok</v>
      </c>
      <c r="F247" s="2" t="str">
        <f>IFERROR(__xludf.DUMMYFUNCTION("""COMPUTED_VALUE"""),"prapt nahi hua")</f>
        <v>prapt nahi hua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 t="str">
        <f>IFERROR(__xludf.DUMMYFUNCTION("""COMPUTED_VALUE"""),"didntReceivetheOTP")</f>
        <v>didntReceivetheOTP</v>
      </c>
      <c r="B248" s="2" t="str">
        <f>IFERROR(__xludf.DUMMYFUNCTION("""COMPUTED_VALUE"""),"Didnt receive the OTP?")</f>
        <v>Didnt receive the OTP?</v>
      </c>
      <c r="C248" s="2">
        <f>IFERROR(__xludf.DUMMYFUNCTION("""COMPUTED_VALUE"""),0.1)</f>
        <v>0.1</v>
      </c>
      <c r="D248" s="2" t="str">
        <f>IFERROR(__xludf.DUMMYFUNCTION("""COMPUTED_VALUE"""),"क्या ओटीपी प्राप्त नहीं हुआ?")</f>
        <v>क्या ओटीपी प्राप्त नहीं हुआ?</v>
      </c>
      <c r="E248" s="2" t="str">
        <f>IFERROR(__xludf.DUMMYFUNCTION("""COMPUTED_VALUE"""),"ok")</f>
        <v>ok</v>
      </c>
      <c r="F248" s="2" t="str">
        <f>IFERROR(__xludf.DUMMYFUNCTION("""COMPUTED_VALUE"""),"k madhyam se satyapit kare")</f>
        <v>k madhyam se satyapit kare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 t="str">
        <f>IFERROR(__xludf.DUMMYFUNCTION("""COMPUTED_VALUE"""),"verifyVia")</f>
        <v>verifyVia</v>
      </c>
      <c r="B249" s="2" t="str">
        <f>IFERROR(__xludf.DUMMYFUNCTION("""COMPUTED_VALUE"""),"Verify Via")</f>
        <v>Verify Via</v>
      </c>
      <c r="C249" s="2"/>
      <c r="D249" s="2" t="str">
        <f>IFERROR(__xludf.DUMMYFUNCTION("""COMPUTED_VALUE"""),"के माध्यम से सत्यापित करें")</f>
        <v>के माध्यम से सत्यापित करें</v>
      </c>
      <c r="E249" s="2" t="str">
        <f>IFERROR(__xludf.DUMMYFUNCTION("""COMPUTED_VALUE"""),"ok")</f>
        <v>ok</v>
      </c>
      <c r="F249" s="2" t="str">
        <f>IFERROR(__xludf.DUMMYFUNCTION("""COMPUTED_VALUE"""),"vitran")</f>
        <v>vitran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 t="str">
        <f>IFERROR(__xludf.DUMMYFUNCTION("""COMPUTED_VALUE"""),"howdoyoufeel")</f>
        <v>howdoyoufeel</v>
      </c>
      <c r="B250" s="2" t="str">
        <f>IFERROR(__xludf.DUMMYFUNCTION("""COMPUTED_VALUE"""),"How Do You Feel?")</f>
        <v>How Do You Feel?</v>
      </c>
      <c r="C250" s="2">
        <f>IFERROR(__xludf.DUMMYFUNCTION("""COMPUTED_VALUE"""),0.5)</f>
        <v>0.5</v>
      </c>
      <c r="D250" s="2" t="str">
        <f>IFERROR(__xludf.DUMMYFUNCTION("""COMPUTED_VALUE"""),"आपको कैसा लगता है?")</f>
        <v>आपको कैसा लगता है?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 t="str">
        <f>IFERROR(__xludf.DUMMYFUNCTION("""COMPUTED_VALUE"""),"uploadvoterid")</f>
        <v>uploadvoterid</v>
      </c>
      <c r="B251" s="2" t="str">
        <f>IFERROR(__xludf.DUMMYFUNCTION("""COMPUTED_VALUE"""),"Upload Voter ID")</f>
        <v>Upload Voter ID</v>
      </c>
      <c r="C251" s="2">
        <f>IFERROR(__xludf.DUMMYFUNCTION("""COMPUTED_VALUE"""),0.1)</f>
        <v>0.1</v>
      </c>
      <c r="D251" s="2" t="str">
        <f>IFERROR(__xludf.DUMMYFUNCTION("""COMPUTED_VALUE"""),"मतदाता आईडी अपलोड करें")</f>
        <v>मतदाता आईडी अपलोड करें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 t="str">
        <f>IFERROR(__xludf.DUMMYFUNCTION("""COMPUTED_VALUE"""),"pickupWithin")</f>
        <v>pickupWithin</v>
      </c>
      <c r="B252" s="2" t="str">
        <f>IFERROR(__xludf.DUMMYFUNCTION("""COMPUTED_VALUE"""),"Pickup within")</f>
        <v>Pickup within</v>
      </c>
      <c r="C252" s="2"/>
      <c r="D252" s="2" t="str">
        <f>IFERROR(__xludf.DUMMYFUNCTION("""COMPUTED_VALUE"""),"भीतर पिकअप")</f>
        <v>भीतर पिकअप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 t="str">
        <f>IFERROR(__xludf.DUMMYFUNCTION("""COMPUTED_VALUE"""),"addDebit")</f>
        <v>addDebit</v>
      </c>
      <c r="B253" s="2" t="str">
        <f>IFERROR(__xludf.DUMMYFUNCTION("""COMPUTED_VALUE"""),"Add Debit")</f>
        <v>Add Debit</v>
      </c>
      <c r="C253" s="2"/>
      <c r="D253" s="2" t="str">
        <f>IFERROR(__xludf.DUMMYFUNCTION("""COMPUTED_VALUE"""),"डेबिट जोड़ें")</f>
        <v>डेबिट जोड़ें</v>
      </c>
      <c r="E253" s="2" t="str">
        <f>IFERROR(__xludf.DUMMYFUNCTION("""COMPUTED_VALUE"""),"ok")</f>
        <v>ok</v>
      </c>
      <c r="F253" s="2" t="str">
        <f>IFERROR(__xludf.DUMMYFUNCTION("""COMPUTED_VALUE"""),"apka adesh")</f>
        <v>apka adesh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 t="str">
        <f>IFERROR(__xludf.DUMMYFUNCTION("""COMPUTED_VALUE"""),"creditCard")</f>
        <v>creditCard</v>
      </c>
      <c r="B254" s="2" t="str">
        <f>IFERROR(__xludf.DUMMYFUNCTION("""COMPUTED_VALUE"""),"Credit Card")</f>
        <v>Credit Card</v>
      </c>
      <c r="C254" s="2"/>
      <c r="D254" s="2" t="str">
        <f>IFERROR(__xludf.DUMMYFUNCTION("""COMPUTED_VALUE"""),"क्रेडिट कार्ड")</f>
        <v>क्रेडिट कार्ड</v>
      </c>
      <c r="E254" s="2" t="str">
        <f>IFERROR(__xludf.DUMMYFUNCTION("""COMPUTED_VALUE"""),"ok")</f>
        <v>ok</v>
      </c>
      <c r="F254" s="2" t="str">
        <f>IFERROR(__xludf.DUMMYFUNCTION("""COMPUTED_VALUE"""),"hoga")</f>
        <v>hoga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 t="str">
        <f>IFERROR(__xludf.DUMMYFUNCTION("""COMPUTED_VALUE"""),"yourOrder")</f>
        <v>yourOrder</v>
      </c>
      <c r="B255" s="2" t="str">
        <f>IFERROR(__xludf.DUMMYFUNCTION("""COMPUTED_VALUE"""),"Your Order")</f>
        <v>Your Order</v>
      </c>
      <c r="C255" s="2"/>
      <c r="D255" s="2" t="str">
        <f>IFERROR(__xludf.DUMMYFUNCTION("""COMPUTED_VALUE"""),"आपका आदेश")</f>
        <v>आपका आदेश</v>
      </c>
      <c r="E255" s="2" t="str">
        <f>IFERROR(__xludf.DUMMYFUNCTION("""COMPUTED_VALUE"""),"ok")</f>
        <v>ok</v>
      </c>
      <c r="F255" s="2" t="str">
        <f>IFERROR(__xludf.DUMMYFUNCTION("""COMPUTED_VALUE"""),"pareshani karna")</f>
        <v>pareshani karna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 t="str">
        <f>IFERROR(__xludf.DUMMYFUNCTION("""COMPUTED_VALUE"""),"willBe")</f>
        <v>willBe</v>
      </c>
      <c r="B256" s="2" t="str">
        <f>IFERROR(__xludf.DUMMYFUNCTION("""COMPUTED_VALUE"""),"Will Be")</f>
        <v>Will Be</v>
      </c>
      <c r="C256" s="2"/>
      <c r="D256" s="2" t="str">
        <f>IFERROR(__xludf.DUMMYFUNCTION("""COMPUTED_VALUE"""),"होगा")</f>
        <v>होगा</v>
      </c>
      <c r="E256" s="2" t="str">
        <f>IFERROR(__xludf.DUMMYFUNCTION("""COMPUTED_VALUE"""),"ok")</f>
        <v>ok</v>
      </c>
      <c r="F256" s="2" t="str">
        <f>IFERROR(__xludf.DUMMYFUNCTION("""COMPUTED_VALUE"""),"batna")</f>
        <v>batna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 t="str">
        <f>IFERROR(__xludf.DUMMYFUNCTION("""COMPUTED_VALUE"""),"15digitalphanumericnumber")</f>
        <v>15digitalphanumericnumber</v>
      </c>
      <c r="B257" s="2" t="str">
        <f>IFERROR(__xludf.DUMMYFUNCTION("""COMPUTED_VALUE"""),"15-digit Alpha Numeric Number")</f>
        <v>15-digit Alpha Numeric Number</v>
      </c>
      <c r="C257" s="2">
        <f>IFERROR(__xludf.DUMMYFUNCTION("""COMPUTED_VALUE"""),0.1)</f>
        <v>0.1</v>
      </c>
      <c r="D257" s="2" t="str">
        <f>IFERROR(__xludf.DUMMYFUNCTION("""COMPUTED_VALUE"""),"15-अंकीय अल्फा संख्यात्मक संख्या")</f>
        <v>15-अंकीय अल्फा संख्यात्मक संख्या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 t="str">
        <f>IFERROR(__xludf.DUMMYFUNCTION("""COMPUTED_VALUE"""),"deliver")</f>
        <v>deliver</v>
      </c>
      <c r="B258" s="2" t="str">
        <f>IFERROR(__xludf.DUMMYFUNCTION("""COMPUTED_VALUE"""),"Deliver")</f>
        <v>Deliver</v>
      </c>
      <c r="C258" s="2">
        <f>IFERROR(__xludf.DUMMYFUNCTION("""COMPUTED_VALUE"""),0.4)</f>
        <v>0.4</v>
      </c>
      <c r="D258" s="2" t="str">
        <f>IFERROR(__xludf.DUMMYFUNCTION("""COMPUTED_VALUE"""),"वितरण")</f>
        <v>वितरण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 t="str">
        <f>IFERROR(__xludf.DUMMYFUNCTION("""COMPUTED_VALUE"""),"pickupNoShow")</f>
        <v>pickupNoShow</v>
      </c>
      <c r="B259" s="2" t="str">
        <f>IFERROR(__xludf.DUMMYFUNCTION("""COMPUTED_VALUE"""),"Pickup No Show")</f>
        <v>Pickup No Show</v>
      </c>
      <c r="C259" s="2"/>
      <c r="D259" s="2" t="str">
        <f>IFERROR(__xludf.DUMMYFUNCTION("""COMPUTED_VALUE"""),"पिकअप नो शो")</f>
        <v>पिकअप नो शो</v>
      </c>
      <c r="E259" s="2" t="str">
        <f>IFERROR(__xludf.DUMMYFUNCTION("""COMPUTED_VALUE"""),"not ok")</f>
        <v>not ok</v>
      </c>
      <c r="F259" s="2" t="str">
        <f>IFERROR(__xludf.DUMMYFUNCTION("""COMPUTED_VALUE"""),"sam")</f>
        <v>sam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 t="str">
        <f>IFERROR(__xludf.DUMMYFUNCTION("""COMPUTED_VALUE"""),"house")</f>
        <v>house</v>
      </c>
      <c r="B260" s="2" t="str">
        <f>IFERROR(__xludf.DUMMYFUNCTION("""COMPUTED_VALUE"""),"House")</f>
        <v>House</v>
      </c>
      <c r="C260" s="2"/>
      <c r="D260" s="2" t="str">
        <f>IFERROR(__xludf.DUMMYFUNCTION("""COMPUTED_VALUE"""),"घर")</f>
        <v>घर</v>
      </c>
      <c r="E260" s="2" t="str">
        <f>IFERROR(__xludf.DUMMYFUNCTION("""COMPUTED_VALUE"""),"not ok")</f>
        <v>not ok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 t="str">
        <f>IFERROR(__xludf.DUMMYFUNCTION("""COMPUTED_VALUE"""),"flat")</f>
        <v>flat</v>
      </c>
      <c r="B261" s="2" t="str">
        <f>IFERROR(__xludf.DUMMYFUNCTION("""COMPUTED_VALUE"""),"Flat")</f>
        <v>Flat</v>
      </c>
      <c r="C261" s="2"/>
      <c r="D261" s="2" t="str">
        <f>IFERROR(__xludf.DUMMYFUNCTION("""COMPUTED_VALUE"""),"समतल")</f>
        <v>समतल</v>
      </c>
      <c r="E261" s="2" t="str">
        <f>IFERROR(__xludf.DUMMYFUNCTION("""COMPUTED_VALUE"""),"not  ok")</f>
        <v>not  ok</v>
      </c>
      <c r="F261" s="2" t="str">
        <f>IFERROR(__xludf.DUMMYFUNCTION("""COMPUTED_VALUE"""),"clo")</f>
        <v>clo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 t="str">
        <f>IFERROR(__xludf.DUMMYFUNCTION("""COMPUTED_VALUE"""),"block")</f>
        <v>block</v>
      </c>
      <c r="B262" s="2" t="str">
        <f>IFERROR(__xludf.DUMMYFUNCTION("""COMPUTED_VALUE"""),"Block")</f>
        <v>Block</v>
      </c>
      <c r="C262" s="2"/>
      <c r="D262" s="2" t="str">
        <f>IFERROR(__xludf.DUMMYFUNCTION("""COMPUTED_VALUE"""),"अवरोध पैदा करना")</f>
        <v>अवरोध पैदा करना</v>
      </c>
      <c r="E262" s="2" t="str">
        <f>IFERROR(__xludf.DUMMYFUNCTION("""COMPUTED_VALUE"""),"ok")</f>
        <v>ok</v>
      </c>
      <c r="F262" s="2" t="str">
        <f>IFERROR(__xludf.DUMMYFUNCTION("""COMPUTED_VALUE"""),"appartment")</f>
        <v>appartment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 t="str">
        <f>IFERROR(__xludf.DUMMYFUNCTION("""COMPUTED_VALUE"""),"blockNumber")</f>
        <v>blockNumber</v>
      </c>
      <c r="B263" s="2" t="str">
        <f>IFERROR(__xludf.DUMMYFUNCTION("""COMPUTED_VALUE"""),"Block Number")</f>
        <v>Block Number</v>
      </c>
      <c r="C263" s="2"/>
      <c r="D263" s="2" t="str">
        <f>IFERROR(__xludf.DUMMYFUNCTION("""COMPUTED_VALUE"""),"ब्लॉक संख्या")</f>
        <v>ब्लॉक संख्या</v>
      </c>
      <c r="E263" s="2" t="str">
        <f>IFERROR(__xludf.DUMMYFUNCTION("""COMPUTED_VALUE"""),"ok")</f>
        <v>ok</v>
      </c>
      <c r="F263" s="2" t="str">
        <f>IFERROR(__xludf.DUMMYFUNCTION("""COMPUTED_VALUE"""),"sadak")</f>
        <v>sadak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 t="str">
        <f>IFERROR(__xludf.DUMMYFUNCTION("""COMPUTED_VALUE"""),"appartment")</f>
        <v>appartment</v>
      </c>
      <c r="B264" s="2" t="str">
        <f>IFERROR(__xludf.DUMMYFUNCTION("""COMPUTED_VALUE"""),"Apartment")</f>
        <v>Apartment</v>
      </c>
      <c r="C264" s="2"/>
      <c r="D264" s="2" t="str">
        <f>IFERROR(__xludf.DUMMYFUNCTION("""COMPUTED_VALUE"""),"अपार्टमेंट")</f>
        <v>अपार्टमेंट</v>
      </c>
      <c r="E264" s="2" t="str">
        <f>IFERROR(__xludf.DUMMYFUNCTION("""COMPUTED_VALUE"""),"ok")</f>
        <v>ok</v>
      </c>
      <c r="F264" s="2" t="str">
        <f>IFERROR(__xludf.DUMMYFUNCTION("""COMPUTED_VALUE"""),"kshetra")</f>
        <v>kshetra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 t="str">
        <f>IFERROR(__xludf.DUMMYFUNCTION("""COMPUTED_VALUE"""),"road")</f>
        <v>road</v>
      </c>
      <c r="B265" s="2" t="str">
        <f>IFERROR(__xludf.DUMMYFUNCTION("""COMPUTED_VALUE"""),"Road")</f>
        <v>Road</v>
      </c>
      <c r="C265" s="2"/>
      <c r="D265" s="2" t="str">
        <f>IFERROR(__xludf.DUMMYFUNCTION("""COMPUTED_VALUE"""),"सड़क")</f>
        <v>सड़क</v>
      </c>
      <c r="E265" s="2" t="str">
        <f>IFERROR(__xludf.DUMMYFUNCTION("""COMPUTED_VALUE"""),"ok")</f>
        <v>ok</v>
      </c>
      <c r="F265" s="2" t="str">
        <f>IFERROR(__xludf.DUMMYFUNCTION("""COMPUTED_VALUE"""),"ise bachaya")</f>
        <v>ise bachaya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 t="str">
        <f>IFERROR(__xludf.DUMMYFUNCTION("""COMPUTED_VALUE"""),"area")</f>
        <v>area</v>
      </c>
      <c r="B266" s="2" t="str">
        <f>IFERROR(__xludf.DUMMYFUNCTION("""COMPUTED_VALUE"""),"Area")</f>
        <v>Area</v>
      </c>
      <c r="C266" s="2"/>
      <c r="D266" s="2" t="str">
        <f>IFERROR(__xludf.DUMMYFUNCTION("""COMPUTED_VALUE"""),"क्षेत्र")</f>
        <v>क्षेत्र</v>
      </c>
      <c r="E266" s="2" t="str">
        <f>IFERROR(__xludf.DUMMYFUNCTION("""COMPUTED_VALUE"""),"ok")</f>
        <v>ok</v>
      </c>
      <c r="F266" s="2" t="str">
        <f>IFERROR(__xludf.DUMMYFUNCTION("""COMPUTED_VALUE"""),"k roop mai pata")</f>
        <v>k roop mai pata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 t="str">
        <f>IFERROR(__xludf.DUMMYFUNCTION("""COMPUTED_VALUE"""),"saveThis")</f>
        <v>saveThis</v>
      </c>
      <c r="B267" s="2" t="str">
        <f>IFERROR(__xludf.DUMMYFUNCTION("""COMPUTED_VALUE"""),"Save this ")</f>
        <v>Save this </v>
      </c>
      <c r="C267" s="2"/>
      <c r="D267" s="2" t="str">
        <f>IFERROR(__xludf.DUMMYFUNCTION("""COMPUTED_VALUE"""),"इसे बचाएं")</f>
        <v>इसे बचाएं</v>
      </c>
      <c r="E267" s="2" t="str">
        <f>IFERROR(__xludf.DUMMYFUNCTION("""COMPUTED_VALUE"""),"ok")</f>
        <v>ok</v>
      </c>
      <c r="F267" s="2" t="str">
        <f>IFERROR(__xludf.DUMMYFUNCTION("""COMPUTED_VALUE"""),"kya app")</f>
        <v>kya app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 t="str">
        <f>IFERROR(__xludf.DUMMYFUNCTION("""COMPUTED_VALUE"""),"addressAs")</f>
        <v>addressAs</v>
      </c>
      <c r="B268" s="2" t="str">
        <f>IFERROR(__xludf.DUMMYFUNCTION("""COMPUTED_VALUE"""),"Address as")</f>
        <v>Address as</v>
      </c>
      <c r="C268" s="2"/>
      <c r="D268" s="2" t="str">
        <f>IFERROR(__xludf.DUMMYFUNCTION("""COMPUTED_VALUE"""),"के रूप में पता")</f>
        <v>के रूप में पता</v>
      </c>
      <c r="E268" s="2" t="str">
        <f>IFERROR(__xludf.DUMMYFUNCTION("""COMPUTED_VALUE"""),"ok")</f>
        <v>ok</v>
      </c>
      <c r="F268" s="2" t="str">
        <f>IFERROR(__xludf.DUMMYFUNCTION("""COMPUTED_VALUE"""),"ni:sandeh apko")</f>
        <v>ni:sandeh apko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 t="str">
        <f>IFERROR(__xludf.DUMMYFUNCTION("""COMPUTED_VALUE"""),"areYou")</f>
        <v>areYou</v>
      </c>
      <c r="B269" s="2" t="str">
        <f>IFERROR(__xludf.DUMMYFUNCTION("""COMPUTED_VALUE"""),"Are you")</f>
        <v>Are you</v>
      </c>
      <c r="C269" s="2"/>
      <c r="D269" s="2" t="str">
        <f>IFERROR(__xludf.DUMMYFUNCTION("""COMPUTED_VALUE"""),"क्या आप")</f>
        <v>क्या आप</v>
      </c>
      <c r="E269" s="2" t="str">
        <f>IFERROR(__xludf.DUMMYFUNCTION("""COMPUTED_VALUE"""),"ok")</f>
        <v>ok</v>
      </c>
      <c r="F269" s="2" t="str">
        <f>IFERROR(__xludf.DUMMYFUNCTION("""COMPUTED_VALUE"""),"chahna")</f>
        <v>chahna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 t="str">
        <f>IFERROR(__xludf.DUMMYFUNCTION("""COMPUTED_VALUE"""),"sureYou")</f>
        <v>sureYou</v>
      </c>
      <c r="B270" s="2" t="str">
        <f>IFERROR(__xludf.DUMMYFUNCTION("""COMPUTED_VALUE"""),"sure you ")</f>
        <v>sure you </v>
      </c>
      <c r="C270" s="2"/>
      <c r="D270" s="2" t="str">
        <f>IFERROR(__xludf.DUMMYFUNCTION("""COMPUTED_VALUE"""),"नि: संदेह आपको")</f>
        <v>नि: संदेह आपको</v>
      </c>
      <c r="E270" s="2" t="str">
        <f>IFERROR(__xludf.DUMMYFUNCTION("""COMPUTED_VALUE"""),"ok")</f>
        <v>ok</v>
      </c>
      <c r="F270" s="2" t="str">
        <f>IFERROR(__xludf.DUMMYFUNCTION("""COMPUTED_VALUE"""),"sms bheja")</f>
        <v>sms bheja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 t="str">
        <f>IFERROR(__xludf.DUMMYFUNCTION("""COMPUTED_VALUE"""),"wantTo")</f>
        <v>wantTo</v>
      </c>
      <c r="B271" s="2" t="str">
        <f>IFERROR(__xludf.DUMMYFUNCTION("""COMPUTED_VALUE"""),"want to")</f>
        <v>want to</v>
      </c>
      <c r="C271" s="2"/>
      <c r="D271" s="2" t="str">
        <f>IFERROR(__xludf.DUMMYFUNCTION("""COMPUTED_VALUE"""),"चाहना")</f>
        <v>चाहना</v>
      </c>
      <c r="E271" s="2" t="str">
        <f>IFERROR(__xludf.DUMMYFUNCTION("""COMPUTED_VALUE"""),"ok")</f>
        <v>ok</v>
      </c>
      <c r="F271" s="2" t="str">
        <f>IFERROR(__xludf.DUMMYFUNCTION("""COMPUTED_VALUE"""),"safalta purvak")</f>
        <v>safalta purvak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 t="str">
        <f>IFERROR(__xludf.DUMMYFUNCTION("""COMPUTED_VALUE"""),"logOut")</f>
        <v>logOut</v>
      </c>
      <c r="B272" s="2" t="str">
        <f>IFERROR(__xludf.DUMMYFUNCTION("""COMPUTED_VALUE"""),"LOGOUT")</f>
        <v>LOGOUT</v>
      </c>
      <c r="C272" s="2">
        <f>IFERROR(__xludf.DUMMYFUNCTION("""COMPUTED_VALUE"""),0.5)</f>
        <v>0.5</v>
      </c>
      <c r="D272" s="2" t="str">
        <f>IFERROR(__xludf.DUMMYFUNCTION("""COMPUTED_VALUE"""),"लॉग आउट")</f>
        <v>लॉग आउट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 t="str">
        <f>IFERROR(__xludf.DUMMYFUNCTION("""COMPUTED_VALUE"""),"smsSent")</f>
        <v>smsSent</v>
      </c>
      <c r="B273" s="2" t="str">
        <f>IFERROR(__xludf.DUMMYFUNCTION("""COMPUTED_VALUE"""),"SMS sent")</f>
        <v>SMS sent</v>
      </c>
      <c r="C273" s="2"/>
      <c r="D273" s="2" t="str">
        <f>IFERROR(__xludf.DUMMYFUNCTION("""COMPUTED_VALUE"""),"एसएमएस भेजा")</f>
        <v>एसएमएस भेजा</v>
      </c>
      <c r="E273" s="2" t="str">
        <f>IFERROR(__xludf.DUMMYFUNCTION("""COMPUTED_VALUE"""),"ok")</f>
        <v>ok</v>
      </c>
      <c r="F273" s="2" t="str">
        <f>IFERROR(__xludf.DUMMYFUNCTION("""COMPUTED_VALUE"""),"raha hai")</f>
        <v>raha hai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 t="str">
        <f>IFERROR(__xludf.DUMMYFUNCTION("""COMPUTED_VALUE"""),"successfully")</f>
        <v>successfully</v>
      </c>
      <c r="B274" s="2" t="str">
        <f>IFERROR(__xludf.DUMMYFUNCTION("""COMPUTED_VALUE"""),"Successfully")</f>
        <v>Successfully</v>
      </c>
      <c r="C274" s="2"/>
      <c r="D274" s="2" t="str">
        <f>IFERROR(__xludf.DUMMYFUNCTION("""COMPUTED_VALUE"""),"सफलतापूर्वक")</f>
        <v>सफलतापूर्वक</v>
      </c>
      <c r="E274" s="2" t="str">
        <f>IFERROR(__xludf.DUMMYFUNCTION("""COMPUTED_VALUE"""),"ok")</f>
        <v>ok</v>
      </c>
      <c r="F274" s="2" t="str">
        <f>IFERROR(__xludf.DUMMYFUNCTION("""COMPUTED_VALUE"""),"par bheja gaya")</f>
        <v>par bheja gaya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 t="str">
        <f>IFERROR(__xludf.DUMMYFUNCTION("""COMPUTED_VALUE"""),"deliverymanager")</f>
        <v>deliverymanager</v>
      </c>
      <c r="B275" s="2" t="str">
        <f>IFERROR(__xludf.DUMMYFUNCTION("""COMPUTED_VALUE"""),"Delivery Manager")</f>
        <v>Delivery Manager</v>
      </c>
      <c r="C275" s="2">
        <f>IFERROR(__xludf.DUMMYFUNCTION("""COMPUTED_VALUE"""),0.5)</f>
        <v>0.5</v>
      </c>
      <c r="D275" s="2" t="str">
        <f>IFERROR(__xludf.DUMMYFUNCTION("""COMPUTED_VALUE"""),"वितरण प्रबंधक")</f>
        <v>वितरण प्रबंधक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 t="str">
        <f>IFERROR(__xludf.DUMMYFUNCTION("""COMPUTED_VALUE"""),"hasBeen")</f>
        <v>hasBeen</v>
      </c>
      <c r="B276" s="2" t="str">
        <f>IFERROR(__xludf.DUMMYFUNCTION("""COMPUTED_VALUE"""),"has been")</f>
        <v>has been</v>
      </c>
      <c r="C276" s="2"/>
      <c r="D276" s="2" t="str">
        <f>IFERROR(__xludf.DUMMYFUNCTION("""COMPUTED_VALUE"""),"रहा है")</f>
        <v>रहा है</v>
      </c>
      <c r="E276" s="2" t="str">
        <f>IFERROR(__xludf.DUMMYFUNCTION("""COMPUTED_VALUE"""),"ok")</f>
        <v>ok</v>
      </c>
      <c r="F276" s="2" t="str">
        <f>IFERROR(__xludf.DUMMYFUNCTION("""COMPUTED_VALUE"""),"otp retry")</f>
        <v>otp retry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 t="str">
        <f>IFERROR(__xludf.DUMMYFUNCTION("""COMPUTED_VALUE"""),"sentAt")</f>
        <v>sentAt</v>
      </c>
      <c r="B277" s="2" t="str">
        <f>IFERROR(__xludf.DUMMYFUNCTION("""COMPUTED_VALUE"""),"sent at")</f>
        <v>sent at</v>
      </c>
      <c r="C277" s="2"/>
      <c r="D277" s="2" t="str">
        <f>IFERROR(__xludf.DUMMYFUNCTION("""COMPUTED_VALUE"""),"पर भेजा गया")</f>
        <v>पर भेजा गया</v>
      </c>
      <c r="E277" s="2" t="str">
        <f>IFERROR(__xludf.DUMMYFUNCTION("""COMPUTED_VALUE"""),"ok")</f>
        <v>ok</v>
      </c>
      <c r="F277" s="2" t="str">
        <f>IFERROR(__xludf.DUMMYFUNCTION("""COMPUTED_VALUE"""),"00.30 second mai")</f>
        <v>00.30 second mai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 t="str">
        <f>IFERROR(__xludf.DUMMYFUNCTION("""COMPUTED_VALUE"""),"yourRegistered")</f>
        <v>yourRegistered</v>
      </c>
      <c r="B278" s="2" t="str">
        <f>IFERROR(__xludf.DUMMYFUNCTION("""COMPUTED_VALUE"""),"your registered")</f>
        <v>your registered</v>
      </c>
      <c r="C278" s="2"/>
      <c r="D278" s="2" t="str">
        <f>IFERROR(__xludf.DUMMYFUNCTION("""COMPUTED_VALUE"""),"आपका पंजीकृत")</f>
        <v>आपका पंजीकृत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 t="str">
        <f>IFERROR(__xludf.DUMMYFUNCTION("""COMPUTED_VALUE"""),"House/Flat/Blockno.")</f>
        <v>House/Flat/Blockno.</v>
      </c>
      <c r="B279" s="2" t="str">
        <f>IFERROR(__xludf.DUMMYFUNCTION("""COMPUTED_VALUE"""),"House/Flat/Block no.")</f>
        <v>House/Flat/Block no.</v>
      </c>
      <c r="C279" s="2">
        <f>IFERROR(__xludf.DUMMYFUNCTION("""COMPUTED_VALUE"""),0.3)</f>
        <v>0.3</v>
      </c>
      <c r="D279" s="2" t="str">
        <f>IFERROR(__xludf.DUMMYFUNCTION("""COMPUTED_VALUE"""),"हाउस/फ्लैट/ब्लॉक नं।")</f>
        <v>हाउस/फ्लैट/ब्लॉक नं।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 t="str">
        <f>IFERROR(__xludf.DUMMYFUNCTION("""COMPUTED_VALUE"""),"Apartment/Road/Area")</f>
        <v>Apartment/Road/Area</v>
      </c>
      <c r="B280" s="2" t="str">
        <f>IFERROR(__xludf.DUMMYFUNCTION("""COMPUTED_VALUE"""),"Apartment/Road/Area")</f>
        <v>Apartment/Road/Area</v>
      </c>
      <c r="C280" s="2">
        <f>IFERROR(__xludf.DUMMYFUNCTION("""COMPUTED_VALUE"""),0.3)</f>
        <v>0.3</v>
      </c>
      <c r="D280" s="2" t="str">
        <f>IFERROR(__xludf.DUMMYFUNCTION("""COMPUTED_VALUE"""),"अपार्टमेंट/सड़क/क्षेत्र")</f>
        <v>अपार्टमेंट/सड़क/क्षेत्र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 t="str">
        <f>IFERROR(__xludf.DUMMYFUNCTION("""COMPUTED_VALUE"""),"OrderSubmitted")</f>
        <v>OrderSubmitted</v>
      </c>
      <c r="B281" s="2" t="str">
        <f>IFERROR(__xludf.DUMMYFUNCTION("""COMPUTED_VALUE"""),"Order Submitted")</f>
        <v>Order Submitted</v>
      </c>
      <c r="C281" s="2">
        <f>IFERROR(__xludf.DUMMYFUNCTION("""COMPUTED_VALUE"""),0.3)</f>
        <v>0.3</v>
      </c>
      <c r="D281" s="2" t="str">
        <f>IFERROR(__xludf.DUMMYFUNCTION("""COMPUTED_VALUE"""),"आदेश जमा किया")</f>
        <v>आदेश जमा किया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 t="str">
        <f>IFERROR(__xludf.DUMMYFUNCTION("""COMPUTED_VALUE"""),"saveas")</f>
        <v>saveas</v>
      </c>
      <c r="B282" s="2" t="str">
        <f>IFERROR(__xludf.DUMMYFUNCTION("""COMPUTED_VALUE"""),"Save as")</f>
        <v>Save as</v>
      </c>
      <c r="C282" s="2">
        <f>IFERROR(__xludf.DUMMYFUNCTION("""COMPUTED_VALUE"""),0.3)</f>
        <v>0.3</v>
      </c>
      <c r="D282" s="2" t="str">
        <f>IFERROR(__xludf.DUMMYFUNCTION("""COMPUTED_VALUE"""),"के रूप रक्षित करें")</f>
        <v>के रूप रक्षित करें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 t="str">
        <f>IFERROR(__xludf.DUMMYFUNCTION("""COMPUTED_VALUE"""),"sendTo")</f>
        <v>sendTo</v>
      </c>
      <c r="B283" s="2" t="str">
        <f>IFERROR(__xludf.DUMMYFUNCTION("""COMPUTED_VALUE"""),"Send To")</f>
        <v>Send To</v>
      </c>
      <c r="C283" s="2">
        <f>IFERROR(__xludf.DUMMYFUNCTION("""COMPUTED_VALUE"""),0.1)</f>
        <v>0.1</v>
      </c>
      <c r="D283" s="2" t="str">
        <f>IFERROR(__xludf.DUMMYFUNCTION("""COMPUTED_VALUE"""),"भेजना")</f>
        <v>भेजना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 t="str">
        <f>IFERROR(__xludf.DUMMYFUNCTION("""COMPUTED_VALUE"""),"managereferral")</f>
        <v>managereferral</v>
      </c>
      <c r="B284" s="2" t="str">
        <f>IFERROR(__xludf.DUMMYFUNCTION("""COMPUTED_VALUE"""),"Manage Referral")</f>
        <v>Manage Referral</v>
      </c>
      <c r="C284" s="2">
        <f>IFERROR(__xludf.DUMMYFUNCTION("""COMPUTED_VALUE"""),0.1)</f>
        <v>0.1</v>
      </c>
      <c r="D284" s="2" t="str">
        <f>IFERROR(__xludf.DUMMYFUNCTION("""COMPUTED_VALUE"""),"रेफरल का प्रबंधन करें")</f>
        <v>रेफरल का प्रबंधन करें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 t="str">
        <f>IFERROR(__xludf.DUMMYFUNCTION("""COMPUTED_VALUE"""),"in00.30Secs")</f>
        <v>in00.30Secs</v>
      </c>
      <c r="B285" s="2" t="str">
        <f>IFERROR(__xludf.DUMMYFUNCTION("""COMPUTED_VALUE"""),"in 00.30 secs")</f>
        <v>in 00.30 secs</v>
      </c>
      <c r="C285" s="2"/>
      <c r="D285" s="2" t="str">
        <f>IFERROR(__xludf.DUMMYFUNCTION("""COMPUTED_VALUE"""),"00.30 सेकंड में")</f>
        <v>00.30 सेकंड में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 t="str">
        <f>IFERROR(__xludf.DUMMYFUNCTION("""COMPUTED_VALUE"""),"fristOrder")</f>
        <v>fristOrder</v>
      </c>
      <c r="B286" s="2" t="str">
        <f>IFERROR(__xludf.DUMMYFUNCTION("""COMPUTED_VALUE"""),"First Order")</f>
        <v>First Order</v>
      </c>
      <c r="C286" s="2">
        <f>IFERROR(__xludf.DUMMYFUNCTION("""COMPUTED_VALUE"""),0.1)</f>
        <v>0.1</v>
      </c>
      <c r="D286" s="2" t="str">
        <f>IFERROR(__xludf.DUMMYFUNCTION("""COMPUTED_VALUE"""),"पहले के आदेश")</f>
        <v>पहले के आदेश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 t="str">
        <f>IFERROR(__xludf.DUMMYFUNCTION("""COMPUTED_VALUE"""),"entermobilenumberforotpverification")</f>
        <v>entermobilenumberforotpverification</v>
      </c>
      <c r="B287" s="2" t="str">
        <f>IFERROR(__xludf.DUMMYFUNCTION("""COMPUTED_VALUE"""),"Enter Mobile number for OTP Verification")</f>
        <v>Enter Mobile number for OTP Verification</v>
      </c>
      <c r="C287" s="2">
        <f>IFERROR(__xludf.DUMMYFUNCTION("""COMPUTED_VALUE"""),0.2)</f>
        <v>0.2</v>
      </c>
      <c r="D287" s="2" t="str">
        <f>IFERROR(__xludf.DUMMYFUNCTION("""COMPUTED_VALUE"""),"ओटीपी सत्यापन के लिए मोबाइल नंबर दर्ज करें")</f>
        <v>ओटीपी सत्यापन के लिए मोबाइल नंबर दर्ज करें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 t="str">
        <f>IFERROR(__xludf.DUMMYFUNCTION("""COMPUTED_VALUE"""),"welcome")</f>
        <v>welcome</v>
      </c>
      <c r="B288" s="2" t="str">
        <f>IFERROR(__xludf.DUMMYFUNCTION("""COMPUTED_VALUE"""),"Welcome ")</f>
        <v>Welcome </v>
      </c>
      <c r="C288" s="2">
        <f>IFERROR(__xludf.DUMMYFUNCTION("""COMPUTED_VALUE"""),0.1)</f>
        <v>0.1</v>
      </c>
      <c r="D288" s="2" t="str">
        <f>IFERROR(__xludf.DUMMYFUNCTION("""COMPUTED_VALUE"""),"स्वागत")</f>
        <v>स्वागत</v>
      </c>
      <c r="E288" s="2" t="str">
        <f>IFERROR(__xludf.DUMMYFUNCTION("""COMPUTED_VALUE"""),"swagat")</f>
        <v>swagat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 t="str">
        <f>IFERROR(__xludf.DUMMYFUNCTION("""COMPUTED_VALUE"""),"toSarvmai")</f>
        <v>toSarvmai</v>
      </c>
      <c r="B289" s="2" t="str">
        <f>IFERROR(__xludf.DUMMYFUNCTION("""COMPUTED_VALUE"""),"to SarVM.ai")</f>
        <v>to SarVM.ai</v>
      </c>
      <c r="C289" s="2">
        <f>IFERROR(__xludf.DUMMYFUNCTION("""COMPUTED_VALUE"""),0.1)</f>
        <v>0.1</v>
      </c>
      <c r="D289" s="2" t="str">
        <f>IFERROR(__xludf.DUMMYFUNCTION("""COMPUTED_VALUE"""),"sarvm.ai को")</f>
        <v>sarvm.ai को</v>
      </c>
      <c r="E289" s="3" t="str">
        <f>IFERROR(__xludf.DUMMYFUNCTION("""COMPUTED_VALUE"""),"sarvam.ai ko")</f>
        <v>sarvam.ai ko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 t="str">
        <f>IFERROR(__xludf.DUMMYFUNCTION("""COMPUTED_VALUE"""),"selectYourLanguage")</f>
        <v>selectYourLanguage</v>
      </c>
      <c r="B290" s="2" t="str">
        <f>IFERROR(__xludf.DUMMYFUNCTION("""COMPUTED_VALUE"""),"Select Your Language")</f>
        <v>Select Your Language</v>
      </c>
      <c r="C290" s="2">
        <f>IFERROR(__xludf.DUMMYFUNCTION("""COMPUTED_VALUE"""),0.1)</f>
        <v>0.1</v>
      </c>
      <c r="D290" s="2" t="str">
        <f>IFERROR(__xludf.DUMMYFUNCTION("""COMPUTED_VALUE"""),"अपनी भाषा का चयन करें")</f>
        <v>अपनी भाषा का चयन करें</v>
      </c>
      <c r="E290" s="2" t="str">
        <f>IFERROR(__xludf.DUMMYFUNCTION("""COMPUTED_VALUE"""),"apni bhasha ka chayan kare")</f>
        <v>apni bhasha ka chayan kare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 t="str">
        <f>IFERROR(__xludf.DUMMYFUNCTION("""COMPUTED_VALUE"""),"gstincluded")</f>
        <v>gstincluded</v>
      </c>
      <c r="B291" s="2" t="str">
        <f>IFERROR(__xludf.DUMMYFUNCTION("""COMPUTED_VALUE"""),"GST included")</f>
        <v>GST included</v>
      </c>
      <c r="C291" s="2">
        <f>IFERROR(__xludf.DUMMYFUNCTION("""COMPUTED_VALUE"""),0.2)</f>
        <v>0.2</v>
      </c>
      <c r="D291" s="2" t="str">
        <f>IFERROR(__xludf.DUMMYFUNCTION("""COMPUTED_VALUE"""),"जीएसटी शामिल है")</f>
        <v>जीएसटी शामिल है</v>
      </c>
      <c r="E291" s="2" t="str">
        <f>IFERROR(__xludf.DUMMYFUNCTION("""COMPUTED_VALUE"""),"ok")</f>
        <v>ok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 t="str">
        <f>IFERROR(__xludf.DUMMYFUNCTION("""COMPUTED_VALUE"""),"limitedoffer")</f>
        <v>limitedoffer</v>
      </c>
      <c r="B292" s="2" t="str">
        <f>IFERROR(__xludf.DUMMYFUNCTION("""COMPUTED_VALUE"""),"Limited Offer")</f>
        <v>Limited Offer</v>
      </c>
      <c r="C292" s="2">
        <f>IFERROR(__xludf.DUMMYFUNCTION("""COMPUTED_VALUE"""),0.2)</f>
        <v>0.2</v>
      </c>
      <c r="D292" s="2" t="str">
        <f>IFERROR(__xludf.DUMMYFUNCTION("""COMPUTED_VALUE"""),"सीमित ऑफ़र")</f>
        <v>सीमित ऑफ़र</v>
      </c>
      <c r="E292" s="2" t="str">
        <f>IFERROR(__xludf.DUMMYFUNCTION("""COMPUTED_VALUE"""),"ok")</f>
        <v>ok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 t="str">
        <f>IFERROR(__xludf.DUMMYFUNCTION("""COMPUTED_VALUE"""),"entityname")</f>
        <v>entityname</v>
      </c>
      <c r="B293" s="2" t="str">
        <f>IFERROR(__xludf.DUMMYFUNCTION("""COMPUTED_VALUE"""),"Entity Name")</f>
        <v>Entity Name</v>
      </c>
      <c r="C293" s="2">
        <f>IFERROR(__xludf.DUMMYFUNCTION("""COMPUTED_VALUE"""),0.2)</f>
        <v>0.2</v>
      </c>
      <c r="D293" s="2" t="str">
        <f>IFERROR(__xludf.DUMMYFUNCTION("""COMPUTED_VALUE"""),"इकाई नाम")</f>
        <v>इकाई नाम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 t="str">
        <f>IFERROR(__xludf.DUMMYFUNCTION("""COMPUTED_VALUE"""),"verificationCode")</f>
        <v>verificationCode</v>
      </c>
      <c r="B294" s="2" t="str">
        <f>IFERROR(__xludf.DUMMYFUNCTION("""COMPUTED_VALUE"""),"Verification Code")</f>
        <v>Verification Code</v>
      </c>
      <c r="C294" s="2">
        <f>IFERROR(__xludf.DUMMYFUNCTION("""COMPUTED_VALUE"""),0.1)</f>
        <v>0.1</v>
      </c>
      <c r="D294" s="2" t="str">
        <f>IFERROR(__xludf.DUMMYFUNCTION("""COMPUTED_VALUE"""),"सत्यापन कोड")</f>
        <v>सत्यापन कोड</v>
      </c>
      <c r="E294" s="2" t="str">
        <f>IFERROR(__xludf.DUMMYFUNCTION("""COMPUTED_VALUE"""),"pushti sankhya")</f>
        <v>pushti sankhya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 t="str">
        <f>IFERROR(__xludf.DUMMYFUNCTION("""COMPUTED_VALUE"""),"back")</f>
        <v>back</v>
      </c>
      <c r="B295" s="2" t="str">
        <f>IFERROR(__xludf.DUMMYFUNCTION("""COMPUTED_VALUE"""),"Back")</f>
        <v>Back</v>
      </c>
      <c r="C295" s="2">
        <f>IFERROR(__xludf.DUMMYFUNCTION("""COMPUTED_VALUE"""),0.2)</f>
        <v>0.2</v>
      </c>
      <c r="D295" s="2" t="str">
        <f>IFERROR(__xludf.DUMMYFUNCTION("""COMPUTED_VALUE"""),"पीछे")</f>
        <v>पीछे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 t="str">
        <f>IFERROR(__xludf.DUMMYFUNCTION("""COMPUTED_VALUE"""),"resendOtp")</f>
        <v>resendOtp</v>
      </c>
      <c r="B296" s="2" t="str">
        <f>IFERROR(__xludf.DUMMYFUNCTION("""COMPUTED_VALUE"""),"Resend OTP")</f>
        <v>Resend OTP</v>
      </c>
      <c r="C296" s="2">
        <f>IFERROR(__xludf.DUMMYFUNCTION("""COMPUTED_VALUE"""),0.1)</f>
        <v>0.1</v>
      </c>
      <c r="D296" s="2" t="str">
        <f>IFERROR(__xludf.DUMMYFUNCTION("""COMPUTED_VALUE"""),"ओटीपी पुनः भेजें")</f>
        <v>ओटीपी पुनः भेजें</v>
      </c>
      <c r="E296" s="2" t="str">
        <f>IFERROR(__xludf.DUMMYFUNCTION("""COMPUTED_VALUE"""),"otp punha bhejiye")</f>
        <v>otp punha bhejiye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 t="str">
        <f>IFERROR(__xludf.DUMMYFUNCTION("""COMPUTED_VALUE"""),"reorder ")</f>
        <v>reorder </v>
      </c>
      <c r="B297" s="2" t="str">
        <f>IFERROR(__xludf.DUMMYFUNCTION("""COMPUTED_VALUE"""),"Re Order")</f>
        <v>Re Order</v>
      </c>
      <c r="C297" s="2" t="str">
        <f>IFERROR(__xludf.DUMMYFUNCTION("""COMPUTED_VALUE"""),"0.4.1")</f>
        <v>0.4.1</v>
      </c>
      <c r="D297" s="2" t="str">
        <f>IFERROR(__xludf.DUMMYFUNCTION("""COMPUTED_VALUE"""),"फिर से आदेश देना")</f>
        <v>फिर से आदेश देना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 t="str">
        <f>IFERROR(__xludf.DUMMYFUNCTION("""COMPUTED_VALUE"""),"shopAddress")</f>
        <v>shopAddress</v>
      </c>
      <c r="B298" s="2" t="str">
        <f>IFERROR(__xludf.DUMMYFUNCTION("""COMPUTED_VALUE"""),"Shop Address")</f>
        <v>Shop Address</v>
      </c>
      <c r="C298" s="2">
        <f>IFERROR(__xludf.DUMMYFUNCTION("""COMPUTED_VALUE"""),0.1)</f>
        <v>0.1</v>
      </c>
      <c r="D298" s="2" t="str">
        <f>IFERROR(__xludf.DUMMYFUNCTION("""COMPUTED_VALUE"""),"दुकान का पता")</f>
        <v>दुकान का पता</v>
      </c>
      <c r="E298" s="2" t="str">
        <f>IFERROR(__xludf.DUMMYFUNCTION("""COMPUTED_VALUE"""),"dukaan ka pata")</f>
        <v>dukaan ka pata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 t="str">
        <f>IFERROR(__xludf.DUMMYFUNCTION("""COMPUTED_VALUE"""),"searchYourAddress")</f>
        <v>searchYourAddress</v>
      </c>
      <c r="B299" s="2" t="str">
        <f>IFERROR(__xludf.DUMMYFUNCTION("""COMPUTED_VALUE"""),"Search your Address")</f>
        <v>Search your Address</v>
      </c>
      <c r="C299" s="2">
        <f>IFERROR(__xludf.DUMMYFUNCTION("""COMPUTED_VALUE"""),0.1)</f>
        <v>0.1</v>
      </c>
      <c r="D299" s="2" t="str">
        <f>IFERROR(__xludf.DUMMYFUNCTION("""COMPUTED_VALUE"""),"अपना पता खोजें")</f>
        <v>अपना पता खोजें</v>
      </c>
      <c r="E299" s="2" t="str">
        <f>IFERROR(__xludf.DUMMYFUNCTION("""COMPUTED_VALUE"""),"apna pata khoje")</f>
        <v>apna pata khoje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 t="str">
        <f>IFERROR(__xludf.DUMMYFUNCTION("""COMPUTED_VALUE"""),"enterDetails")</f>
        <v>enterDetails</v>
      </c>
      <c r="B300" s="2" t="str">
        <f>IFERROR(__xludf.DUMMYFUNCTION("""COMPUTED_VALUE"""),"Enter Details   ")</f>
        <v>Enter Details   </v>
      </c>
      <c r="C300" s="2">
        <f>IFERROR(__xludf.DUMMYFUNCTION("""COMPUTED_VALUE"""),0.1)</f>
        <v>0.1</v>
      </c>
      <c r="D300" s="2" t="str">
        <f>IFERROR(__xludf.DUMMYFUNCTION("""COMPUTED_VALUE"""),"विवरण दर्ज करें")</f>
        <v>विवरण दर्ज करें</v>
      </c>
      <c r="E300" s="2" t="str">
        <f>IFERROR(__xludf.DUMMYFUNCTION("""COMPUTED_VALUE"""),"vivran darj kare")</f>
        <v>vivran darj kare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 t="str">
        <f>IFERROR(__xludf.DUMMYFUNCTION("""COMPUTED_VALUE"""),"businessName")</f>
        <v>businessName</v>
      </c>
      <c r="B301" s="2" t="str">
        <f>IFERROR(__xludf.DUMMYFUNCTION("""COMPUTED_VALUE"""),"Business Name")</f>
        <v>Business Name</v>
      </c>
      <c r="C301" s="2">
        <f>IFERROR(__xludf.DUMMYFUNCTION("""COMPUTED_VALUE"""),0.1)</f>
        <v>0.1</v>
      </c>
      <c r="D301" s="2" t="str">
        <f>IFERROR(__xludf.DUMMYFUNCTION("""COMPUTED_VALUE"""),"व्यवसाय का नाम")</f>
        <v>व्यवसाय का नाम</v>
      </c>
      <c r="E301" s="2" t="str">
        <f>IFERROR(__xludf.DUMMYFUNCTION("""COMPUTED_VALUE"""),"vyavasyak naam")</f>
        <v>vyavasyak naam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 t="str">
        <f>IFERROR(__xludf.DUMMYFUNCTION("""COMPUTED_VALUE"""),"shopno./building")</f>
        <v>shopno./building</v>
      </c>
      <c r="B302" s="2" t="str">
        <f>IFERROR(__xludf.DUMMYFUNCTION("""COMPUTED_VALUE"""),"Shop no./Building ")</f>
        <v>Shop no./Building </v>
      </c>
      <c r="C302" s="2">
        <f>IFERROR(__xludf.DUMMYFUNCTION("""COMPUTED_VALUE"""),0.1)</f>
        <v>0.1</v>
      </c>
      <c r="D302" s="2" t="str">
        <f>IFERROR(__xludf.DUMMYFUNCTION("""COMPUTED_VALUE"""),"दुकान नं /इमारत")</f>
        <v>दुकान नं /इमारत</v>
      </c>
      <c r="E302" s="2" t="str">
        <f>IFERROR(__xludf.DUMMYFUNCTION("""COMPUTED_VALUE"""),"dukaan sa")</f>
        <v>dukaan sa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 t="str">
        <f>IFERROR(__xludf.DUMMYFUNCTION("""COMPUTED_VALUE"""),"locality/area")</f>
        <v>locality/area</v>
      </c>
      <c r="B303" s="2" t="str">
        <f>IFERROR(__xludf.DUMMYFUNCTION("""COMPUTED_VALUE"""),"Locality/Area")</f>
        <v>Locality/Area</v>
      </c>
      <c r="C303" s="2">
        <f>IFERROR(__xludf.DUMMYFUNCTION("""COMPUTED_VALUE"""),0.1)</f>
        <v>0.1</v>
      </c>
      <c r="D303" s="2" t="str">
        <f>IFERROR(__xludf.DUMMYFUNCTION("""COMPUTED_VALUE"""),"स्थानीयता/क्षेत्र")</f>
        <v>स्थानीयता/क्षेत्र</v>
      </c>
      <c r="E303" s="2" t="str">
        <f>IFERROR(__xludf.DUMMYFUNCTION("""COMPUTED_VALUE"""),"bhavan/staniyata")</f>
        <v>bhavan/staniyata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 t="str">
        <f>IFERROR(__xludf.DUMMYFUNCTION("""COMPUTED_VALUE"""),"once+9101234xxxxxorder")</f>
        <v>once+9101234xxxxxorder</v>
      </c>
      <c r="B304" s="2" t="str">
        <f>IFERROR(__xludf.DUMMYFUNCTION("""COMPUTED_VALUE"""),"Once +91 01234xxxxx Order")</f>
        <v>Once +91 01234xxxxx Order</v>
      </c>
      <c r="C304" s="2">
        <f>IFERROR(__xludf.DUMMYFUNCTION("""COMPUTED_VALUE"""),0.1)</f>
        <v>0.1</v>
      </c>
      <c r="D304" s="2" t="str">
        <f>IFERROR(__xludf.DUMMYFUNCTION("""COMPUTED_VALUE"""),"एक बार +91 01234xxxxx ऑर्डर")</f>
        <v>एक बार +91 01234xxxxx ऑर्डर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 t="str">
        <f>IFERROR(__xludf.DUMMYFUNCTION("""COMPUTED_VALUE"""),"GST Number")</f>
        <v>GST Number</v>
      </c>
      <c r="B305" s="2" t="str">
        <f>IFERROR(__xludf.DUMMYFUNCTION("""COMPUTED_VALUE"""),"GST Number")</f>
        <v>GST Number</v>
      </c>
      <c r="C305" s="2">
        <f>IFERROR(__xludf.DUMMYFUNCTION("""COMPUTED_VALUE"""),0.3)</f>
        <v>0.3</v>
      </c>
      <c r="D305" s="2" t="str">
        <f>IFERROR(__xludf.DUMMYFUNCTION("""COMPUTED_VALUE"""),"जीएसटी नंबर")</f>
        <v>जीएसटी नंबर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 t="str">
        <f>IFERROR(__xludf.DUMMYFUNCTION("""COMPUTED_VALUE"""),"city/state")</f>
        <v>city/state</v>
      </c>
      <c r="B306" s="2" t="str">
        <f>IFERROR(__xludf.DUMMYFUNCTION("""COMPUTED_VALUE"""),"City/state")</f>
        <v>City/state</v>
      </c>
      <c r="C306" s="2">
        <f>IFERROR(__xludf.DUMMYFUNCTION("""COMPUTED_VALUE"""),0.1)</f>
        <v>0.1</v>
      </c>
      <c r="D306" s="2" t="str">
        <f>IFERROR(__xludf.DUMMYFUNCTION("""COMPUTED_VALUE"""),"शहरी स्थान")</f>
        <v>शहरी स्थान</v>
      </c>
      <c r="E306" s="2" t="str">
        <f>IFERROR(__xludf.DUMMYFUNCTION("""COMPUTED_VALUE"""),"shaher")</f>
        <v>shaher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 t="str">
        <f>IFERROR(__xludf.DUMMYFUNCTION("""COMPUTED_VALUE"""),"pincode")</f>
        <v>pincode</v>
      </c>
      <c r="B307" s="2" t="str">
        <f>IFERROR(__xludf.DUMMYFUNCTION("""COMPUTED_VALUE"""),"Pincode")</f>
        <v>Pincode</v>
      </c>
      <c r="C307" s="2">
        <f>IFERROR(__xludf.DUMMYFUNCTION("""COMPUTED_VALUE"""),0.1)</f>
        <v>0.1</v>
      </c>
      <c r="D307" s="2" t="str">
        <f>IFERROR(__xludf.DUMMYFUNCTION("""COMPUTED_VALUE"""),"पिन कोड")</f>
        <v>पिन कोड</v>
      </c>
      <c r="E307" s="2" t="str">
        <f>IFERROR(__xludf.DUMMYFUNCTION("""COMPUTED_VALUE"""),"pin code")</f>
        <v>pin code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 t="str">
        <f>IFERROR(__xludf.DUMMYFUNCTION("""COMPUTED_VALUE"""),"saveAndContinue")</f>
        <v>saveAndContinue</v>
      </c>
      <c r="B308" s="2" t="str">
        <f>IFERROR(__xludf.DUMMYFUNCTION("""COMPUTED_VALUE"""),"Save and Continue")</f>
        <v>Save and Continue</v>
      </c>
      <c r="C308" s="2">
        <f>IFERROR(__xludf.DUMMYFUNCTION("""COMPUTED_VALUE"""),0.2)</f>
        <v>0.2</v>
      </c>
      <c r="D308" s="2" t="str">
        <f>IFERROR(__xludf.DUMMYFUNCTION("""COMPUTED_VALUE"""),"सहेजें और जारी रखें")</f>
        <v>सहेजें और जारी रखें</v>
      </c>
      <c r="E308" s="2" t="str">
        <f>IFERROR(__xludf.DUMMYFUNCTION("""COMPUTED_VALUE"""),"saheje aur jari rakhe")</f>
        <v>saheje aur jari rakhe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 t="str">
        <f>IFERROR(__xludf.DUMMYFUNCTION("""COMPUTED_VALUE"""),"specifyWorkingTime")</f>
        <v>specifyWorkingTime</v>
      </c>
      <c r="B309" s="2" t="str">
        <f>IFERROR(__xludf.DUMMYFUNCTION("""COMPUTED_VALUE"""),"Specify Working Time")</f>
        <v>Specify Working Time</v>
      </c>
      <c r="C309" s="2"/>
      <c r="D309" s="2" t="str">
        <f>IFERROR(__xludf.DUMMYFUNCTION("""COMPUTED_VALUE"""),"कार्य समय निर्दिष्ट करें")</f>
        <v>कार्य समय निर्दिष्ट करें</v>
      </c>
      <c r="E309" s="2" t="str">
        <f>IFERROR(__xludf.DUMMYFUNCTION("""COMPUTED_VALUE"""),"karya samay nirdish kare")</f>
        <v>karya samay nirdish kare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 t="str">
        <f>IFERROR(__xludf.DUMMYFUNCTION("""COMPUTED_VALUE"""),"sameForEveryDay")</f>
        <v>sameForEveryDay</v>
      </c>
      <c r="B310" s="2" t="str">
        <f>IFERROR(__xludf.DUMMYFUNCTION("""COMPUTED_VALUE"""),"Same for Every Day")</f>
        <v>Same for Every Day</v>
      </c>
      <c r="C310" s="2"/>
      <c r="D310" s="2" t="str">
        <f>IFERROR(__xludf.DUMMYFUNCTION("""COMPUTED_VALUE"""),"हर दिन के लिए भी")</f>
        <v>हर दिन के लिए भी</v>
      </c>
      <c r="E310" s="2" t="str">
        <f>IFERROR(__xludf.DUMMYFUNCTION("""COMPUTED_VALUE"""),"har din k liye bhi")</f>
        <v>har din k liye bhi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 t="str">
        <f>IFERROR(__xludf.DUMMYFUNCTION("""COMPUTED_VALUE"""),"skip")</f>
        <v>skip</v>
      </c>
      <c r="B311" s="2" t="str">
        <f>IFERROR(__xludf.DUMMYFUNCTION("""COMPUTED_VALUE"""),"Skip")</f>
        <v>Skip</v>
      </c>
      <c r="C311" s="2">
        <f>IFERROR(__xludf.DUMMYFUNCTION("""COMPUTED_VALUE"""),0.1)</f>
        <v>0.1</v>
      </c>
      <c r="D311" s="2" t="str">
        <f>IFERROR(__xludf.DUMMYFUNCTION("""COMPUTED_VALUE"""),"छोडना")</f>
        <v>छोडना</v>
      </c>
      <c r="E311" s="2" t="str">
        <f>IFERROR(__xludf.DUMMYFUNCTION("""COMPUTED_VALUE"""),"chode")</f>
        <v>chode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 t="str">
        <f>IFERROR(__xludf.DUMMYFUNCTION("""COMPUTED_VALUE"""),"save&amp;Continue")</f>
        <v>save&amp;Continue</v>
      </c>
      <c r="B312" s="2" t="str">
        <f>IFERROR(__xludf.DUMMYFUNCTION("""COMPUTED_VALUE"""),"Save &amp; Continue")</f>
        <v>Save &amp; Continue</v>
      </c>
      <c r="C312" s="2">
        <f>IFERROR(__xludf.DUMMYFUNCTION("""COMPUTED_VALUE"""),0.1)</f>
        <v>0.1</v>
      </c>
      <c r="D312" s="2" t="str">
        <f>IFERROR(__xludf.DUMMYFUNCTION("""COMPUTED_VALUE"""),"सहेजें जारी रखें")</f>
        <v>सहेजें जारी रखें</v>
      </c>
      <c r="E312" s="2" t="str">
        <f>IFERROR(__xludf.DUMMYFUNCTION("""COMPUTED_VALUE"""),"saheje jari rakhe")</f>
        <v>saheje jari rakhe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 t="str">
        <f>IFERROR(__xludf.DUMMYFUNCTION("""COMPUTED_VALUE"""),"sendreferralinvite")</f>
        <v>sendreferralinvite</v>
      </c>
      <c r="B313" s="2" t="str">
        <f>IFERROR(__xludf.DUMMYFUNCTION("""COMPUTED_VALUE"""),"Send Referral Invite")</f>
        <v>Send Referral Invite</v>
      </c>
      <c r="C313" s="2">
        <f>IFERROR(__xludf.DUMMYFUNCTION("""COMPUTED_VALUE"""),0.2)</f>
        <v>0.2</v>
      </c>
      <c r="D313" s="2" t="str">
        <f>IFERROR(__xludf.DUMMYFUNCTION("""COMPUTED_VALUE"""),"रेफरल आमंत्रण भेजें")</f>
        <v>रेफरल आमंत्रण भेजें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 t="str">
        <f>IFERROR(__xludf.DUMMYFUNCTION("""COMPUTED_VALUE"""),"track")</f>
        <v>track</v>
      </c>
      <c r="B314" s="2" t="str">
        <f>IFERROR(__xludf.DUMMYFUNCTION("""COMPUTED_VALUE"""),"Track")</f>
        <v>Track</v>
      </c>
      <c r="C314" s="2" t="str">
        <f>IFERROR(__xludf.DUMMYFUNCTION("""COMPUTED_VALUE"""),"0.4.1")</f>
        <v>0.4.1</v>
      </c>
      <c r="D314" s="2" t="str">
        <f>IFERROR(__xludf.DUMMYFUNCTION("""COMPUTED_VALUE"""),"रास्ता")</f>
        <v>रास्ता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 t="str">
        <f>IFERROR(__xludf.DUMMYFUNCTION("""COMPUTED_VALUE"""),"done")</f>
        <v>done</v>
      </c>
      <c r="B315" s="2" t="str">
        <f>IFERROR(__xludf.DUMMYFUNCTION("""COMPUTED_VALUE"""),"Done")</f>
        <v>Done</v>
      </c>
      <c r="C315" s="2">
        <f>IFERROR(__xludf.DUMMYFUNCTION("""COMPUTED_VALUE"""),0.2)</f>
        <v>0.2</v>
      </c>
      <c r="D315" s="2" t="str">
        <f>IFERROR(__xludf.DUMMYFUNCTION("""COMPUTED_VALUE"""),"पूर्ण")</f>
        <v>पूर्ण</v>
      </c>
      <c r="E315" s="2" t="str">
        <f>IFERROR(__xludf.DUMMYFUNCTION("""COMPUTED_VALUE"""),"purna")</f>
        <v>purna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 t="str">
        <f>IFERROR(__xludf.DUMMYFUNCTION("""COMPUTED_VALUE"""),"Kyc")</f>
        <v>Kyc</v>
      </c>
      <c r="B316" s="2" t="str">
        <f>IFERROR(__xludf.DUMMYFUNCTION("""COMPUTED_VALUE"""),"KYC")</f>
        <v>KYC</v>
      </c>
      <c r="C316" s="2">
        <f>IFERROR(__xludf.DUMMYFUNCTION("""COMPUTED_VALUE"""),0.1)</f>
        <v>0.1</v>
      </c>
      <c r="D316" s="2" t="str">
        <f>IFERROR(__xludf.DUMMYFUNCTION("""COMPUTED_VALUE"""),"केवाईसी")</f>
        <v>केवाईसी</v>
      </c>
      <c r="E316" s="2" t="str">
        <f>IFERROR(__xludf.DUMMYFUNCTION("""COMPUTED_VALUE"""),"kyc")</f>
        <v>kyc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 t="str">
        <f>IFERROR(__xludf.DUMMYFUNCTION("""COMPUTED_VALUE"""),"fathersName")</f>
        <v>fathersName</v>
      </c>
      <c r="B317" s="2" t="str">
        <f>IFERROR(__xludf.DUMMYFUNCTION("""COMPUTED_VALUE"""),"Father’s Name")</f>
        <v>Father’s Name</v>
      </c>
      <c r="C317" s="2">
        <f>IFERROR(__xludf.DUMMYFUNCTION("""COMPUTED_VALUE"""),0.1)</f>
        <v>0.1</v>
      </c>
      <c r="D317" s="2" t="str">
        <f>IFERROR(__xludf.DUMMYFUNCTION("""COMPUTED_VALUE"""),"पिता का नाम")</f>
        <v>पिता का नाम</v>
      </c>
      <c r="E317" s="2" t="str">
        <f>IFERROR(__xludf.DUMMYFUNCTION("""COMPUTED_VALUE"""),"pita ka naam")</f>
        <v>pita ka naam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 t="str">
        <f>IFERROR(__xludf.DUMMYFUNCTION("""COMPUTED_VALUE"""),"dob")</f>
        <v>dob</v>
      </c>
      <c r="B318" s="2" t="str">
        <f>IFERROR(__xludf.DUMMYFUNCTION("""COMPUTED_VALUE"""),"DOB")</f>
        <v>DOB</v>
      </c>
      <c r="C318" s="2">
        <f>IFERROR(__xludf.DUMMYFUNCTION("""COMPUTED_VALUE"""),0.1)</f>
        <v>0.1</v>
      </c>
      <c r="D318" s="2" t="str">
        <f>IFERROR(__xludf.DUMMYFUNCTION("""COMPUTED_VALUE"""),"जन्म तिथि")</f>
        <v>जन्म तिथि</v>
      </c>
      <c r="E318" s="2" t="str">
        <f>IFERROR(__xludf.DUMMYFUNCTION("""COMPUTED_VALUE"""),"janm tithi")</f>
        <v>janm tithi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 t="str">
        <f>IFERROR(__xludf.DUMMYFUNCTION("""COMPUTED_VALUE"""),"uploadProofIdentity")</f>
        <v>uploadProofIdentity</v>
      </c>
      <c r="B319" s="2" t="str">
        <f>IFERROR(__xludf.DUMMYFUNCTION("""COMPUTED_VALUE"""),"Upload Proof identity")</f>
        <v>Upload Proof identity</v>
      </c>
      <c r="C319" s="2">
        <f>IFERROR(__xludf.DUMMYFUNCTION("""COMPUTED_VALUE"""),0.1)</f>
        <v>0.1</v>
      </c>
      <c r="D319" s="2" t="str">
        <f>IFERROR(__xludf.DUMMYFUNCTION("""COMPUTED_VALUE"""),"प्रूफ पहचान अपलोड करें")</f>
        <v>प्रूफ पहचान अपलोड करें</v>
      </c>
      <c r="E319" s="2" t="str">
        <f>IFERROR(__xludf.DUMMYFUNCTION("""COMPUTED_VALUE"""),"proof pehchan upload kare")</f>
        <v>proof pehchan upload kare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 t="str">
        <f>IFERROR(__xludf.DUMMYFUNCTION("""COMPUTED_VALUE"""),"AadharCard")</f>
        <v>AadharCard</v>
      </c>
      <c r="B320" s="2" t="str">
        <f>IFERROR(__xludf.DUMMYFUNCTION("""COMPUTED_VALUE"""),"Aadhar Card")</f>
        <v>Aadhar Card</v>
      </c>
      <c r="C320" s="2">
        <f>IFERROR(__xludf.DUMMYFUNCTION("""COMPUTED_VALUE"""),0.1)</f>
        <v>0.1</v>
      </c>
      <c r="D320" s="2" t="str">
        <f>IFERROR(__xludf.DUMMYFUNCTION("""COMPUTED_VALUE"""),"आधार कार्ड")</f>
        <v>आधार कार्ड</v>
      </c>
      <c r="E320" s="2" t="str">
        <f>IFERROR(__xludf.DUMMYFUNCTION("""COMPUTED_VALUE"""),"adhar card")</f>
        <v>adhar card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 t="str">
        <f>IFERROR(__xludf.DUMMYFUNCTION("""COMPUTED_VALUE"""),"idCardNo.")</f>
        <v>idCardNo.</v>
      </c>
      <c r="B321" s="2" t="str">
        <f>IFERROR(__xludf.DUMMYFUNCTION("""COMPUTED_VALUE"""),"ID Card No.")</f>
        <v>ID Card No.</v>
      </c>
      <c r="C321" s="2">
        <f>IFERROR(__xludf.DUMMYFUNCTION("""COMPUTED_VALUE"""),0.1)</f>
        <v>0.1</v>
      </c>
      <c r="D321" s="2" t="str">
        <f>IFERROR(__xludf.DUMMYFUNCTION("""COMPUTED_VALUE"""),"पहचान पत्र क्रमांक।")</f>
        <v>पहचान पत्र क्रमांक।</v>
      </c>
      <c r="E321" s="2" t="str">
        <f>IFERROR(__xludf.DUMMYFUNCTION("""COMPUTED_VALUE"""),"pahchan patra kramank")</f>
        <v>pahchan patra kramank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 t="str">
        <f>IFERROR(__xludf.DUMMYFUNCTION("""COMPUTED_VALUE"""),"uploadPanCard")</f>
        <v>uploadPanCard</v>
      </c>
      <c r="B322" s="2" t="str">
        <f>IFERROR(__xludf.DUMMYFUNCTION("""COMPUTED_VALUE"""),"Upload PAN Card")</f>
        <v>Upload PAN Card</v>
      </c>
      <c r="C322" s="2">
        <f>IFERROR(__xludf.DUMMYFUNCTION("""COMPUTED_VALUE"""),0.1)</f>
        <v>0.1</v>
      </c>
      <c r="D322" s="2" t="str">
        <f>IFERROR(__xludf.DUMMYFUNCTION("""COMPUTED_VALUE"""),"पैन कार्ड अपलोड करें")</f>
        <v>पैन कार्ड अपलोड करें</v>
      </c>
      <c r="E322" s="2" t="str">
        <f>IFERROR(__xludf.DUMMYFUNCTION("""COMPUTED_VALUE"""),"pan card upload")</f>
        <v>pan card upload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 t="str">
        <f>IFERROR(__xludf.DUMMYFUNCTION("""COMPUTED_VALUE"""),"panCardNo")</f>
        <v>panCardNo</v>
      </c>
      <c r="B323" s="2" t="str">
        <f>IFERROR(__xludf.DUMMYFUNCTION("""COMPUTED_VALUE"""),"PAN Card No.")</f>
        <v>PAN Card No.</v>
      </c>
      <c r="C323" s="2">
        <f>IFERROR(__xludf.DUMMYFUNCTION("""COMPUTED_VALUE"""),0.1)</f>
        <v>0.1</v>
      </c>
      <c r="D323" s="2" t="str">
        <f>IFERROR(__xludf.DUMMYFUNCTION("""COMPUTED_VALUE"""),"पैन कार्ड नं।")</f>
        <v>पैन कार्ड नं।</v>
      </c>
      <c r="E323" s="2" t="str">
        <f>IFERROR(__xludf.DUMMYFUNCTION("""COMPUTED_VALUE"""),"pan card number")</f>
        <v>pan card number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 t="str">
        <f>IFERROR(__xludf.DUMMYFUNCTION("""COMPUTED_VALUE"""),"uploadFileForm")</f>
        <v>uploadFileForm</v>
      </c>
      <c r="B324" s="2" t="str">
        <f>IFERROR(__xludf.DUMMYFUNCTION("""COMPUTED_VALUE"""),"Upload file from")</f>
        <v>Upload file from</v>
      </c>
      <c r="C324" s="2">
        <f>IFERROR(__xludf.DUMMYFUNCTION("""COMPUTED_VALUE"""),0.1)</f>
        <v>0.1</v>
      </c>
      <c r="D324" s="2" t="str">
        <f>IFERROR(__xludf.DUMMYFUNCTION("""COMPUTED_VALUE"""),"से फ़ाइल अपलोड करें")</f>
        <v>से फ़ाइल अपलोड करें</v>
      </c>
      <c r="E324" s="2" t="str">
        <f>IFERROR(__xludf.DUMMYFUNCTION("""COMPUTED_VALUE"""),"file upload kare")</f>
        <v>file upload kare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 t="str">
        <f>IFERROR(__xludf.DUMMYFUNCTION("""COMPUTED_VALUE"""),"bankDetails")</f>
        <v>bankDetails</v>
      </c>
      <c r="B325" s="2" t="str">
        <f>IFERROR(__xludf.DUMMYFUNCTION("""COMPUTED_VALUE"""),"Bank Details")</f>
        <v>Bank Details</v>
      </c>
      <c r="C325" s="2">
        <f>IFERROR(__xludf.DUMMYFUNCTION("""COMPUTED_VALUE"""),0.1)</f>
        <v>0.1</v>
      </c>
      <c r="D325" s="2" t="str">
        <f>IFERROR(__xludf.DUMMYFUNCTION("""COMPUTED_VALUE"""),"बैंक विवरण")</f>
        <v>बैंक विवरण</v>
      </c>
      <c r="E325" s="2" t="str">
        <f>IFERROR(__xludf.DUMMYFUNCTION("""COMPUTED_VALUE"""),"bank vivran")</f>
        <v>bank vivran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 t="str">
        <f>IFERROR(__xludf.DUMMYFUNCTION("""COMPUTED_VALUE"""),"BeneficiaryName")</f>
        <v>BeneficiaryName</v>
      </c>
      <c r="B326" s="2" t="str">
        <f>IFERROR(__xludf.DUMMYFUNCTION("""COMPUTED_VALUE"""),"Beneficiary Name")</f>
        <v>Beneficiary Name</v>
      </c>
      <c r="C326" s="2">
        <f>IFERROR(__xludf.DUMMYFUNCTION("""COMPUTED_VALUE"""),0.2)</f>
        <v>0.2</v>
      </c>
      <c r="D326" s="2" t="str">
        <f>IFERROR(__xludf.DUMMYFUNCTION("""COMPUTED_VALUE"""),"लाभार्थी का नाम")</f>
        <v>लाभार्थी का नाम</v>
      </c>
      <c r="E326" s="2" t="str">
        <f>IFERROR(__xludf.DUMMYFUNCTION("""COMPUTED_VALUE"""),"labharti ka naam")</f>
        <v>labharti ka naam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 t="str">
        <f>IFERROR(__xludf.DUMMYFUNCTION("""COMPUTED_VALUE"""),"bankName")</f>
        <v>bankName</v>
      </c>
      <c r="B327" s="2" t="str">
        <f>IFERROR(__xludf.DUMMYFUNCTION("""COMPUTED_VALUE"""),"Bank Name")</f>
        <v>Bank Name</v>
      </c>
      <c r="C327" s="2">
        <f>IFERROR(__xludf.DUMMYFUNCTION("""COMPUTED_VALUE"""),0.2)</f>
        <v>0.2</v>
      </c>
      <c r="D327" s="2" t="str">
        <f>IFERROR(__xludf.DUMMYFUNCTION("""COMPUTED_VALUE"""),"बैंक का नाम")</f>
        <v>बैंक का नाम</v>
      </c>
      <c r="E327" s="2" t="str">
        <f>IFERROR(__xludf.DUMMYFUNCTION("""COMPUTED_VALUE"""),"bank ka naam")</f>
        <v>bank ka naam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 t="str">
        <f>IFERROR(__xludf.DUMMYFUNCTION("""COMPUTED_VALUE"""),"accountNo")</f>
        <v>accountNo</v>
      </c>
      <c r="B328" s="2" t="str">
        <f>IFERROR(__xludf.DUMMYFUNCTION("""COMPUTED_VALUE"""),"Account No.")</f>
        <v>Account No.</v>
      </c>
      <c r="C328" s="2"/>
      <c r="D328" s="2" t="str">
        <f>IFERROR(__xludf.DUMMYFUNCTION("""COMPUTED_VALUE"""),"खाता नंबर")</f>
        <v>खाता नंबर</v>
      </c>
      <c r="E328" s="2" t="str">
        <f>IFERROR(__xludf.DUMMYFUNCTION("""COMPUTED_VALUE"""),"khata number")</f>
        <v>khata number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 t="str">
        <f>IFERROR(__xludf.DUMMYFUNCTION("""COMPUTED_VALUE"""),"ifsc")</f>
        <v>ifsc</v>
      </c>
      <c r="B329" s="2" t="str">
        <f>IFERROR(__xludf.DUMMYFUNCTION("""COMPUTED_VALUE"""),"IFSC")</f>
        <v>IFSC</v>
      </c>
      <c r="C329" s="2"/>
      <c r="D329" s="2" t="str">
        <f>IFERROR(__xludf.DUMMYFUNCTION("""COMPUTED_VALUE"""),"आईएफएससी")</f>
        <v>आईएफएससी</v>
      </c>
      <c r="E329" s="2" t="str">
        <f>IFERROR(__xludf.DUMMYFUNCTION("""COMPUTED_VALUE"""),"ifsc")</f>
        <v>ifsc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 t="str">
        <f>IFERROR(__xludf.DUMMYFUNCTION("""COMPUTED_VALUE"""),"uploadPassbookPhoto")</f>
        <v>uploadPassbookPhoto</v>
      </c>
      <c r="B330" s="2" t="str">
        <f>IFERROR(__xludf.DUMMYFUNCTION("""COMPUTED_VALUE"""),"Upload Passbook photo")</f>
        <v>Upload Passbook photo</v>
      </c>
      <c r="C330" s="2"/>
      <c r="D330" s="2" t="str">
        <f>IFERROR(__xludf.DUMMYFUNCTION("""COMPUTED_VALUE"""),"पासबुक फोटो अपलोड करें")</f>
        <v>पासबुक फोटो अपलोड करें</v>
      </c>
      <c r="E330" s="2" t="str">
        <f>IFERROR(__xludf.DUMMYFUNCTION("""COMPUTED_VALUE"""),"passbook photo upload kare")</f>
        <v>passbook photo upload kare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 t="str">
        <f>IFERROR(__xludf.DUMMYFUNCTION("""COMPUTED_VALUE"""),"passbookphoto")</f>
        <v>passbookphoto</v>
      </c>
      <c r="B331" s="2" t="str">
        <f>IFERROR(__xludf.DUMMYFUNCTION("""COMPUTED_VALUE"""),"Passbook Photo")</f>
        <v>Passbook Photo</v>
      </c>
      <c r="C331" s="2">
        <f>IFERROR(__xludf.DUMMYFUNCTION("""COMPUTED_VALUE"""),0.2)</f>
        <v>0.2</v>
      </c>
      <c r="D331" s="2" t="str">
        <f>IFERROR(__xludf.DUMMYFUNCTION("""COMPUTED_VALUE"""),"पासबुक फोटो ")</f>
        <v>पासबुक फोटो 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 t="str">
        <f>IFERROR(__xludf.DUMMYFUNCTION("""COMPUTED_VALUE"""),"pendingOrders")</f>
        <v>pendingOrders</v>
      </c>
      <c r="B332" s="2" t="str">
        <f>IFERROR(__xludf.DUMMYFUNCTION("""COMPUTED_VALUE"""),"Pending Orders")</f>
        <v>Pending Orders</v>
      </c>
      <c r="C332" s="2"/>
      <c r="D332" s="2" t="str">
        <f>IFERROR(__xludf.DUMMYFUNCTION("""COMPUTED_VALUE"""),"लंबित ऑर्डर")</f>
        <v>लंबित ऑर्डर</v>
      </c>
      <c r="E332" s="2" t="str">
        <f>IFERROR(__xludf.DUMMYFUNCTION("""COMPUTED_VALUE"""),"vichardhin aadesh")</f>
        <v>vichardhin aadesh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 t="str">
        <f>IFERROR(__xludf.DUMMYFUNCTION("""COMPUTED_VALUE"""),"details")</f>
        <v>details</v>
      </c>
      <c r="B333" s="2" t="str">
        <f>IFERROR(__xludf.DUMMYFUNCTION("""COMPUTED_VALUE"""),"Details")</f>
        <v>Details</v>
      </c>
      <c r="C333" s="2">
        <f>IFERROR(__xludf.DUMMYFUNCTION("""COMPUTED_VALUE"""),0.1)</f>
        <v>0.1</v>
      </c>
      <c r="D333" s="2" t="str">
        <f>IFERROR(__xludf.DUMMYFUNCTION("""COMPUTED_VALUE"""),"विवरण")</f>
        <v>विवरण</v>
      </c>
      <c r="E333" s="2" t="str">
        <f>IFERROR(__xludf.DUMMYFUNCTION("""COMPUTED_VALUE"""),"vivran darj kare")</f>
        <v>vivran darj kare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 t="str">
        <f>IFERROR(__xludf.DUMMYFUNCTION("""COMPUTED_VALUE"""),"reEnterAccountNo")</f>
        <v>reEnterAccountNo</v>
      </c>
      <c r="B334" s="2" t="str">
        <f>IFERROR(__xludf.DUMMYFUNCTION("""COMPUTED_VALUE"""),"Re-enter Account No.")</f>
        <v>Re-enter Account No.</v>
      </c>
      <c r="C334" s="2">
        <f>IFERROR(__xludf.DUMMYFUNCTION("""COMPUTED_VALUE"""),0.2)</f>
        <v>0.2</v>
      </c>
      <c r="D334" s="2" t="str">
        <f>IFERROR(__xludf.DUMMYFUNCTION("""COMPUTED_VALUE"""),"खाता संख्या पुनः दर्ज करें।")</f>
        <v>खाता संख्या पुनः दर्ज करें।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 t="str">
        <f>IFERROR(__xludf.DUMMYFUNCTION("""COMPUTED_VALUE"""),"reenteraccountnumber")</f>
        <v>reenteraccountnumber</v>
      </c>
      <c r="B335" s="2" t="str">
        <f>IFERROR(__xludf.DUMMYFUNCTION("""COMPUTED_VALUE"""),"Re-enter Account Number ")</f>
        <v>Re-enter Account Number </v>
      </c>
      <c r="C335" s="2">
        <f>IFERROR(__xludf.DUMMYFUNCTION("""COMPUTED_VALUE"""),0.2)</f>
        <v>0.2</v>
      </c>
      <c r="D335" s="2" t="str">
        <f>IFERROR(__xludf.DUMMYFUNCTION("""COMPUTED_VALUE"""),"खाता संख्या दोबारा प्रविष्ट करें")</f>
        <v>खाता संख्या दोबारा प्रविष्ट करें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 t="str">
        <f>IFERROR(__xludf.DUMMYFUNCTION("""COMPUTED_VALUE"""),"accountNumber")</f>
        <v>accountNumber</v>
      </c>
      <c r="B336" s="2" t="str">
        <f>IFERROR(__xludf.DUMMYFUNCTION("""COMPUTED_VALUE"""),"Account Number")</f>
        <v>Account Number</v>
      </c>
      <c r="C336" s="2">
        <f>IFERROR(__xludf.DUMMYFUNCTION("""COMPUTED_VALUE"""),0.2)</f>
        <v>0.2</v>
      </c>
      <c r="D336" s="2" t="str">
        <f>IFERROR(__xludf.DUMMYFUNCTION("""COMPUTED_VALUE"""),"खाता संख्या ")</f>
        <v>खाता संख्या 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 t="str">
        <f>IFERROR(__xludf.DUMMYFUNCTION("""COMPUTED_VALUE"""),"ifsccode")</f>
        <v>ifsccode</v>
      </c>
      <c r="B337" s="2" t="str">
        <f>IFERROR(__xludf.DUMMYFUNCTION("""COMPUTED_VALUE"""),"IFSC Code")</f>
        <v>IFSC Code</v>
      </c>
      <c r="C337" s="2">
        <f>IFERROR(__xludf.DUMMYFUNCTION("""COMPUTED_VALUE"""),0.2)</f>
        <v>0.2</v>
      </c>
      <c r="D337" s="2" t="str">
        <f>IFERROR(__xludf.DUMMYFUNCTION("""COMPUTED_VALUE"""),"आईएफएससी कोड")</f>
        <v>आईएफएससी कोड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 t="str">
        <f>IFERROR(__xludf.DUMMYFUNCTION("""COMPUTED_VALUE"""),"pannumber")</f>
        <v>pannumber</v>
      </c>
      <c r="B338" s="2" t="str">
        <f>IFERROR(__xludf.DUMMYFUNCTION("""COMPUTED_VALUE"""),"PAN Number ")</f>
        <v>PAN Number </v>
      </c>
      <c r="C338" s="2">
        <f>IFERROR(__xludf.DUMMYFUNCTION("""COMPUTED_VALUE"""),0.2)</f>
        <v>0.2</v>
      </c>
      <c r="D338" s="2" t="str">
        <f>IFERROR(__xludf.DUMMYFUNCTION("""COMPUTED_VALUE"""),"पैन नंबर")</f>
        <v>पैन नंबर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 t="str">
        <f>IFERROR(__xludf.DUMMYFUNCTION("""COMPUTED_VALUE"""),"selling")</f>
        <v>selling</v>
      </c>
      <c r="B339" s="2" t="str">
        <f>IFERROR(__xludf.DUMMYFUNCTION("""COMPUTED_VALUE"""),"Selling")</f>
        <v>Selling</v>
      </c>
      <c r="C339" s="2">
        <f>IFERROR(__xludf.DUMMYFUNCTION("""COMPUTED_VALUE"""),0.2)</f>
        <v>0.2</v>
      </c>
      <c r="D339" s="2" t="str">
        <f>IFERROR(__xludf.DUMMYFUNCTION("""COMPUTED_VALUE"""),"बेचना")</f>
        <v>बेचना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 t="str">
        <f>IFERROR(__xludf.DUMMYFUNCTION("""COMPUTED_VALUE"""),"areyoysure?youwanttosendreferralinvitetothisnumber?")</f>
        <v>areyoysure?youwanttosendreferralinvitetothisnumber?</v>
      </c>
      <c r="B340" s="2" t="str">
        <f>IFERROR(__xludf.DUMMYFUNCTION("""COMPUTED_VALUE"""),"Are you sure? You want to send referral invite to this number?")</f>
        <v>Are you sure? You want to send referral invite to this number?</v>
      </c>
      <c r="C340" s="2">
        <f>IFERROR(__xludf.DUMMYFUNCTION("""COMPUTED_VALUE"""),0.2)</f>
        <v>0.2</v>
      </c>
      <c r="D340" s="2" t="str">
        <f>IFERROR(__xludf.DUMMYFUNCTION("""COMPUTED_VALUE"""),"क्या आपको यकीन है? आप इस नंबर पर रेफरल आमंत्रण भेजना चाहते हैं?")</f>
        <v>क्या आपको यकीन है? आप इस नंबर पर रेफरल आमंत्रण भेजना चाहते हैं?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 t="str">
        <f>IFERROR(__xludf.DUMMYFUNCTION("""COMPUTED_VALUE"""),"addproductdetails")</f>
        <v>addproductdetails</v>
      </c>
      <c r="B341" s="2" t="str">
        <f>IFERROR(__xludf.DUMMYFUNCTION("""COMPUTED_VALUE"""),"Add Product Details")</f>
        <v>Add Product Details</v>
      </c>
      <c r="C341" s="2">
        <f>IFERROR(__xludf.DUMMYFUNCTION("""COMPUTED_VALUE"""),0.3)</f>
        <v>0.3</v>
      </c>
      <c r="D341" s="2" t="str">
        <f>IFERROR(__xludf.DUMMYFUNCTION("""COMPUTED_VALUE"""),"उत्पाद विवरण जोड़ें")</f>
        <v>उत्पाद विवरण जोड़ें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 t="str">
        <f>IFERROR(__xludf.DUMMYFUNCTION("""COMPUTED_VALUE"""),"expenses")</f>
        <v>expenses</v>
      </c>
      <c r="B342" s="2" t="str">
        <f>IFERROR(__xludf.DUMMYFUNCTION("""COMPUTED_VALUE"""),"Expenses")</f>
        <v>Expenses</v>
      </c>
      <c r="C342" s="2">
        <f>IFERROR(__xludf.DUMMYFUNCTION("""COMPUTED_VALUE"""),0.1)</f>
        <v>0.1</v>
      </c>
      <c r="D342" s="2" t="str">
        <f>IFERROR(__xludf.DUMMYFUNCTION("""COMPUTED_VALUE"""),"खर्च")</f>
        <v>खर्च</v>
      </c>
      <c r="E342" s="2" t="str">
        <f>IFERROR(__xludf.DUMMYFUNCTION("""COMPUTED_VALUE"""),"kharch")</f>
        <v>kharch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 t="str">
        <f>IFERROR(__xludf.DUMMYFUNCTION("""COMPUTED_VALUE"""),"orderhistory")</f>
        <v>orderhistory</v>
      </c>
      <c r="B343" s="2" t="str">
        <f>IFERROR(__xludf.DUMMYFUNCTION("""COMPUTED_VALUE"""),"Order History")</f>
        <v>Order History</v>
      </c>
      <c r="C343" s="2">
        <f>IFERROR(__xludf.DUMMYFUNCTION("""COMPUTED_VALUE"""),0.4)</f>
        <v>0.4</v>
      </c>
      <c r="D343" s="2" t="str">
        <f>IFERROR(__xludf.DUMMYFUNCTION("""COMPUTED_VALUE"""),"आदेश इतिहास")</f>
        <v>आदेश इतिहास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 t="str">
        <f>IFERROR(__xludf.DUMMYFUNCTION("""COMPUTED_VALUE"""),"crm")</f>
        <v>crm</v>
      </c>
      <c r="B344" s="2" t="str">
        <f>IFERROR(__xludf.DUMMYFUNCTION("""COMPUTED_VALUE"""),"CRM")</f>
        <v>CRM</v>
      </c>
      <c r="C344" s="2">
        <f>IFERROR(__xludf.DUMMYFUNCTION("""COMPUTED_VALUE"""),0.1)</f>
        <v>0.1</v>
      </c>
      <c r="D344" s="2" t="str">
        <f>IFERROR(__xludf.DUMMYFUNCTION("""COMPUTED_VALUE"""),"सीआरएम")</f>
        <v>सीआरएम</v>
      </c>
      <c r="E344" s="2" t="str">
        <f>IFERROR(__xludf.DUMMYFUNCTION("""COMPUTED_VALUE"""),"crm")</f>
        <v>crm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 t="str">
        <f>IFERROR(__xludf.DUMMYFUNCTION("""COMPUTED_VALUE"""),"customer")</f>
        <v>customer</v>
      </c>
      <c r="B345" s="2" t="str">
        <f>IFERROR(__xludf.DUMMYFUNCTION("""COMPUTED_VALUE"""),"Customer")</f>
        <v>Customer</v>
      </c>
      <c r="C345" s="2">
        <f>IFERROR(__xludf.DUMMYFUNCTION("""COMPUTED_VALUE"""),0.1)</f>
        <v>0.1</v>
      </c>
      <c r="D345" s="2" t="str">
        <f>IFERROR(__xludf.DUMMYFUNCTION("""COMPUTED_VALUE"""),"ग्राहक")</f>
        <v>ग्राहक</v>
      </c>
      <c r="E345" s="2" t="str">
        <f>IFERROR(__xludf.DUMMYFUNCTION("""COMPUTED_VALUE"""),"grahak")</f>
        <v>grahak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 t="str">
        <f>IFERROR(__xludf.DUMMYFUNCTION("""COMPUTED_VALUE"""),"service")</f>
        <v>service</v>
      </c>
      <c r="B346" s="2" t="str">
        <f>IFERROR(__xludf.DUMMYFUNCTION("""COMPUTED_VALUE"""),"Service")</f>
        <v>Service</v>
      </c>
      <c r="C346" s="2">
        <f>IFERROR(__xludf.DUMMYFUNCTION("""COMPUTED_VALUE"""),0.1)</f>
        <v>0.1</v>
      </c>
      <c r="D346" s="2" t="str">
        <f>IFERROR(__xludf.DUMMYFUNCTION("""COMPUTED_VALUE"""),"सेवा")</f>
        <v>सेवा</v>
      </c>
      <c r="E346" s="2" t="str">
        <f>IFERROR(__xludf.DUMMYFUNCTION("""COMPUTED_VALUE"""),"seva")</f>
        <v>seva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 t="str">
        <f>IFERROR(__xludf.DUMMYFUNCTION("""COMPUTED_VALUE"""),"b2bBuy")</f>
        <v>b2bBuy</v>
      </c>
      <c r="B347" s="2" t="str">
        <f>IFERROR(__xludf.DUMMYFUNCTION("""COMPUTED_VALUE"""),"B2B Buy")</f>
        <v>B2B Buy</v>
      </c>
      <c r="C347" s="2">
        <f>IFERROR(__xludf.DUMMYFUNCTION("""COMPUTED_VALUE"""),0.1)</f>
        <v>0.1</v>
      </c>
      <c r="D347" s="2" t="str">
        <f>IFERROR(__xludf.DUMMYFUNCTION("""COMPUTED_VALUE"""),"B2b खरीदें")</f>
        <v>B2b खरीदें</v>
      </c>
      <c r="E347" s="2" t="str">
        <f>IFERROR(__xludf.DUMMYFUNCTION("""COMPUTED_VALUE"""),"b2b kharide")</f>
        <v>b2b kharide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 t="str">
        <f>IFERROR(__xludf.DUMMYFUNCTION("""COMPUTED_VALUE"""),"promote")</f>
        <v>promote</v>
      </c>
      <c r="B348" s="2" t="str">
        <f>IFERROR(__xludf.DUMMYFUNCTION("""COMPUTED_VALUE"""),"Promote")</f>
        <v>Promote</v>
      </c>
      <c r="C348" s="2">
        <f>IFERROR(__xludf.DUMMYFUNCTION("""COMPUTED_VALUE"""),0.1)</f>
        <v>0.1</v>
      </c>
      <c r="D348" s="2" t="str">
        <f>IFERROR(__xludf.DUMMYFUNCTION("""COMPUTED_VALUE"""),"पदोन्नति करना")</f>
        <v>पदोन्नति करना</v>
      </c>
      <c r="E348" s="2" t="str">
        <f>IFERROR(__xludf.DUMMYFUNCTION("""COMPUTED_VALUE"""),"padonnati larna")</f>
        <v>padonnati larna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 t="str">
        <f>IFERROR(__xludf.DUMMYFUNCTION("""COMPUTED_VALUE"""),"usermanagement")</f>
        <v>usermanagement</v>
      </c>
      <c r="B349" s="2" t="str">
        <f>IFERROR(__xludf.DUMMYFUNCTION("""COMPUTED_VALUE"""),"User Management ")</f>
        <v>User Management </v>
      </c>
      <c r="C349" s="2">
        <f>IFERROR(__xludf.DUMMYFUNCTION("""COMPUTED_VALUE"""),0.1)</f>
        <v>0.1</v>
      </c>
      <c r="D349" s="2" t="str">
        <f>IFERROR(__xludf.DUMMYFUNCTION("""COMPUTED_VALUE"""),"प्रयोक्ता प्रबंधन")</f>
        <v>प्रयोक्ता प्रबंधन</v>
      </c>
      <c r="E349" s="2" t="str">
        <f>IFERROR(__xludf.DUMMYFUNCTION("""COMPUTED_VALUE"""),"upyog karta")</f>
        <v>upyog karta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 t="str">
        <f>IFERROR(__xludf.DUMMYFUNCTION("""COMPUTED_VALUE"""),"referralmanagement")</f>
        <v>referralmanagement</v>
      </c>
      <c r="B350" s="2" t="str">
        <f>IFERROR(__xludf.DUMMYFUNCTION("""COMPUTED_VALUE"""),"Referral Management")</f>
        <v>Referral Management</v>
      </c>
      <c r="C350" s="2">
        <f>IFERROR(__xludf.DUMMYFUNCTION("""COMPUTED_VALUE"""),0.1)</f>
        <v>0.1</v>
      </c>
      <c r="D350" s="2" t="str">
        <f>IFERROR(__xludf.DUMMYFUNCTION("""COMPUTED_VALUE"""),"रेफरल प्रबंधन")</f>
        <v>रेफरल प्रबंधन</v>
      </c>
      <c r="E350" s="2" t="str">
        <f>IFERROR(__xludf.DUMMYFUNCTION("""COMPUTED_VALUE"""),"prabandh")</f>
        <v>prabandh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 t="str">
        <f>IFERROR(__xludf.DUMMYFUNCTION("""COMPUTED_VALUE"""),"P&amp;L")</f>
        <v>P&amp;L</v>
      </c>
      <c r="B351" s="2" t="str">
        <f>IFERROR(__xludf.DUMMYFUNCTION("""COMPUTED_VALUE"""),"P &amp; L")</f>
        <v>P &amp; L</v>
      </c>
      <c r="C351" s="2">
        <f>IFERROR(__xludf.DUMMYFUNCTION("""COMPUTED_VALUE"""),0.1)</f>
        <v>0.1</v>
      </c>
      <c r="D351" s="2" t="str">
        <f>IFERROR(__xludf.DUMMYFUNCTION("""COMPUTED_VALUE"""),"पी एंड एल")</f>
        <v>पी एंड एल</v>
      </c>
      <c r="E351" s="2" t="str">
        <f>IFERROR(__xludf.DUMMYFUNCTION("""COMPUTED_VALUE"""),"p and l")</f>
        <v>p and l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 t="str">
        <f>IFERROR(__xludf.DUMMYFUNCTION("""COMPUTED_VALUE"""),"subscription")</f>
        <v>subscription</v>
      </c>
      <c r="B352" s="2" t="str">
        <f>IFERROR(__xludf.DUMMYFUNCTION("""COMPUTED_VALUE"""),"Subscription")</f>
        <v>Subscription</v>
      </c>
      <c r="C352" s="2">
        <f>IFERROR(__xludf.DUMMYFUNCTION("""COMPUTED_VALUE"""),0.1)</f>
        <v>0.1</v>
      </c>
      <c r="D352" s="2" t="str">
        <f>IFERROR(__xludf.DUMMYFUNCTION("""COMPUTED_VALUE"""),"सदस्यता")</f>
        <v>सदस्यता</v>
      </c>
      <c r="E352" s="2" t="str">
        <f>IFERROR(__xludf.DUMMYFUNCTION("""COMPUTED_VALUE"""),"anshdaan")</f>
        <v>anshdaan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 t="str">
        <f>IFERROR(__xludf.DUMMYFUNCTION("""COMPUTED_VALUE"""),"catalog")</f>
        <v>catalog</v>
      </c>
      <c r="B353" s="2" t="str">
        <f>IFERROR(__xludf.DUMMYFUNCTION("""COMPUTED_VALUE"""),"Catalog")</f>
        <v>Catalog</v>
      </c>
      <c r="C353" s="2">
        <f>IFERROR(__xludf.DUMMYFUNCTION("""COMPUTED_VALUE"""),0.1)</f>
        <v>0.1</v>
      </c>
      <c r="D353" s="2" t="str">
        <f>IFERROR(__xludf.DUMMYFUNCTION("""COMPUTED_VALUE"""),"सूची")</f>
        <v>सूची</v>
      </c>
      <c r="E353" s="2" t="str">
        <f>IFERROR(__xludf.DUMMYFUNCTION("""COMPUTED_VALUE"""),"suchi")</f>
        <v>suchi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 t="str">
        <f>IFERROR(__xludf.DUMMYFUNCTION("""COMPUTED_VALUE"""),"financemanager")</f>
        <v>financemanager</v>
      </c>
      <c r="B354" s="2" t="str">
        <f>IFERROR(__xludf.DUMMYFUNCTION("""COMPUTED_VALUE"""),"Finance Manager")</f>
        <v>Finance Manager</v>
      </c>
      <c r="C354" s="2">
        <f>IFERROR(__xludf.DUMMYFUNCTION("""COMPUTED_VALUE"""),0.5)</f>
        <v>0.5</v>
      </c>
      <c r="D354" s="2" t="str">
        <f>IFERROR(__xludf.DUMMYFUNCTION("""COMPUTED_VALUE"""),"वित्त प्रबंधक")</f>
        <v>वित्त प्रबंधक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 t="str">
        <f>IFERROR(__xludf.DUMMYFUNCTION("""COMPUTED_VALUE"""),"posexecutive")</f>
        <v>posexecutive</v>
      </c>
      <c r="B355" s="2" t="str">
        <f>IFERROR(__xludf.DUMMYFUNCTION("""COMPUTED_VALUE"""),"PoS Executive")</f>
        <v>PoS Executive</v>
      </c>
      <c r="C355" s="2">
        <f>IFERROR(__xludf.DUMMYFUNCTION("""COMPUTED_VALUE"""),0.5)</f>
        <v>0.5</v>
      </c>
      <c r="D355" s="2" t="str">
        <f>IFERROR(__xludf.DUMMYFUNCTION("""COMPUTED_VALUE"""),"पीओएस कार्यकारी")</f>
        <v>पीओएस कार्यकारी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 t="str">
        <f>IFERROR(__xludf.DUMMYFUNCTION("""COMPUTED_VALUE"""),"add")</f>
        <v>add</v>
      </c>
      <c r="B356" s="2" t="str">
        <f>IFERROR(__xludf.DUMMYFUNCTION("""COMPUTED_VALUE"""),"Add")</f>
        <v>Add</v>
      </c>
      <c r="C356" s="2">
        <f>IFERROR(__xludf.DUMMYFUNCTION("""COMPUTED_VALUE"""),0.5)</f>
        <v>0.5</v>
      </c>
      <c r="D356" s="2" t="str">
        <f>IFERROR(__xludf.DUMMYFUNCTION("""COMPUTED_VALUE"""),"जोड़ना")</f>
        <v>जोड़ना</v>
      </c>
      <c r="E356" s="2" t="str">
        <f>IFERROR(__xludf.DUMMYFUNCTION("""COMPUTED_VALUE"""),"jode")</f>
        <v>jode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 t="str">
        <f>IFERROR(__xludf.DUMMYFUNCTION("""COMPUTED_VALUE"""),"storemanager")</f>
        <v>storemanager</v>
      </c>
      <c r="B357" s="2" t="str">
        <f>IFERROR(__xludf.DUMMYFUNCTION("""COMPUTED_VALUE"""),"Store Manager")</f>
        <v>Store Manager</v>
      </c>
      <c r="C357" s="2">
        <f>IFERROR(__xludf.DUMMYFUNCTION("""COMPUTED_VALUE"""),0.5)</f>
        <v>0.5</v>
      </c>
      <c r="D357" s="2" t="str">
        <f>IFERROR(__xludf.DUMMYFUNCTION("""COMPUTED_VALUE"""),"स्टोर प्रबंधक")</f>
        <v>स्टोर प्रबंधक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 t="str">
        <f>IFERROR(__xludf.DUMMYFUNCTION("""COMPUTED_VALUE"""),"order")</f>
        <v>order</v>
      </c>
      <c r="B358" s="2" t="str">
        <f>IFERROR(__xludf.DUMMYFUNCTION("""COMPUTED_VALUE"""),"Order")</f>
        <v>Order</v>
      </c>
      <c r="C358" s="2">
        <f>IFERROR(__xludf.DUMMYFUNCTION("""COMPUTED_VALUE"""),0.1)</f>
        <v>0.1</v>
      </c>
      <c r="D358" s="2" t="str">
        <f>IFERROR(__xludf.DUMMYFUNCTION("""COMPUTED_VALUE"""),"आदेश")</f>
        <v>आदेश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 t="str">
        <f>IFERROR(__xludf.DUMMYFUNCTION("""COMPUTED_VALUE"""),"dispatchedintransit")</f>
        <v>dispatchedintransit</v>
      </c>
      <c r="B359" s="2" t="str">
        <f>IFERROR(__xludf.DUMMYFUNCTION("""COMPUTED_VALUE"""),"Dispatched(In Transit)")</f>
        <v>Dispatched(In Transit)</v>
      </c>
      <c r="C359" s="2" t="str">
        <f>IFERROR(__xludf.DUMMYFUNCTION("""COMPUTED_VALUE"""),"0.4.1")</f>
        <v>0.4.1</v>
      </c>
      <c r="D359" s="2" t="str">
        <f>IFERROR(__xludf.DUMMYFUNCTION("""COMPUTED_VALUE"""),"प्रेषित (पारगमन में)")</f>
        <v>प्रेषित (पारगमन में)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 t="str">
        <f>IFERROR(__xludf.DUMMYFUNCTION("""COMPUTED_VALUE"""),"YourOrderWillBeDelivered")</f>
        <v>YourOrderWillBeDelivered</v>
      </c>
      <c r="B360" s="2" t="str">
        <f>IFERROR(__xludf.DUMMYFUNCTION("""COMPUTED_VALUE"""),"Your Order Will Be Delivered")</f>
        <v>Your Order Will Be Delivered</v>
      </c>
      <c r="C360" s="2"/>
      <c r="D360" s="2" t="str">
        <f>IFERROR(__xludf.DUMMYFUNCTION("""COMPUTED_VALUE"""),"आपका आदेश दिया जाएगा")</f>
        <v>आपका आदेश दिया जाएगा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 t="str">
        <f>IFERROR(__xludf.DUMMYFUNCTION("""COMPUTED_VALUE"""),"search")</f>
        <v>search</v>
      </c>
      <c r="B361" s="2" t="str">
        <f>IFERROR(__xludf.DUMMYFUNCTION("""COMPUTED_VALUE"""),"Search")</f>
        <v>Search</v>
      </c>
      <c r="C361" s="2">
        <f>IFERROR(__xludf.DUMMYFUNCTION("""COMPUTED_VALUE"""),0.2)</f>
        <v>0.2</v>
      </c>
      <c r="D361" s="2" t="str">
        <f>IFERROR(__xludf.DUMMYFUNCTION("""COMPUTED_VALUE"""),"खोज")</f>
        <v>खोज</v>
      </c>
      <c r="E361" s="2" t="str">
        <f>IFERROR(__xludf.DUMMYFUNCTION("""COMPUTED_VALUE"""),"khoj")</f>
        <v>khoj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 t="str">
        <f>IFERROR(__xludf.DUMMYFUNCTION("""COMPUTED_VALUE"""),"addUser")</f>
        <v>addUser</v>
      </c>
      <c r="B362" s="2" t="str">
        <f>IFERROR(__xludf.DUMMYFUNCTION("""COMPUTED_VALUE"""),"Add User")</f>
        <v>Add User</v>
      </c>
      <c r="C362" s="2"/>
      <c r="D362" s="2" t="str">
        <f>IFERROR(__xludf.DUMMYFUNCTION("""COMPUTED_VALUE"""),"उपयोगकर्ता जोड़ें")</f>
        <v>उपयोगकर्ता जोड़ें</v>
      </c>
      <c r="E362" s="2" t="str">
        <f>IFERROR(__xludf.DUMMYFUNCTION("""COMPUTED_VALUE"""),"upyog karta jode")</f>
        <v>upyog karta jode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 t="str">
        <f>IFERROR(__xludf.DUMMYFUNCTION("""COMPUTED_VALUE"""),"reset")</f>
        <v>reset</v>
      </c>
      <c r="B363" s="2" t="str">
        <f>IFERROR(__xludf.DUMMYFUNCTION("""COMPUTED_VALUE"""),"Reset ")</f>
        <v>Reset </v>
      </c>
      <c r="C363" s="2">
        <f>IFERROR(__xludf.DUMMYFUNCTION("""COMPUTED_VALUE"""),0.2)</f>
        <v>0.2</v>
      </c>
      <c r="D363" s="2" t="str">
        <f>IFERROR(__xludf.DUMMYFUNCTION("""COMPUTED_VALUE"""),"रीसेट")</f>
        <v>रीसेट</v>
      </c>
      <c r="E363" s="2" t="str">
        <f>IFERROR(__xludf.DUMMYFUNCTION("""COMPUTED_VALUE"""),"reset")</f>
        <v>reset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 t="str">
        <f>IFERROR(__xludf.DUMMYFUNCTION("""COMPUTED_VALUE"""),"personal")</f>
        <v>personal</v>
      </c>
      <c r="B364" s="2" t="str">
        <f>IFERROR(__xludf.DUMMYFUNCTION("""COMPUTED_VALUE"""),"Personal")</f>
        <v>Personal</v>
      </c>
      <c r="C364" s="2"/>
      <c r="D364" s="2" t="str">
        <f>IFERROR(__xludf.DUMMYFUNCTION("""COMPUTED_VALUE"""),"निजी")</f>
        <v>निजी</v>
      </c>
      <c r="E364" s="2" t="str">
        <f>IFERROR(__xludf.DUMMYFUNCTION("""COMPUTED_VALUE"""),"niji")</f>
        <v>niji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 t="str">
        <f>IFERROR(__xludf.DUMMYFUNCTION("""COMPUTED_VALUE"""),"identity")</f>
        <v>identity</v>
      </c>
      <c r="B365" s="2" t="str">
        <f>IFERROR(__xludf.DUMMYFUNCTION("""COMPUTED_VALUE"""),"Identity")</f>
        <v>Identity</v>
      </c>
      <c r="C365" s="2"/>
      <c r="D365" s="2" t="str">
        <f>IFERROR(__xludf.DUMMYFUNCTION("""COMPUTED_VALUE"""),"पहचान")</f>
        <v>पहचान</v>
      </c>
      <c r="E365" s="2" t="str">
        <f>IFERROR(__xludf.DUMMYFUNCTION("""COMPUTED_VALUE"""),"pehchaan")</f>
        <v>pehchaan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 t="str">
        <f>IFERROR(__xludf.DUMMYFUNCTION("""COMPUTED_VALUE"""),"description")</f>
        <v>description</v>
      </c>
      <c r="B366" s="2" t="str">
        <f>IFERROR(__xludf.DUMMYFUNCTION("""COMPUTED_VALUE"""),"Description")</f>
        <v>Description</v>
      </c>
      <c r="C366" s="2">
        <f>IFERROR(__xludf.DUMMYFUNCTION("""COMPUTED_VALUE"""),0.3)</f>
        <v>0.3</v>
      </c>
      <c r="D366" s="2" t="str">
        <f>IFERROR(__xludf.DUMMYFUNCTION("""COMPUTED_VALUE"""),"विवरण")</f>
        <v>विवरण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 t="str">
        <f>IFERROR(__xludf.DUMMYFUNCTION("""COMPUTED_VALUE"""),"employeeId")</f>
        <v>employeeId</v>
      </c>
      <c r="B367" s="2" t="str">
        <f>IFERROR(__xludf.DUMMYFUNCTION("""COMPUTED_VALUE"""),"Employee ID")</f>
        <v>Employee ID</v>
      </c>
      <c r="C367" s="2">
        <f>IFERROR(__xludf.DUMMYFUNCTION("""COMPUTED_VALUE"""),0.2)</f>
        <v>0.2</v>
      </c>
      <c r="D367" s="2" t="str">
        <f>IFERROR(__xludf.DUMMYFUNCTION("""COMPUTED_VALUE"""),"कर्मचारी आयडी")</f>
        <v>कर्मचारी आयडी</v>
      </c>
      <c r="E367" s="2" t="str">
        <f>IFERROR(__xludf.DUMMYFUNCTION("""COMPUTED_VALUE"""),"karmchari id")</f>
        <v>karmchari id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 t="str">
        <f>IFERROR(__xludf.DUMMYFUNCTION("""COMPUTED_VALUE"""),"fullName")</f>
        <v>fullName</v>
      </c>
      <c r="B368" s="2" t="str">
        <f>IFERROR(__xludf.DUMMYFUNCTION("""COMPUTED_VALUE"""),"Full Name")</f>
        <v>Full Name</v>
      </c>
      <c r="C368" s="2">
        <f>IFERROR(__xludf.DUMMYFUNCTION("""COMPUTED_VALUE"""),0.2)</f>
        <v>0.2</v>
      </c>
      <c r="D368" s="2" t="str">
        <f>IFERROR(__xludf.DUMMYFUNCTION("""COMPUTED_VALUE"""),"पूरा नाम")</f>
        <v>पूरा नाम</v>
      </c>
      <c r="E368" s="2" t="str">
        <f>IFERROR(__xludf.DUMMYFUNCTION("""COMPUTED_VALUE"""),"pura naam")</f>
        <v>pura naam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 t="str">
        <f>IFERROR(__xludf.DUMMYFUNCTION("""COMPUTED_VALUE"""),"assignRoles")</f>
        <v>assignRoles</v>
      </c>
      <c r="B369" s="2" t="str">
        <f>IFERROR(__xludf.DUMMYFUNCTION("""COMPUTED_VALUE"""),"Assign Roles")</f>
        <v>Assign Roles</v>
      </c>
      <c r="C369" s="2">
        <f>IFERROR(__xludf.DUMMYFUNCTION("""COMPUTED_VALUE"""),0.2)</f>
        <v>0.2</v>
      </c>
      <c r="D369" s="2" t="str">
        <f>IFERROR(__xludf.DUMMYFUNCTION("""COMPUTED_VALUE"""),"भूमिकाएँ सौंपें")</f>
        <v>भूमिकाएँ सौंपें</v>
      </c>
      <c r="E369" s="2" t="str">
        <f>IFERROR(__xludf.DUMMYFUNCTION("""COMPUTED_VALUE"""),"bhumikaye saupe")</f>
        <v>bhumikaye saupe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 t="str">
        <f>IFERROR(__xludf.DUMMYFUNCTION("""COMPUTED_VALUE"""),"emailAddress*")</f>
        <v>emailAddress*</v>
      </c>
      <c r="B370" s="2" t="str">
        <f>IFERROR(__xludf.DUMMYFUNCTION("""COMPUTED_VALUE"""),"Email Address")</f>
        <v>Email Address</v>
      </c>
      <c r="C370" s="2">
        <f>IFERROR(__xludf.DUMMYFUNCTION("""COMPUTED_VALUE"""),0.5)</f>
        <v>0.5</v>
      </c>
      <c r="D370" s="2" t="str">
        <f>IFERROR(__xludf.DUMMYFUNCTION("""COMPUTED_VALUE"""),"मेल पता")</f>
        <v>मेल पता</v>
      </c>
      <c r="E370" s="2" t="str">
        <f>IFERROR(__xludf.DUMMYFUNCTION("""COMPUTED_VALUE"""),"email pata")</f>
        <v>email pata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 t="str">
        <f>IFERROR(__xludf.DUMMYFUNCTION("""COMPUTED_VALUE"""),"drupefruit10")</f>
        <v>drupefruit10</v>
      </c>
      <c r="B371" s="2" t="str">
        <f>IFERROR(__xludf.DUMMYFUNCTION("""COMPUTED_VALUE"""),"Drupe Fruit (10)")</f>
        <v>Drupe Fruit (10)</v>
      </c>
      <c r="C371" s="2">
        <f>IFERROR(__xludf.DUMMYFUNCTION("""COMPUTED_VALUE"""),0.3)</f>
        <v>0.3</v>
      </c>
      <c r="D371" s="2" t="str">
        <f>IFERROR(__xludf.DUMMYFUNCTION("""COMPUTED_VALUE"""),"ड्रूप फल (10)")</f>
        <v>ड्रूप फल (10)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 t="str">
        <f>IFERROR(__xludf.DUMMYFUNCTION("""COMPUTED_VALUE"""),"education")</f>
        <v>education</v>
      </c>
      <c r="B372" s="2" t="str">
        <f>IFERROR(__xludf.DUMMYFUNCTION("""COMPUTED_VALUE"""),"Education")</f>
        <v>Education</v>
      </c>
      <c r="C372" s="2">
        <f>IFERROR(__xludf.DUMMYFUNCTION("""COMPUTED_VALUE"""),0.5)</f>
        <v>0.5</v>
      </c>
      <c r="D372" s="2" t="str">
        <f>IFERROR(__xludf.DUMMYFUNCTION("""COMPUTED_VALUE"""),"शिक्षा")</f>
        <v>शिक्षा</v>
      </c>
      <c r="E372" s="2" t="str">
        <f>IFERROR(__xludf.DUMMYFUNCTION("""COMPUTED_VALUE"""),"shiksha")</f>
        <v>shiksha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 t="str">
        <f>IFERROR(__xludf.DUMMYFUNCTION("""COMPUTED_VALUE"""),"AddressLine")</f>
        <v>AddressLine</v>
      </c>
      <c r="B373" s="2" t="str">
        <f>IFERROR(__xludf.DUMMYFUNCTION("""COMPUTED_VALUE"""),"Address line ")</f>
        <v>Address line </v>
      </c>
      <c r="C373" s="2">
        <f>IFERROR(__xludf.DUMMYFUNCTION("""COMPUTED_VALUE"""),0.5)</f>
        <v>0.5</v>
      </c>
      <c r="D373" s="2" t="str">
        <f>IFERROR(__xludf.DUMMYFUNCTION("""COMPUTED_VALUE"""),"पता पंक्ति")</f>
        <v>पता पंक्ति</v>
      </c>
      <c r="E373" s="2" t="str">
        <f>IFERROR(__xludf.DUMMYFUNCTION("""COMPUTED_VALUE"""),"pata pankti")</f>
        <v>pata pankti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 t="str">
        <f>IFERROR(__xludf.DUMMYFUNCTION("""COMPUTED_VALUE"""),"initiatepayment")</f>
        <v>initiatepayment</v>
      </c>
      <c r="B374" s="2" t="str">
        <f>IFERROR(__xludf.DUMMYFUNCTION("""COMPUTED_VALUE"""),"Initiate Payment")</f>
        <v>Initiate Payment</v>
      </c>
      <c r="C374" s="2">
        <f>IFERROR(__xludf.DUMMYFUNCTION("""COMPUTED_VALUE"""),0.4)</f>
        <v>0.4</v>
      </c>
      <c r="D374" s="2" t="str">
        <f>IFERROR(__xludf.DUMMYFUNCTION("""COMPUTED_VALUE"""),"आरंभ करना")</f>
        <v>आरंभ करना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 t="str">
        <f>IFERROR(__xludf.DUMMYFUNCTION("""COMPUTED_VALUE"""),"roles")</f>
        <v>roles</v>
      </c>
      <c r="B375" s="2" t="str">
        <f>IFERROR(__xludf.DUMMYFUNCTION("""COMPUTED_VALUE"""),"Roles")</f>
        <v>Roles</v>
      </c>
      <c r="C375" s="2">
        <f>IFERROR(__xludf.DUMMYFUNCTION("""COMPUTED_VALUE"""),0.1)</f>
        <v>0.1</v>
      </c>
      <c r="D375" s="2" t="str">
        <f>IFERROR(__xludf.DUMMYFUNCTION("""COMPUTED_VALUE"""),"भूमिकाएँ")</f>
        <v>भूमिकाएँ</v>
      </c>
      <c r="E375" s="2" t="str">
        <f>IFERROR(__xludf.DUMMYFUNCTION("""COMPUTED_VALUE"""),"bhumikaye ")</f>
        <v>bhumikaye 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 t="str">
        <f>IFERROR(__xludf.DUMMYFUNCTION("""COMPUTED_VALUE"""),"distancekm")</f>
        <v>distancekm</v>
      </c>
      <c r="B376" s="2" t="str">
        <f>IFERROR(__xludf.DUMMYFUNCTION("""COMPUTED_VALUE"""),"Distance(km)")</f>
        <v>Distance(km)</v>
      </c>
      <c r="C376" s="2">
        <f>IFERROR(__xludf.DUMMYFUNCTION("""COMPUTED_VALUE"""),0.3)</f>
        <v>0.3</v>
      </c>
      <c r="D376" s="2" t="str">
        <f>IFERROR(__xludf.DUMMYFUNCTION("""COMPUTED_VALUE"""),"दूरी (किमी)")</f>
        <v>दूरी (किमी)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 t="str">
        <f>IFERROR(__xludf.DUMMYFUNCTION("""COMPUTED_VALUE"""),"mandatoryitem")</f>
        <v>mandatoryitem</v>
      </c>
      <c r="B377" s="2" t="str">
        <f>IFERROR(__xludf.DUMMYFUNCTION("""COMPUTED_VALUE"""),"Mandatory Item")</f>
        <v>Mandatory Item</v>
      </c>
      <c r="C377" s="2">
        <f>IFERROR(__xludf.DUMMYFUNCTION("""COMPUTED_VALUE"""),0.4)</f>
        <v>0.4</v>
      </c>
      <c r="D377" s="2" t="str">
        <f>IFERROR(__xludf.DUMMYFUNCTION("""COMPUTED_VALUE"""),"अनिवार्य वस्तु")</f>
        <v>अनिवार्य वस्तु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 t="str">
        <f>IFERROR(__xludf.DUMMYFUNCTION("""COMPUTED_VALUE"""),"emergencyContact")</f>
        <v>emergencyContact</v>
      </c>
      <c r="B378" s="2" t="str">
        <f>IFERROR(__xludf.DUMMYFUNCTION("""COMPUTED_VALUE"""),"Emergency Contact")</f>
        <v>Emergency Contact</v>
      </c>
      <c r="C378" s="2"/>
      <c r="D378" s="2" t="str">
        <f>IFERROR(__xludf.DUMMYFUNCTION("""COMPUTED_VALUE"""),"आपातकालीन संपर्क")</f>
        <v>आपातकालीन संपर्क</v>
      </c>
      <c r="E378" s="2" t="str">
        <f>IFERROR(__xludf.DUMMYFUNCTION("""COMPUTED_VALUE"""),"apatakalin sampark")</f>
        <v>apatakalin sampark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 t="str">
        <f>IFERROR(__xludf.DUMMYFUNCTION("""COMPUTED_VALUE"""),"uploadAdhaarCard")</f>
        <v>uploadAdhaarCard</v>
      </c>
      <c r="B379" s="2" t="str">
        <f>IFERROR(__xludf.DUMMYFUNCTION("""COMPUTED_VALUE"""),"Upload Adhaar Card")</f>
        <v>Upload Adhaar Card</v>
      </c>
      <c r="C379" s="2">
        <f>IFERROR(__xludf.DUMMYFUNCTION("""COMPUTED_VALUE"""),0.1)</f>
        <v>0.1</v>
      </c>
      <c r="D379" s="2" t="str">
        <f>IFERROR(__xludf.DUMMYFUNCTION("""COMPUTED_VALUE"""),"अपलोड अधार कार्ड")</f>
        <v>अपलोड अधार कार्ड</v>
      </c>
      <c r="E379" s="2" t="str">
        <f>IFERROR(__xludf.DUMMYFUNCTION("""COMPUTED_VALUE"""),"adhar card upload kare")</f>
        <v>adhar card upload kare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 t="str">
        <f>IFERROR(__xludf.DUMMYFUNCTION("""COMPUTED_VALUE"""),"PayOnDelivery")</f>
        <v>PayOnDelivery</v>
      </c>
      <c r="B380" s="2" t="str">
        <f>IFERROR(__xludf.DUMMYFUNCTION("""COMPUTED_VALUE"""),"Pay On Delivery")</f>
        <v>Pay On Delivery</v>
      </c>
      <c r="C380" s="2" t="str">
        <f>IFERROR(__xludf.DUMMYFUNCTION("""COMPUTED_VALUE"""),"0.4.1")</f>
        <v>0.4.1</v>
      </c>
      <c r="D380" s="2" t="str">
        <f>IFERROR(__xludf.DUMMYFUNCTION("""COMPUTED_VALUE"""),"पहुंचने पर भुगतान")</f>
        <v>पहुंचने पर भुगतान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 t="str">
        <f>IFERROR(__xludf.DUMMYFUNCTION("""COMPUTED_VALUE"""),"profilePhoto")</f>
        <v>profilePhoto</v>
      </c>
      <c r="B381" s="2" t="str">
        <f>IFERROR(__xludf.DUMMYFUNCTION("""COMPUTED_VALUE"""),"Profile Photo")</f>
        <v>Profile Photo</v>
      </c>
      <c r="C381" s="2">
        <f>IFERROR(__xludf.DUMMYFUNCTION("""COMPUTED_VALUE"""),0.3)</f>
        <v>0.3</v>
      </c>
      <c r="D381" s="2" t="str">
        <f>IFERROR(__xludf.DUMMYFUNCTION("""COMPUTED_VALUE"""),"खाते की फोटो")</f>
        <v>खाते की फोटो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 t="str">
        <f>IFERROR(__xludf.DUMMYFUNCTION("""COMPUTED_VALUE"""),"DeliveryPickup Within")</f>
        <v>DeliveryPickup Within</v>
      </c>
      <c r="B382" s="2" t="str">
        <f>IFERROR(__xludf.DUMMYFUNCTION("""COMPUTED_VALUE"""),"Delivery/Pickup Within")</f>
        <v>Delivery/Pickup Within</v>
      </c>
      <c r="C382" s="2">
        <f>IFERROR(__xludf.DUMMYFUNCTION("""COMPUTED_VALUE"""),0.3)</f>
        <v>0.3</v>
      </c>
      <c r="D382" s="2" t="str">
        <f>IFERROR(__xludf.DUMMYFUNCTION("""COMPUTED_VALUE"""),"डिलीवरी/पिकअप के भीतर")</f>
        <v>डिलीवरी/पिकअप के भीतर</v>
      </c>
      <c r="E382" s="2" t="str">
        <f>IFERROR(__xludf.DUMMYFUNCTION("""COMPUTED_VALUE"""),"profile tasvir")</f>
        <v>profile tasvir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 t="str">
        <f>IFERROR(__xludf.DUMMYFUNCTION("""COMPUTED_VALUE"""),"previous")</f>
        <v>previous</v>
      </c>
      <c r="B383" s="2" t="str">
        <f>IFERROR(__xludf.DUMMYFUNCTION("""COMPUTED_VALUE"""),"Previous")</f>
        <v>Previous</v>
      </c>
      <c r="C383" s="2">
        <f>IFERROR(__xludf.DUMMYFUNCTION("""COMPUTED_VALUE"""),0.5)</f>
        <v>0.5</v>
      </c>
      <c r="D383" s="2" t="str">
        <f>IFERROR(__xludf.DUMMYFUNCTION("""COMPUTED_VALUE"""),"पहले का")</f>
        <v>पहले का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 t="str">
        <f>IFERROR(__xludf.DUMMYFUNCTION("""COMPUTED_VALUE"""),"EmergencyContactNumber*")</f>
        <v>EmergencyContactNumber*</v>
      </c>
      <c r="B384" s="2" t="str">
        <f>IFERROR(__xludf.DUMMYFUNCTION("""COMPUTED_VALUE"""),"Emergency Contact Number *")</f>
        <v>Emergency Contact Number *</v>
      </c>
      <c r="C384" s="2">
        <f>IFERROR(__xludf.DUMMYFUNCTION("""COMPUTED_VALUE"""),0.5)</f>
        <v>0.5</v>
      </c>
      <c r="D384" s="2" t="str">
        <f>IFERROR(__xludf.DUMMYFUNCTION("""COMPUTED_VALUE"""),"आपातकालीन संपर्क नंबर *")</f>
        <v>आपातकालीन संपर्क नंबर *</v>
      </c>
      <c r="E384" s="2" t="str">
        <f>IFERROR(__xludf.DUMMYFUNCTION("""COMPUTED_VALUE"""),"pichla")</f>
        <v>pichla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 t="str">
        <f>IFERROR(__xludf.DUMMYFUNCTION("""COMPUTED_VALUE"""),"contactName*")</f>
        <v>contactName*</v>
      </c>
      <c r="B385" s="2" t="str">
        <f>IFERROR(__xludf.DUMMYFUNCTION("""COMPUTED_VALUE"""),"Contact Name *")</f>
        <v>Contact Name *</v>
      </c>
      <c r="C385" s="2">
        <f>IFERROR(__xludf.DUMMYFUNCTION("""COMPUTED_VALUE"""),0.5)</f>
        <v>0.5</v>
      </c>
      <c r="D385" s="2" t="str">
        <f>IFERROR(__xludf.DUMMYFUNCTION("""COMPUTED_VALUE"""),"संपर्क नाम *")</f>
        <v>संपर्क नाम *</v>
      </c>
      <c r="E385" s="2" t="str">
        <f>IFERROR(__xludf.DUMMYFUNCTION("""COMPUTED_VALUE"""),"apatkalin sampark number")</f>
        <v>apatkalin sampark number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 t="str">
        <f>IFERROR(__xludf.DUMMYFUNCTION("""COMPUTED_VALUE"""),"relationship")</f>
        <v>relationship</v>
      </c>
      <c r="B386" s="2" t="str">
        <f>IFERROR(__xludf.DUMMYFUNCTION("""COMPUTED_VALUE"""),"Relationship")</f>
        <v>Relationship</v>
      </c>
      <c r="C386" s="2">
        <f>IFERROR(__xludf.DUMMYFUNCTION("""COMPUTED_VALUE"""),0.5)</f>
        <v>0.5</v>
      </c>
      <c r="D386" s="2" t="str">
        <f>IFERROR(__xludf.DUMMYFUNCTION("""COMPUTED_VALUE"""),"रिश्ता")</f>
        <v>रिश्ता</v>
      </c>
      <c r="E386" s="2" t="str">
        <f>IFERROR(__xludf.DUMMYFUNCTION("""COMPUTED_VALUE"""),"sampark naam")</f>
        <v>sampark naam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 t="str">
        <f>IFERROR(__xludf.DUMMYFUNCTION("""COMPUTED_VALUE"""),"userCreatedSuccessfullyyay!")</f>
        <v>userCreatedSuccessfullyyay!</v>
      </c>
      <c r="B387" s="2" t="str">
        <f>IFERROR(__xludf.DUMMYFUNCTION("""COMPUTED_VALUE"""),"User Created Successfully  Yay!")</f>
        <v>User Created Successfully  Yay!</v>
      </c>
      <c r="C387" s="2">
        <f>IFERROR(__xludf.DUMMYFUNCTION("""COMPUTED_VALUE"""),0.5)</f>
        <v>0.5</v>
      </c>
      <c r="D387" s="2" t="str">
        <f>IFERROR(__xludf.DUMMYFUNCTION("""COMPUTED_VALUE"""),"उपयोगकर्ता ने सफलतापूर्वक YAY बनाया!")</f>
        <v>उपयोगकर्ता ने सफलतापूर्वक YAY बनाया!</v>
      </c>
      <c r="E387" s="2" t="str">
        <f>IFERROR(__xludf.DUMMYFUNCTION("""COMPUTED_VALUE""")," rishta")</f>
        <v> rishta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 t="str">
        <f>IFERROR(__xludf.DUMMYFUNCTION("""COMPUTED_VALUE"""),"yay!")</f>
        <v>yay!</v>
      </c>
      <c r="B388" s="2" t="str">
        <f>IFERROR(__xludf.DUMMYFUNCTION("""COMPUTED_VALUE"""),"YAY!")</f>
        <v>YAY!</v>
      </c>
      <c r="C388" s="2">
        <f>IFERROR(__xludf.DUMMYFUNCTION("""COMPUTED_VALUE"""),0.2)</f>
        <v>0.2</v>
      </c>
      <c r="D388" s="2" t="str">
        <f>IFERROR(__xludf.DUMMYFUNCTION("""COMPUTED_VALUE"""),"वाह!")</f>
        <v>वाह!</v>
      </c>
      <c r="E388" s="2" t="str">
        <f>IFERROR(__xludf.DUMMYFUNCTION("""COMPUTED_VALUE"""),"upyog karta ne safaltapurvak banaya")</f>
        <v>upyog karta ne safaltapurvak banaya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 t="str">
        <f>IFERROR(__xludf.DUMMYFUNCTION("""COMPUTED_VALUE"""),"DateofJoining ")</f>
        <v>DateofJoining </v>
      </c>
      <c r="B389" s="2" t="str">
        <f>IFERROR(__xludf.DUMMYFUNCTION("""COMPUTED_VALUE"""),"Date of Joining ")</f>
        <v>Date of Joining </v>
      </c>
      <c r="C389" s="2">
        <f>IFERROR(__xludf.DUMMYFUNCTION("""COMPUTED_VALUE"""),0.5)</f>
        <v>0.5</v>
      </c>
      <c r="D389" s="2" t="str">
        <f>IFERROR(__xludf.DUMMYFUNCTION("""COMPUTED_VALUE"""),"शामिल होने की तिथि")</f>
        <v>शामिल होने की तिथि</v>
      </c>
      <c r="E389" s="2" t="str">
        <f>IFERROR(__xludf.DUMMYFUNCTION("""COMPUTED_VALUE"""),"waah")</f>
        <v>waah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 t="str">
        <f>IFERROR(__xludf.DUMMYFUNCTION("""COMPUTED_VALUE"""),"selecteditems")</f>
        <v>selecteditems</v>
      </c>
      <c r="B390" s="2" t="str">
        <f>IFERROR(__xludf.DUMMYFUNCTION("""COMPUTED_VALUE"""),"Selected Items")</f>
        <v>Selected Items</v>
      </c>
      <c r="C390" s="2">
        <f>IFERROR(__xludf.DUMMYFUNCTION("""COMPUTED_VALUE"""),0.3)</f>
        <v>0.3</v>
      </c>
      <c r="D390" s="2" t="str">
        <f>IFERROR(__xludf.DUMMYFUNCTION("""COMPUTED_VALUE"""),"चयनित उत्पाद")</f>
        <v>चयनित उत्पाद</v>
      </c>
      <c r="E390" s="2" t="str">
        <f>IFERROR(__xludf.DUMMYFUNCTION("""COMPUTED_VALUE"""),"shamil hone ki tithi")</f>
        <v>shamil hone ki tithi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 t="str">
        <f>IFERROR(__xludf.DUMMYFUNCTION("""COMPUTED_VALUE"""),"inventoryManager")</f>
        <v>inventoryManager</v>
      </c>
      <c r="B391" s="2" t="str">
        <f>IFERROR(__xludf.DUMMYFUNCTION("""COMPUTED_VALUE"""),"Inventory Manager")</f>
        <v>Inventory Manager</v>
      </c>
      <c r="C391" s="2">
        <f>IFERROR(__xludf.DUMMYFUNCTION("""COMPUTED_VALUE"""),0.5)</f>
        <v>0.5</v>
      </c>
      <c r="D391" s="2" t="str">
        <f>IFERROR(__xludf.DUMMYFUNCTION("""COMPUTED_VALUE"""),"सूची प्रबंधक")</f>
        <v>सूची प्रबंधक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 t="str">
        <f>IFERROR(__xludf.DUMMYFUNCTION("""COMPUTED_VALUE"""),"empId")</f>
        <v>empId</v>
      </c>
      <c r="B392" s="2" t="str">
        <f>IFERROR(__xludf.DUMMYFUNCTION("""COMPUTED_VALUE"""),"Emp ID ")</f>
        <v>Emp ID </v>
      </c>
      <c r="C392" s="2">
        <f>IFERROR(__xludf.DUMMYFUNCTION("""COMPUTED_VALUE"""),0.2)</f>
        <v>0.2</v>
      </c>
      <c r="D392" s="2" t="str">
        <f>IFERROR(__xludf.DUMMYFUNCTION("""COMPUTED_VALUE"""),"ईएमपी आईडी")</f>
        <v>ईएमपी आईडी</v>
      </c>
      <c r="E392" s="2" t="str">
        <f>IFERROR(__xludf.DUMMYFUNCTION("""COMPUTED_VALUE"""),"suchi prabandhak")</f>
        <v>suchi prabandhak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 t="str">
        <f>IFERROR(__xludf.DUMMYFUNCTION("""COMPUTED_VALUE"""),"activate")</f>
        <v>activate</v>
      </c>
      <c r="B393" s="2" t="str">
        <f>IFERROR(__xludf.DUMMYFUNCTION("""COMPUTED_VALUE"""),"Activate")</f>
        <v>Activate</v>
      </c>
      <c r="C393" s="2">
        <f>IFERROR(__xludf.DUMMYFUNCTION("""COMPUTED_VALUE"""),0.2)</f>
        <v>0.2</v>
      </c>
      <c r="D393" s="2" t="str">
        <f>IFERROR(__xludf.DUMMYFUNCTION("""COMPUTED_VALUE"""),"सक्रिय")</f>
        <v>सक्रिय</v>
      </c>
      <c r="E393" s="2" t="str">
        <f>IFERROR(__xludf.DUMMYFUNCTION("""COMPUTED_VALUE"""),"emp id")</f>
        <v>emp id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 t="str">
        <f>IFERROR(__xludf.DUMMYFUNCTION("""COMPUTED_VALUE"""),"deactivate")</f>
        <v>deactivate</v>
      </c>
      <c r="B394" s="2" t="str">
        <f>IFERROR(__xludf.DUMMYFUNCTION("""COMPUTED_VALUE"""),"Deactivate")</f>
        <v>Deactivate</v>
      </c>
      <c r="C394" s="2">
        <f>IFERROR(__xludf.DUMMYFUNCTION("""COMPUTED_VALUE"""),0.2)</f>
        <v>0.2</v>
      </c>
      <c r="D394" s="2" t="str">
        <f>IFERROR(__xludf.DUMMYFUNCTION("""COMPUTED_VALUE"""),"निष्क्रिय करें")</f>
        <v>निष्क्रिय करें</v>
      </c>
      <c r="E394" s="2" t="str">
        <f>IFERROR(__xludf.DUMMYFUNCTION("""COMPUTED_VALUE"""),"sakriya")</f>
        <v>sakriya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 t="str">
        <f>IFERROR(__xludf.DUMMYFUNCTION("""COMPUTED_VALUE"""),"phone")</f>
        <v>phone</v>
      </c>
      <c r="B395" s="2" t="str">
        <f>IFERROR(__xludf.DUMMYFUNCTION("""COMPUTED_VALUE"""),"Phone")</f>
        <v>Phone</v>
      </c>
      <c r="C395" s="2">
        <f>IFERROR(__xludf.DUMMYFUNCTION("""COMPUTED_VALUE"""),0.2)</f>
        <v>0.2</v>
      </c>
      <c r="D395" s="2" t="str">
        <f>IFERROR(__xludf.DUMMYFUNCTION("""COMPUTED_VALUE"""),"फ़ोन")</f>
        <v>फ़ोन</v>
      </c>
      <c r="E395" s="2" t="str">
        <f>IFERROR(__xludf.DUMMYFUNCTION("""COMPUTED_VALUE"""),"nishlriya kare")</f>
        <v>nishlriya kare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 t="str">
        <f>IFERROR(__xludf.DUMMYFUNCTION("""COMPUTED_VALUE"""),"published")</f>
        <v>published</v>
      </c>
      <c r="B396" s="2" t="str">
        <f>IFERROR(__xludf.DUMMYFUNCTION("""COMPUTED_VALUE"""),"Published")</f>
        <v>Published</v>
      </c>
      <c r="C396" s="2">
        <f>IFERROR(__xludf.DUMMYFUNCTION("""COMPUTED_VALUE"""),0.3)</f>
        <v>0.3</v>
      </c>
      <c r="D396" s="2" t="str">
        <f>IFERROR(__xludf.DUMMYFUNCTION("""COMPUTED_VALUE"""),"प्रकाशित")</f>
        <v>प्रकाशित</v>
      </c>
      <c r="E396" s="2" t="str">
        <f>IFERROR(__xludf.DUMMYFUNCTION("""COMPUTED_VALUE"""),"phone")</f>
        <v>phone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 t="str">
        <f>IFERROR(__xludf.DUMMYFUNCTION("""COMPUTED_VALUE"""),"aadharcard/voterid/bplid/drivinglicense")</f>
        <v>aadharcard/voterid/bplid/drivinglicense</v>
      </c>
      <c r="B397" s="2" t="str">
        <f>IFERROR(__xludf.DUMMYFUNCTION("""COMPUTED_VALUE"""),"Aadhar Card/ Voter ID/BPL ID/Driving License")</f>
        <v>Aadhar Card/ Voter ID/BPL ID/Driving License</v>
      </c>
      <c r="C397" s="2">
        <f>IFERROR(__xludf.DUMMYFUNCTION("""COMPUTED_VALUE"""),0.2)</f>
        <v>0.2</v>
      </c>
      <c r="D397" s="2" t="str">
        <f>IFERROR(__xludf.DUMMYFUNCTION("""COMPUTED_VALUE"""),"आधार कार्ड/वोटर आईडी/बीपीएल आईडी/ड्राइविंग लाइसेंस")</f>
        <v>आधार कार्ड/वोटर आईडी/बीपीएल आईडी/ड्राइविंग लाइसेंस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 t="str">
        <f>IFERROR(__xludf.DUMMYFUNCTION("""COMPUTED_VALUE"""),"voterId")</f>
        <v>voterId</v>
      </c>
      <c r="B398" s="2" t="str">
        <f>IFERROR(__xludf.DUMMYFUNCTION("""COMPUTED_VALUE"""),"Voter ID")</f>
        <v>Voter ID</v>
      </c>
      <c r="C398" s="2"/>
      <c r="D398" s="2" t="str">
        <f>IFERROR(__xludf.DUMMYFUNCTION("""COMPUTED_VALUE"""),"आधार कार्ड/वोटर आईडी/बीपीएल आईडी/ड्राइविंग लाइसेंस प्रमाण अपलोड करें")</f>
        <v>आधार कार्ड/वोटर आईडी/बीपीएल आईडी/ड्राइविंग लाइसेंस प्रमाण अपलोड करें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 t="str">
        <f>IFERROR(__xludf.DUMMYFUNCTION("""COMPUTED_VALUE"""),"drivingLicense")</f>
        <v>drivingLicense</v>
      </c>
      <c r="B399" s="2" t="str">
        <f>IFERROR(__xludf.DUMMYFUNCTION("""COMPUTED_VALUE"""),"Driving License")</f>
        <v>Driving License</v>
      </c>
      <c r="C399" s="2"/>
      <c r="D399" s="2" t="str">
        <f>IFERROR(__xludf.DUMMYFUNCTION("""COMPUTED_VALUE"""),"ड्राइविंग लाइसेंस")</f>
        <v>ड्राइविंग लाइसेंस</v>
      </c>
      <c r="E399" s="2" t="str">
        <f>IFERROR(__xludf.DUMMYFUNCTION("""COMPUTED_VALUE"""),"voter id")</f>
        <v>voter id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 t="str">
        <f>IFERROR(__xludf.DUMMYFUNCTION("""COMPUTED_VALUE"""),"updateChanges")</f>
        <v>updateChanges</v>
      </c>
      <c r="B400" s="2" t="str">
        <f>IFERROR(__xludf.DUMMYFUNCTION("""COMPUTED_VALUE"""),"Update Changes")</f>
        <v>Update Changes</v>
      </c>
      <c r="C400" s="2">
        <f>IFERROR(__xludf.DUMMYFUNCTION("""COMPUTED_VALUE"""),0.5)</f>
        <v>0.5</v>
      </c>
      <c r="D400" s="2" t="str">
        <f>IFERROR(__xludf.DUMMYFUNCTION("""COMPUTED_VALUE"""),"अद्यतन परिवर्तन")</f>
        <v>अद्यतन परिवर्तन</v>
      </c>
      <c r="E400" s="2" t="str">
        <f>IFERROR(__xludf.DUMMYFUNCTION("""COMPUTED_VALUE"""),"driving license")</f>
        <v>driving license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 t="str">
        <f>IFERROR(__xludf.DUMMYFUNCTION("""COMPUTED_VALUE"""),"basicSalaryPerMonth")</f>
        <v>basicSalaryPerMonth</v>
      </c>
      <c r="B401" s="2" t="str">
        <f>IFERROR(__xludf.DUMMYFUNCTION("""COMPUTED_VALUE"""),"Basic Salary per month")</f>
        <v>Basic Salary per month</v>
      </c>
      <c r="C401" s="2"/>
      <c r="D401" s="2" t="str">
        <f>IFERROR(__xludf.DUMMYFUNCTION("""COMPUTED_VALUE"""),"प्रति माह बुनियादी वेतन")</f>
        <v>प्रति माह बुनियादी वेतन</v>
      </c>
      <c r="E401" s="2" t="str">
        <f>IFERROR(__xludf.DUMMYFUNCTION("""COMPUTED_VALUE"""),"udtan parivartan")</f>
        <v>udtan parivartan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 t="str">
        <f>IFERROR(__xludf.DUMMYFUNCTION("""COMPUTED_VALUE"""),"youcannotdeleteactiveuser")</f>
        <v>youcannotdeleteactiveuser</v>
      </c>
      <c r="B402" s="2" t="str">
        <f>IFERROR(__xludf.DUMMYFUNCTION("""COMPUTED_VALUE"""),"You cannot delete Active User!")</f>
        <v>You cannot delete Active User!</v>
      </c>
      <c r="C402" s="2">
        <f>IFERROR(__xludf.DUMMYFUNCTION("""COMPUTED_VALUE"""),0.5)</f>
        <v>0.5</v>
      </c>
      <c r="D402" s="2" t="str">
        <f>IFERROR(__xludf.DUMMYFUNCTION("""COMPUTED_VALUE"""),"आप सक्रिय उपयोगकर्ता को नहीं हटा सकते हैं!")</f>
        <v>आप सक्रिय उपयोगकर्ता को नहीं हटा सकते हैं!</v>
      </c>
      <c r="E402" s="2" t="str">
        <f>IFERROR(__xludf.DUMMYFUNCTION("""COMPUTED_VALUE"""),"prati maah buniyadi vetan")</f>
        <v>prati maah buniyadi vetan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 t="str">
        <f>IFERROR(__xludf.DUMMYFUNCTION("""COMPUTED_VALUE"""),"deactiveToDelete")</f>
        <v>deactiveToDelete</v>
      </c>
      <c r="B403" s="2" t="str">
        <f>IFERROR(__xludf.DUMMYFUNCTION("""COMPUTED_VALUE"""),"Deactive to Delete")</f>
        <v>Deactive to Delete</v>
      </c>
      <c r="C403" s="2">
        <f>IFERROR(__xludf.DUMMYFUNCTION("""COMPUTED_VALUE"""),0.5)</f>
        <v>0.5</v>
      </c>
      <c r="D403" s="2" t="str">
        <f>IFERROR(__xludf.DUMMYFUNCTION("""COMPUTED_VALUE"""),"हटाने के लिए निष्क्रिय")</f>
        <v>हटाने के लिए निष्क्रिय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 t="str">
        <f>IFERROR(__xludf.DUMMYFUNCTION("""COMPUTED_VALUE"""),"fruits")</f>
        <v>fruits</v>
      </c>
      <c r="B404" s="2" t="str">
        <f>IFERROR(__xludf.DUMMYFUNCTION("""COMPUTED_VALUE"""),"Fruits")</f>
        <v>Fruits</v>
      </c>
      <c r="C404" s="2">
        <f>IFERROR(__xludf.DUMMYFUNCTION("""COMPUTED_VALUE"""),0.1)</f>
        <v>0.1</v>
      </c>
      <c r="D404" s="2" t="str">
        <f>IFERROR(__xludf.DUMMYFUNCTION("""COMPUTED_VALUE"""),"फल")</f>
        <v>फल</v>
      </c>
      <c r="E404" s="2" t="str">
        <f>IFERROR(__xludf.DUMMYFUNCTION("""COMPUTED_VALUE"""),"hatane k liye nishkriya")</f>
        <v>hatane k liye nishkriya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 t="str">
        <f>IFERROR(__xludf.DUMMYFUNCTION("""COMPUTED_VALUE"""),"vegetables")</f>
        <v>vegetables</v>
      </c>
      <c r="B405" s="2" t="str">
        <f>IFERROR(__xludf.DUMMYFUNCTION("""COMPUTED_VALUE"""),"Vegetables")</f>
        <v>Vegetables</v>
      </c>
      <c r="C405" s="2">
        <f>IFERROR(__xludf.DUMMYFUNCTION("""COMPUTED_VALUE"""),0.1)</f>
        <v>0.1</v>
      </c>
      <c r="D405" s="2" t="str">
        <f>IFERROR(__xludf.DUMMYFUNCTION("""COMPUTED_VALUE"""),"सब्ज़ियाँ")</f>
        <v>सब्ज़ियाँ</v>
      </c>
      <c r="E405" s="2" t="str">
        <f>IFERROR(__xludf.DUMMYFUNCTION("""COMPUTED_VALUE"""),"fal")</f>
        <v>fal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 t="str">
        <f>IFERROR(__xludf.DUMMYFUNCTION("""COMPUTED_VALUE"""),"groceries")</f>
        <v>groceries</v>
      </c>
      <c r="B406" s="2" t="str">
        <f>IFERROR(__xludf.DUMMYFUNCTION("""COMPUTED_VALUE"""),"Groceries")</f>
        <v>Groceries</v>
      </c>
      <c r="C406" s="2">
        <f>IFERROR(__xludf.DUMMYFUNCTION("""COMPUTED_VALUE"""),0.1)</f>
        <v>0.1</v>
      </c>
      <c r="D406" s="2" t="str">
        <f>IFERROR(__xludf.DUMMYFUNCTION("""COMPUTED_VALUE"""),"किराने का सामान")</f>
        <v>किराने का सामान</v>
      </c>
      <c r="E406" s="2" t="str">
        <f>IFERROR(__xludf.DUMMYFUNCTION("""COMPUTED_VALUE"""),"sabziya")</f>
        <v>sabziya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 t="str">
        <f>IFERROR(__xludf.DUMMYFUNCTION("""COMPUTED_VALUE"""),"fishes")</f>
        <v>fishes</v>
      </c>
      <c r="B407" s="2" t="str">
        <f>IFERROR(__xludf.DUMMYFUNCTION("""COMPUTED_VALUE"""),"Fishes")</f>
        <v>Fishes</v>
      </c>
      <c r="C407" s="2">
        <f>IFERROR(__xludf.DUMMYFUNCTION("""COMPUTED_VALUE"""),0.1)</f>
        <v>0.1</v>
      </c>
      <c r="D407" s="2" t="str">
        <f>IFERROR(__xludf.DUMMYFUNCTION("""COMPUTED_VALUE"""),"मछलियों का वर्ग")</f>
        <v>मछलियों का वर्ग</v>
      </c>
      <c r="E407" s="2" t="str">
        <f>IFERROR(__xludf.DUMMYFUNCTION("""COMPUTED_VALUE"""),"kirane ka saman")</f>
        <v>kirane ka saman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 t="str">
        <f>IFERROR(__xludf.DUMMYFUNCTION("""COMPUTED_VALUE"""),"meat")</f>
        <v>meat</v>
      </c>
      <c r="B408" s="2" t="str">
        <f>IFERROR(__xludf.DUMMYFUNCTION("""COMPUTED_VALUE"""),"Meat")</f>
        <v>Meat</v>
      </c>
      <c r="C408" s="2">
        <f>IFERROR(__xludf.DUMMYFUNCTION("""COMPUTED_VALUE"""),0.1)</f>
        <v>0.1</v>
      </c>
      <c r="D408" s="2" t="str">
        <f>IFERROR(__xludf.DUMMYFUNCTION("""COMPUTED_VALUE"""),"मांस")</f>
        <v>मांस</v>
      </c>
      <c r="E408" s="2" t="str">
        <f>IFERROR(__xludf.DUMMYFUNCTION("""COMPUTED_VALUE"""),"macliyo ka varg")</f>
        <v>macliyo ka varg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 t="str">
        <f>IFERROR(__xludf.DUMMYFUNCTION("""COMPUTED_VALUE"""),"dairy")</f>
        <v>dairy</v>
      </c>
      <c r="B409" s="2" t="str">
        <f>IFERROR(__xludf.DUMMYFUNCTION("""COMPUTED_VALUE"""),"Dairy")</f>
        <v>Dairy</v>
      </c>
      <c r="C409" s="2">
        <f>IFERROR(__xludf.DUMMYFUNCTION("""COMPUTED_VALUE"""),0.1)</f>
        <v>0.1</v>
      </c>
      <c r="D409" s="2" t="str">
        <f>IFERROR(__xludf.DUMMYFUNCTION("""COMPUTED_VALUE"""),"डेरी")</f>
        <v>डेरी</v>
      </c>
      <c r="E409" s="2" t="str">
        <f>IFERROR(__xludf.DUMMYFUNCTION("""COMPUTED_VALUE"""),"maas")</f>
        <v>maas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 t="str">
        <f>IFERROR(__xludf.DUMMYFUNCTION("""COMPUTED_VALUE"""),"uploadBPLcard")</f>
        <v>uploadBPLcard</v>
      </c>
      <c r="B410" s="2" t="str">
        <f>IFERROR(__xludf.DUMMYFUNCTION("""COMPUTED_VALUE"""),"Upload BPL card")</f>
        <v>Upload BPL card</v>
      </c>
      <c r="C410" s="2">
        <f>IFERROR(__xludf.DUMMYFUNCTION("""COMPUTED_VALUE"""),0.1)</f>
        <v>0.1</v>
      </c>
      <c r="D410" s="2" t="str">
        <f>IFERROR(__xludf.DUMMYFUNCTION("""COMPUTED_VALUE"""),"बीपीएल कार्ड अपलोड करें")</f>
        <v>बीपीएल कार्ड अपलोड करें</v>
      </c>
      <c r="E410" s="2" t="str">
        <f>IFERROR(__xludf.DUMMYFUNCTION("""COMPUTED_VALUE"""),"dairy")</f>
        <v>dairy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 t="str">
        <f>IFERROR(__xludf.DUMMYFUNCTION("""COMPUTED_VALUE"""),"uploaddrivinglicence")</f>
        <v>uploaddrivinglicence</v>
      </c>
      <c r="B411" s="2" t="str">
        <f>IFERROR(__xludf.DUMMYFUNCTION("""COMPUTED_VALUE"""),"Upload Driving Licence")</f>
        <v>Upload Driving Licence</v>
      </c>
      <c r="C411" s="2">
        <f>IFERROR(__xludf.DUMMYFUNCTION("""COMPUTED_VALUE"""),0.1)</f>
        <v>0.1</v>
      </c>
      <c r="D411" s="2" t="str">
        <f>IFERROR(__xludf.DUMMYFUNCTION("""COMPUTED_VALUE"""),"ड्राइविंग लाइसेंस अपलोड करें")</f>
        <v>ड्राइविंग लाइसेंस अपलोड करें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 t="str">
        <f>IFERROR(__xludf.DUMMYFUNCTION("""COMPUTED_VALUE"""),"shopno")</f>
        <v>shopno</v>
      </c>
      <c r="B412" s="2" t="str">
        <f>IFERROR(__xludf.DUMMYFUNCTION("""COMPUTED_VALUE"""),"Shop no")</f>
        <v>Shop no</v>
      </c>
      <c r="C412" s="2">
        <f>IFERROR(__xludf.DUMMYFUNCTION("""COMPUTED_VALUE"""),0.2)</f>
        <v>0.2</v>
      </c>
      <c r="D412" s="2" t="str">
        <f>IFERROR(__xludf.DUMMYFUNCTION("""COMPUTED_VALUE"""),"दुकान नहीं")</f>
        <v>दुकान नहीं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 t="str">
        <f>IFERROR(__xludf.DUMMYFUNCTION("""COMPUTED_VALUE"""),"pleaseprovidealltherequiredvalue")</f>
        <v>pleaseprovidealltherequiredvalue</v>
      </c>
      <c r="B413" s="2" t="str">
        <f>IFERROR(__xludf.DUMMYFUNCTION("""COMPUTED_VALUE"""),"Please provide all the required value")</f>
        <v>Please provide all the required value</v>
      </c>
      <c r="C413" s="2">
        <f>IFERROR(__xludf.DUMMYFUNCTION("""COMPUTED_VALUE"""),0.2)</f>
        <v>0.2</v>
      </c>
      <c r="D413" s="2" t="str">
        <f>IFERROR(__xludf.DUMMYFUNCTION("""COMPUTED_VALUE"""),"दुकान संख्या")</f>
        <v>दुकान संख्या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 t="str">
        <f>IFERROR(__xludf.DUMMYFUNCTION("""COMPUTED_VALUE"""),"unpublish")</f>
        <v>unpublish</v>
      </c>
      <c r="B414" s="2" t="str">
        <f>IFERROR(__xludf.DUMMYFUNCTION("""COMPUTED_VALUE"""),"Unpublish")</f>
        <v>Unpublish</v>
      </c>
      <c r="C414" s="2">
        <f>IFERROR(__xludf.DUMMYFUNCTION("""COMPUTED_VALUE"""),0.3)</f>
        <v>0.3</v>
      </c>
      <c r="D414" s="2" t="str">
        <f>IFERROR(__xludf.DUMMYFUNCTION("""COMPUTED_VALUE"""),"अनियंत्रित करना")</f>
        <v>अनियंत्रित करना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 t="str">
        <f>IFERROR(__xludf.DUMMYFUNCTION("""COMPUTED_VALUE"""),"publish")</f>
        <v>publish</v>
      </c>
      <c r="B415" s="2" t="str">
        <f>IFERROR(__xludf.DUMMYFUNCTION("""COMPUTED_VALUE"""),"Publish")</f>
        <v>Publish</v>
      </c>
      <c r="C415" s="2">
        <f>IFERROR(__xludf.DUMMYFUNCTION("""COMPUTED_VALUE"""),0.3)</f>
        <v>0.3</v>
      </c>
      <c r="D415" s="2" t="str">
        <f>IFERROR(__xludf.DUMMYFUNCTION("""COMPUTED_VALUE"""),"प्रकाशित करना")</f>
        <v>प्रकाशित करना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 t="str">
        <f>IFERROR(__xludf.DUMMYFUNCTION("""COMPUTED_VALUE"""),"orders")</f>
        <v>orders</v>
      </c>
      <c r="B416" s="2" t="str">
        <f>IFERROR(__xludf.DUMMYFUNCTION("""COMPUTED_VALUE"""),"Orders")</f>
        <v>Orders</v>
      </c>
      <c r="C416" s="2">
        <f>IFERROR(__xludf.DUMMYFUNCTION("""COMPUTED_VALUE"""),0.4)</f>
        <v>0.4</v>
      </c>
      <c r="D416" s="2" t="str">
        <f>IFERROR(__xludf.DUMMYFUNCTION("""COMPUTED_VALUE"""),"आदेश")</f>
        <v>आदेश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 t="str">
        <f>IFERROR(__xludf.DUMMYFUNCTION("""COMPUTED_VALUE"""),"others")</f>
        <v>others</v>
      </c>
      <c r="B417" s="2" t="str">
        <f>IFERROR(__xludf.DUMMYFUNCTION("""COMPUTED_VALUE"""),"Others")</f>
        <v>Others</v>
      </c>
      <c r="C417" s="2">
        <f>IFERROR(__xludf.DUMMYFUNCTION("""COMPUTED_VALUE"""),0.1)</f>
        <v>0.1</v>
      </c>
      <c r="D417" s="2" t="str">
        <f>IFERROR(__xludf.DUMMYFUNCTION("""COMPUTED_VALUE"""),"अन्य")</f>
        <v>अन्य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 t="str">
        <f>IFERROR(__xludf.DUMMYFUNCTION("""COMPUTED_VALUE"""),"bakery")</f>
        <v>bakery</v>
      </c>
      <c r="B418" s="2" t="str">
        <f>IFERROR(__xludf.DUMMYFUNCTION("""COMPUTED_VALUE"""),"Bakery")</f>
        <v>Bakery</v>
      </c>
      <c r="C418" s="2">
        <f>IFERROR(__xludf.DUMMYFUNCTION("""COMPUTED_VALUE"""),0.1)</f>
        <v>0.1</v>
      </c>
      <c r="D418" s="2" t="str">
        <f>IFERROR(__xludf.DUMMYFUNCTION("""COMPUTED_VALUE"""),"बेकरी")</f>
        <v>बेकरी</v>
      </c>
      <c r="E418" s="2" t="str">
        <f>IFERROR(__xludf.DUMMYFUNCTION("""COMPUTED_VALUE"""),"anya")</f>
        <v>anya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 t="str">
        <f>IFERROR(__xludf.DUMMYFUNCTION("""COMPUTED_VALUE"""),"flowers")</f>
        <v>flowers</v>
      </c>
      <c r="B419" s="2" t="str">
        <f>IFERROR(__xludf.DUMMYFUNCTION("""COMPUTED_VALUE"""),"Flowers")</f>
        <v>Flowers</v>
      </c>
      <c r="C419" s="2">
        <f>IFERROR(__xludf.DUMMYFUNCTION("""COMPUTED_VALUE"""),0.2)</f>
        <v>0.2</v>
      </c>
      <c r="D419" s="2" t="str">
        <f>IFERROR(__xludf.DUMMYFUNCTION("""COMPUTED_VALUE"""),"पुष्प")</f>
        <v>पुष्प</v>
      </c>
      <c r="E419" s="2" t="str">
        <f>IFERROR(__xludf.DUMMYFUNCTION("""COMPUTED_VALUE"""),"bakery")</f>
        <v>bakery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 t="str">
        <f>IFERROR(__xludf.DUMMYFUNCTION("""COMPUTED_VALUE"""),"appversion:")</f>
        <v>appversion:</v>
      </c>
      <c r="B420" s="2" t="str">
        <f>IFERROR(__xludf.DUMMYFUNCTION("""COMPUTED_VALUE"""),"App Version:")</f>
        <v>App Version:</v>
      </c>
      <c r="C420" s="2">
        <f>IFERROR(__xludf.DUMMYFUNCTION("""COMPUTED_VALUE"""),0.4)</f>
        <v>0.4</v>
      </c>
      <c r="D420" s="2" t="str">
        <f>IFERROR(__xludf.DUMMYFUNCTION("""COMPUTED_VALUE"""),"एप्लिकेशन वेरीज़न:")</f>
        <v>एप्लिकेशन वेरीज़न:</v>
      </c>
      <c r="E420" s="2" t="str">
        <f>IFERROR(__xludf.DUMMYFUNCTION("""COMPUTED_VALUE"""),"pushp")</f>
        <v>pushp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 t="str">
        <f>IFERROR(__xludf.DUMMYFUNCTION("""COMPUTED_VALUE"""),"Deliveryat")</f>
        <v>Deliveryat</v>
      </c>
      <c r="B421" s="2" t="str">
        <f>IFERROR(__xludf.DUMMYFUNCTION("""COMPUTED_VALUE"""),"Delivery at")</f>
        <v>Delivery at</v>
      </c>
      <c r="C421" s="2">
        <f>IFERROR(__xludf.DUMMYFUNCTION("""COMPUTED_VALUE"""),0.3)</f>
        <v>0.3</v>
      </c>
      <c r="D421" s="2" t="str">
        <f>IFERROR(__xludf.DUMMYFUNCTION("""COMPUTED_VALUE"""),"एप्लिकेशन वरज़न:")</f>
        <v>एप्लिकेशन वरज़न: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 t="str">
        <f>IFERROR(__xludf.DUMMYFUNCTION("""COMPUTED_VALUE"""),"capsules")</f>
        <v>capsules</v>
      </c>
      <c r="B422" s="2" t="str">
        <f>IFERROR(__xludf.DUMMYFUNCTION("""COMPUTED_VALUE"""),"Capsules")</f>
        <v>Capsules</v>
      </c>
      <c r="C422" s="2"/>
      <c r="D422" s="2" t="str">
        <f>IFERROR(__xludf.DUMMYFUNCTION("""COMPUTED_VALUE"""),"कैप्सूल")</f>
        <v>कैप्सूल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 t="str">
        <f>IFERROR(__xludf.DUMMYFUNCTION("""COMPUTED_VALUE"""),"invalidmanagerid")</f>
        <v>invalidmanagerid</v>
      </c>
      <c r="B423" s="2" t="str">
        <f>IFERROR(__xludf.DUMMYFUNCTION("""COMPUTED_VALUE"""),"Invalid Manager id")</f>
        <v>Invalid Manager id</v>
      </c>
      <c r="C423" s="2">
        <f>IFERROR(__xludf.DUMMYFUNCTION("""COMPUTED_VALUE"""),0.4)</f>
        <v>0.4</v>
      </c>
      <c r="D423" s="2" t="str">
        <f>IFERROR(__xludf.DUMMYFUNCTION("""COMPUTED_VALUE"""),"अमान्य प्रबंधक आईडी")</f>
        <v>अमान्य प्रबंधक आईडी</v>
      </c>
      <c r="E423" s="2" t="str">
        <f>IFERROR(__xludf.DUMMYFUNCTION("""COMPUTED_VALUE"""),"capsule")</f>
        <v>capsule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 t="str">
        <f>IFERROR(__xludf.DUMMYFUNCTION("""COMPUTED_VALUE"""),"invalidmobilenumber")</f>
        <v>invalidmobilenumber</v>
      </c>
      <c r="B424" s="2" t="str">
        <f>IFERROR(__xludf.DUMMYFUNCTION("""COMPUTED_VALUE"""),"Invalid Mobile Number")</f>
        <v>Invalid Mobile Number</v>
      </c>
      <c r="C424" s="2">
        <f>IFERROR(__xludf.DUMMYFUNCTION("""COMPUTED_VALUE"""),0.4)</f>
        <v>0.4</v>
      </c>
      <c r="D424" s="2" t="str">
        <f>IFERROR(__xludf.DUMMYFUNCTION("""COMPUTED_VALUE"""),"अमान्य मोबाइल नंबर")</f>
        <v>अमान्य मोबाइल नंबर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 t="str">
        <f>IFERROR(__xludf.DUMMYFUNCTION("""COMPUTED_VALUE"""),"update")</f>
        <v>update</v>
      </c>
      <c r="B425" s="2" t="str">
        <f>IFERROR(__xludf.DUMMYFUNCTION("""COMPUTED_VALUE"""),"Update")</f>
        <v>Update</v>
      </c>
      <c r="C425" s="2">
        <f>IFERROR(__xludf.DUMMYFUNCTION("""COMPUTED_VALUE"""),0.1)</f>
        <v>0.1</v>
      </c>
      <c r="D425" s="2" t="str">
        <f>IFERROR(__xludf.DUMMYFUNCTION("""COMPUTED_VALUE"""),"अद्यतन")</f>
        <v>अद्यतन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 t="str">
        <f>IFERROR(__xludf.DUMMYFUNCTION("""COMPUTED_VALUE"""),"product")</f>
        <v>product</v>
      </c>
      <c r="B426" s="2" t="str">
        <f>IFERROR(__xludf.DUMMYFUNCTION("""COMPUTED_VALUE"""),"Product")</f>
        <v>Product</v>
      </c>
      <c r="C426" s="2"/>
      <c r="D426" s="2" t="str">
        <f>IFERROR(__xludf.DUMMYFUNCTION("""COMPUTED_VALUE"""),"उत्पाद")</f>
        <v>उत्पाद</v>
      </c>
      <c r="E426" s="2" t="str">
        <f>IFERROR(__xludf.DUMMYFUNCTION("""COMPUTED_VALUE"""),"udhtan")</f>
        <v>udhtan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 t="str">
        <f>IFERROR(__xludf.DUMMYFUNCTION("""COMPUTED_VALUE"""),"updateExisting")</f>
        <v>updateExisting</v>
      </c>
      <c r="B427" s="2" t="str">
        <f>IFERROR(__xludf.DUMMYFUNCTION("""COMPUTED_VALUE"""),"Update Existing")</f>
        <v>Update Existing</v>
      </c>
      <c r="C427" s="2"/>
      <c r="D427" s="2" t="str">
        <f>IFERROR(__xludf.DUMMYFUNCTION("""COMPUTED_VALUE"""),"वर्तमान को अपडेट करें")</f>
        <v>वर्तमान को अपडेट करें</v>
      </c>
      <c r="E427" s="2" t="str">
        <f>IFERROR(__xludf.DUMMYFUNCTION("""COMPUTED_VALUE"""),"utpad")</f>
        <v>utpad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 t="str">
        <f>IFERROR(__xludf.DUMMYFUNCTION("""COMPUTED_VALUE"""),"continue")</f>
        <v>continue</v>
      </c>
      <c r="B428" s="2" t="str">
        <f>IFERROR(__xludf.DUMMYFUNCTION("""COMPUTED_VALUE"""),"Continue")</f>
        <v>Continue</v>
      </c>
      <c r="C428" s="2">
        <f>IFERROR(__xludf.DUMMYFUNCTION("""COMPUTED_VALUE"""),0.1)</f>
        <v>0.1</v>
      </c>
      <c r="D428" s="2" t="str">
        <f>IFERROR(__xludf.DUMMYFUNCTION("""COMPUTED_VALUE"""),"जारी रखना")</f>
        <v>जारी रखना</v>
      </c>
      <c r="E428" s="2" t="str">
        <f>IFERROR(__xludf.DUMMYFUNCTION("""COMPUTED_VALUE"""),"maujuda ko udhtan kare")</f>
        <v>maujuda ko udhtan kare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 t="str">
        <f>IFERROR(__xludf.DUMMYFUNCTION("""COMPUTED_VALUE"""),"showAll")</f>
        <v>showAll</v>
      </c>
      <c r="B429" s="2" t="str">
        <f>IFERROR(__xludf.DUMMYFUNCTION("""COMPUTED_VALUE"""),"Show all")</f>
        <v>Show all</v>
      </c>
      <c r="C429" s="2"/>
      <c r="D429" s="2" t="str">
        <f>IFERROR(__xludf.DUMMYFUNCTION("""COMPUTED_VALUE"""),"सब दिखाएं")</f>
        <v>सब दिखाएं</v>
      </c>
      <c r="E429" s="2" t="str">
        <f>IFERROR(__xludf.DUMMYFUNCTION("""COMPUTED_VALUE"""),"jari rakhna")</f>
        <v>jari rakhna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 t="str">
        <f>IFERROR(__xludf.DUMMYFUNCTION("""COMPUTED_VALUE"""),"procurementmanager")</f>
        <v>procurementmanager</v>
      </c>
      <c r="B430" s="2" t="str">
        <f>IFERROR(__xludf.DUMMYFUNCTION("""COMPUTED_VALUE"""),"Procurement Manager")</f>
        <v>Procurement Manager</v>
      </c>
      <c r="C430" s="2">
        <f>IFERROR(__xludf.DUMMYFUNCTION("""COMPUTED_VALUE"""),0.5)</f>
        <v>0.5</v>
      </c>
      <c r="D430" s="2" t="str">
        <f>IFERROR(__xludf.DUMMYFUNCTION("""COMPUTED_VALUE"""),"खरीद प्रबंधक")</f>
        <v>खरीद प्रबंधक</v>
      </c>
      <c r="E430" s="2" t="str">
        <f>IFERROR(__xludf.DUMMYFUNCTION("""COMPUTED_VALUE"""),"sab dikhaye")</f>
        <v>sab dikhaye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 t="str">
        <f>IFERROR(__xludf.DUMMYFUNCTION("""COMPUTED_VALUE"""),"to")</f>
        <v>to</v>
      </c>
      <c r="B431" s="2" t="str">
        <f>IFERROR(__xludf.DUMMYFUNCTION("""COMPUTED_VALUE"""),"To")</f>
        <v>To</v>
      </c>
      <c r="C431" s="2"/>
      <c r="D431" s="2" t="str">
        <f>IFERROR(__xludf.DUMMYFUNCTION("""COMPUTED_VALUE"""),"को")</f>
        <v>को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 t="str">
        <f>IFERROR(__xludf.DUMMYFUNCTION("""COMPUTED_VALUE"""),"inr")</f>
        <v>inr</v>
      </c>
      <c r="B432" s="2" t="str">
        <f>IFERROR(__xludf.DUMMYFUNCTION("""COMPUTED_VALUE"""),"INR")</f>
        <v>INR</v>
      </c>
      <c r="C432" s="2">
        <f>IFERROR(__xludf.DUMMYFUNCTION("""COMPUTED_VALUE"""),0.3)</f>
        <v>0.3</v>
      </c>
      <c r="D432" s="2" t="str">
        <f>IFERROR(__xludf.DUMMYFUNCTION("""COMPUTED_VALUE"""),"इनर")</f>
        <v>इनर</v>
      </c>
      <c r="E432" s="2" t="str">
        <f>IFERROR(__xludf.DUMMYFUNCTION("""COMPUTED_VALUE"""),"prati ")</f>
        <v>prati 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 t="str">
        <f>IFERROR(__xludf.DUMMYFUNCTION("""COMPUTED_VALUE"""),"filter")</f>
        <v>filter</v>
      </c>
      <c r="B433" s="2" t="str">
        <f>IFERROR(__xludf.DUMMYFUNCTION("""COMPUTED_VALUE"""),"Filter")</f>
        <v>Filter</v>
      </c>
      <c r="C433" s="2">
        <f>IFERROR(__xludf.DUMMYFUNCTION("""COMPUTED_VALUE"""),0.4)</f>
        <v>0.4</v>
      </c>
      <c r="D433" s="2" t="str">
        <f>IFERROR(__xludf.DUMMYFUNCTION("""COMPUTED_VALUE"""),"फ़िल्टर")</f>
        <v>फ़िल्टर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 t="str">
        <f>IFERROR(__xludf.DUMMYFUNCTION("""COMPUTED_VALUE"""),"invalidrole")</f>
        <v>invalidrole</v>
      </c>
      <c r="B434" s="2" t="str">
        <f>IFERROR(__xludf.DUMMYFUNCTION("""COMPUTED_VALUE"""),"Invalid Role")</f>
        <v>Invalid Role</v>
      </c>
      <c r="C434" s="2">
        <f>IFERROR(__xludf.DUMMYFUNCTION("""COMPUTED_VALUE"""),0.4)</f>
        <v>0.4</v>
      </c>
      <c r="D434" s="2" t="str">
        <f>IFERROR(__xludf.DUMMYFUNCTION("""COMPUTED_VALUE"""),"अमान्य भूमिका")</f>
        <v>अमान्य भूमिका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 t="str">
        <f>IFERROR(__xludf.DUMMYFUNCTION("""COMPUTED_VALUE"""),"select")</f>
        <v>select</v>
      </c>
      <c r="B435" s="2" t="str">
        <f>IFERROR(__xludf.DUMMYFUNCTION("""COMPUTED_VALUE"""),"Select ")</f>
        <v>Select </v>
      </c>
      <c r="C435" s="2"/>
      <c r="D435" s="2" t="str">
        <f>IFERROR(__xludf.DUMMYFUNCTION("""COMPUTED_VALUE"""),"चुनना")</f>
        <v>चुनना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 t="str">
        <f>IFERROR(__xludf.DUMMYFUNCTION("""COMPUTED_VALUE"""),"New")</f>
        <v>New</v>
      </c>
      <c r="B436" s="2" t="str">
        <f>IFERROR(__xludf.DUMMYFUNCTION("""COMPUTED_VALUE"""),"New")</f>
        <v>New</v>
      </c>
      <c r="C436" s="2">
        <f>IFERROR(__xludf.DUMMYFUNCTION("""COMPUTED_VALUE"""),0.4)</f>
        <v>0.4</v>
      </c>
      <c r="D436" s="2" t="str">
        <f>IFERROR(__xludf.DUMMYFUNCTION("""COMPUTED_VALUE"""),"नया")</f>
        <v>नया</v>
      </c>
      <c r="E436" s="2" t="str">
        <f>IFERROR(__xludf.DUMMYFUNCTION("""COMPUTED_VALUE"""),"chunna")</f>
        <v>chunna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 t="str">
        <f>IFERROR(__xludf.DUMMYFUNCTION("""COMPUTED_VALUE"""),"accept ")</f>
        <v>accept </v>
      </c>
      <c r="B437" s="2" t="str">
        <f>IFERROR(__xludf.DUMMYFUNCTION("""COMPUTED_VALUE"""),"Accept ")</f>
        <v>Accept </v>
      </c>
      <c r="C437" s="2">
        <f>IFERROR(__xludf.DUMMYFUNCTION("""COMPUTED_VALUE"""),0.4)</f>
        <v>0.4</v>
      </c>
      <c r="D437" s="2" t="str">
        <f>IFERROR(__xludf.DUMMYFUNCTION("""COMPUTED_VALUE"""),"स्वीकार करना")</f>
        <v>स्वीकार करना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 t="str">
        <f>IFERROR(__xludf.DUMMYFUNCTION("""COMPUTED_VALUE"""),"Accepted ")</f>
        <v>Accepted </v>
      </c>
      <c r="B438" s="2" t="str">
        <f>IFERROR(__xludf.DUMMYFUNCTION("""COMPUTED_VALUE"""),"Accepted")</f>
        <v>Accepted</v>
      </c>
      <c r="C438" s="2">
        <f>IFERROR(__xludf.DUMMYFUNCTION("""COMPUTED_VALUE"""),0.4)</f>
        <v>0.4</v>
      </c>
      <c r="D438" s="2" t="str">
        <f>IFERROR(__xludf.DUMMYFUNCTION("""COMPUTED_VALUE"""),"को स्वीकृत")</f>
        <v>को स्वीकृत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 t="str">
        <f>IFERROR(__xludf.DUMMYFUNCTION("""COMPUTED_VALUE"""),"Dispatch")</f>
        <v>Dispatch</v>
      </c>
      <c r="B439" s="2" t="str">
        <f>IFERROR(__xludf.DUMMYFUNCTION("""COMPUTED_VALUE"""),"Dispatch")</f>
        <v>Dispatch</v>
      </c>
      <c r="C439" s="2">
        <f>IFERROR(__xludf.DUMMYFUNCTION("""COMPUTED_VALUE"""),0.4)</f>
        <v>0.4</v>
      </c>
      <c r="D439" s="2" t="str">
        <f>IFERROR(__xludf.DUMMYFUNCTION("""COMPUTED_VALUE"""),"प्रेषण")</f>
        <v>प्रेषण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 t="str">
        <f>IFERROR(__xludf.DUMMYFUNCTION("""COMPUTED_VALUE"""),"Reject")</f>
        <v>Reject</v>
      </c>
      <c r="B440" s="2" t="str">
        <f>IFERROR(__xludf.DUMMYFUNCTION("""COMPUTED_VALUE"""),"Reject")</f>
        <v>Reject</v>
      </c>
      <c r="C440" s="2">
        <f>IFERROR(__xludf.DUMMYFUNCTION("""COMPUTED_VALUE"""),0.4)</f>
        <v>0.4</v>
      </c>
      <c r="D440" s="2" t="str">
        <f>IFERROR(__xludf.DUMMYFUNCTION("""COMPUTED_VALUE"""),"अस्वीकार करना")</f>
        <v>अस्वीकार करना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 t="str">
        <f>IFERROR(__xludf.DUMMYFUNCTION("""COMPUTED_VALUE"""),"DoyouwanttoRejecttheorder")</f>
        <v>DoyouwanttoRejecttheorder</v>
      </c>
      <c r="B441" s="2" t="str">
        <f>IFERROR(__xludf.DUMMYFUNCTION("""COMPUTED_VALUE"""),"Do You Want to Reject the order")</f>
        <v>Do You Want to Reject the order</v>
      </c>
      <c r="C441" s="2">
        <f>IFERROR(__xludf.DUMMYFUNCTION("""COMPUTED_VALUE"""),0.4)</f>
        <v>0.4</v>
      </c>
      <c r="D441" s="2" t="str">
        <f>IFERROR(__xludf.DUMMYFUNCTION("""COMPUTED_VALUE"""),"क्या आप आदेश को अस्वीकार करना चाहते हैं")</f>
        <v>क्या आप आदेश को अस्वीकार करना चाहते हैं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 t="str">
        <f>IFERROR(__xludf.DUMMYFUNCTION("""COMPUTED_VALUE"""),"Neworder")</f>
        <v>Neworder</v>
      </c>
      <c r="B442" s="2" t="str">
        <f>IFERROR(__xludf.DUMMYFUNCTION("""COMPUTED_VALUE"""),"New Order")</f>
        <v>New Order</v>
      </c>
      <c r="C442" s="2">
        <f>IFERROR(__xludf.DUMMYFUNCTION("""COMPUTED_VALUE"""),0.4)</f>
        <v>0.4</v>
      </c>
      <c r="D442" s="2" t="str">
        <f>IFERROR(__xludf.DUMMYFUNCTION("""COMPUTED_VALUE"""),"नए आदेश")</f>
        <v>नए आदेश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 t="str">
        <f>IFERROR(__xludf.DUMMYFUNCTION("""COMPUTED_VALUE"""),"avaliable")</f>
        <v>avaliable</v>
      </c>
      <c r="B443" s="2" t="str">
        <f>IFERROR(__xludf.DUMMYFUNCTION("""COMPUTED_VALUE"""),"Available")</f>
        <v>Available</v>
      </c>
      <c r="C443" s="2">
        <f>IFERROR(__xludf.DUMMYFUNCTION("""COMPUTED_VALUE"""),0.4)</f>
        <v>0.4</v>
      </c>
      <c r="D443" s="2" t="str">
        <f>IFERROR(__xludf.DUMMYFUNCTION("""COMPUTED_VALUE"""),"उपलब्ध")</f>
        <v>उपलब्ध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 t="str">
        <f>IFERROR(__xludf.DUMMYFUNCTION("""COMPUTED_VALUE"""),"blockward")</f>
        <v>blockward</v>
      </c>
      <c r="B444" s="2" t="str">
        <f>IFERROR(__xludf.DUMMYFUNCTION("""COMPUTED_VALUE"""),"Block/Ward")</f>
        <v>Block/Ward</v>
      </c>
      <c r="C444" s="2">
        <f>IFERROR(__xludf.DUMMYFUNCTION("""COMPUTED_VALUE"""),0.4)</f>
        <v>0.4</v>
      </c>
      <c r="D444" s="2" t="str">
        <f>IFERROR(__xludf.DUMMYFUNCTION("""COMPUTED_VALUE"""),"ब्लॉक/वार्ड")</f>
        <v>ब्लॉक/वार्ड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 t="str">
        <f>IFERROR(__xludf.DUMMYFUNCTION("""COMPUTED_VALUE"""),"acceptorder")</f>
        <v>acceptorder</v>
      </c>
      <c r="B445" s="2" t="str">
        <f>IFERROR(__xludf.DUMMYFUNCTION("""COMPUTED_VALUE"""),"Accept Order")</f>
        <v>Accept Order</v>
      </c>
      <c r="C445" s="2">
        <f>IFERROR(__xludf.DUMMYFUNCTION("""COMPUTED_VALUE"""),0.4)</f>
        <v>0.4</v>
      </c>
      <c r="D445" s="2" t="str">
        <f>IFERROR(__xludf.DUMMYFUNCTION("""COMPUTED_VALUE"""),"आदेश स्वीकार करना")</f>
        <v>आदेश स्वीकार करना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 t="str">
        <f>IFERROR(__xludf.DUMMYFUNCTION("""COMPUTED_VALUE"""),"Process")</f>
        <v>Process</v>
      </c>
      <c r="B446" s="2" t="str">
        <f>IFERROR(__xludf.DUMMYFUNCTION("""COMPUTED_VALUE"""),"Process")</f>
        <v>Process</v>
      </c>
      <c r="C446" s="2">
        <f>IFERROR(__xludf.DUMMYFUNCTION("""COMPUTED_VALUE"""),0.4)</f>
        <v>0.4</v>
      </c>
      <c r="D446" s="2" t="str">
        <f>IFERROR(__xludf.DUMMYFUNCTION("""COMPUTED_VALUE"""),"प्रक्रिया")</f>
        <v>प्रक्रिया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 t="str">
        <f>IFERROR(__xludf.DUMMYFUNCTION("""COMPUTED_VALUE"""),"Doyouwanttocanceltheorder")</f>
        <v>Doyouwanttocanceltheorder</v>
      </c>
      <c r="B447" s="2" t="str">
        <f>IFERROR(__xludf.DUMMYFUNCTION("""COMPUTED_VALUE"""),"Do you want to Cancel the Order?")</f>
        <v>Do you want to Cancel the Order?</v>
      </c>
      <c r="C447" s="2">
        <f>IFERROR(__xludf.DUMMYFUNCTION("""COMPUTED_VALUE"""),0.4)</f>
        <v>0.4</v>
      </c>
      <c r="D447" s="2" t="str">
        <f>IFERROR(__xludf.DUMMYFUNCTION("""COMPUTED_VALUE"""),"क्या आप ऑर्डर रद्द करना चाहते हैं?")</f>
        <v>क्या आप ऑर्डर रद्द करना चाहते हैं?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 t="str">
        <f>IFERROR(__xludf.DUMMYFUNCTION("""COMPUTED_VALUE"""),"noshow")</f>
        <v>noshow</v>
      </c>
      <c r="B448" s="2" t="str">
        <f>IFERROR(__xludf.DUMMYFUNCTION("""COMPUTED_VALUE"""),"No Show")</f>
        <v>No Show</v>
      </c>
      <c r="C448" s="2">
        <f>IFERROR(__xludf.DUMMYFUNCTION("""COMPUTED_VALUE"""),0.4)</f>
        <v>0.4</v>
      </c>
      <c r="D448" s="2" t="str">
        <f>IFERROR(__xludf.DUMMYFUNCTION("""COMPUTED_VALUE"""),"कोई शो नहीं")</f>
        <v>कोई शो नहीं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 t="str">
        <f>IFERROR(__xludf.DUMMYFUNCTION("""COMPUTED_VALUE"""),"intransit")</f>
        <v>intransit</v>
      </c>
      <c r="B449" s="2" t="str">
        <f>IFERROR(__xludf.DUMMYFUNCTION("""COMPUTED_VALUE"""),"In Transit")</f>
        <v>In Transit</v>
      </c>
      <c r="C449" s="2">
        <f>IFERROR(__xludf.DUMMYFUNCTION("""COMPUTED_VALUE"""),0.4)</f>
        <v>0.4</v>
      </c>
      <c r="D449" s="2" t="str">
        <f>IFERROR(__xludf.DUMMYFUNCTION("""COMPUTED_VALUE"""),"रास्ते में")</f>
        <v>रास्ते में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 t="str">
        <f>IFERROR(__xludf.DUMMYFUNCTION("""COMPUTED_VALUE"""),"Cancelled")</f>
        <v>Cancelled</v>
      </c>
      <c r="B450" s="2" t="str">
        <f>IFERROR(__xludf.DUMMYFUNCTION("""COMPUTED_VALUE"""),"Cancelled")</f>
        <v>Cancelled</v>
      </c>
      <c r="C450" s="2">
        <f>IFERROR(__xludf.DUMMYFUNCTION("""COMPUTED_VALUE"""),0.4)</f>
        <v>0.4</v>
      </c>
      <c r="D450" s="2" t="str">
        <f>IFERROR(__xludf.DUMMYFUNCTION("""COMPUTED_VALUE"""),"रद्द")</f>
        <v>रद्द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 t="str">
        <f>IFERROR(__xludf.DUMMYFUNCTION("""COMPUTED_VALUE"""),"InStorePickup")</f>
        <v>InStorePickup</v>
      </c>
      <c r="B451" s="2" t="str">
        <f>IFERROR(__xludf.DUMMYFUNCTION("""COMPUTED_VALUE"""),"In Store Pickup")</f>
        <v>In Store Pickup</v>
      </c>
      <c r="C451" s="2">
        <f>IFERROR(__xludf.DUMMYFUNCTION("""COMPUTED_VALUE"""),0.4)</f>
        <v>0.4</v>
      </c>
      <c r="D451" s="2" t="str">
        <f>IFERROR(__xludf.DUMMYFUNCTION("""COMPUTED_VALUE"""),"दुकान से लेना")</f>
        <v>दुकान से लेना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 t="str">
        <f>IFERROR(__xludf.DUMMYFUNCTION("""COMPUTED_VALUE"""),"HomeDelivery")</f>
        <v>HomeDelivery</v>
      </c>
      <c r="B452" s="2" t="str">
        <f>IFERROR(__xludf.DUMMYFUNCTION("""COMPUTED_VALUE"""),"Home Delivery")</f>
        <v>Home Delivery</v>
      </c>
      <c r="C452" s="2">
        <f>IFERROR(__xludf.DUMMYFUNCTION("""COMPUTED_VALUE"""),0.4)</f>
        <v>0.4</v>
      </c>
      <c r="D452" s="2" t="str">
        <f>IFERROR(__xludf.DUMMYFUNCTION("""COMPUTED_VALUE"""),"घर पहुँचाना")</f>
        <v>घर पहुँचाना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 t="str">
        <f>IFERROR(__xludf.DUMMYFUNCTION("""COMPUTED_VALUE"""),"Pickedupat")</f>
        <v>Pickedupat</v>
      </c>
      <c r="B453" s="2" t="str">
        <f>IFERROR(__xludf.DUMMYFUNCTION("""COMPUTED_VALUE"""),"Picked up at")</f>
        <v>Picked up at</v>
      </c>
      <c r="C453" s="2">
        <f>IFERROR(__xludf.DUMMYFUNCTION("""COMPUTED_VALUE"""),0.4)</f>
        <v>0.4</v>
      </c>
      <c r="D453" s="2" t="str">
        <f>IFERROR(__xludf.DUMMYFUNCTION("""COMPUTED_VALUE"""),"पर उठाया गया")</f>
        <v>पर उठाया गया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 t="str">
        <f>IFERROR(__xludf.DUMMYFUNCTION("""COMPUTED_VALUE"""),"Deliveredat")</f>
        <v>Deliveredat</v>
      </c>
      <c r="B454" s="2" t="str">
        <f>IFERROR(__xludf.DUMMYFUNCTION("""COMPUTED_VALUE"""),"Delivered at")</f>
        <v>Delivered at</v>
      </c>
      <c r="C454" s="2">
        <f>IFERROR(__xludf.DUMMYFUNCTION("""COMPUTED_VALUE"""),0.4)</f>
        <v>0.4</v>
      </c>
      <c r="D454" s="2" t="str">
        <f>IFERROR(__xludf.DUMMYFUNCTION("""COMPUTED_VALUE"""),"पर सुपुर्दगी")</f>
        <v>पर सुपुर्दगी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 t="str">
        <f>IFERROR(__xludf.DUMMYFUNCTION("""COMPUTED_VALUE"""),"Rejectedat")</f>
        <v>Rejectedat</v>
      </c>
      <c r="B455" s="2" t="str">
        <f>IFERROR(__xludf.DUMMYFUNCTION("""COMPUTED_VALUE"""),"Rejected at")</f>
        <v>Rejected at</v>
      </c>
      <c r="C455" s="2">
        <f>IFERROR(__xludf.DUMMYFUNCTION("""COMPUTED_VALUE"""),0.4)</f>
        <v>0.4</v>
      </c>
      <c r="D455" s="2" t="str">
        <f>IFERROR(__xludf.DUMMYFUNCTION("""COMPUTED_VALUE"""),"पर अस्वीकार कर दिया")</f>
        <v>पर अस्वीकार कर दिया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 t="str">
        <f>IFERROR(__xludf.DUMMYFUNCTION("""COMPUTED_VALUE"""),"Timeslot ")</f>
        <v>Timeslot </v>
      </c>
      <c r="B456" s="2" t="str">
        <f>IFERROR(__xludf.DUMMYFUNCTION("""COMPUTED_VALUE"""),"Time slot ")</f>
        <v>Time slot </v>
      </c>
      <c r="C456" s="2">
        <f>IFERROR(__xludf.DUMMYFUNCTION("""COMPUTED_VALUE"""),0.4)</f>
        <v>0.4</v>
      </c>
      <c r="D456" s="2" t="str">
        <f>IFERROR(__xludf.DUMMYFUNCTION("""COMPUTED_VALUE"""),"टाइम स्लॉट")</f>
        <v>टाइम स्लॉट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 t="str">
        <f>IFERROR(__xludf.DUMMYFUNCTION("""COMPUTED_VALUE"""),"Notavailable")</f>
        <v>Notavailable</v>
      </c>
      <c r="B457" s="2" t="str">
        <f>IFERROR(__xludf.DUMMYFUNCTION("""COMPUTED_VALUE"""),"Not available")</f>
        <v>Not available</v>
      </c>
      <c r="C457" s="2">
        <f>IFERROR(__xludf.DUMMYFUNCTION("""COMPUTED_VALUE"""),0.4)</f>
        <v>0.4</v>
      </c>
      <c r="D457" s="2" t="str">
        <f>IFERROR(__xludf.DUMMYFUNCTION("""COMPUTED_VALUE"""),"उपलब्ध नहीं है")</f>
        <v>उपलब्ध नहीं है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 t="str">
        <f>IFERROR(__xludf.DUMMYFUNCTION("""COMPUTED_VALUE"""),"PaymentSuccessful")</f>
        <v>PaymentSuccessful</v>
      </c>
      <c r="B458" s="2" t="str">
        <f>IFERROR(__xludf.DUMMYFUNCTION("""COMPUTED_VALUE"""),"Payment Successful")</f>
        <v>Payment Successful</v>
      </c>
      <c r="C458" s="2">
        <f>IFERROR(__xludf.DUMMYFUNCTION("""COMPUTED_VALUE"""),0.4)</f>
        <v>0.4</v>
      </c>
      <c r="D458" s="2" t="str">
        <f>IFERROR(__xludf.DUMMYFUNCTION("""COMPUTED_VALUE"""),"भुगतान सफल")</f>
        <v>भुगतान सफल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 t="str">
        <f>IFERROR(__xludf.DUMMYFUNCTION("""COMPUTED_VALUE"""),"CashReceived")</f>
        <v>CashReceived</v>
      </c>
      <c r="B459" s="2" t="str">
        <f>IFERROR(__xludf.DUMMYFUNCTION("""COMPUTED_VALUE"""),"Cash Received")</f>
        <v>Cash Received</v>
      </c>
      <c r="C459" s="2">
        <f>IFERROR(__xludf.DUMMYFUNCTION("""COMPUTED_VALUE"""),0.4)</f>
        <v>0.4</v>
      </c>
      <c r="D459" s="2" t="str">
        <f>IFERROR(__xludf.DUMMYFUNCTION("""COMPUTED_VALUE"""),"नकदी प्राप्त हुई")</f>
        <v>नकदी प्राप्त हुई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 t="str">
        <f>IFERROR(__xludf.DUMMYFUNCTION("""COMPUTED_VALUE"""),"Return")</f>
        <v>Return</v>
      </c>
      <c r="B460" s="2" t="str">
        <f>IFERROR(__xludf.DUMMYFUNCTION("""COMPUTED_VALUE"""),"Return")</f>
        <v>Return</v>
      </c>
      <c r="C460" s="2">
        <f>IFERROR(__xludf.DUMMYFUNCTION("""COMPUTED_VALUE"""),0.4)</f>
        <v>0.4</v>
      </c>
      <c r="D460" s="2" t="str">
        <f>IFERROR(__xludf.DUMMYFUNCTION("""COMPUTED_VALUE"""),"वापस करना")</f>
        <v>वापस करना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 t="str">
        <f>IFERROR(__xludf.DUMMYFUNCTION("""COMPUTED_VALUE"""),"ItemStatus")</f>
        <v>ItemStatus</v>
      </c>
      <c r="B461" s="2" t="str">
        <f>IFERROR(__xludf.DUMMYFUNCTION("""COMPUTED_VALUE"""),"Item Status")</f>
        <v>Item Status</v>
      </c>
      <c r="C461" s="2">
        <f>IFERROR(__xludf.DUMMYFUNCTION("""COMPUTED_VALUE"""),0.4)</f>
        <v>0.4</v>
      </c>
      <c r="D461" s="2" t="str">
        <f>IFERROR(__xludf.DUMMYFUNCTION("""COMPUTED_VALUE"""),"मद की स्थिति")</f>
        <v>मद की स्थिति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 t="str">
        <f>IFERROR(__xludf.DUMMYFUNCTION("""COMPUTED_VALUE"""),"noReturn")</f>
        <v>noReturn</v>
      </c>
      <c r="B462" s="2" t="str">
        <f>IFERROR(__xludf.DUMMYFUNCTION("""COMPUTED_VALUE"""),"No Return")</f>
        <v>No Return</v>
      </c>
      <c r="C462" s="2">
        <f>IFERROR(__xludf.DUMMYFUNCTION("""COMPUTED_VALUE"""),0.3)</f>
        <v>0.3</v>
      </c>
      <c r="D462" s="2" t="str">
        <f>IFERROR(__xludf.DUMMYFUNCTION("""COMPUTED_VALUE"""),"कोई वापसी नहीं")</f>
        <v>कोई वापसी नहीं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 t="str">
        <f>IFERROR(__xludf.DUMMYFUNCTION("""COMPUTED_VALUE"""),"sameDay")</f>
        <v>sameDay</v>
      </c>
      <c r="B463" s="2" t="str">
        <f>IFERROR(__xludf.DUMMYFUNCTION("""COMPUTED_VALUE"""),"Same Day")</f>
        <v>Same Day</v>
      </c>
      <c r="C463" s="2">
        <f>IFERROR(__xludf.DUMMYFUNCTION("""COMPUTED_VALUE"""),0.3)</f>
        <v>0.3</v>
      </c>
      <c r="D463" s="2" t="str">
        <f>IFERROR(__xludf.DUMMYFUNCTION("""COMPUTED_VALUE"""),"एक ही दिन")</f>
        <v>एक ही दिन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 t="str">
        <f>IFERROR(__xludf.DUMMYFUNCTION("""COMPUTED_VALUE"""),"nextDay")</f>
        <v>nextDay</v>
      </c>
      <c r="B464" s="2" t="str">
        <f>IFERROR(__xludf.DUMMYFUNCTION("""COMPUTED_VALUE"""),"Next Day")</f>
        <v>Next Day</v>
      </c>
      <c r="C464" s="2">
        <f>IFERROR(__xludf.DUMMYFUNCTION("""COMPUTED_VALUE"""),0.3)</f>
        <v>0.3</v>
      </c>
      <c r="D464" s="2" t="str">
        <f>IFERROR(__xludf.DUMMYFUNCTION("""COMPUTED_VALUE"""),"अगले दिन")</f>
        <v>अगले दिन</v>
      </c>
      <c r="E464" s="2" t="str">
        <f>IFERROR(__xludf.DUMMYFUNCTION("""COMPUTED_VALUE"""),"koi vapsi nahi")</f>
        <v>koi vapsi nahi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 t="str">
        <f>IFERROR(__xludf.DUMMYFUNCTION("""COMPUTED_VALUE"""),"Delivered ")</f>
        <v>Delivered </v>
      </c>
      <c r="B465" s="2" t="str">
        <f>IFERROR(__xludf.DUMMYFUNCTION("""COMPUTED_VALUE"""),"Delivered ")</f>
        <v>Delivered </v>
      </c>
      <c r="C465" s="2">
        <f>IFERROR(__xludf.DUMMYFUNCTION("""COMPUTED_VALUE"""),0.4)</f>
        <v>0.4</v>
      </c>
      <c r="D465" s="2" t="str">
        <f>IFERROR(__xludf.DUMMYFUNCTION("""COMPUTED_VALUE"""),"पहुंचा दिया")</f>
        <v>पहुंचा दिया</v>
      </c>
      <c r="E465" s="2" t="str">
        <f>IFERROR(__xludf.DUMMYFUNCTION("""COMPUTED_VALUE"""),"usi din")</f>
        <v>usi din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 t="str">
        <f>IFERROR(__xludf.DUMMYFUNCTION("""COMPUTED_VALUE"""),"Hrs")</f>
        <v>Hrs</v>
      </c>
      <c r="B466" s="2" t="str">
        <f>IFERROR(__xludf.DUMMYFUNCTION("""COMPUTED_VALUE"""),"Hrs")</f>
        <v>Hrs</v>
      </c>
      <c r="C466" s="2">
        <f>IFERROR(__xludf.DUMMYFUNCTION("""COMPUTED_VALUE"""),0.3)</f>
        <v>0.3</v>
      </c>
      <c r="D466" s="2" t="str">
        <f>IFERROR(__xludf.DUMMYFUNCTION("""COMPUTED_VALUE"""),"घंटे")</f>
        <v>घंटे</v>
      </c>
      <c r="E466" s="2" t="str">
        <f>IFERROR(__xludf.DUMMYFUNCTION("""COMPUTED_VALUE"""),"agle din")</f>
        <v>agle din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 t="str">
        <f>IFERROR(__xludf.DUMMYFUNCTION("""COMPUTED_VALUE"""),"kg")</f>
        <v>kg</v>
      </c>
      <c r="B467" s="2" t="str">
        <f>IFERROR(__xludf.DUMMYFUNCTION("""COMPUTED_VALUE"""),"kg")</f>
        <v>kg</v>
      </c>
      <c r="C467" s="2">
        <f>IFERROR(__xludf.DUMMYFUNCTION("""COMPUTED_VALUE"""),0.3)</f>
        <v>0.3</v>
      </c>
      <c r="D467" s="2" t="str">
        <f>IFERROR(__xludf.DUMMYFUNCTION("""COMPUTED_VALUE"""),"किलोग्राम")</f>
        <v>किलोग्राम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 t="str">
        <f>IFERROR(__xludf.DUMMYFUNCTION("""COMPUTED_VALUE"""),"returnWithin")</f>
        <v>returnWithin</v>
      </c>
      <c r="B468" s="2" t="str">
        <f>IFERROR(__xludf.DUMMYFUNCTION("""COMPUTED_VALUE"""),"Return Within")</f>
        <v>Return Within</v>
      </c>
      <c r="C468" s="2">
        <f>IFERROR(__xludf.DUMMYFUNCTION("""COMPUTED_VALUE"""),0.3)</f>
        <v>0.3</v>
      </c>
      <c r="D468" s="2" t="str">
        <f>IFERROR(__xludf.DUMMYFUNCTION("""COMPUTED_VALUE"""),"भीतर वापस लौटना")</f>
        <v>भीतर वापस लौटना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 t="str">
        <f>IFERROR(__xludf.DUMMYFUNCTION("""COMPUTED_VALUE"""),"maxQtyPerOrder")</f>
        <v>maxQtyPerOrder</v>
      </c>
      <c r="B469" s="2" t="str">
        <f>IFERROR(__xludf.DUMMYFUNCTION("""COMPUTED_VALUE"""),"Max. qty per Order")</f>
        <v>Max. qty per Order</v>
      </c>
      <c r="C469" s="2"/>
      <c r="D469" s="2" t="str">
        <f>IFERROR(__xludf.DUMMYFUNCTION("""COMPUTED_VALUE"""),"अधिकतम। प्रति आदेश qty")</f>
        <v>अधिकतम। प्रति आदेश qty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 t="str">
        <f>IFERROR(__xludf.DUMMYFUNCTION("""COMPUTED_VALUE"""),"salarypermonth")</f>
        <v>salarypermonth</v>
      </c>
      <c r="B470" s="2" t="str">
        <f>IFERROR(__xludf.DUMMYFUNCTION("""COMPUTED_VALUE"""),"Salary Per Month")</f>
        <v>Salary Per Month</v>
      </c>
      <c r="C470" s="2">
        <f>IFERROR(__xludf.DUMMYFUNCTION("""COMPUTED_VALUE"""),0.5)</f>
        <v>0.5</v>
      </c>
      <c r="D470" s="2" t="str">
        <f>IFERROR(__xludf.DUMMYFUNCTION("""COMPUTED_VALUE"""),"प्रति माह वेतन")</f>
        <v>प्रति माह वेतन</v>
      </c>
      <c r="E470" s="2" t="str">
        <f>IFERROR(__xludf.DUMMYFUNCTION("""COMPUTED_VALUE"""),"bhitar vapas lotna")</f>
        <v>bhitar vapas lotna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 t="str">
        <f>IFERROR(__xludf.DUMMYFUNCTION("""COMPUTED_VALUE"""),"sales&amp;serviceofficer")</f>
        <v>sales&amp;serviceofficer</v>
      </c>
      <c r="B471" s="2" t="str">
        <f>IFERROR(__xludf.DUMMYFUNCTION("""COMPUTED_VALUE"""),"Sales &amp; Service Officer")</f>
        <v>Sales &amp; Service Officer</v>
      </c>
      <c r="C471" s="2">
        <f>IFERROR(__xludf.DUMMYFUNCTION("""COMPUTED_VALUE"""),0.4)</f>
        <v>0.4</v>
      </c>
      <c r="D471" s="2" t="str">
        <f>IFERROR(__xludf.DUMMYFUNCTION("""COMPUTED_VALUE"""),"बिक्री और सेवा अधिकारी")</f>
        <v>बिक्री और सेवा अधिकारी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 t="str">
        <f>IFERROR(__xludf.DUMMYFUNCTION("""COMPUTED_VALUE"""),"inStock")</f>
        <v>inStock</v>
      </c>
      <c r="B472" s="2" t="str">
        <f>IFERROR(__xludf.DUMMYFUNCTION("""COMPUTED_VALUE"""),"In Stock")</f>
        <v>In Stock</v>
      </c>
      <c r="C472" s="2">
        <f>IFERROR(__xludf.DUMMYFUNCTION("""COMPUTED_VALUE"""),0.3)</f>
        <v>0.3</v>
      </c>
      <c r="D472" s="2" t="str">
        <f>IFERROR(__xludf.DUMMYFUNCTION("""COMPUTED_VALUE"""),"स्टॉक में")</f>
        <v>स्टॉक में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 t="str">
        <f>IFERROR(__xludf.DUMMYFUNCTION("""COMPUTED_VALUE"""),"outOfStock")</f>
        <v>outOfStock</v>
      </c>
      <c r="B473" s="2" t="str">
        <f>IFERROR(__xludf.DUMMYFUNCTION("""COMPUTED_VALUE"""),"Out of Stock")</f>
        <v>Out of Stock</v>
      </c>
      <c r="C473" s="2">
        <f>IFERROR(__xludf.DUMMYFUNCTION("""COMPUTED_VALUE"""),0.3)</f>
        <v>0.3</v>
      </c>
      <c r="D473" s="2" t="str">
        <f>IFERROR(__xludf.DUMMYFUNCTION("""COMPUTED_VALUE"""),"स्टॉक ख़त्म")</f>
        <v>स्टॉक ख़त्म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 t="str">
        <f>IFERROR(__xludf.DUMMYFUNCTION("""COMPUTED_VALUE"""),"received")</f>
        <v>received</v>
      </c>
      <c r="B474" s="2" t="str">
        <f>IFERROR(__xludf.DUMMYFUNCTION("""COMPUTED_VALUE"""),"Received")</f>
        <v>Received</v>
      </c>
      <c r="C474" s="2" t="str">
        <f>IFERROR(__xludf.DUMMYFUNCTION("""COMPUTED_VALUE"""),"0.4.1")</f>
        <v>0.4.1</v>
      </c>
      <c r="D474" s="2" t="str">
        <f>IFERROR(__xludf.DUMMYFUNCTION("""COMPUTED_VALUE"""),"प्राप्त")</f>
        <v>प्राप्त</v>
      </c>
      <c r="E474" s="2" t="str">
        <f>IFERROR(__xludf.DUMMYFUNCTION("""COMPUTED_VALUE"""),"stock mai")</f>
        <v>stock mai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 t="str">
        <f>IFERROR(__xludf.DUMMYFUNCTION("""COMPUTED_VALUE"""),"selectedproductpreview")</f>
        <v>selectedproductpreview</v>
      </c>
      <c r="B475" s="2" t="str">
        <f>IFERROR(__xludf.DUMMYFUNCTION("""COMPUTED_VALUE"""),"Selected Product Preview")</f>
        <v>Selected Product Preview</v>
      </c>
      <c r="C475" s="2">
        <f>IFERROR(__xludf.DUMMYFUNCTION("""COMPUTED_VALUE"""),0.3)</f>
        <v>0.3</v>
      </c>
      <c r="D475" s="2" t="str">
        <f>IFERROR(__xludf.DUMMYFUNCTION("""COMPUTED_VALUE"""),"चयनित उत्पाद पूर्वावलोकन")</f>
        <v>चयनित उत्पाद पूर्वावलोकन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 t="str">
        <f>IFERROR(__xludf.DUMMYFUNCTION("""COMPUTED_VALUE"""),"Invaliddoj")</f>
        <v>Invaliddoj</v>
      </c>
      <c r="B476" s="2" t="str">
        <f>IFERROR(__xludf.DUMMYFUNCTION("""COMPUTED_VALUE"""),"Invalid DOJ")</f>
        <v>Invalid DOJ</v>
      </c>
      <c r="C476" s="2">
        <f>IFERROR(__xludf.DUMMYFUNCTION("""COMPUTED_VALUE"""),0.4)</f>
        <v>0.4</v>
      </c>
      <c r="D476" s="2" t="str">
        <f>IFERROR(__xludf.DUMMYFUNCTION("""COMPUTED_VALUE"""),"अमान्य डीओजे")</f>
        <v>अमान्य डीओजे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 t="str">
        <f>IFERROR(__xludf.DUMMYFUNCTION("""COMPUTED_VALUE"""),"saveProduct")</f>
        <v>saveProduct</v>
      </c>
      <c r="B477" s="2" t="str">
        <f>IFERROR(__xludf.DUMMYFUNCTION("""COMPUTED_VALUE"""),"Save Product ")</f>
        <v>Save Product </v>
      </c>
      <c r="C477" s="2"/>
      <c r="D477" s="2" t="str">
        <f>IFERROR(__xludf.DUMMYFUNCTION("""COMPUTED_VALUE"""),"उत्पाद सहेजें")</f>
        <v>उत्पाद सहेजें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 t="str">
        <f>IFERROR(__xludf.DUMMYFUNCTION("""COMPUTED_VALUE"""),"pendingpayment")</f>
        <v>pendingpayment</v>
      </c>
      <c r="B478" s="2" t="str">
        <f>IFERROR(__xludf.DUMMYFUNCTION("""COMPUTED_VALUE"""),"Pending Payment")</f>
        <v>Pending Payment</v>
      </c>
      <c r="C478" s="2">
        <f>IFERROR(__xludf.DUMMYFUNCTION("""COMPUTED_VALUE"""),0.3)</f>
        <v>0.3</v>
      </c>
      <c r="D478" s="2" t="str">
        <f>IFERROR(__xludf.DUMMYFUNCTION("""COMPUTED_VALUE"""),"लंबित भुगतान")</f>
        <v>लंबित भुगतान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 t="str">
        <f>IFERROR(__xludf.DUMMYFUNCTION("""COMPUTED_VALUE"""),"Date Of Delivery")</f>
        <v>Date Of Delivery</v>
      </c>
      <c r="B479" s="2" t="str">
        <f>IFERROR(__xludf.DUMMYFUNCTION("""COMPUTED_VALUE"""),"Date Of Delivery")</f>
        <v>Date Of Delivery</v>
      </c>
      <c r="C479" s="2">
        <f>IFERROR(__xludf.DUMMYFUNCTION("""COMPUTED_VALUE"""),0.3)</f>
        <v>0.3</v>
      </c>
      <c r="D479" s="2" t="str">
        <f>IFERROR(__xludf.DUMMYFUNCTION("""COMPUTED_VALUE"""),"वितरण की तारीख")</f>
        <v>वितरण की तारीख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 t="str">
        <f>IFERROR(__xludf.DUMMYFUNCTION("""COMPUTED_VALUE"""),"productAddedSuccessfully")</f>
        <v>productAddedSuccessfully</v>
      </c>
      <c r="B480" s="2" t="str">
        <f>IFERROR(__xludf.DUMMYFUNCTION("""COMPUTED_VALUE"""),"Product Added Successfully")</f>
        <v>Product Added Successfully</v>
      </c>
      <c r="C480" s="2"/>
      <c r="D480" s="2" t="str">
        <f>IFERROR(__xludf.DUMMYFUNCTION("""COMPUTED_VALUE"""),"उत्पाद सफलतापूर्वक जोड़ा गया")</f>
        <v>उत्पाद सफलतापूर्वक जोड़ा गया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 t="str">
        <f>IFERROR(__xludf.DUMMYFUNCTION("""COMPUTED_VALUE"""),"addPhoto")</f>
        <v>addPhoto</v>
      </c>
      <c r="B481" s="2" t="str">
        <f>IFERROR(__xludf.DUMMYFUNCTION("""COMPUTED_VALUE"""),"Add Photo")</f>
        <v>Add Photo</v>
      </c>
      <c r="C481" s="2"/>
      <c r="D481" s="2" t="str">
        <f>IFERROR(__xludf.DUMMYFUNCTION("""COMPUTED_VALUE"""),"तस्वीर जोड़ो")</f>
        <v>तस्वीर जोड़ो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 t="str">
        <f>IFERROR(__xludf.DUMMYFUNCTION("""COMPUTED_VALUE"""),"productListedSuccessfully")</f>
        <v>productListedSuccessfully</v>
      </c>
      <c r="B482" s="2" t="str">
        <f>IFERROR(__xludf.DUMMYFUNCTION("""COMPUTED_VALUE"""),"Product Listed Successfully")</f>
        <v>Product Listed Successfully</v>
      </c>
      <c r="C482" s="2"/>
      <c r="D482" s="2" t="str">
        <f>IFERROR(__xludf.DUMMYFUNCTION("""COMPUTED_VALUE"""),"उत्पाद सफलतापूर्वक सूचीबद्ध")</f>
        <v>उत्पाद सफलतापूर्वक सूचीबद्ध</v>
      </c>
      <c r="E482" s="2" t="str">
        <f>IFERROR(__xludf.DUMMYFUNCTION("""COMPUTED_VALUE"""),"utpad safaltapurvak jode")</f>
        <v>utpad safaltapurvak jode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 t="str">
        <f>IFERROR(__xludf.DUMMYFUNCTION("""COMPUTED_VALUE"""),"deletedSuccessfully!")</f>
        <v>deletedSuccessfully!</v>
      </c>
      <c r="B483" s="2" t="str">
        <f>IFERROR(__xludf.DUMMYFUNCTION("""COMPUTED_VALUE"""),"Deleted Successfully!")</f>
        <v>Deleted Successfully!</v>
      </c>
      <c r="C483" s="2">
        <f>IFERROR(__xludf.DUMMYFUNCTION("""COMPUTED_VALUE"""),0.5)</f>
        <v>0.5</v>
      </c>
      <c r="D483" s="2" t="str">
        <f>IFERROR(__xludf.DUMMYFUNCTION("""COMPUTED_VALUE"""),"सफलतापूर्वक मिटाया गया!")</f>
        <v>सफलतापूर्वक मिटाया गया!</v>
      </c>
      <c r="E483" s="2" t="str">
        <f>IFERROR(__xludf.DUMMYFUNCTION("""COMPUTED_VALUE"""),"foto jode")</f>
        <v>foto jode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 t="str">
        <f>IFERROR(__xludf.DUMMYFUNCTION("""COMPUTED_VALUE"""),"invalidfullname")</f>
        <v>invalidfullname</v>
      </c>
      <c r="B484" s="2" t="str">
        <f>IFERROR(__xludf.DUMMYFUNCTION("""COMPUTED_VALUE"""),"Invalid Full Name")</f>
        <v>Invalid Full Name</v>
      </c>
      <c r="C484" s="2">
        <f>IFERROR(__xludf.DUMMYFUNCTION("""COMPUTED_VALUE"""),0.4)</f>
        <v>0.4</v>
      </c>
      <c r="D484" s="2" t="str">
        <f>IFERROR(__xludf.DUMMYFUNCTION("""COMPUTED_VALUE"""),"अमान्य पूरा नाम")</f>
        <v>अमान्य पूरा नाम</v>
      </c>
      <c r="E484" s="2" t="str">
        <f>IFERROR(__xludf.DUMMYFUNCTION("""COMPUTED_VALUE"""),"utpad safaltapurvak suchi")</f>
        <v>utpad safaltapurvak suchi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 t="str">
        <f>IFERROR(__xludf.DUMMYFUNCTION("""COMPUTED_VALUE"""),"pendingDetails")</f>
        <v>pendingDetails</v>
      </c>
      <c r="B485" s="2" t="str">
        <f>IFERROR(__xludf.DUMMYFUNCTION("""COMPUTED_VALUE"""),"Pending Details")</f>
        <v>Pending Details</v>
      </c>
      <c r="C485" s="2">
        <f>IFERROR(__xludf.DUMMYFUNCTION("""COMPUTED_VALUE"""),0.2)</f>
        <v>0.2</v>
      </c>
      <c r="D485" s="2" t="str">
        <f>IFERROR(__xludf.DUMMYFUNCTION("""COMPUTED_VALUE"""),"लंबित विवरण")</f>
        <v>लंबित विवरण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 t="str">
        <f>IFERROR(__xludf.DUMMYFUNCTION("""COMPUTED_VALUE"""),"yourproductisunderreview")</f>
        <v>yourproductisunderreview</v>
      </c>
      <c r="B486" s="2" t="str">
        <f>IFERROR(__xludf.DUMMYFUNCTION("""COMPUTED_VALUE"""),"Your product is Under Review")</f>
        <v>Your product is Under Review</v>
      </c>
      <c r="C486" s="2">
        <f>IFERROR(__xludf.DUMMYFUNCTION("""COMPUTED_VALUE"""),0.3)</f>
        <v>0.3</v>
      </c>
      <c r="D486" s="2" t="str">
        <f>IFERROR(__xludf.DUMMYFUNCTION("""COMPUTED_VALUE"""),"आपका उत्पाद समीक्षा के अधीन है")</f>
        <v>आपका उत्पाद समीक्षा के अधीन है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 t="str">
        <f>IFERROR(__xludf.DUMMYFUNCTION("""COMPUTED_VALUE"""),"willupdateyousoon")</f>
        <v>willupdateyousoon</v>
      </c>
      <c r="B487" s="2" t="str">
        <f>IFERROR(__xludf.DUMMYFUNCTION("""COMPUTED_VALUE"""),"Will Update you soon ")</f>
        <v>Will Update you soon </v>
      </c>
      <c r="C487" s="2">
        <f>IFERROR(__xludf.DUMMYFUNCTION("""COMPUTED_VALUE"""),0.3)</f>
        <v>0.3</v>
      </c>
      <c r="D487" s="2" t="str">
        <f>IFERROR(__xludf.DUMMYFUNCTION("""COMPUTED_VALUE"""),"जल्द ही आपको अपडेट करेंगे")</f>
        <v>जल्द ही आपको अपडेट करेंगे</v>
      </c>
      <c r="E487" s="2" t="str">
        <f>IFERROR(__xludf.DUMMYFUNCTION("""COMPUTED_VALUE"""),"lambit vivran")</f>
        <v>lambit vivran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 t="str">
        <f>IFERROR(__xludf.DUMMYFUNCTION("""COMPUTED_VALUE"""),"ok")</f>
        <v>ok</v>
      </c>
      <c r="B488" s="2" t="str">
        <f>IFERROR(__xludf.DUMMYFUNCTION("""COMPUTED_VALUE"""),"Ok")</f>
        <v>Ok</v>
      </c>
      <c r="C488" s="2">
        <f>IFERROR(__xludf.DUMMYFUNCTION("""COMPUTED_VALUE"""),0.3)</f>
        <v>0.3</v>
      </c>
      <c r="D488" s="2" t="str">
        <f>IFERROR(__xludf.DUMMYFUNCTION("""COMPUTED_VALUE"""),"ठीक")</f>
        <v>ठीक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 t="str">
        <f>IFERROR(__xludf.DUMMYFUNCTION("""COMPUTED_VALUE"""),"gst18")</f>
        <v>gst18</v>
      </c>
      <c r="B489" s="2" t="str">
        <f>IFERROR(__xludf.DUMMYFUNCTION("""COMPUTED_VALUE"""),"GST (18%)")</f>
        <v>GST (18%)</v>
      </c>
      <c r="C489" s="2">
        <f>IFERROR(__xludf.DUMMYFUNCTION("""COMPUTED_VALUE"""),0.2)</f>
        <v>0.2</v>
      </c>
      <c r="D489" s="2" t="str">
        <f>IFERROR(__xludf.DUMMYFUNCTION("""COMPUTED_VALUE"""),"जीएसटी (18%)")</f>
        <v>जीएसटी (18%)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 t="str">
        <f>IFERROR(__xludf.DUMMYFUNCTION("""COMPUTED_VALUE"""),"pending")</f>
        <v>pending</v>
      </c>
      <c r="B490" s="2" t="str">
        <f>IFERROR(__xludf.DUMMYFUNCTION("""COMPUTED_VALUE"""),"Pending ")</f>
        <v>Pending </v>
      </c>
      <c r="C490" s="2">
        <f>IFERROR(__xludf.DUMMYFUNCTION("""COMPUTED_VALUE"""),0.3)</f>
        <v>0.3</v>
      </c>
      <c r="D490" s="2" t="str">
        <f>IFERROR(__xludf.DUMMYFUNCTION("""COMPUTED_VALUE"""),"लंबित")</f>
        <v>लंबित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 t="str">
        <f>IFERROR(__xludf.DUMMYFUNCTION("""COMPUTED_VALUE"""),"selectyourpreference ")</f>
        <v>selectyourpreference </v>
      </c>
      <c r="B491" s="2" t="str">
        <f>IFERROR(__xludf.DUMMYFUNCTION("""COMPUTED_VALUE"""),"Select Your Preference")</f>
        <v>Select Your Preference</v>
      </c>
      <c r="C491" s="2">
        <f>IFERROR(__xludf.DUMMYFUNCTION("""COMPUTED_VALUE"""),0.4)</f>
        <v>0.4</v>
      </c>
      <c r="D491" s="2" t="str">
        <f>IFERROR(__xludf.DUMMYFUNCTION("""COMPUTED_VALUE"""),"अपनी पसंद चुनो")</f>
        <v>अपनी पसंद चुनो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 t="str">
        <f>IFERROR(__xludf.DUMMYFUNCTION("""COMPUTED_VALUE"""),"pricelist")</f>
        <v>pricelist</v>
      </c>
      <c r="B492" s="2" t="str">
        <f>IFERROR(__xludf.DUMMYFUNCTION("""COMPUTED_VALUE"""),"Price List")</f>
        <v>Price List</v>
      </c>
      <c r="C492" s="2">
        <f>IFERROR(__xludf.DUMMYFUNCTION("""COMPUTED_VALUE"""),0.3)</f>
        <v>0.3</v>
      </c>
      <c r="D492" s="2" t="str">
        <f>IFERROR(__xludf.DUMMYFUNCTION("""COMPUTED_VALUE"""),"मूल्य सूची")</f>
        <v>मूल्य सूची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 t="str">
        <f>IFERROR(__xludf.DUMMYFUNCTION("""COMPUTED_VALUE"""),"viewall")</f>
        <v>viewall</v>
      </c>
      <c r="B493" s="2" t="str">
        <f>IFERROR(__xludf.DUMMYFUNCTION("""COMPUTED_VALUE"""),"View All")</f>
        <v>View All</v>
      </c>
      <c r="C493" s="2"/>
      <c r="D493" s="2" t="str">
        <f>IFERROR(__xludf.DUMMYFUNCTION("""COMPUTED_VALUE"""),"सभी को देखें")</f>
        <v>सभी को देखें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 t="str">
        <f>IFERROR(__xludf.DUMMYFUNCTION("""COMPUTED_VALUE"""),"youhavegotthereward")</f>
        <v>youhavegotthereward</v>
      </c>
      <c r="B494" s="2" t="str">
        <f>IFERROR(__xludf.DUMMYFUNCTION("""COMPUTED_VALUE"""),"You have got the Reward")</f>
        <v>You have got the Reward</v>
      </c>
      <c r="C494" s="2">
        <f>IFERROR(__xludf.DUMMYFUNCTION("""COMPUTED_VALUE"""),0.1)</f>
        <v>0.1</v>
      </c>
      <c r="D494" s="2" t="str">
        <f>IFERROR(__xludf.DUMMYFUNCTION("""COMPUTED_VALUE"""),"आपको इनाम मिला है")</f>
        <v>आपको इनाम मिला है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 t="str">
        <f>IFERROR(__xludf.DUMMYFUNCTION("""COMPUTED_VALUE"""),"addDetail")</f>
        <v>addDetail</v>
      </c>
      <c r="B495" s="2" t="str">
        <f>IFERROR(__xludf.DUMMYFUNCTION("""COMPUTED_VALUE"""),"Add Detail")</f>
        <v>Add Detail</v>
      </c>
      <c r="C495" s="2">
        <f>IFERROR(__xludf.DUMMYFUNCTION("""COMPUTED_VALUE"""),0.3)</f>
        <v>0.3</v>
      </c>
      <c r="D495" s="2" t="str">
        <f>IFERROR(__xludf.DUMMYFUNCTION("""COMPUTED_VALUE"""),"विस्तार जोड़ें")</f>
        <v>विस्तार जोड़ें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 t="str">
        <f>IFERROR(__xludf.DUMMYFUNCTION("""COMPUTED_VALUE"""),"Preorderdiscount")</f>
        <v>Preorderdiscount</v>
      </c>
      <c r="B496" s="2" t="str">
        <f>IFERROR(__xludf.DUMMYFUNCTION("""COMPUTED_VALUE"""),"Pre-Order Discount")</f>
        <v>Pre-Order Discount</v>
      </c>
      <c r="C496" s="2">
        <f>IFERROR(__xludf.DUMMYFUNCTION("""COMPUTED_VALUE"""),0.3)</f>
        <v>0.3</v>
      </c>
      <c r="D496" s="2" t="str">
        <f>IFERROR(__xludf.DUMMYFUNCTION("""COMPUTED_VALUE"""),"पूर्व-आदेश छूट")</f>
        <v>पूर्व-आदेश छूट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 t="str">
        <f>IFERROR(__xludf.DUMMYFUNCTION("""COMPUTED_VALUE"""),"addmore")</f>
        <v>addmore</v>
      </c>
      <c r="B497" s="2" t="str">
        <f>IFERROR(__xludf.DUMMYFUNCTION("""COMPUTED_VALUE"""),"Add More")</f>
        <v>Add More</v>
      </c>
      <c r="C497" s="2">
        <f>IFERROR(__xludf.DUMMYFUNCTION("""COMPUTED_VALUE"""),0.3)</f>
        <v>0.3</v>
      </c>
      <c r="D497" s="2" t="str">
        <f>IFERROR(__xludf.DUMMYFUNCTION("""COMPUTED_VALUE"""),"अधिक जोड़ें")</f>
        <v>अधिक जोड़ें</v>
      </c>
      <c r="E497" s="2" t="str">
        <f>IFERROR(__xludf.DUMMYFUNCTION("""COMPUTED_VALUE"""),"vistar jode")</f>
        <v>vistar jode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 t="str">
        <f>IFERROR(__xludf.DUMMYFUNCTION("""COMPUTED_VALUE"""),"masalas")</f>
        <v>masalas</v>
      </c>
      <c r="B498" s="2" t="str">
        <f>IFERROR(__xludf.DUMMYFUNCTION("""COMPUTED_VALUE"""),"Masalas")</f>
        <v>Masalas</v>
      </c>
      <c r="C498" s="2">
        <f>IFERROR(__xludf.DUMMYFUNCTION("""COMPUTED_VALUE"""),0.3)</f>
        <v>0.3</v>
      </c>
      <c r="D498" s="2" t="str">
        <f>IFERROR(__xludf.DUMMYFUNCTION("""COMPUTED_VALUE"""),"मसालों")</f>
        <v>मसालों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 t="str">
        <f>IFERROR(__xludf.DUMMYFUNCTION("""COMPUTED_VALUE"""),"oil")</f>
        <v>oil</v>
      </c>
      <c r="B499" s="2" t="str">
        <f>IFERROR(__xludf.DUMMYFUNCTION("""COMPUTED_VALUE"""),"Oil")</f>
        <v>Oil</v>
      </c>
      <c r="C499" s="2">
        <f>IFERROR(__xludf.DUMMYFUNCTION("""COMPUTED_VALUE"""),0.3)</f>
        <v>0.3</v>
      </c>
      <c r="D499" s="2" t="str">
        <f>IFERROR(__xludf.DUMMYFUNCTION("""COMPUTED_VALUE"""),"तेल")</f>
        <v>तेल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 t="str">
        <f>IFERROR(__xludf.DUMMYFUNCTION("""COMPUTED_VALUE"""),"staples ")</f>
        <v>staples </v>
      </c>
      <c r="B500" s="2" t="str">
        <f>IFERROR(__xludf.DUMMYFUNCTION("""COMPUTED_VALUE"""),"Staples")</f>
        <v>Staples</v>
      </c>
      <c r="C500" s="2">
        <f>IFERROR(__xludf.DUMMYFUNCTION("""COMPUTED_VALUE"""),0.3)</f>
        <v>0.3</v>
      </c>
      <c r="D500" s="2" t="str">
        <f>IFERROR(__xludf.DUMMYFUNCTION("""COMPUTED_VALUE"""),"स्टेपल्स")</f>
        <v>स्टेपल्स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 t="str">
        <f>IFERROR(__xludf.DUMMYFUNCTION("""COMPUTED_VALUE"""),"Drinks &amp; Beverages ")</f>
        <v>Drinks &amp; Beverages </v>
      </c>
      <c r="B501" s="2" t="str">
        <f>IFERROR(__xludf.DUMMYFUNCTION("""COMPUTED_VALUE"""),"Drinks &amp; Beverages ")</f>
        <v>Drinks &amp; Beverages </v>
      </c>
      <c r="C501" s="2">
        <f>IFERROR(__xludf.DUMMYFUNCTION("""COMPUTED_VALUE"""),0.3)</f>
        <v>0.3</v>
      </c>
      <c r="D501" s="2" t="str">
        <f>IFERROR(__xludf.DUMMYFUNCTION("""COMPUTED_VALUE"""),"पेय और पेय पदार्थ")</f>
        <v>पेय और पेय पदार्थ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 t="str">
        <f>IFERROR(__xludf.DUMMYFUNCTION("""COMPUTED_VALUE"""),"taptorecordyourcomplain")</f>
        <v>taptorecordyourcomplain</v>
      </c>
      <c r="B502" s="2" t="str">
        <f>IFERROR(__xludf.DUMMYFUNCTION("""COMPUTED_VALUE"""),"Tap to record your complain")</f>
        <v>Tap to record your complain</v>
      </c>
      <c r="C502" s="2">
        <f>IFERROR(__xludf.DUMMYFUNCTION("""COMPUTED_VALUE"""),0.3)</f>
        <v>0.3</v>
      </c>
      <c r="D502" s="2" t="str">
        <f>IFERROR(__xludf.DUMMYFUNCTION("""COMPUTED_VALUE"""),"अपनी शिकायत रिकॉर्ड करने के लिए टैप करें")</f>
        <v>अपनी शिकायत रिकॉर्ड करने के लिए टैप करें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 t="str">
        <f>IFERROR(__xludf.DUMMYFUNCTION("""COMPUTED_VALUE"""),"rerecord")</f>
        <v>rerecord</v>
      </c>
      <c r="B503" s="2" t="str">
        <f>IFERROR(__xludf.DUMMYFUNCTION("""COMPUTED_VALUE"""),"Re-record")</f>
        <v>Re-record</v>
      </c>
      <c r="C503" s="2">
        <f>IFERROR(__xludf.DUMMYFUNCTION("""COMPUTED_VALUE"""),0.3)</f>
        <v>0.3</v>
      </c>
      <c r="D503" s="2" t="str">
        <f>IFERROR(__xludf.DUMMYFUNCTION("""COMPUTED_VALUE"""),"पुन: रिकॉर्ड")</f>
        <v>पुन: रिकॉर्ड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 t="str">
        <f>IFERROR(__xludf.DUMMYFUNCTION("""COMPUTED_VALUE"""),"Successful")</f>
        <v>Successful</v>
      </c>
      <c r="B504" s="2" t="str">
        <f>IFERROR(__xludf.DUMMYFUNCTION("""COMPUTED_VALUE"""),"Successful")</f>
        <v>Successful</v>
      </c>
      <c r="C504" s="2">
        <f>IFERROR(__xludf.DUMMYFUNCTION("""COMPUTED_VALUE"""),0.3)</f>
        <v>0.3</v>
      </c>
      <c r="D504" s="2" t="str">
        <f>IFERROR(__xludf.DUMMYFUNCTION("""COMPUTED_VALUE"""),"सफल")</f>
        <v>सफल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 t="str">
        <f>IFERROR(__xludf.DUMMYFUNCTION("""COMPUTED_VALUE"""),"areyousure.youwanttowithdrawcomplaint")</f>
        <v>areyousure.youwanttowithdrawcomplaint</v>
      </c>
      <c r="B505" s="2" t="str">
        <f>IFERROR(__xludf.DUMMYFUNCTION("""COMPUTED_VALUE"""),"Are you sure you want to withdraw complaint?")</f>
        <v>Are you sure you want to withdraw complaint?</v>
      </c>
      <c r="C505" s="2">
        <f>IFERROR(__xludf.DUMMYFUNCTION("""COMPUTED_VALUE"""),0.3)</f>
        <v>0.3</v>
      </c>
      <c r="D505" s="2" t="str">
        <f>IFERROR(__xludf.DUMMYFUNCTION("""COMPUTED_VALUE"""),"क्या आप सुनिश्चित हैं कि आप शिकायत वापस लेना चाहते हैं?")</f>
        <v>क्या आप सुनिश्चित हैं कि आप शिकायत वापस लेना चाहते हैं?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 t="str">
        <f>IFERROR(__xludf.DUMMYFUNCTION("""COMPUTED_VALUE"""),"Status")</f>
        <v>Status</v>
      </c>
      <c r="B506" s="2" t="str">
        <f>IFERROR(__xludf.DUMMYFUNCTION("""COMPUTED_VALUE"""),"Status ")</f>
        <v>Status </v>
      </c>
      <c r="C506" s="2">
        <f>IFERROR(__xludf.DUMMYFUNCTION("""COMPUTED_VALUE"""),0.3)</f>
        <v>0.3</v>
      </c>
      <c r="D506" s="2" t="str">
        <f>IFERROR(__xludf.DUMMYFUNCTION("""COMPUTED_VALUE"""),"दर्जा")</f>
        <v>दर्जा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 t="str">
        <f>IFERROR(__xludf.DUMMYFUNCTION("""COMPUTED_VALUE"""),"reopen")</f>
        <v>reopen</v>
      </c>
      <c r="B507" s="2" t="str">
        <f>IFERROR(__xludf.DUMMYFUNCTION("""COMPUTED_VALUE"""),"Reopen")</f>
        <v>Reopen</v>
      </c>
      <c r="C507" s="2">
        <f>IFERROR(__xludf.DUMMYFUNCTION("""COMPUTED_VALUE"""),0.3)</f>
        <v>0.3</v>
      </c>
      <c r="D507" s="2" t="str">
        <f>IFERROR(__xludf.DUMMYFUNCTION("""COMPUTED_VALUE"""),"फिर से खोलना")</f>
        <v>फिर से खोलना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 t="str">
        <f>IFERROR(__xludf.DUMMYFUNCTION("""COMPUTED_VALUE"""),"otpsenttoregisteredmobilenumber")</f>
        <v>otpsenttoregisteredmobilenumber</v>
      </c>
      <c r="B508" s="2" t="str">
        <f>IFERROR(__xludf.DUMMYFUNCTION("""COMPUTED_VALUE"""),"OTP sent to registered mobile number")</f>
        <v>OTP sent to registered mobile number</v>
      </c>
      <c r="C508" s="2">
        <f>IFERROR(__xludf.DUMMYFUNCTION("""COMPUTED_VALUE"""),0.3)</f>
        <v>0.3</v>
      </c>
      <c r="D508" s="2" t="str">
        <f>IFERROR(__xludf.DUMMYFUNCTION("""COMPUTED_VALUE"""),"OTP पंजीकृत मोबाइल नंबर पर भेजा गया")</f>
        <v>OTP पंजीकृत मोबाइल नंबर पर भेजा गया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 t="str">
        <f>IFERROR(__xludf.DUMMYFUNCTION("""COMPUTED_VALUE"""),"doyouhaveGSTINnumber?")</f>
        <v>doyouhaveGSTINnumber?</v>
      </c>
      <c r="B509" s="2" t="str">
        <f>IFERROR(__xludf.DUMMYFUNCTION("""COMPUTED_VALUE"""),"Do You Have GSTIN Number?")</f>
        <v>Do You Have GSTIN Number?</v>
      </c>
      <c r="C509" s="2">
        <f>IFERROR(__xludf.DUMMYFUNCTION("""COMPUTED_VALUE"""),0.1)</f>
        <v>0.1</v>
      </c>
      <c r="D509" s="2" t="str">
        <f>IFERROR(__xludf.DUMMYFUNCTION("""COMPUTED_VALUE"""),"क्या आपके पास जीएसटी आई एननंबर है?
")</f>
        <v>क्या आपके पास जीएसटी आई एननंबर है?
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 t="str">
        <f>IFERROR(__xludf.DUMMYFUNCTION("""COMPUTED_VALUE"""),"PickedUp")</f>
        <v>PickedUp</v>
      </c>
      <c r="B510" s="2" t="str">
        <f>IFERROR(__xludf.DUMMYFUNCTION("""COMPUTED_VALUE"""),"Picked Up")</f>
        <v>Picked Up</v>
      </c>
      <c r="C510" s="2">
        <f>IFERROR(__xludf.DUMMYFUNCTION("""COMPUTED_VALUE"""),0.3)</f>
        <v>0.3</v>
      </c>
      <c r="D510" s="2" t="str">
        <f>IFERROR(__xludf.DUMMYFUNCTION("""COMPUTED_VALUE"""),"क्या आपके पास जीएसटीआईएन नंबर है?")</f>
        <v>क्या आपके पास जीएसटीआईएन नंबर है?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 t="str">
        <f>IFERROR(__xludf.DUMMYFUNCTION("""COMPUTED_VALUE"""),"mini.PricePerOrder")</f>
        <v>mini.PricePerOrder</v>
      </c>
      <c r="B511" s="2" t="str">
        <f>IFERROR(__xludf.DUMMYFUNCTION("""COMPUTED_VALUE"""),"Mini. price per order")</f>
        <v>Mini. price per order</v>
      </c>
      <c r="C511" s="2">
        <f>IFERROR(__xludf.DUMMYFUNCTION("""COMPUTED_VALUE"""),0.3)</f>
        <v>0.3</v>
      </c>
      <c r="D511" s="2" t="str">
        <f>IFERROR(__xludf.DUMMYFUNCTION("""COMPUTED_VALUE"""),"छोटा। प्रति आदेश कीमत")</f>
        <v>छोटा। प्रति आदेश कीमत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 t="str">
        <f>IFERROR(__xludf.DUMMYFUNCTION("""COMPUTED_VALUE"""),"passbookphotoisrequired")</f>
        <v>passbookphotoisrequired</v>
      </c>
      <c r="B512" s="2" t="str">
        <f>IFERROR(__xludf.DUMMYFUNCTION("""COMPUTED_VALUE"""),"Passbook Photo is required.")</f>
        <v>Passbook Photo is required.</v>
      </c>
      <c r="C512" s="2">
        <f>IFERROR(__xludf.DUMMYFUNCTION("""COMPUTED_VALUE"""),0.2)</f>
        <v>0.2</v>
      </c>
      <c r="D512" s="2" t="str">
        <f>IFERROR(__xludf.DUMMYFUNCTION("""COMPUTED_VALUE"""),"पासबुक फोटो की आवश्यकता है।")</f>
        <v>पासबुक फोटो की आवश्यकता है।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 t="str">
        <f>IFERROR(__xludf.DUMMYFUNCTION("""COMPUTED_VALUE"""),"beneficiarynameisrequired")</f>
        <v>beneficiarynameisrequired</v>
      </c>
      <c r="B513" s="2" t="str">
        <f>IFERROR(__xludf.DUMMYFUNCTION("""COMPUTED_VALUE"""),"Beneficiary Name is required.")</f>
        <v>Beneficiary Name is required.</v>
      </c>
      <c r="C513" s="2">
        <f>IFERROR(__xludf.DUMMYFUNCTION("""COMPUTED_VALUE"""),0.2)</f>
        <v>0.2</v>
      </c>
      <c r="D513" s="2" t="str">
        <f>IFERROR(__xludf.DUMMYFUNCTION("""COMPUTED_VALUE"""),"लाभार्थी नाम की आवश्यकता है।")</f>
        <v>लाभार्थी नाम की आवश्यकता है।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 t="str">
        <f>IFERROR(__xludf.DUMMYFUNCTION("""COMPUTED_VALUE"""),"banknameisrequired")</f>
        <v>banknameisrequired</v>
      </c>
      <c r="B514" s="2" t="str">
        <f>IFERROR(__xludf.DUMMYFUNCTION("""COMPUTED_VALUE"""),"Bank Name is required.")</f>
        <v>Bank Name is required.</v>
      </c>
      <c r="C514" s="2">
        <f>IFERROR(__xludf.DUMMYFUNCTION("""COMPUTED_VALUE"""),0.2)</f>
        <v>0.2</v>
      </c>
      <c r="D514" s="2" t="str">
        <f>IFERROR(__xludf.DUMMYFUNCTION("""COMPUTED_VALUE"""),"बैंक का नाम आवश्यक है।")</f>
        <v>बैंक का नाम आवश्यक है।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 t="str">
        <f>IFERROR(__xludf.DUMMYFUNCTION("""COMPUTED_VALUE"""),"accountnumberisrequired")</f>
        <v>accountnumberisrequired</v>
      </c>
      <c r="B515" s="2" t="str">
        <f>IFERROR(__xludf.DUMMYFUNCTION("""COMPUTED_VALUE"""),"Account Number is required.")</f>
        <v>Account Number is required.</v>
      </c>
      <c r="C515" s="2">
        <f>IFERROR(__xludf.DUMMYFUNCTION("""COMPUTED_VALUE"""),0.2)</f>
        <v>0.2</v>
      </c>
      <c r="D515" s="2" t="str">
        <f>IFERROR(__xludf.DUMMYFUNCTION("""COMPUTED_VALUE"""),"खाता संख्या आवश्यक है।")</f>
        <v>खाता संख्या आवश्यक है।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 t="str">
        <f>IFERROR(__xludf.DUMMYFUNCTION("""COMPUTED_VALUE"""),"re-enteraccountnumberisrequired")</f>
        <v>re-enteraccountnumberisrequired</v>
      </c>
      <c r="B516" s="2" t="str">
        <f>IFERROR(__xludf.DUMMYFUNCTION("""COMPUTED_VALUE"""),"Re-enter Account Number is required.")</f>
        <v>Re-enter Account Number is required.</v>
      </c>
      <c r="C516" s="2">
        <f>IFERROR(__xludf.DUMMYFUNCTION("""COMPUTED_VALUE"""),0.2)</f>
        <v>0.2</v>
      </c>
      <c r="D516" s="2" t="str">
        <f>IFERROR(__xludf.DUMMYFUNCTION("""COMPUTED_VALUE"""),"री-एंटर अकाउंट नंबर की आवश्यकता है।")</f>
        <v>री-एंटर अकाउंट नंबर की आवश्यकता है।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 t="str">
        <f>IFERROR(__xludf.DUMMYFUNCTION("""COMPUTED_VALUE"""),"accountnumberandre-accountnumberfieldsshouldmatch")</f>
        <v>accountnumberandre-accountnumberfieldsshouldmatch</v>
      </c>
      <c r="B517" s="2" t="str">
        <f>IFERROR(__xludf.DUMMYFUNCTION("""COMPUTED_VALUE"""),"Account number and Re-account number fields should match")</f>
        <v>Account number and Re-account number fields should match</v>
      </c>
      <c r="C517" s="2">
        <f>IFERROR(__xludf.DUMMYFUNCTION("""COMPUTED_VALUE"""),0.2)</f>
        <v>0.2</v>
      </c>
      <c r="D517" s="2" t="str">
        <f>IFERROR(__xludf.DUMMYFUNCTION("""COMPUTED_VALUE"""),"खाता संख्या और री-एसाउंट नंबर फ़ील्ड से मेल खाना चाहिए")</f>
        <v>खाता संख्या और री-एसाउंट नंबर फ़ील्ड से मेल खाना चाहिए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 t="str">
        <f>IFERROR(__xludf.DUMMYFUNCTION("""COMPUTED_VALUE"""),"selectimagesource")</f>
        <v>selectimagesource</v>
      </c>
      <c r="B518" s="2" t="str">
        <f>IFERROR(__xludf.DUMMYFUNCTION("""COMPUTED_VALUE"""),"Select Image Source")</f>
        <v>Select Image Source</v>
      </c>
      <c r="C518" s="2">
        <f>IFERROR(__xludf.DUMMYFUNCTION("""COMPUTED_VALUE"""),0.2)</f>
        <v>0.2</v>
      </c>
      <c r="D518" s="2" t="str">
        <f>IFERROR(__xludf.DUMMYFUNCTION("""COMPUTED_VALUE"""),"छवि स्रोत का चयन करें")</f>
        <v>छवि स्रोत का चयन करें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 t="str">
        <f>IFERROR(__xludf.DUMMYFUNCTION("""COMPUTED_VALUE"""),"loadfromgallery")</f>
        <v>loadfromgallery</v>
      </c>
      <c r="B519" s="2" t="str">
        <f>IFERROR(__xludf.DUMMYFUNCTION("""COMPUTED_VALUE"""),"Load From Gallery")</f>
        <v>Load From Gallery</v>
      </c>
      <c r="C519" s="2">
        <f>IFERROR(__xludf.DUMMYFUNCTION("""COMPUTED_VALUE"""),0.2)</f>
        <v>0.2</v>
      </c>
      <c r="D519" s="2" t="str">
        <f>IFERROR(__xludf.DUMMYFUNCTION("""COMPUTED_VALUE"""),"गैलरी से लोड")</f>
        <v>गैलरी से लोड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 t="str">
        <f>IFERROR(__xludf.DUMMYFUNCTION("""COMPUTED_VALUE"""),"usecamera")</f>
        <v>usecamera</v>
      </c>
      <c r="B520" s="2" t="str">
        <f>IFERROR(__xludf.DUMMYFUNCTION("""COMPUTED_VALUE"""),"Use Camera")</f>
        <v>Use Camera</v>
      </c>
      <c r="C520" s="2">
        <f>IFERROR(__xludf.DUMMYFUNCTION("""COMPUTED_VALUE"""),0.2)</f>
        <v>0.2</v>
      </c>
      <c r="D520" s="2" t="str">
        <f>IFERROR(__xludf.DUMMYFUNCTION("""COMPUTED_VALUE"""),"कैमरा का उपयोग करें")</f>
        <v>कैमरा का उपयोग करें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 t="str">
        <f>IFERROR(__xludf.DUMMYFUNCTION("""COMPUTED_VALUE"""),"ItemwillBeRemovedFromtheCart")</f>
        <v>ItemwillBeRemovedFromtheCart</v>
      </c>
      <c r="B521" s="2" t="str">
        <f>IFERROR(__xludf.DUMMYFUNCTION("""COMPUTED_VALUE"""),"Item will Be Removed From the Cart")</f>
        <v>Item will Be Removed From the Cart</v>
      </c>
      <c r="C521" s="2">
        <f>IFERROR(__xludf.DUMMYFUNCTION("""COMPUTED_VALUE"""),0.3)</f>
        <v>0.3</v>
      </c>
      <c r="D521" s="2" t="str">
        <f>IFERROR(__xludf.DUMMYFUNCTION("""COMPUTED_VALUE"""),"आइटम को गाड़ी से हटा दिया जाएगा")</f>
        <v>आइटम को गाड़ी से हटा दिया जाएगा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 t="str">
        <f>IFERROR(__xludf.DUMMYFUNCTION("""COMPUTED_VALUE"""),"rewards")</f>
        <v>rewards</v>
      </c>
      <c r="B522" s="2" t="str">
        <f>IFERROR(__xludf.DUMMYFUNCTION("""COMPUTED_VALUE"""),"Rewards")</f>
        <v>Rewards</v>
      </c>
      <c r="C522" s="2">
        <f>IFERROR(__xludf.DUMMYFUNCTION("""COMPUTED_VALUE"""),0.2)</f>
        <v>0.2</v>
      </c>
      <c r="D522" s="2" t="str">
        <f>IFERROR(__xludf.DUMMYFUNCTION("""COMPUTED_VALUE"""),"पुरस्कार")</f>
        <v>पुरस्कार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 t="str">
        <f>IFERROR(__xludf.DUMMYFUNCTION("""COMPUTED_VALUE"""),"tropicalfruit7")</f>
        <v>tropicalfruit7</v>
      </c>
      <c r="B523" s="2" t="str">
        <f>IFERROR(__xludf.DUMMYFUNCTION("""COMPUTED_VALUE"""),"Tropical Fruit (7)")</f>
        <v>Tropical Fruit (7)</v>
      </c>
      <c r="C523" s="2">
        <f>IFERROR(__xludf.DUMMYFUNCTION("""COMPUTED_VALUE"""),0.3)</f>
        <v>0.3</v>
      </c>
      <c r="D523" s="2" t="str">
        <f>IFERROR(__xludf.DUMMYFUNCTION("""COMPUTED_VALUE"""),"उष्णकटिबंधीय फल (7)")</f>
        <v>उष्णकटिबंधीय फल (7)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 t="str">
        <f>IFERROR(__xludf.DUMMYFUNCTION("""COMPUTED_VALUE"""),"deliverySlot")</f>
        <v>deliverySlot</v>
      </c>
      <c r="B524" s="2" t="str">
        <f>IFERROR(__xludf.DUMMYFUNCTION("""COMPUTED_VALUE"""),"Delivery Slot")</f>
        <v>Delivery Slot</v>
      </c>
      <c r="C524" s="2" t="str">
        <f>IFERROR(__xludf.DUMMYFUNCTION("""COMPUTED_VALUE"""),"0.4.1")</f>
        <v>0.4.1</v>
      </c>
      <c r="D524" s="2" t="str">
        <f>IFERROR(__xludf.DUMMYFUNCTION("""COMPUTED_VALUE"""),"वितरण स्लॉट")</f>
        <v>वितरण स्लॉट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 t="str">
        <f>IFERROR(__xludf.DUMMYFUNCTION("""COMPUTED_VALUE"""),"tropicalfruit")</f>
        <v>tropicalfruit</v>
      </c>
      <c r="B525" s="2" t="str">
        <f>IFERROR(__xludf.DUMMYFUNCTION("""COMPUTED_VALUE"""),"Tropical Fruit")</f>
        <v>Tropical Fruit</v>
      </c>
      <c r="C525" s="2">
        <f>IFERROR(__xludf.DUMMYFUNCTION("""COMPUTED_VALUE"""),0.3)</f>
        <v>0.3</v>
      </c>
      <c r="D525" s="2" t="str">
        <f>IFERROR(__xludf.DUMMYFUNCTION("""COMPUTED_VALUE"""),"ऊष्णकटिबंधी फल")</f>
        <v>ऊष्णकटिबंधी फल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 t="str">
        <f>IFERROR(__xludf.DUMMYFUNCTION("""COMPUTED_VALUE"""),"viewedit")</f>
        <v>viewedit</v>
      </c>
      <c r="B526" s="2" t="str">
        <f>IFERROR(__xludf.DUMMYFUNCTION("""COMPUTED_VALUE"""),"View/Edit")</f>
        <v>View/Edit</v>
      </c>
      <c r="C526" s="2">
        <f>IFERROR(__xludf.DUMMYFUNCTION("""COMPUTED_VALUE"""),0.3)</f>
        <v>0.3</v>
      </c>
      <c r="D526" s="2" t="str">
        <f>IFERROR(__xludf.DUMMYFUNCTION("""COMPUTED_VALUE"""),"देखें सुधारें")</f>
        <v>देखें सुधारें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 t="str">
        <f>IFERROR(__xludf.DUMMYFUNCTION("""COMPUTED_VALUE"""),"Km")</f>
        <v>Km</v>
      </c>
      <c r="B527" s="2" t="str">
        <f>IFERROR(__xludf.DUMMYFUNCTION("""COMPUTED_VALUE"""),"Km")</f>
        <v>Km</v>
      </c>
      <c r="C527" s="2">
        <f>IFERROR(__xludf.DUMMYFUNCTION("""COMPUTED_VALUE"""),0.3)</f>
        <v>0.3</v>
      </c>
      <c r="D527" s="2" t="str">
        <f>IFERROR(__xludf.DUMMYFUNCTION("""COMPUTED_VALUE"""),"किमी")</f>
        <v>किमी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 t="str">
        <f>IFERROR(__xludf.DUMMYFUNCTION("""COMPUTED_VALUE"""),"totalrewardsearned")</f>
        <v>totalrewardsearned</v>
      </c>
      <c r="B528" s="2" t="str">
        <f>IFERROR(__xludf.DUMMYFUNCTION("""COMPUTED_VALUE"""),"Total Rewards Earned")</f>
        <v>Total Rewards Earned</v>
      </c>
      <c r="C528" s="2">
        <f>IFERROR(__xludf.DUMMYFUNCTION("""COMPUTED_VALUE"""),0.4)</f>
        <v>0.4</v>
      </c>
      <c r="D528" s="2" t="str">
        <f>IFERROR(__xludf.DUMMYFUNCTION("""COMPUTED_VALUE"""),"कुल पुरस्कार अर्जित")</f>
        <v>कुल पुरस्कार अर्जित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 t="str">
        <f>IFERROR(__xludf.DUMMYFUNCTION("""COMPUTED_VALUE"""),"useGps")</f>
        <v>useGps</v>
      </c>
      <c r="B529" s="2" t="str">
        <f>IFERROR(__xludf.DUMMYFUNCTION("""COMPUTED_VALUE"""),"use gps")</f>
        <v>use gps</v>
      </c>
      <c r="C529" s="2">
        <f>IFERROR(__xludf.DUMMYFUNCTION("""COMPUTED_VALUE"""),0.4)</f>
        <v>0.4</v>
      </c>
      <c r="D529" s="2" t="str">
        <f>IFERROR(__xludf.DUMMYFUNCTION("""COMPUTED_VALUE"""),"जीपीएस का उपयोग करें")</f>
        <v>जीपीएस का उपयोग करें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 t="str">
        <f>IFERROR(__xludf.DUMMYFUNCTION("""COMPUTED_VALUE"""),"onOrdersMore")</f>
        <v>onOrdersMore</v>
      </c>
      <c r="B530" s="2" t="str">
        <f>IFERROR(__xludf.DUMMYFUNCTION("""COMPUTED_VALUE"""),"on Orders more")</f>
        <v>on Orders more</v>
      </c>
      <c r="C530" s="2"/>
      <c r="D530" s="2" t="str">
        <f>IFERROR(__xludf.DUMMYFUNCTION("""COMPUTED_VALUE"""),"आदेशों पर अधिक")</f>
        <v>आदेशों पर अधिक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 t="str">
        <f>IFERROR(__xludf.DUMMYFUNCTION("""COMPUTED_VALUE"""),"than")</f>
        <v>than</v>
      </c>
      <c r="B531" s="2" t="str">
        <f>IFERROR(__xludf.DUMMYFUNCTION("""COMPUTED_VALUE"""),"than")</f>
        <v>than</v>
      </c>
      <c r="C531" s="2"/>
      <c r="D531" s="2" t="str">
        <f>IFERROR(__xludf.DUMMYFUNCTION("""COMPUTED_VALUE"""),"बजाय")</f>
        <v>बजाय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 t="str">
        <f>IFERROR(__xludf.DUMMYFUNCTION("""COMPUTED_VALUE"""),"enableFreeShipping")</f>
        <v>enableFreeShipping</v>
      </c>
      <c r="B532" s="2" t="str">
        <f>IFERROR(__xludf.DUMMYFUNCTION("""COMPUTED_VALUE"""),"Enable free Shipping")</f>
        <v>Enable free Shipping</v>
      </c>
      <c r="C532" s="2"/>
      <c r="D532" s="2" t="str">
        <f>IFERROR(__xludf.DUMMYFUNCTION("""COMPUTED_VALUE"""),"मुफ्त शिपिंग सक्षम करें")</f>
        <v>मुफ्त शिपिंग सक्षम करें</v>
      </c>
      <c r="E532" s="2" t="str">
        <f>IFERROR(__xludf.DUMMYFUNCTION("""COMPUTED_VALUE"""),"adesh par adhik")</f>
        <v>adesh par adhik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 t="str">
        <f>IFERROR(__xludf.DUMMYFUNCTION("""COMPUTED_VALUE"""),"OTPResentSuccessful")</f>
        <v>OTPResentSuccessful</v>
      </c>
      <c r="B533" s="2" t="str">
        <f>IFERROR(__xludf.DUMMYFUNCTION("""COMPUTED_VALUE"""),"OTP Resent Successful")</f>
        <v>OTP Resent Successful</v>
      </c>
      <c r="C533" s="2">
        <f>IFERROR(__xludf.DUMMYFUNCTION("""COMPUTED_VALUE"""),0.3)</f>
        <v>0.3</v>
      </c>
      <c r="D533" s="2" t="str">
        <f>IFERROR(__xludf.DUMMYFUNCTION("""COMPUTED_VALUE"""),"ओटीपी नाराजगी सफल")</f>
        <v>ओटीपी नाराजगी सफल</v>
      </c>
      <c r="E533" s="2" t="str">
        <f>IFERROR(__xludf.DUMMYFUNCTION("""COMPUTED_VALUE"""),"bajay")</f>
        <v>bajay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 t="str">
        <f>IFERROR(__xludf.DUMMYFUNCTION("""COMPUTED_VALUE"""),"didyourecivethepayment")</f>
        <v>didyourecivethepayment</v>
      </c>
      <c r="B534" s="2" t="str">
        <f>IFERROR(__xludf.DUMMYFUNCTION("""COMPUTED_VALUE"""),"did you receive the payment")</f>
        <v>did you receive the payment</v>
      </c>
      <c r="C534" s="2"/>
      <c r="D534" s="2" t="str">
        <f>IFERROR(__xludf.DUMMYFUNCTION("""COMPUTED_VALUE"""),"क्या आपको भुगतान प्राप्त हुआ")</f>
        <v>क्या आपको भुगतान प्राप्त हुआ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 t="str">
        <f>IFERROR(__xludf.DUMMYFUNCTION("""COMPUTED_VALUE"""),"InvoiceNumberGSTINNumber ")</f>
        <v>InvoiceNumberGSTINNumber </v>
      </c>
      <c r="B535" s="2" t="str">
        <f>IFERROR(__xludf.DUMMYFUNCTION("""COMPUTED_VALUE"""),"Invoice Number GSTIN Number")</f>
        <v>Invoice Number GSTIN Number</v>
      </c>
      <c r="C535" s="2">
        <f>IFERROR(__xludf.DUMMYFUNCTION("""COMPUTED_VALUE"""),0.3)</f>
        <v>0.3</v>
      </c>
      <c r="D535" s="2" t="str">
        <f>IFERROR(__xludf.DUMMYFUNCTION("""COMPUTED_VALUE"""),"चालान संख्या जीएसटी आई एनसंख्या")</f>
        <v>चालान संख्या जीएसटी आई एनसंख्या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 t="str">
        <f>IFERROR(__xludf.DUMMYFUNCTION("""COMPUTED_VALUE"""),"enterMobilenumber")</f>
        <v>enterMobilenumber</v>
      </c>
      <c r="B536" s="2" t="str">
        <f>IFERROR(__xludf.DUMMYFUNCTION("""COMPUTED_VALUE"""),"Enter Mobile Number")</f>
        <v>Enter Mobile Number</v>
      </c>
      <c r="C536" s="2">
        <f>IFERROR(__xludf.DUMMYFUNCTION("""COMPUTED_VALUE"""),0.1)</f>
        <v>0.1</v>
      </c>
      <c r="D536" s="2" t="str">
        <f>IFERROR(__xludf.DUMMYFUNCTION("""COMPUTED_VALUE"""),"मोबाइल नंबर दर्ज करें")</f>
        <v>मोबाइल नंबर दर्ज करें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 t="str">
        <f>IFERROR(__xludf.DUMMYFUNCTION("""COMPUTED_VALUE"""),"numberFor")</f>
        <v>numberFor</v>
      </c>
      <c r="B537" s="2" t="str">
        <f>IFERROR(__xludf.DUMMYFUNCTION("""COMPUTED_VALUE"""),"Number for")</f>
        <v>Number for</v>
      </c>
      <c r="C537" s="2"/>
      <c r="D537" s="2" t="str">
        <f>IFERROR(__xludf.DUMMYFUNCTION("""COMPUTED_VALUE"""),"के लिए संख्या")</f>
        <v>के लिए संख्या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 t="str">
        <f>IFERROR(__xludf.DUMMYFUNCTION("""COMPUTED_VALUE"""),"otpVerification")</f>
        <v>otpVerification</v>
      </c>
      <c r="B538" s="2" t="str">
        <f>IFERROR(__xludf.DUMMYFUNCTION("""COMPUTED_VALUE"""),"OTP Verification")</f>
        <v>OTP Verification</v>
      </c>
      <c r="C538" s="2"/>
      <c r="D538" s="2" t="str">
        <f>IFERROR(__xludf.DUMMYFUNCTION("""COMPUTED_VALUE"""),"ओटीपी सत्यापन")</f>
        <v>ओटीपी सत्यापन</v>
      </c>
      <c r="E538" s="2" t="str">
        <f>IFERROR(__xludf.DUMMYFUNCTION("""COMPUTED_VALUE"""),"mobile number darj kare")</f>
        <v>mobile number darj kare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 t="str">
        <f>IFERROR(__xludf.DUMMYFUNCTION("""COMPUTED_VALUE"""),"terms&amp;Conditions")</f>
        <v>terms&amp;Conditions</v>
      </c>
      <c r="B539" s="2" t="str">
        <f>IFERROR(__xludf.DUMMYFUNCTION("""COMPUTED_VALUE"""),"Terms &amp; Conditions")</f>
        <v>Terms &amp; Conditions</v>
      </c>
      <c r="C539" s="2">
        <f>IFERROR(__xludf.DUMMYFUNCTION("""COMPUTED_VALUE"""),0.2)</f>
        <v>0.2</v>
      </c>
      <c r="D539" s="2" t="str">
        <f>IFERROR(__xludf.DUMMYFUNCTION("""COMPUTED_VALUE"""),"नियम एवं शर्तें")</f>
        <v>नियम एवं शर्तें</v>
      </c>
      <c r="E539" s="2" t="str">
        <f>IFERROR(__xludf.DUMMYFUNCTION("""COMPUTED_VALUE"""),"k liye sankhya")</f>
        <v>k liye sankhya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 t="str">
        <f>IFERROR(__xludf.DUMMYFUNCTION("""COMPUTED_VALUE"""),"andPrivacyPolicy")</f>
        <v>andPrivacyPolicy</v>
      </c>
      <c r="B540" s="2" t="str">
        <f>IFERROR(__xludf.DUMMYFUNCTION("""COMPUTED_VALUE"""),"and Privacy Policy")</f>
        <v>and Privacy Policy</v>
      </c>
      <c r="C540" s="2"/>
      <c r="D540" s="2" t="str">
        <f>IFERROR(__xludf.DUMMYFUNCTION("""COMPUTED_VALUE"""),"और गोपनीयता नीति")</f>
        <v>और गोपनीयता नीति</v>
      </c>
      <c r="E540" s="2" t="str">
        <f>IFERROR(__xludf.DUMMYFUNCTION("""COMPUTED_VALUE"""),"otp satyapan")</f>
        <v>otp satyapan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 t="str">
        <f>IFERROR(__xludf.DUMMYFUNCTION("""COMPUTED_VALUE"""),"pleaseEnterThe")</f>
        <v>pleaseEnterThe</v>
      </c>
      <c r="B541" s="2" t="str">
        <f>IFERROR(__xludf.DUMMYFUNCTION("""COMPUTED_VALUE"""),"Please enter the")</f>
        <v>Please enter the</v>
      </c>
      <c r="C541" s="2">
        <f>IFERROR(__xludf.DUMMYFUNCTION("""COMPUTED_VALUE"""),0.1)</f>
        <v>0.1</v>
      </c>
      <c r="D541" s="2" t="str">
        <f>IFERROR(__xludf.DUMMYFUNCTION("""COMPUTED_VALUE"""),"कृपया दर्ज करें")</f>
        <v>कृपया दर्ज करें</v>
      </c>
      <c r="E541" s="2" t="str">
        <f>IFERROR(__xludf.DUMMYFUNCTION("""COMPUTED_VALUE"""),"niyam eva sharte")</f>
        <v>niyam eva sharte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 t="str">
        <f>IFERROR(__xludf.DUMMYFUNCTION("""COMPUTED_VALUE"""),"ReadyForPickup")</f>
        <v>ReadyForPickup</v>
      </c>
      <c r="B542" s="2" t="str">
        <f>IFERROR(__xludf.DUMMYFUNCTION("""COMPUTED_VALUE"""),"Ready For Pickup")</f>
        <v>Ready For Pickup</v>
      </c>
      <c r="C542" s="2">
        <f>IFERROR(__xludf.DUMMYFUNCTION("""COMPUTED_VALUE"""),0.3)</f>
        <v>0.3</v>
      </c>
      <c r="D542" s="2" t="str">
        <f>IFERROR(__xludf.DUMMYFUNCTION("""COMPUTED_VALUE"""),"पिक अप के लिए तैयार")</f>
        <v>पिक अप के लिए तैयार</v>
      </c>
      <c r="E542" s="2" t="str">
        <f>IFERROR(__xludf.DUMMYFUNCTION("""COMPUTED_VALUE"""),"aur gopniyata niti")</f>
        <v>aur gopniyata niti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 t="str">
        <f>IFERROR(__xludf.DUMMYFUNCTION("""COMPUTED_VALUE"""),"otpsentto")</f>
        <v>otpsentto</v>
      </c>
      <c r="B543" s="2" t="str">
        <f>IFERROR(__xludf.DUMMYFUNCTION("""COMPUTED_VALUE"""),"OTP Sent to")</f>
        <v>OTP Sent to</v>
      </c>
      <c r="C543" s="2">
        <f>IFERROR(__xludf.DUMMYFUNCTION("""COMPUTED_VALUE"""),0.1)</f>
        <v>0.1</v>
      </c>
      <c r="D543" s="2" t="str">
        <f>IFERROR(__xludf.DUMMYFUNCTION("""COMPUTED_VALUE"""),"ओटीपी को भेजा गया")</f>
        <v>ओटीपी को भेजा गया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 t="str">
        <f>IFERROR(__xludf.DUMMYFUNCTION("""COMPUTED_VALUE"""),"didntreceivetheotp?")</f>
        <v>didntreceivetheotp?</v>
      </c>
      <c r="B544" s="2" t="str">
        <f>IFERROR(__xludf.DUMMYFUNCTION("""COMPUTED_VALUE"""),"Didnt receive the OTP?")</f>
        <v>Didnt receive the OTP?</v>
      </c>
      <c r="C544" s="2">
        <f>IFERROR(__xludf.DUMMYFUNCTION("""COMPUTED_VALUE"""),0.1)</f>
        <v>0.1</v>
      </c>
      <c r="D544" s="2" t="str">
        <f>IFERROR(__xludf.DUMMYFUNCTION("""COMPUTED_VALUE"""),"ओटीपी भेजा गया")</f>
        <v>ओटीपी भेजा गया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 t="str">
        <f>IFERROR(__xludf.DUMMYFUNCTION("""COMPUTED_VALUE"""),"currentaddress")</f>
        <v>currentaddress</v>
      </c>
      <c r="B545" s="2" t="str">
        <f>IFERROR(__xludf.DUMMYFUNCTION("""COMPUTED_VALUE"""),"Current Address")</f>
        <v>Current Address</v>
      </c>
      <c r="C545" s="2"/>
      <c r="D545" s="2" t="str">
        <f>IFERROR(__xludf.DUMMYFUNCTION("""COMPUTED_VALUE"""),"वर्त्तमान पता")</f>
        <v>वर्त्तमान पता</v>
      </c>
      <c r="E545" s="2" t="str">
        <f>IFERROR(__xludf.DUMMYFUNCTION("""COMPUTED_VALUE"""),"k liye bheja gaya")</f>
        <v>k liye bheja gaya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 t="str">
        <f>IFERROR(__xludf.DUMMYFUNCTION("""COMPUTED_VALUE"""),"yourShop")</f>
        <v>yourShop</v>
      </c>
      <c r="B546" s="2" t="str">
        <f>IFERROR(__xludf.DUMMYFUNCTION("""COMPUTED_VALUE"""),"Your Shop")</f>
        <v>Your Shop</v>
      </c>
      <c r="C546" s="2"/>
      <c r="D546" s="2" t="str">
        <f>IFERROR(__xludf.DUMMYFUNCTION("""COMPUTED_VALUE"""),"आपकी दुकान")</f>
        <v>आपकी दुकान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 t="str">
        <f>IFERROR(__xludf.DUMMYFUNCTION("""COMPUTED_VALUE"""),"workingHours")</f>
        <v>workingHours</v>
      </c>
      <c r="B547" s="2" t="str">
        <f>IFERROR(__xludf.DUMMYFUNCTION("""COMPUTED_VALUE"""),"Working hours")</f>
        <v>Working hours</v>
      </c>
      <c r="C547" s="2">
        <f>IFERROR(__xludf.DUMMYFUNCTION("""COMPUTED_VALUE"""),0.4)</f>
        <v>0.4</v>
      </c>
      <c r="D547" s="2" t="str">
        <f>IFERROR(__xludf.DUMMYFUNCTION("""COMPUTED_VALUE"""),"कार्य के घंटे")</f>
        <v>कार्य के घंटे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 t="str">
        <f>IFERROR(__xludf.DUMMYFUNCTION("""COMPUTED_VALUE"""),"nameAsPerPancard")</f>
        <v>nameAsPerPancard</v>
      </c>
      <c r="B548" s="2" t="str">
        <f>IFERROR(__xludf.DUMMYFUNCTION("""COMPUTED_VALUE"""),"Name as per PAN card")</f>
        <v>Name as per PAN card</v>
      </c>
      <c r="C548" s="2">
        <f>IFERROR(__xludf.DUMMYFUNCTION("""COMPUTED_VALUE"""),0.1)</f>
        <v>0.1</v>
      </c>
      <c r="D548" s="2" t="str">
        <f>IFERROR(__xludf.DUMMYFUNCTION("""COMPUTED_VALUE"""),"पैन कार्ड के अनुसार नाम")</f>
        <v>पैन कार्ड के अनुसार नाम</v>
      </c>
      <c r="E548" s="2" t="str">
        <f>IFERROR(__xludf.DUMMYFUNCTION("""COMPUTED_VALUE"""),"apki dukan")</f>
        <v>apki dukan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 t="str">
        <f>IFERROR(__xludf.DUMMYFUNCTION("""COMPUTED_VALUE"""),"PanCard")</f>
        <v>PanCard</v>
      </c>
      <c r="B549" s="2" t="str">
        <f>IFERROR(__xludf.DUMMYFUNCTION("""COMPUTED_VALUE"""),"PAN Card")</f>
        <v>PAN Card</v>
      </c>
      <c r="C549" s="2">
        <f>IFERROR(__xludf.DUMMYFUNCTION("""COMPUTED_VALUE"""),0.1)</f>
        <v>0.1</v>
      </c>
      <c r="D549" s="2" t="str">
        <f>IFERROR(__xludf.DUMMYFUNCTION("""COMPUTED_VALUE"""),"पैन कार्ड")</f>
        <v>पैन कार्ड</v>
      </c>
      <c r="E549" s="2" t="str">
        <f>IFERROR(__xludf.DUMMYFUNCTION("""COMPUTED_VALUE"""),"kaam karne k ghante")</f>
        <v>kaam karne k ghante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 t="str">
        <f>IFERROR(__xludf.DUMMYFUNCTION("""COMPUTED_VALUE"""),"re-enter")</f>
        <v>re-enter</v>
      </c>
      <c r="B550" s="2" t="str">
        <f>IFERROR(__xludf.DUMMYFUNCTION("""COMPUTED_VALUE"""),"Re-enter")</f>
        <v>Re-enter</v>
      </c>
      <c r="C550" s="2"/>
      <c r="D550" s="2" t="str">
        <f>IFERROR(__xludf.DUMMYFUNCTION("""COMPUTED_VALUE"""),"पुन: दर्ज")</f>
        <v>पुन: दर्ज</v>
      </c>
      <c r="E550" s="2" t="str">
        <f>IFERROR(__xludf.DUMMYFUNCTION("""COMPUTED_VALUE"""),"naam k anusar")</f>
        <v>naam k anusar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 t="str">
        <f>IFERROR(__xludf.DUMMYFUNCTION("""COMPUTED_VALUE"""),"LocationPermission")</f>
        <v>LocationPermission</v>
      </c>
      <c r="B551" s="2" t="str">
        <f>IFERROR(__xludf.DUMMYFUNCTION("""COMPUTED_VALUE"""),"Location Permission")</f>
        <v>Location Permission</v>
      </c>
      <c r="C551" s="2">
        <f>IFERROR(__xludf.DUMMYFUNCTION("""COMPUTED_VALUE"""),0.3)</f>
        <v>0.3</v>
      </c>
      <c r="D551" s="2" t="str">
        <f>IFERROR(__xludf.DUMMYFUNCTION("""COMPUTED_VALUE"""),"स्थान अनुमति")</f>
        <v>स्थान अनुमति</v>
      </c>
      <c r="E551" s="2" t="str">
        <f>IFERROR(__xludf.DUMMYFUNCTION("""COMPUTED_VALUE"""),"pan card   ")</f>
        <v>pan card   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 t="str">
        <f>IFERROR(__xludf.DUMMYFUNCTION("""COMPUTED_VALUE"""),"notdelivery")</f>
        <v>notdelivery</v>
      </c>
      <c r="B552" s="2" t="str">
        <f>IFERROR(__xludf.DUMMYFUNCTION("""COMPUTED_VALUE"""),"Not Delivery ")</f>
        <v>Not Delivery </v>
      </c>
      <c r="C552" s="2">
        <f>IFERROR(__xludf.DUMMYFUNCTION("""COMPUTED_VALUE"""),0.4)</f>
        <v>0.4</v>
      </c>
      <c r="D552" s="2" t="str">
        <f>IFERROR(__xludf.DUMMYFUNCTION("""COMPUTED_VALUE"""),"प्रसव नहीं")</f>
        <v>प्रसव नहीं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 t="str">
        <f>IFERROR(__xludf.DUMMYFUNCTION("""COMPUTED_VALUE"""),"wholesaler")</f>
        <v>wholesaler</v>
      </c>
      <c r="B553" s="2" t="str">
        <f>IFERROR(__xludf.DUMMYFUNCTION("""COMPUTED_VALUE"""),"Wholesaler")</f>
        <v>Wholesaler</v>
      </c>
      <c r="C553" s="2">
        <f>IFERROR(__xludf.DUMMYFUNCTION("""COMPUTED_VALUE"""),0.4)</f>
        <v>0.4</v>
      </c>
      <c r="D553" s="2" t="str">
        <f>IFERROR(__xludf.DUMMYFUNCTION("""COMPUTED_VALUE"""),"वितरित नहीं कर रहा है")</f>
        <v>वितरित नहीं कर रहा है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 t="str">
        <f>IFERROR(__xludf.DUMMYFUNCTION("""COMPUTED_VALUE"""),"toDelete?")</f>
        <v>toDelete?</v>
      </c>
      <c r="B554" s="2" t="str">
        <f>IFERROR(__xludf.DUMMYFUNCTION("""COMPUTED_VALUE"""),"to delete?")</f>
        <v>to delete?</v>
      </c>
      <c r="C554" s="2"/>
      <c r="D554" s="2" t="str">
        <f>IFERROR(__xludf.DUMMYFUNCTION("""COMPUTED_VALUE"""),"हटाना?")</f>
        <v>हटाना?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 t="str">
        <f>IFERROR(__xludf.DUMMYFUNCTION("""COMPUTED_VALUE"""),"youCannotDelete")</f>
        <v>youCannotDelete</v>
      </c>
      <c r="B555" s="2" t="str">
        <f>IFERROR(__xludf.DUMMYFUNCTION("""COMPUTED_VALUE"""),"You Cannot Delete")</f>
        <v>You Cannot Delete</v>
      </c>
      <c r="C555" s="2"/>
      <c r="D555" s="2" t="str">
        <f>IFERROR(__xludf.DUMMYFUNCTION("""COMPUTED_VALUE"""),"आप हटा नहीं सकते")</f>
        <v>आप हटा नहीं सकते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 t="str">
        <f>IFERROR(__xludf.DUMMYFUNCTION("""COMPUTED_VALUE"""),"activeUser!")</f>
        <v>activeUser!</v>
      </c>
      <c r="B556" s="2" t="str">
        <f>IFERROR(__xludf.DUMMYFUNCTION("""COMPUTED_VALUE"""),"Active User!")</f>
        <v>Active User!</v>
      </c>
      <c r="C556" s="2"/>
      <c r="D556" s="2" t="str">
        <f>IFERROR(__xludf.DUMMYFUNCTION("""COMPUTED_VALUE"""),"सक्रिय उपयोगकर्ता!")</f>
        <v>सक्रिय उपयोगकर्ता!</v>
      </c>
      <c r="E556" s="2" t="str">
        <f>IFERROR(__xludf.DUMMYFUNCTION("""COMPUTED_VALUE"""),"hatan ")</f>
        <v>hatan 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 t="str">
        <f>IFERROR(__xludf.DUMMYFUNCTION("""COMPUTED_VALUE"""),"selectCategory")</f>
        <v>selectCategory</v>
      </c>
      <c r="B557" s="2" t="str">
        <f>IFERROR(__xludf.DUMMYFUNCTION("""COMPUTED_VALUE"""),"Select Category")</f>
        <v>Select Category</v>
      </c>
      <c r="C557" s="2"/>
      <c r="D557" s="2" t="str">
        <f>IFERROR(__xludf.DUMMYFUNCTION("""COMPUTED_VALUE"""),"श्रेणी चुनना")</f>
        <v>श्रेणी चुनना</v>
      </c>
      <c r="E557" s="2" t="str">
        <f>IFERROR(__xludf.DUMMYFUNCTION("""COMPUTED_VALUE"""),"aap hata nahi sakte")</f>
        <v>aap hata nahi sakte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 t="str">
        <f>IFERROR(__xludf.DUMMYFUNCTION("""COMPUTED_VALUE"""),"toAddProduct")</f>
        <v>toAddProduct</v>
      </c>
      <c r="B558" s="2" t="str">
        <f>IFERROR(__xludf.DUMMYFUNCTION("""COMPUTED_VALUE"""),"To Add Product")</f>
        <v>To Add Product</v>
      </c>
      <c r="C558" s="2"/>
      <c r="D558" s="2" t="str">
        <f>IFERROR(__xludf.DUMMYFUNCTION("""COMPUTED_VALUE"""),"उत्पाद जोड़ने के लिए")</f>
        <v>उत्पाद जोड़ने के लिए</v>
      </c>
      <c r="E558" s="2" t="str">
        <f>IFERROR(__xludf.DUMMYFUNCTION("""COMPUTED_VALUE"""),"sakrya upyog karta")</f>
        <v>sakrya upyog karta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 t="str">
        <f>IFERROR(__xludf.DUMMYFUNCTION("""COMPUTED_VALUE"""),"mini.qtyperOrder")</f>
        <v>mini.qtyperOrder</v>
      </c>
      <c r="B559" s="2" t="str">
        <f>IFERROR(__xludf.DUMMYFUNCTION("""COMPUTED_VALUE"""),"MIni. qty per Order ")</f>
        <v>MIni. qty per Order </v>
      </c>
      <c r="C559" s="2">
        <f>IFERROR(__xludf.DUMMYFUNCTION("""COMPUTED_VALUE"""),0.3)</f>
        <v>0.3</v>
      </c>
      <c r="D559" s="2" t="str">
        <f>IFERROR(__xludf.DUMMYFUNCTION("""COMPUTED_VALUE"""),"छोटा। प्रति आदेश qty")</f>
        <v>छोटा। प्रति आदेश qty</v>
      </c>
      <c r="E559" s="2" t="str">
        <f>IFERROR(__xludf.DUMMYFUNCTION("""COMPUTED_VALUE"""),"shreni chunna")</f>
        <v>shreni chunna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 t="str">
        <f>IFERROR(__xludf.DUMMYFUNCTION("""COMPUTED_VALUE"""),"SaveAddress")</f>
        <v>SaveAddress</v>
      </c>
      <c r="B560" s="2" t="str">
        <f>IFERROR(__xludf.DUMMYFUNCTION("""COMPUTED_VALUE"""),"Save Address")</f>
        <v>Save Address</v>
      </c>
      <c r="C560" s="2">
        <f>IFERROR(__xludf.DUMMYFUNCTION("""COMPUTED_VALUE"""),0.3)</f>
        <v>0.3</v>
      </c>
      <c r="D560" s="2" t="str">
        <f>IFERROR(__xludf.DUMMYFUNCTION("""COMPUTED_VALUE"""),"सहेजें पता")</f>
        <v>सहेजें पता</v>
      </c>
      <c r="E560" s="2" t="str">
        <f>IFERROR(__xludf.DUMMYFUNCTION("""COMPUTED_VALUE"""),"utpad jodne k liye")</f>
        <v>utpad jodne k liye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 t="str">
        <f>IFERROR(__xludf.DUMMYFUNCTION("""COMPUTED_VALUE"""),"PleaseSaveYourAddresss")</f>
        <v>PleaseSaveYourAddresss</v>
      </c>
      <c r="B561" s="2" t="str">
        <f>IFERROR(__xludf.DUMMYFUNCTION("""COMPUTED_VALUE"""),"Please Save Your Address")</f>
        <v>Please Save Your Address</v>
      </c>
      <c r="C561" s="2"/>
      <c r="D561" s="2" t="str">
        <f>IFERROR(__xludf.DUMMYFUNCTION("""COMPUTED_VALUE"""),"कृपया अपना पता सहेजें")</f>
        <v>कृपया अपना पता सहेजें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 t="str">
        <f>IFERROR(__xludf.DUMMYFUNCTION("""COMPUTED_VALUE"""),"yourUnsaved")</f>
        <v>yourUnsaved</v>
      </c>
      <c r="B562" s="2" t="str">
        <f>IFERROR(__xludf.DUMMYFUNCTION("""COMPUTED_VALUE"""),"Your unsaved")</f>
        <v>Your unsaved</v>
      </c>
      <c r="C562" s="2"/>
      <c r="D562" s="2" t="str">
        <f>IFERROR(__xludf.DUMMYFUNCTION("""COMPUTED_VALUE"""),"आपका अनसुना")</f>
        <v>आपका अनसुना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 t="str">
        <f>IFERROR(__xludf.DUMMYFUNCTION("""COMPUTED_VALUE"""),"detailsWill")</f>
        <v>detailsWill</v>
      </c>
      <c r="B563" s="2" t="str">
        <f>IFERROR(__xludf.DUMMYFUNCTION("""COMPUTED_VALUE"""),"details will")</f>
        <v>details will</v>
      </c>
      <c r="C563" s="2"/>
      <c r="D563" s="2" t="str">
        <f>IFERROR(__xludf.DUMMYFUNCTION("""COMPUTED_VALUE"""),"विवरण होगा")</f>
        <v>विवरण होगा</v>
      </c>
      <c r="E563" s="2" t="str">
        <f>IFERROR(__xludf.DUMMYFUNCTION("""COMPUTED_VALUE"""),"chota kimat")</f>
        <v>chota kimat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 t="str">
        <f>IFERROR(__xludf.DUMMYFUNCTION("""COMPUTED_VALUE"""),"beLost")</f>
        <v>beLost</v>
      </c>
      <c r="B564" s="2" t="str">
        <f>IFERROR(__xludf.DUMMYFUNCTION("""COMPUTED_VALUE"""),"be lost.")</f>
        <v>be lost.</v>
      </c>
      <c r="C564" s="2"/>
      <c r="D564" s="2" t="str">
        <f>IFERROR(__xludf.DUMMYFUNCTION("""COMPUTED_VALUE"""),"दफा हो जाओ।")</f>
        <v>दफा हो जाओ।</v>
      </c>
      <c r="E564" s="2" t="str">
        <f>IFERROR(__xludf.DUMMYFUNCTION("""COMPUTED_VALUE"""),"apka ansuna")</f>
        <v>apka ansuna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 t="str">
        <f>IFERROR(__xludf.DUMMYFUNCTION("""COMPUTED_VALUE"""),"saveChanges")</f>
        <v>saveChanges</v>
      </c>
      <c r="B565" s="2" t="str">
        <f>IFERROR(__xludf.DUMMYFUNCTION("""COMPUTED_VALUE"""),"Save changes")</f>
        <v>Save changes</v>
      </c>
      <c r="C565" s="2"/>
      <c r="D565" s="2" t="str">
        <f>IFERROR(__xludf.DUMMYFUNCTION("""COMPUTED_VALUE"""),"परिवर्तनों को सुरक्षित करें")</f>
        <v>परिवर्तनों को सुरक्षित करें</v>
      </c>
      <c r="E565" s="2" t="str">
        <f>IFERROR(__xludf.DUMMYFUNCTION("""COMPUTED_VALUE"""),"vivran hoga")</f>
        <v>vivran hoga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 t="str">
        <f>IFERROR(__xludf.DUMMYFUNCTION("""COMPUTED_VALUE"""),"beforeClosing")</f>
        <v>beforeClosing</v>
      </c>
      <c r="B566" s="2" t="str">
        <f>IFERROR(__xludf.DUMMYFUNCTION("""COMPUTED_VALUE"""),"before closing")</f>
        <v>before closing</v>
      </c>
      <c r="C566" s="2"/>
      <c r="D566" s="2" t="str">
        <f>IFERROR(__xludf.DUMMYFUNCTION("""COMPUTED_VALUE"""),"बंद होने से पहले")</f>
        <v>बंद होने से पहले</v>
      </c>
      <c r="E566" s="2" t="str">
        <f>IFERROR(__xludf.DUMMYFUNCTION("""COMPUTED_VALUE"""),"dafa hojao")</f>
        <v>dafa hojao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 t="str">
        <f>IFERROR(__xludf.DUMMYFUNCTION("""COMPUTED_VALUE"""),"wouldYouLike")</f>
        <v>wouldYouLike</v>
      </c>
      <c r="B567" s="2" t="str">
        <f>IFERROR(__xludf.DUMMYFUNCTION("""COMPUTED_VALUE"""),"Would you like")</f>
        <v>Would you like</v>
      </c>
      <c r="C567" s="2"/>
      <c r="D567" s="2" t="str">
        <f>IFERROR(__xludf.DUMMYFUNCTION("""COMPUTED_VALUE"""),"क्या आप एक चाहेंगे")</f>
        <v>क्या आप एक चाहेंगे</v>
      </c>
      <c r="E567" s="2" t="str">
        <f>IFERROR(__xludf.DUMMYFUNCTION("""COMPUTED_VALUE"""),"parivartan ko surakshit kare")</f>
        <v>parivartan ko surakshit kare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 t="str">
        <f>IFERROR(__xludf.DUMMYFUNCTION("""COMPUTED_VALUE"""),"toMoveTo")</f>
        <v>toMoveTo</v>
      </c>
      <c r="B568" s="2" t="str">
        <f>IFERROR(__xludf.DUMMYFUNCTION("""COMPUTED_VALUE"""),"to move to")</f>
        <v>to move to</v>
      </c>
      <c r="C568" s="2"/>
      <c r="D568" s="2" t="str">
        <f>IFERROR(__xludf.DUMMYFUNCTION("""COMPUTED_VALUE"""),"को स्थानांतरित करने के लिए")</f>
        <v>को स्थानांतरित करने के लिए</v>
      </c>
      <c r="E568" s="2" t="str">
        <f>IFERROR(__xludf.DUMMYFUNCTION("""COMPUTED_VALUE"""),"band hone se pehle")</f>
        <v>band hone se pehle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 t="str">
        <f>IFERROR(__xludf.DUMMYFUNCTION("""COMPUTED_VALUE"""),"Locationisneededfortheapptoworkproperly,kindlygotosettingsandprovidelocationpermissiontoapp.")</f>
        <v>Locationisneededfortheapptoworkproperly,kindlygotosettingsandprovidelocationpermissiontoapp.</v>
      </c>
      <c r="B569" s="2" t="str">
        <f>IFERROR(__xludf.DUMMYFUNCTION("""COMPUTED_VALUE"""),"Location is needed for the app to work properly, kindly go to settings and provide location permission to app.")</f>
        <v>Location is needed for the app to work properly, kindly go to settings and provide location permission to app.</v>
      </c>
      <c r="C569" s="2"/>
      <c r="D569" s="2" t="str">
        <f>IFERROR(__xludf.DUMMYFUNCTION("""COMPUTED_VALUE"""),"ऐप को ठीक से काम करने के लिए स्थान की आवश्यकता होती है, कृपया सेटिंग्स पर जाएं और ऐप को स्थान की अनुमति प्रदान करें।")</f>
        <v>ऐप को ठीक से काम करने के लिए स्थान की आवश्यकता होती है, कृपया सेटिंग्स पर जाएं और ऐप को स्थान की अनुमति प्रदान करें।</v>
      </c>
      <c r="E569" s="2" t="str">
        <f>IFERROR(__xludf.DUMMYFUNCTION("""COMPUTED_VALUE"""),"kya aap ek chahenge")</f>
        <v>kya aap ek chahenge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 t="str">
        <f>IFERROR(__xludf.DUMMYFUNCTION("""COMPUTED_VALUE"""),"areYouSure")</f>
        <v>areYouSure</v>
      </c>
      <c r="B570" s="2" t="str">
        <f>IFERROR(__xludf.DUMMYFUNCTION("""COMPUTED_VALUE"""),"Are you sure ?")</f>
        <v>Are you sure ?</v>
      </c>
      <c r="C570" s="2">
        <f>IFERROR(__xludf.DUMMYFUNCTION("""COMPUTED_VALUE"""),0.4)</f>
        <v>0.4</v>
      </c>
      <c r="D570" s="2" t="str">
        <f>IFERROR(__xludf.DUMMYFUNCTION("""COMPUTED_VALUE"""),"क्या आपको यकीन है ?")</f>
        <v>क्या आपको यकीन है ?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 t="str">
        <f>IFERROR(__xludf.DUMMYFUNCTION("""COMPUTED_VALUE"""),"doYouWant")</f>
        <v>doYouWant</v>
      </c>
      <c r="B571" s="2" t="str">
        <f>IFERROR(__xludf.DUMMYFUNCTION("""COMPUTED_VALUE"""),"Do you want")</f>
        <v>Do you want</v>
      </c>
      <c r="C571" s="2"/>
      <c r="D571" s="2" t="str">
        <f>IFERROR(__xludf.DUMMYFUNCTION("""COMPUTED_VALUE"""),"क्या तुम चाहते हो")</f>
        <v>क्या तुम चाहते हो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 t="str">
        <f>IFERROR(__xludf.DUMMYFUNCTION("""COMPUTED_VALUE"""),"max.qtyperorder")</f>
        <v>max.qtyperorder</v>
      </c>
      <c r="B572" s="2" t="str">
        <f>IFERROR(__xludf.DUMMYFUNCTION("""COMPUTED_VALUE"""),"Max. qty per Order ")</f>
        <v>Max. qty per Order </v>
      </c>
      <c r="C572" s="2">
        <f>IFERROR(__xludf.DUMMYFUNCTION("""COMPUTED_VALUE"""),0.3)</f>
        <v>0.3</v>
      </c>
      <c r="D572" s="2" t="str">
        <f>IFERROR(__xludf.DUMMYFUNCTION("""COMPUTED_VALUE"""),"अधिकतम। प्रति आदेश qty")</f>
        <v>अधिकतम। प्रति आदेश qty</v>
      </c>
      <c r="E572" s="2" t="str">
        <f>IFERROR(__xludf.DUMMYFUNCTION("""COMPUTED_VALUE"""),"kya ako yakeen hai")</f>
        <v>kya ako yakeen hai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 t="str">
        <f>IFERROR(__xludf.DUMMYFUNCTION("""COMPUTED_VALUE"""),"rambutanIs")</f>
        <v>rambutanIs</v>
      </c>
      <c r="B573" s="2" t="str">
        <f>IFERROR(__xludf.DUMMYFUNCTION("""COMPUTED_VALUE"""),"Rambutan is")</f>
        <v>Rambutan is</v>
      </c>
      <c r="C573" s="2"/>
      <c r="D573" s="2" t="str">
        <f>IFERROR(__xludf.DUMMYFUNCTION("""COMPUTED_VALUE"""),"रामबुटन है")</f>
        <v>रामबुटन है</v>
      </c>
      <c r="E573" s="2" t="str">
        <f>IFERROR(__xludf.DUMMYFUNCTION("""COMPUTED_VALUE"""),"kya tum chahte ho")</f>
        <v>kya tum chahte ho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 t="str">
        <f>IFERROR(__xludf.DUMMYFUNCTION("""COMPUTED_VALUE"""),"movedTo")</f>
        <v>movedTo</v>
      </c>
      <c r="B574" s="2" t="str">
        <f>IFERROR(__xludf.DUMMYFUNCTION("""COMPUTED_VALUE"""),"Moved To")</f>
        <v>Moved To</v>
      </c>
      <c r="C574" s="2"/>
      <c r="D574" s="2" t="str">
        <f>IFERROR(__xludf.DUMMYFUNCTION("""COMPUTED_VALUE"""),"पर जाया गया")</f>
        <v>पर जाया गया</v>
      </c>
      <c r="E574" s="2" t="str">
        <f>IFERROR(__xludf.DUMMYFUNCTION("""COMPUTED_VALUE"""),"adhiktam kyuti")</f>
        <v>adhiktam kyuti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 t="str">
        <f>IFERROR(__xludf.DUMMYFUNCTION("""COMPUTED_VALUE"""),"BPLID")</f>
        <v>BPLID</v>
      </c>
      <c r="B575" s="2" t="str">
        <f>IFERROR(__xludf.DUMMYFUNCTION("""COMPUTED_VALUE"""),"BPL ID")</f>
        <v>BPL ID</v>
      </c>
      <c r="C575" s="2"/>
      <c r="D575" s="2" t="str">
        <f>IFERROR(__xludf.DUMMYFUNCTION("""COMPUTED_VALUE"""),"बीपीएल आईडी")</f>
        <v>बीपीएल आईडी</v>
      </c>
      <c r="E575" s="2" t="str">
        <f>IFERROR(__xludf.DUMMYFUNCTION("""COMPUTED_VALUE"""),"rambutan hai")</f>
        <v>rambutan hai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 t="str">
        <f>IFERROR(__xludf.DUMMYFUNCTION("""COMPUTED_VALUE"""),"Searchbyfruitscategory")</f>
        <v>Searchbyfruitscategory</v>
      </c>
      <c r="B576" s="2" t="str">
        <f>IFERROR(__xludf.DUMMYFUNCTION("""COMPUTED_VALUE"""),"Search By Category ")</f>
        <v>Search By Category </v>
      </c>
      <c r="C576" s="2">
        <f>IFERROR(__xludf.DUMMYFUNCTION("""COMPUTED_VALUE"""),0.4)</f>
        <v>0.4</v>
      </c>
      <c r="D576" s="2" t="str">
        <f>IFERROR(__xludf.DUMMYFUNCTION("""COMPUTED_VALUE"""),"श्रेणी द्वारा खोजें")</f>
        <v>श्रेणी द्वारा खोजें</v>
      </c>
      <c r="E576" s="2" t="str">
        <f>IFERROR(__xludf.DUMMYFUNCTION("""COMPUTED_VALUE"""),"mai le jaya gaya")</f>
        <v>mai le jaya gaya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 t="str">
        <f>IFERROR(__xludf.DUMMYFUNCTION("""COMPUTED_VALUE"""),"TypeSomethingHere")</f>
        <v>TypeSomethingHere</v>
      </c>
      <c r="B577" s="2" t="str">
        <f>IFERROR(__xludf.DUMMYFUNCTION("""COMPUTED_VALUE"""),"Type Something Here")</f>
        <v>Type Something Here</v>
      </c>
      <c r="C577" s="2">
        <f>IFERROR(__xludf.DUMMYFUNCTION("""COMPUTED_VALUE"""),0.3)</f>
        <v>0.3</v>
      </c>
      <c r="D577" s="2" t="str">
        <f>IFERROR(__xludf.DUMMYFUNCTION("""COMPUTED_VALUE"""),"यहाँ कुछ टाइप करें")</f>
        <v>यहाँ कुछ टाइप करें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 t="str">
        <f>IFERROR(__xludf.DUMMYFUNCTION("""COMPUTED_VALUE"""),"imSelling")</f>
        <v>imSelling</v>
      </c>
      <c r="B578" s="2" t="str">
        <f>IFERROR(__xludf.DUMMYFUNCTION("""COMPUTED_VALUE"""),"Im Selling")</f>
        <v>Im Selling</v>
      </c>
      <c r="C578" s="2">
        <f>IFERROR(__xludf.DUMMYFUNCTION("""COMPUTED_VALUE"""),0.1)</f>
        <v>0.1</v>
      </c>
      <c r="D578" s="2" t="str">
        <f>IFERROR(__xludf.DUMMYFUNCTION("""COMPUTED_VALUE"""),"Im बिक्री")</f>
        <v>Im बिक्री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 t="str">
        <f>IFERROR(__xludf.DUMMYFUNCTION("""COMPUTED_VALUE"""),"searchBy")</f>
        <v>searchBy</v>
      </c>
      <c r="B579" s="2" t="str">
        <f>IFERROR(__xludf.DUMMYFUNCTION("""COMPUTED_VALUE"""),"Search By")</f>
        <v>Search By</v>
      </c>
      <c r="C579" s="2">
        <f>IFERROR(__xludf.DUMMYFUNCTION("""COMPUTED_VALUE"""),0.1)</f>
        <v>0.1</v>
      </c>
      <c r="D579" s="2" t="str">
        <f>IFERROR(__xludf.DUMMYFUNCTION("""COMPUTED_VALUE"""),"खोज से")</f>
        <v>खोज से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 t="str">
        <f>IFERROR(__xludf.DUMMYFUNCTION("""COMPUTED_VALUE"""),"fruitsCategory")</f>
        <v>fruitsCategory</v>
      </c>
      <c r="B580" s="2" t="str">
        <f>IFERROR(__xludf.DUMMYFUNCTION("""COMPUTED_VALUE"""),"Fruits Category")</f>
        <v>Fruits Category</v>
      </c>
      <c r="C580" s="2">
        <f>IFERROR(__xludf.DUMMYFUNCTION("""COMPUTED_VALUE"""),0.1)</f>
        <v>0.1</v>
      </c>
      <c r="D580" s="2" t="str">
        <f>IFERROR(__xludf.DUMMYFUNCTION("""COMPUTED_VALUE"""),"फल श्रेणी")</f>
        <v>फल श्रेणी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 t="str">
        <f>IFERROR(__xludf.DUMMYFUNCTION("""COMPUTED_VALUE"""),"thisorderwasdelivered")</f>
        <v>thisorderwasdelivered</v>
      </c>
      <c r="B581" s="2" t="str">
        <f>IFERROR(__xludf.DUMMYFUNCTION("""COMPUTED_VALUE"""),"This Order was Delivered")</f>
        <v>This Order was Delivered</v>
      </c>
      <c r="C581" s="2" t="str">
        <f>IFERROR(__xludf.DUMMYFUNCTION("""COMPUTED_VALUE"""),"0.4.1")</f>
        <v>0.4.1</v>
      </c>
      <c r="D581" s="2" t="str">
        <f>IFERROR(__xludf.DUMMYFUNCTION("""COMPUTED_VALUE"""),"यह आदेश दिया गया था")</f>
        <v>यह आदेश दिया गया था</v>
      </c>
      <c r="E581" s="2" t="str">
        <f>IFERROR(__xludf.DUMMYFUNCTION("""COMPUTED_VALUE"""),"mai bech raha hu")</f>
        <v>mai bech raha hu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 t="str">
        <f>IFERROR(__xludf.DUMMYFUNCTION("""COMPUTED_VALUE"""),"repeatorder")</f>
        <v>repeatorder</v>
      </c>
      <c r="B582" s="2" t="str">
        <f>IFERROR(__xludf.DUMMYFUNCTION("""COMPUTED_VALUE"""),"Repeat Order")</f>
        <v>Repeat Order</v>
      </c>
      <c r="C582" s="2" t="str">
        <f>IFERROR(__xludf.DUMMYFUNCTION("""COMPUTED_VALUE"""),"0.4.1")</f>
        <v>0.4.1</v>
      </c>
      <c r="D582" s="2" t="str">
        <f>IFERROR(__xludf.DUMMYFUNCTION("""COMPUTED_VALUE"""),"पुनरावर्ती ऑर्डर")</f>
        <v>पुनरावर्ती ऑर्डर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 t="str">
        <f>IFERROR(__xludf.DUMMYFUNCTION("""COMPUTED_VALUE"""),"DoyouwanttoAccepttheorder")</f>
        <v>DoyouwanttoAccepttheorder</v>
      </c>
      <c r="B583" s="2" t="str">
        <f>IFERROR(__xludf.DUMMYFUNCTION("""COMPUTED_VALUE"""),"Do you want to Accept the order ?")</f>
        <v>Do you want to Accept the order ?</v>
      </c>
      <c r="C583" s="2"/>
      <c r="D583" s="2" t="str">
        <f>IFERROR(__xludf.DUMMYFUNCTION("""COMPUTED_VALUE"""),"क्या आप आदेश स्वीकार करना चाहते हैं?")</f>
        <v>क्या आप आदेश स्वीकार करना चाहते हैं?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 t="str">
        <f>IFERROR(__xludf.DUMMYFUNCTION("""COMPUTED_VALUE"""),"DoyouwanttoReadytheorder ")</f>
        <v>DoyouwanttoReadytheorder </v>
      </c>
      <c r="B584" s="2" t="str">
        <f>IFERROR(__xludf.DUMMYFUNCTION("""COMPUTED_VALUE"""),"Do you want to Ready the order ?")</f>
        <v>Do you want to Ready the order ?</v>
      </c>
      <c r="C584" s="2"/>
      <c r="D584" s="2" t="str">
        <f>IFERROR(__xludf.DUMMYFUNCTION("""COMPUTED_VALUE"""),"क्या आप ऑर्डर तैयार करना चाहते हैं?")</f>
        <v>क्या आप ऑर्डर तैयार करना चाहते हैं?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 t="str">
        <f>IFERROR(__xludf.DUMMYFUNCTION("""COMPUTED_VALUE"""),"clear")</f>
        <v>clear</v>
      </c>
      <c r="B585" s="2" t="str">
        <f>IFERROR(__xludf.DUMMYFUNCTION("""COMPUTED_VALUE"""),"Clear")</f>
        <v>Clear</v>
      </c>
      <c r="C585" s="2">
        <f>IFERROR(__xludf.DUMMYFUNCTION("""COMPUTED_VALUE"""),0.1)</f>
        <v>0.1</v>
      </c>
      <c r="D585" s="2" t="str">
        <f>IFERROR(__xludf.DUMMYFUNCTION("""COMPUTED_VALUE"""),"साफ़")</f>
        <v>साफ़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 t="str">
        <f>IFERROR(__xludf.DUMMYFUNCTION("""COMPUTED_VALUE"""),"selectFruits")</f>
        <v>selectFruits</v>
      </c>
      <c r="B586" s="2" t="str">
        <f>IFERROR(__xludf.DUMMYFUNCTION("""COMPUTED_VALUE"""),"Select Fruits")</f>
        <v>Select Fruits</v>
      </c>
      <c r="C586" s="2"/>
      <c r="D586" s="2" t="str">
        <f>IFERROR(__xludf.DUMMYFUNCTION("""COMPUTED_VALUE"""),"फलों का चयन करें")</f>
        <v>फलों का चयन करें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 t="str">
        <f>IFERROR(__xludf.DUMMYFUNCTION("""COMPUTED_VALUE"""),"category")</f>
        <v>category</v>
      </c>
      <c r="B587" s="2" t="str">
        <f>IFERROR(__xludf.DUMMYFUNCTION("""COMPUTED_VALUE"""),"Category")</f>
        <v>Category</v>
      </c>
      <c r="C587" s="2">
        <f>IFERROR(__xludf.DUMMYFUNCTION("""COMPUTED_VALUE"""),0.4)</f>
        <v>0.4</v>
      </c>
      <c r="D587" s="2" t="str">
        <f>IFERROR(__xludf.DUMMYFUNCTION("""COMPUTED_VALUE"""),"वर्ग")</f>
        <v>वर्ग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 t="str">
        <f>IFERROR(__xludf.DUMMYFUNCTION("""COMPUTED_VALUE"""),"DoyouwanttoDelivertheorder ")</f>
        <v>DoyouwanttoDelivertheorder </v>
      </c>
      <c r="B588" s="2" t="str">
        <f>IFERROR(__xludf.DUMMYFUNCTION("""COMPUTED_VALUE"""),"Do you want to Deliver the order ?")</f>
        <v>Do you want to Deliver the order ?</v>
      </c>
      <c r="C588" s="2">
        <f>IFERROR(__xludf.DUMMYFUNCTION("""COMPUTED_VALUE"""),0.3)</f>
        <v>0.3</v>
      </c>
      <c r="D588" s="2" t="str">
        <f>IFERROR(__xludf.DUMMYFUNCTION("""COMPUTED_VALUE"""),"क्या आप ऑर्डर देना चाहते हैं?")</f>
        <v>क्या आप ऑर्डर देना चाहते हैं?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 t="str">
        <f>IFERROR(__xludf.DUMMYFUNCTION("""COMPUTED_VALUE"""),"DoyouwanttoPickuptheorder ")</f>
        <v>DoyouwanttoPickuptheorder </v>
      </c>
      <c r="B589" s="2" t="str">
        <f>IFERROR(__xludf.DUMMYFUNCTION("""COMPUTED_VALUE"""),"Do you want to Pick Up the order ?")</f>
        <v>Do you want to Pick Up the order ?</v>
      </c>
      <c r="C589" s="2"/>
      <c r="D589" s="2" t="str">
        <f>IFERROR(__xludf.DUMMYFUNCTION("""COMPUTED_VALUE"""),"क्या आप ऑर्डर लेना चाहते हैं?")</f>
        <v>क्या आप ऑर्डर लेना चाहते हैं?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 t="str">
        <f>IFERROR(__xludf.DUMMYFUNCTION("""COMPUTED_VALUE"""),"DoyouwanttoNo-Show theorder ")</f>
        <v>DoyouwanttoNo-Show theorder </v>
      </c>
      <c r="B590" s="2" t="str">
        <f>IFERROR(__xludf.DUMMYFUNCTION("""COMPUTED_VALUE"""),"Do you want to No-Show the order ?")</f>
        <v>Do you want to No-Show the order ?</v>
      </c>
      <c r="C590" s="2"/>
      <c r="D590" s="2" t="str">
        <f>IFERROR(__xludf.DUMMYFUNCTION("""COMPUTED_VALUE"""),"क्या आप आदेश को नहीं शो करना चाहते हैं?")</f>
        <v>क्या आप आदेश को नहीं शो करना चाहते हैं?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 t="str">
        <f>IFERROR(__xludf.DUMMYFUNCTION("""COMPUTED_VALUE"""),"berry")</f>
        <v>berry</v>
      </c>
      <c r="B591" s="2" t="str">
        <f>IFERROR(__xludf.DUMMYFUNCTION("""COMPUTED_VALUE"""),"Berry")</f>
        <v>Berry</v>
      </c>
      <c r="C591" s="2"/>
      <c r="D591" s="2" t="str">
        <f>IFERROR(__xludf.DUMMYFUNCTION("""COMPUTED_VALUE"""),"बेर")</f>
        <v>बेर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 t="str">
        <f>IFERROR(__xludf.DUMMYFUNCTION("""COMPUTED_VALUE"""),"productDetails")</f>
        <v>productDetails</v>
      </c>
      <c r="B592" s="2" t="str">
        <f>IFERROR(__xludf.DUMMYFUNCTION("""COMPUTED_VALUE"""),"Product Details")</f>
        <v>Product Details</v>
      </c>
      <c r="C592" s="2">
        <f>IFERROR(__xludf.DUMMYFUNCTION("""COMPUTED_VALUE"""),0.3)</f>
        <v>0.3</v>
      </c>
      <c r="D592" s="2" t="str">
        <f>IFERROR(__xludf.DUMMYFUNCTION("""COMPUTED_VALUE"""),"उत्पाद विवरण")</f>
        <v>उत्पाद विवरण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 t="str">
        <f>IFERROR(__xludf.DUMMYFUNCTION("""COMPUTED_VALUE"""),"listed")</f>
        <v>listed</v>
      </c>
      <c r="B593" s="2" t="str">
        <f>IFERROR(__xludf.DUMMYFUNCTION("""COMPUTED_VALUE"""),"Listed")</f>
        <v>Listed</v>
      </c>
      <c r="C593" s="2"/>
      <c r="D593" s="2" t="str">
        <f>IFERROR(__xludf.DUMMYFUNCTION("""COMPUTED_VALUE"""),"सूचीबद्ध")</f>
        <v>सूचीबद्ध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 t="str">
        <f>IFERROR(__xludf.DUMMYFUNCTION("""COMPUTED_VALUE"""),"unlisted")</f>
        <v>unlisted</v>
      </c>
      <c r="B594" s="2" t="str">
        <f>IFERROR(__xludf.DUMMYFUNCTION("""COMPUTED_VALUE"""),"Unlisted")</f>
        <v>Unlisted</v>
      </c>
      <c r="C594" s="2"/>
      <c r="D594" s="2" t="str">
        <f>IFERROR(__xludf.DUMMYFUNCTION("""COMPUTED_VALUE"""),"गैर-सूचीबद्ध")</f>
        <v>गैर-सूचीबद्ध</v>
      </c>
      <c r="E594" s="2" t="str">
        <f>IFERROR(__xludf.DUMMYFUNCTION("""COMPUTED_VALUE"""),"bair")</f>
        <v>bair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 t="str">
        <f>IFERROR(__xludf.DUMMYFUNCTION("""COMPUTED_VALUE"""),"maxReward")</f>
        <v>maxReward</v>
      </c>
      <c r="B595" s="2" t="str">
        <f>IFERROR(__xludf.DUMMYFUNCTION("""COMPUTED_VALUE"""),"Max Reward")</f>
        <v>Max Reward</v>
      </c>
      <c r="C595" s="2">
        <f>IFERROR(__xludf.DUMMYFUNCTION("""COMPUTED_VALUE"""),0.4)</f>
        <v>0.4</v>
      </c>
      <c r="D595" s="2" t="str">
        <f>IFERROR(__xludf.DUMMYFUNCTION("""COMPUTED_VALUE"""),"अधिकतम इनाम")</f>
        <v>अधिकतम इनाम</v>
      </c>
      <c r="E595" s="2" t="str">
        <f>IFERROR(__xludf.DUMMYFUNCTION("""COMPUTED_VALUE"""),"utpad vivran")</f>
        <v>utpad vivran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 t="str">
        <f>IFERROR(__xludf.DUMMYFUNCTION("""COMPUTED_VALUE"""),"general")</f>
        <v>general</v>
      </c>
      <c r="B596" s="2" t="str">
        <f>IFERROR(__xludf.DUMMYFUNCTION("""COMPUTED_VALUE"""),"General")</f>
        <v>General</v>
      </c>
      <c r="C596" s="2">
        <f>IFERROR(__xludf.DUMMYFUNCTION("""COMPUTED_VALUE"""),0.3)</f>
        <v>0.3</v>
      </c>
      <c r="D596" s="2" t="str">
        <f>IFERROR(__xludf.DUMMYFUNCTION("""COMPUTED_VALUE"""),"आम")</f>
        <v>आम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 t="str">
        <f>IFERROR(__xludf.DUMMYFUNCTION("""COMPUTED_VALUE"""),"sellingOption")</f>
        <v>sellingOption</v>
      </c>
      <c r="B597" s="2" t="str">
        <f>IFERROR(__xludf.DUMMYFUNCTION("""COMPUTED_VALUE"""),"Selling Option")</f>
        <v>Selling Option</v>
      </c>
      <c r="C597" s="2">
        <f>IFERROR(__xludf.DUMMYFUNCTION("""COMPUTED_VALUE"""),0.3)</f>
        <v>0.3</v>
      </c>
      <c r="D597" s="2" t="str">
        <f>IFERROR(__xludf.DUMMYFUNCTION("""COMPUTED_VALUE"""),"विक्रय विकल्प")</f>
        <v>विक्रय विकल्प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 t="str">
        <f>IFERROR(__xludf.DUMMYFUNCTION("""COMPUTED_VALUE"""),"inventory")</f>
        <v>inventory</v>
      </c>
      <c r="B598" s="2" t="str">
        <f>IFERROR(__xludf.DUMMYFUNCTION("""COMPUTED_VALUE"""),"Inventory")</f>
        <v>Inventory</v>
      </c>
      <c r="C598" s="2">
        <f>IFERROR(__xludf.DUMMYFUNCTION("""COMPUTED_VALUE"""),0.3)</f>
        <v>0.3</v>
      </c>
      <c r="D598" s="2" t="str">
        <f>IFERROR(__xludf.DUMMYFUNCTION("""COMPUTED_VALUE"""),"भंडार")</f>
        <v>भंडार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 t="str">
        <f>IFERROR(__xludf.DUMMYFUNCTION("""COMPUTED_VALUE"""),"returnOption")</f>
        <v>returnOption</v>
      </c>
      <c r="B599" s="2" t="str">
        <f>IFERROR(__xludf.DUMMYFUNCTION("""COMPUTED_VALUE"""),"Return Option")</f>
        <v>Return Option</v>
      </c>
      <c r="C599" s="2">
        <f>IFERROR(__xludf.DUMMYFUNCTION("""COMPUTED_VALUE"""),0.3)</f>
        <v>0.3</v>
      </c>
      <c r="D599" s="2" t="str">
        <f>IFERROR(__xludf.DUMMYFUNCTION("""COMPUTED_VALUE"""),"वापसी विकल्प")</f>
        <v>वापसी विकल्प</v>
      </c>
      <c r="E599" s="2" t="str">
        <f>IFERROR(__xludf.DUMMYFUNCTION("""COMPUTED_VALUE"""),"samanya")</f>
        <v>samanya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 t="str">
        <f>IFERROR(__xludf.DUMMYFUNCTION("""COMPUTED_VALUE"""),"DoyouwanttoCanceltheorder?")</f>
        <v>DoyouwanttoCanceltheorder?</v>
      </c>
      <c r="B600" s="2" t="str">
        <f>IFERROR(__xludf.DUMMYFUNCTION("""COMPUTED_VALUE"""),"Do you want to Cancel the order ?")</f>
        <v>Do you want to Cancel the order ?</v>
      </c>
      <c r="C600" s="2"/>
      <c r="D600" s="2" t="str">
        <f>IFERROR(__xludf.DUMMYFUNCTION("""COMPUTED_VALUE"""),"क्या आप ऑर्डर रद्द करना चाहते हैं?")</f>
        <v>क्या आप ऑर्डर रद्द करना चाहते हैं?</v>
      </c>
      <c r="E600" s="2" t="str">
        <f>IFERROR(__xludf.DUMMYFUNCTION("""COMPUTED_VALUE"""),"vikraya vikalp")</f>
        <v>vikraya vikalp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 t="str">
        <f>IFERROR(__xludf.DUMMYFUNCTION("""COMPUTED_VALUE"""),"placeOfOrigin")</f>
        <v>placeOfOrigin</v>
      </c>
      <c r="B601" s="2" t="str">
        <f>IFERROR(__xludf.DUMMYFUNCTION("""COMPUTED_VALUE"""),"Place Of Origin")</f>
        <v>Place Of Origin</v>
      </c>
      <c r="C601" s="2">
        <f>IFERROR(__xludf.DUMMYFUNCTION("""COMPUTED_VALUE"""),0.3)</f>
        <v>0.3</v>
      </c>
      <c r="D601" s="2" t="str">
        <f>IFERROR(__xludf.DUMMYFUNCTION("""COMPUTED_VALUE"""),"उत्पत्ति का स्थान")</f>
        <v>उत्पत्ति का स्थान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 t="str">
        <f>IFERROR(__xludf.DUMMYFUNCTION("""COMPUTED_VALUE"""),"aboutProduct")</f>
        <v>aboutProduct</v>
      </c>
      <c r="B602" s="2" t="str">
        <f>IFERROR(__xludf.DUMMYFUNCTION("""COMPUTED_VALUE"""),"About Product")</f>
        <v>About Product</v>
      </c>
      <c r="C602" s="2">
        <f>IFERROR(__xludf.DUMMYFUNCTION("""COMPUTED_VALUE"""),0.3)</f>
        <v>0.3</v>
      </c>
      <c r="D602" s="2" t="str">
        <f>IFERROR(__xludf.DUMMYFUNCTION("""COMPUTED_VALUE"""),"उत्पाद के बारे में")</f>
        <v>उत्पाद के बारे में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 t="str">
        <f>IFERROR(__xludf.DUMMYFUNCTION("""COMPUTED_VALUE"""),"grading")</f>
        <v>grading</v>
      </c>
      <c r="B603" s="2" t="str">
        <f>IFERROR(__xludf.DUMMYFUNCTION("""COMPUTED_VALUE"""),"Grading")</f>
        <v>Grading</v>
      </c>
      <c r="C603" s="2">
        <f>IFERROR(__xludf.DUMMYFUNCTION("""COMPUTED_VALUE"""),0.3)</f>
        <v>0.3</v>
      </c>
      <c r="D603" s="2" t="str">
        <f>IFERROR(__xludf.DUMMYFUNCTION("""COMPUTED_VALUE"""),"ग्रेडिंग")</f>
        <v>ग्रेडिंग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 t="str">
        <f>IFERROR(__xludf.DUMMYFUNCTION("""COMPUTED_VALUE"""),"camera")</f>
        <v>camera</v>
      </c>
      <c r="B604" s="2" t="str">
        <f>IFERROR(__xludf.DUMMYFUNCTION("""COMPUTED_VALUE"""),"Camera")</f>
        <v>Camera</v>
      </c>
      <c r="C604" s="2">
        <f>IFERROR(__xludf.DUMMYFUNCTION("""COMPUTED_VALUE"""),0.3)</f>
        <v>0.3</v>
      </c>
      <c r="D604" s="2" t="str">
        <f>IFERROR(__xludf.DUMMYFUNCTION("""COMPUTED_VALUE"""),"कैमरा")</f>
        <v>कैमरा</v>
      </c>
      <c r="E604" s="2" t="str">
        <f>IFERROR(__xludf.DUMMYFUNCTION("""COMPUTED_VALUE"""),"utpatti ka sthan")</f>
        <v>utpatti ka sthan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 t="str">
        <f>IFERROR(__xludf.DUMMYFUNCTION("""COMPUTED_VALUE"""),"favourites")</f>
        <v>favourites</v>
      </c>
      <c r="B605" s="2" t="str">
        <f>IFERROR(__xludf.DUMMYFUNCTION("""COMPUTED_VALUE"""),"Favourites")</f>
        <v>Favourites</v>
      </c>
      <c r="C605" s="2">
        <f>IFERROR(__xludf.DUMMYFUNCTION("""COMPUTED_VALUE"""),0.3)</f>
        <v>0.3</v>
      </c>
      <c r="D605" s="2" t="str">
        <f>IFERROR(__xludf.DUMMYFUNCTION("""COMPUTED_VALUE"""),"पसंदीदा")</f>
        <v>पसंदीदा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 t="str">
        <f>IFERROR(__xludf.DUMMYFUNCTION("""COMPUTED_VALUE"""),"soldBy")</f>
        <v>soldBy</v>
      </c>
      <c r="B606" s="2" t="str">
        <f>IFERROR(__xludf.DUMMYFUNCTION("""COMPUTED_VALUE"""),"Sold By")</f>
        <v>Sold By</v>
      </c>
      <c r="C606" s="2">
        <f>IFERROR(__xludf.DUMMYFUNCTION("""COMPUTED_VALUE"""),0.3)</f>
        <v>0.3</v>
      </c>
      <c r="D606" s="2" t="str">
        <f>IFERROR(__xludf.DUMMYFUNCTION("""COMPUTED_VALUE"""),"द्वारा बेचा")</f>
        <v>द्वारा बेचा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 t="str">
        <f>IFERROR(__xludf.DUMMYFUNCTION("""COMPUTED_VALUE"""),"street")</f>
        <v>street</v>
      </c>
      <c r="B607" s="2" t="str">
        <f>IFERROR(__xludf.DUMMYFUNCTION("""COMPUTED_VALUE"""),"Street")</f>
        <v>Street</v>
      </c>
      <c r="C607" s="2">
        <f>IFERROR(__xludf.DUMMYFUNCTION("""COMPUTED_VALUE"""),0.3)</f>
        <v>0.3</v>
      </c>
      <c r="D607" s="2" t="str">
        <f>IFERROR(__xludf.DUMMYFUNCTION("""COMPUTED_VALUE"""),"गली")</f>
        <v>गली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 t="str">
        <f>IFERROR(__xludf.DUMMYFUNCTION("""COMPUTED_VALUE"""),"kilogram")</f>
        <v>kilogram</v>
      </c>
      <c r="B608" s="2" t="str">
        <f>IFERROR(__xludf.DUMMYFUNCTION("""COMPUTED_VALUE"""),"Kilogram")</f>
        <v>Kilogram</v>
      </c>
      <c r="C608" s="2">
        <f>IFERROR(__xludf.DUMMYFUNCTION("""COMPUTED_VALUE"""),0.3)</f>
        <v>0.3</v>
      </c>
      <c r="D608" s="2" t="str">
        <f>IFERROR(__xludf.DUMMYFUNCTION("""COMPUTED_VALUE"""),"किलोग्राम")</f>
        <v>किलोग्राम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 t="str">
        <f>IFERROR(__xludf.DUMMYFUNCTION("""COMPUTED_VALUE"""),"liter")</f>
        <v>liter</v>
      </c>
      <c r="B609" s="2" t="str">
        <f>IFERROR(__xludf.DUMMYFUNCTION("""COMPUTED_VALUE"""),"Liter")</f>
        <v>Liter</v>
      </c>
      <c r="C609" s="2"/>
      <c r="D609" s="2" t="str">
        <f>IFERROR(__xludf.DUMMYFUNCTION("""COMPUTED_VALUE"""),"लीटर")</f>
        <v>लीटर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 t="str">
        <f>IFERROR(__xludf.DUMMYFUNCTION("""COMPUTED_VALUE"""),"miniQty")</f>
        <v>miniQty</v>
      </c>
      <c r="B610" s="2" t="str">
        <f>IFERROR(__xludf.DUMMYFUNCTION("""COMPUTED_VALUE"""),"Mini.qty")</f>
        <v>Mini.qty</v>
      </c>
      <c r="C610" s="2"/>
      <c r="D610" s="2" t="str">
        <f>IFERROR(__xludf.DUMMYFUNCTION("""COMPUTED_VALUE"""),"मिनी मात्रा")</f>
        <v>मिनी मात्रा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 t="str">
        <f>IFERROR(__xludf.DUMMYFUNCTION("""COMPUTED_VALUE"""),"perOrderdiscount")</f>
        <v>perOrderdiscount</v>
      </c>
      <c r="B611" s="2" t="str">
        <f>IFERROR(__xludf.DUMMYFUNCTION("""COMPUTED_VALUE"""),"Per Order Discount")</f>
        <v>Per Order Discount</v>
      </c>
      <c r="C611" s="2">
        <f>IFERROR(__xludf.DUMMYFUNCTION("""COMPUTED_VALUE"""),0.3)</f>
        <v>0.3</v>
      </c>
      <c r="D611" s="2" t="str">
        <f>IFERROR(__xludf.DUMMYFUNCTION("""COMPUTED_VALUE"""),"प्रति आदेश छूट")</f>
        <v>प्रति आदेश छूट</v>
      </c>
      <c r="E611" s="2" t="str">
        <f>IFERROR(__xludf.DUMMYFUNCTION("""COMPUTED_VALUE"""),"kilogram")</f>
        <v>kilogram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 t="str">
        <f>IFERROR(__xludf.DUMMYFUNCTION("""COMPUTED_VALUE"""),"maxQty")</f>
        <v>maxQty</v>
      </c>
      <c r="B612" s="2" t="str">
        <f>IFERROR(__xludf.DUMMYFUNCTION("""COMPUTED_VALUE"""),"Max qty")</f>
        <v>Max qty</v>
      </c>
      <c r="C612" s="2"/>
      <c r="D612" s="2" t="str">
        <f>IFERROR(__xludf.DUMMYFUNCTION("""COMPUTED_VALUE"""),"मैक्स क्यूटी")</f>
        <v>मैक्स क्यूटी</v>
      </c>
      <c r="E612" s="2" t="str">
        <f>IFERROR(__xludf.DUMMYFUNCTION("""COMPUTED_VALUE"""),"litre")</f>
        <v>litre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 t="str">
        <f>IFERROR(__xludf.DUMMYFUNCTION("""COMPUTED_VALUE"""),"regularprice")</f>
        <v>regularprice</v>
      </c>
      <c r="B613" s="2" t="str">
        <f>IFERROR(__xludf.DUMMYFUNCTION("""COMPUTED_VALUE"""),"Regular Price")</f>
        <v>Regular Price</v>
      </c>
      <c r="C613" s="2">
        <f>IFERROR(__xludf.DUMMYFUNCTION("""COMPUTED_VALUE"""),0.3)</f>
        <v>0.3</v>
      </c>
      <c r="D613" s="2" t="str">
        <f>IFERROR(__xludf.DUMMYFUNCTION("""COMPUTED_VALUE"""),"नियमित रूप से मूल्य")</f>
        <v>नियमित रूप से मूल्य</v>
      </c>
      <c r="E613" s="2" t="str">
        <f>IFERROR(__xludf.DUMMYFUNCTION("""COMPUTED_VALUE"""),"mini qty")</f>
        <v>mini qty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 t="str">
        <f>IFERROR(__xludf.DUMMYFUNCTION("""COMPUTED_VALUE"""),"discountprice")</f>
        <v>discountprice</v>
      </c>
      <c r="B614" s="2" t="str">
        <f>IFERROR(__xludf.DUMMYFUNCTION("""COMPUTED_VALUE"""),"Discount Price")</f>
        <v>Discount Price</v>
      </c>
      <c r="C614" s="2">
        <f>IFERROR(__xludf.DUMMYFUNCTION("""COMPUTED_VALUE"""),0.3)</f>
        <v>0.3</v>
      </c>
      <c r="D614" s="2" t="str">
        <f>IFERROR(__xludf.DUMMYFUNCTION("""COMPUTED_VALUE"""),"डिस्काउंट कीमत")</f>
        <v>डिस्काउंट कीमत</v>
      </c>
      <c r="E614" s="2" t="str">
        <f>IFERROR(__xludf.DUMMYFUNCTION("""COMPUTED_VALUE"""),"adesh prati")</f>
        <v>adesh prati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 t="str">
        <f>IFERROR(__xludf.DUMMYFUNCTION("""COMPUTED_VALUE"""),"miniPrice")</f>
        <v>miniPrice</v>
      </c>
      <c r="B615" s="2" t="str">
        <f>IFERROR(__xludf.DUMMYFUNCTION("""COMPUTED_VALUE"""),"Mini price")</f>
        <v>Mini price</v>
      </c>
      <c r="C615" s="2"/>
      <c r="D615" s="2" t="str">
        <f>IFERROR(__xludf.DUMMYFUNCTION("""COMPUTED_VALUE"""),"अधिकतम मात्रा")</f>
        <v>अधिकतम मात्रा</v>
      </c>
      <c r="E615" s="2" t="str">
        <f>IFERROR(__xludf.DUMMYFUNCTION("""COMPUTED_VALUE"""),"max quantity")</f>
        <v>max quantity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 t="str">
        <f>IFERROR(__xludf.DUMMYFUNCTION("""COMPUTED_VALUE"""),"quantity")</f>
        <v>quantity</v>
      </c>
      <c r="B616" s="2" t="str">
        <f>IFERROR(__xludf.DUMMYFUNCTION("""COMPUTED_VALUE"""),"Quantity")</f>
        <v>Quantity</v>
      </c>
      <c r="C616" s="2">
        <f>IFERROR(__xludf.DUMMYFUNCTION("""COMPUTED_VALUE"""),0.3)</f>
        <v>0.3</v>
      </c>
      <c r="D616" s="2" t="str">
        <f>IFERROR(__xludf.DUMMYFUNCTION("""COMPUTED_VALUE"""),"मात्रा")</f>
        <v>मात्रा</v>
      </c>
      <c r="E616" s="2" t="str">
        <f>IFERROR(__xludf.DUMMYFUNCTION("""COMPUTED_VALUE"""),"niyamit roop se mulya")</f>
        <v>niyamit roop se mulya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 t="str">
        <f>IFERROR(__xludf.DUMMYFUNCTION("""COMPUTED_VALUE"""),"costPrice")</f>
        <v>costPrice</v>
      </c>
      <c r="B617" s="2" t="str">
        <f>IFERROR(__xludf.DUMMYFUNCTION("""COMPUTED_VALUE"""),"Cost Price")</f>
        <v>Cost Price</v>
      </c>
      <c r="C617" s="2">
        <f>IFERROR(__xludf.DUMMYFUNCTION("""COMPUTED_VALUE"""),0.3)</f>
        <v>0.3</v>
      </c>
      <c r="D617" s="2" t="str">
        <f>IFERROR(__xludf.DUMMYFUNCTION("""COMPUTED_VALUE"""),"लागत मूल्य")</f>
        <v>लागत मूल्य</v>
      </c>
      <c r="E617" s="2" t="str">
        <f>IFERROR(__xludf.DUMMYFUNCTION("""COMPUTED_VALUE"""),"discount mulya")</f>
        <v>discount mulya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 t="str">
        <f>IFERROR(__xludf.DUMMYFUNCTION("""COMPUTED_VALUE"""),"sku")</f>
        <v>sku</v>
      </c>
      <c r="B618" s="2" t="str">
        <f>IFERROR(__xludf.DUMMYFUNCTION("""COMPUTED_VALUE"""),"SKU")</f>
        <v>SKU</v>
      </c>
      <c r="C618" s="2">
        <f>IFERROR(__xludf.DUMMYFUNCTION("""COMPUTED_VALUE"""),0.3)</f>
        <v>0.3</v>
      </c>
      <c r="D618" s="2" t="str">
        <f>IFERROR(__xludf.DUMMYFUNCTION("""COMPUTED_VALUE"""),"स्कू")</f>
        <v>स्कू</v>
      </c>
      <c r="E618" s="2" t="str">
        <f>IFERROR(__xludf.DUMMYFUNCTION("""COMPUTED_VALUE"""),"mini kimat")</f>
        <v>mini kimat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 t="str">
        <f>IFERROR(__xludf.DUMMYFUNCTION("""COMPUTED_VALUE"""),"stockStatus")</f>
        <v>stockStatus</v>
      </c>
      <c r="B619" s="2" t="str">
        <f>IFERROR(__xludf.DUMMYFUNCTION("""COMPUTED_VALUE"""),"Stock Status")</f>
        <v>Stock Status</v>
      </c>
      <c r="C619" s="2">
        <f>IFERROR(__xludf.DUMMYFUNCTION("""COMPUTED_VALUE"""),0.3)</f>
        <v>0.3</v>
      </c>
      <c r="D619" s="2" t="str">
        <f>IFERROR(__xludf.DUMMYFUNCTION("""COMPUTED_VALUE"""),"स्टॉक की अवस्था")</f>
        <v>स्टॉक की अवस्था</v>
      </c>
      <c r="E619" s="2" t="str">
        <f>IFERROR(__xludf.DUMMYFUNCTION("""COMPUTED_VALUE"""),"matra")</f>
        <v>matra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 t="str">
        <f>IFERROR(__xludf.DUMMYFUNCTION("""COMPUTED_VALUE"""),"days")</f>
        <v>days</v>
      </c>
      <c r="B620" s="2" t="str">
        <f>IFERROR(__xludf.DUMMYFUNCTION("""COMPUTED_VALUE"""),"Days")</f>
        <v>Days</v>
      </c>
      <c r="C620" s="2">
        <f>IFERROR(__xludf.DUMMYFUNCTION("""COMPUTED_VALUE"""),0.3)</f>
        <v>0.3</v>
      </c>
      <c r="D620" s="2" t="str">
        <f>IFERROR(__xludf.DUMMYFUNCTION("""COMPUTED_VALUE"""),"दिन")</f>
        <v>दिन</v>
      </c>
      <c r="E620" s="2" t="str">
        <f>IFERROR(__xludf.DUMMYFUNCTION("""COMPUTED_VALUE"""),"lagat mulya")</f>
        <v>lagat mulya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 t="str">
        <f>IFERROR(__xludf.DUMMYFUNCTION("""COMPUTED_VALUE"""),"hours")</f>
        <v>hours</v>
      </c>
      <c r="B621" s="2" t="str">
        <f>IFERROR(__xludf.DUMMYFUNCTION("""COMPUTED_VALUE"""),"Hours")</f>
        <v>Hours</v>
      </c>
      <c r="C621" s="2">
        <f>IFERROR(__xludf.DUMMYFUNCTION("""COMPUTED_VALUE"""),0.3)</f>
        <v>0.3</v>
      </c>
      <c r="D621" s="2" t="str">
        <f>IFERROR(__xludf.DUMMYFUNCTION("""COMPUTED_VALUE"""),"घंटे")</f>
        <v>घंटे</v>
      </c>
      <c r="E621" s="2" t="str">
        <f>IFERROR(__xludf.DUMMYFUNCTION("""COMPUTED_VALUE"""),"sku")</f>
        <v>sku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 t="str">
        <f>IFERROR(__xludf.DUMMYFUNCTION("""COMPUTED_VALUE"""),"producAdded")</f>
        <v>producAdded</v>
      </c>
      <c r="B622" s="2" t="str">
        <f>IFERROR(__xludf.DUMMYFUNCTION("""COMPUTED_VALUE"""),"Product Added")</f>
        <v>Product Added</v>
      </c>
      <c r="C622" s="2"/>
      <c r="D622" s="2" t="str">
        <f>IFERROR(__xludf.DUMMYFUNCTION("""COMPUTED_VALUE"""),"उत्पाद जोड़ा गया")</f>
        <v>उत्पाद जोड़ा गया</v>
      </c>
      <c r="E622" s="2" t="str">
        <f>IFERROR(__xludf.DUMMYFUNCTION("""COMPUTED_VALUE"""),"stock ki awasta")</f>
        <v>stock ki awasta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 t="str">
        <f>IFERROR(__xludf.DUMMYFUNCTION("""COMPUTED_VALUE"""),"successfullyYay")</f>
        <v>successfullyYay</v>
      </c>
      <c r="B623" s="2" t="str">
        <f>IFERROR(__xludf.DUMMYFUNCTION("""COMPUTED_VALUE"""),"Successfully YAY")</f>
        <v>Successfully YAY</v>
      </c>
      <c r="C623" s="2"/>
      <c r="D623" s="2" t="str">
        <f>IFERROR(__xludf.DUMMYFUNCTION("""COMPUTED_VALUE"""),"सफलतापूर्वक याय")</f>
        <v>सफलतापूर्वक याय</v>
      </c>
      <c r="E623" s="2" t="str">
        <f>IFERROR(__xludf.DUMMYFUNCTION("""COMPUTED_VALUE"""),"din")</f>
        <v>din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 t="str">
        <f>IFERROR(__xludf.DUMMYFUNCTION("""COMPUTED_VALUE"""),"wouldYou")</f>
        <v>wouldYou</v>
      </c>
      <c r="B624" s="2" t="str">
        <f>IFERROR(__xludf.DUMMYFUNCTION("""COMPUTED_VALUE"""),"Would you ")</f>
        <v>Would you </v>
      </c>
      <c r="C624" s="2"/>
      <c r="D624" s="2" t="str">
        <f>IFERROR(__xludf.DUMMYFUNCTION("""COMPUTED_VALUE"""),"क्या आप अ")</f>
        <v>क्या आप अ</v>
      </c>
      <c r="E624" s="2" t="str">
        <f>IFERROR(__xludf.DUMMYFUNCTION("""COMPUTED_VALUE"""),"ghante")</f>
        <v>ghante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 t="str">
        <f>IFERROR(__xludf.DUMMYFUNCTION("""COMPUTED_VALUE"""),"likeTo")</f>
        <v>likeTo</v>
      </c>
      <c r="B625" s="2" t="str">
        <f>IFERROR(__xludf.DUMMYFUNCTION("""COMPUTED_VALUE"""),"like to")</f>
        <v>like to</v>
      </c>
      <c r="C625" s="2"/>
      <c r="D625" s="2" t="str">
        <f>IFERROR(__xludf.DUMMYFUNCTION("""COMPUTED_VALUE"""),"उसकी तरह")</f>
        <v>उसकी तरह</v>
      </c>
      <c r="E625" s="2" t="str">
        <f>IFERROR(__xludf.DUMMYFUNCTION("""COMPUTED_VALUE"""),"utpad joda gaya")</f>
        <v>utpad joda gaya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 t="str">
        <f>IFERROR(__xludf.DUMMYFUNCTION("""COMPUTED_VALUE"""),"moveTo")</f>
        <v>moveTo</v>
      </c>
      <c r="B626" s="2" t="str">
        <f>IFERROR(__xludf.DUMMYFUNCTION("""COMPUTED_VALUE"""),"move to")</f>
        <v>move to</v>
      </c>
      <c r="C626" s="2"/>
      <c r="D626" s="2" t="str">
        <f>IFERROR(__xludf.DUMMYFUNCTION("""COMPUTED_VALUE"""),"करने के लिए कदम")</f>
        <v>करने के लिए कदम</v>
      </c>
      <c r="E626" s="2" t="str">
        <f>IFERROR(__xludf.DUMMYFUNCTION("""COMPUTED_VALUE"""),"safalta purvak yaay")</f>
        <v>safalta purvak yaay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 t="str">
        <f>IFERROR(__xludf.DUMMYFUNCTION("""COMPUTED_VALUE"""),"ListedItem")</f>
        <v>ListedItem</v>
      </c>
      <c r="B627" s="2" t="str">
        <f>IFERROR(__xludf.DUMMYFUNCTION("""COMPUTED_VALUE"""),"Listed Item")</f>
        <v>Listed Item</v>
      </c>
      <c r="C627" s="2"/>
      <c r="D627" s="2" t="str">
        <f>IFERROR(__xludf.DUMMYFUNCTION("""COMPUTED_VALUE"""),"सूचीबद्ध आइटम")</f>
        <v>सूचीबद्ध आइटम</v>
      </c>
      <c r="E627" s="2" t="str">
        <f>IFERROR(__xludf.DUMMYFUNCTION("""COMPUTED_VALUE"""),"kya aap sha")</f>
        <v>kya aap sha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 t="str">
        <f>IFERROR(__xludf.DUMMYFUNCTION("""COMPUTED_VALUE"""),"areYouDelivering")</f>
        <v>areYouDelivering</v>
      </c>
      <c r="B628" s="2" t="str">
        <f>IFERROR(__xludf.DUMMYFUNCTION("""COMPUTED_VALUE"""),"Are you Delivering")</f>
        <v>Are you Delivering</v>
      </c>
      <c r="C628" s="2"/>
      <c r="D628" s="2" t="str">
        <f>IFERROR(__xludf.DUMMYFUNCTION("""COMPUTED_VALUE"""),"क्या आप वितरित कर रहे हैं?")</f>
        <v>क्या आप वितरित कर रहे हैं?</v>
      </c>
      <c r="E628" s="2" t="str">
        <f>IFERROR(__xludf.DUMMYFUNCTION("""COMPUTED_VALUE"""),"uski tarah")</f>
        <v>uski tarah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 t="str">
        <f>IFERROR(__xludf.DUMMYFUNCTION("""COMPUTED_VALUE"""),"paymentMethod")</f>
        <v>paymentMethod</v>
      </c>
      <c r="B629" s="2" t="str">
        <f>IFERROR(__xludf.DUMMYFUNCTION("""COMPUTED_VALUE"""),"Payment Method")</f>
        <v>Payment Method</v>
      </c>
      <c r="C629" s="2" t="str">
        <f>IFERROR(__xludf.DUMMYFUNCTION("""COMPUTED_VALUE"""),"0.4.1")</f>
        <v>0.4.1</v>
      </c>
      <c r="D629" s="2" t="str">
        <f>IFERROR(__xludf.DUMMYFUNCTION("""COMPUTED_VALUE"""),"भुगतान विधि")</f>
        <v>भुगतान विधि</v>
      </c>
      <c r="E629" s="2" t="str">
        <f>IFERROR(__xludf.DUMMYFUNCTION("""COMPUTED_VALUE"""),"karne k liye kadam")</f>
        <v>karne k liye kadam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 t="str">
        <f>IFERROR(__xludf.DUMMYFUNCTION("""COMPUTED_VALUE"""),"Categories")</f>
        <v>Categories</v>
      </c>
      <c r="B630" s="2" t="str">
        <f>IFERROR(__xludf.DUMMYFUNCTION("""COMPUTED_VALUE"""),"Categories")</f>
        <v>Categories</v>
      </c>
      <c r="C630" s="2">
        <f>IFERROR(__xludf.DUMMYFUNCTION("""COMPUTED_VALUE"""),0.3)</f>
        <v>0.3</v>
      </c>
      <c r="D630" s="2" t="str">
        <f>IFERROR(__xludf.DUMMYFUNCTION("""COMPUTED_VALUE"""),"श्रेणियाँ")</f>
        <v>श्रेणियाँ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 t="str">
        <f>IFERROR(__xludf.DUMMYFUNCTION("""COMPUTED_VALUE"""),"pickupAnd")</f>
        <v>pickupAnd</v>
      </c>
      <c r="B631" s="2" t="str">
        <f>IFERROR(__xludf.DUMMYFUNCTION("""COMPUTED_VALUE"""),"Pickup and")</f>
        <v>Pickup and</v>
      </c>
      <c r="C631" s="2"/>
      <c r="D631" s="2" t="str">
        <f>IFERROR(__xludf.DUMMYFUNCTION("""COMPUTED_VALUE"""),"पिकअप और")</f>
        <v>पिकअप और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 t="str">
        <f>IFERROR(__xludf.DUMMYFUNCTION("""COMPUTED_VALUE"""),"deliveryOptions")</f>
        <v>deliveryOptions</v>
      </c>
      <c r="B632" s="2" t="str">
        <f>IFERROR(__xludf.DUMMYFUNCTION("""COMPUTED_VALUE"""),"Delivery Options")</f>
        <v>Delivery Options</v>
      </c>
      <c r="C632" s="2"/>
      <c r="D632" s="2" t="str">
        <f>IFERROR(__xludf.DUMMYFUNCTION("""COMPUTED_VALUE"""),"वितरण विकल्प")</f>
        <v>वितरण विकल्प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 t="str">
        <f>IFERROR(__xludf.DUMMYFUNCTION("""COMPUTED_VALUE"""),"customerPickup")</f>
        <v>customerPickup</v>
      </c>
      <c r="B633" s="2" t="str">
        <f>IFERROR(__xludf.DUMMYFUNCTION("""COMPUTED_VALUE"""),"Customer Pickup")</f>
        <v>Customer Pickup</v>
      </c>
      <c r="C633" s="2"/>
      <c r="D633" s="2" t="str">
        <f>IFERROR(__xludf.DUMMYFUNCTION("""COMPUTED_VALUE"""),"ग्राहक बढ़ाना")</f>
        <v>ग्राहक बढ़ाना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 t="str">
        <f>IFERROR(__xludf.DUMMYFUNCTION("""COMPUTED_VALUE"""),"ownDelivery")</f>
        <v>ownDelivery</v>
      </c>
      <c r="B634" s="2" t="str">
        <f>IFERROR(__xludf.DUMMYFUNCTION("""COMPUTED_VALUE"""),"Own Delivery")</f>
        <v>Own Delivery</v>
      </c>
      <c r="C634" s="2"/>
      <c r="D634" s="2" t="str">
        <f>IFERROR(__xludf.DUMMYFUNCTION("""COMPUTED_VALUE"""),"अपनी सुपुर्दगी")</f>
        <v>अपनी सुपुर्दगी</v>
      </c>
      <c r="E634" s="2" t="str">
        <f>IFERROR(__xludf.DUMMYFUNCTION("""COMPUTED_VALUE"""),"pickup aur")</f>
        <v>pickup aur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 t="str">
        <f>IFERROR(__xludf.DUMMYFUNCTION("""COMPUTED_VALUE"""),"thirdParty")</f>
        <v>thirdParty</v>
      </c>
      <c r="B635" s="2" t="str">
        <f>IFERROR(__xludf.DUMMYFUNCTION("""COMPUTED_VALUE"""),"Third Party")</f>
        <v>Third Party</v>
      </c>
      <c r="C635" s="2"/>
      <c r="D635" s="2" t="str">
        <f>IFERROR(__xludf.DUMMYFUNCTION("""COMPUTED_VALUE"""),"तृतीय पक्ष")</f>
        <v>तृतीय पक्ष</v>
      </c>
      <c r="E635" s="2" t="str">
        <f>IFERROR(__xludf.DUMMYFUNCTION("""COMPUTED_VALUE"""),"vitran vikalp")</f>
        <v>vitran vikalp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 t="str">
        <f>IFERROR(__xludf.DUMMYFUNCTION("""COMPUTED_VALUE"""),"processingTime")</f>
        <v>processingTime</v>
      </c>
      <c r="B636" s="2" t="str">
        <f>IFERROR(__xludf.DUMMYFUNCTION("""COMPUTED_VALUE"""),"Processing Time")</f>
        <v>Processing Time</v>
      </c>
      <c r="C636" s="2"/>
      <c r="D636" s="2" t="str">
        <f>IFERROR(__xludf.DUMMYFUNCTION("""COMPUTED_VALUE"""),"प्रोसेसिंग समय")</f>
        <v>प्रोसेसिंग समय</v>
      </c>
      <c r="E636" s="2" t="str">
        <f>IFERROR(__xludf.DUMMYFUNCTION("""COMPUTED_VALUE"""),"grahak badhana")</f>
        <v>grahak badhana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 t="str">
        <f>IFERROR(__xludf.DUMMYFUNCTION("""COMPUTED_VALUE"""),"pickupSlots")</f>
        <v>pickupSlots</v>
      </c>
      <c r="B637" s="2" t="str">
        <f>IFERROR(__xludf.DUMMYFUNCTION("""COMPUTED_VALUE"""),"Pickup Slots")</f>
        <v>Pickup Slots</v>
      </c>
      <c r="C637" s="2"/>
      <c r="D637" s="2" t="str">
        <f>IFERROR(__xludf.DUMMYFUNCTION("""COMPUTED_VALUE"""),"पिकअप स्लॉट")</f>
        <v>पिकअप स्लॉट</v>
      </c>
      <c r="E637" s="2" t="str">
        <f>IFERROR(__xludf.DUMMYFUNCTION("""COMPUTED_VALUE"""),"apni supurdargi")</f>
        <v>apni supurdargi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 t="str">
        <f>IFERROR(__xludf.DUMMYFUNCTION("""COMPUTED_VALUE"""),"startTime")</f>
        <v>startTime</v>
      </c>
      <c r="B638" s="2" t="str">
        <f>IFERROR(__xludf.DUMMYFUNCTION("""COMPUTED_VALUE"""),"Start Time")</f>
        <v>Start Time</v>
      </c>
      <c r="C638" s="2"/>
      <c r="D638" s="2" t="str">
        <f>IFERROR(__xludf.DUMMYFUNCTION("""COMPUTED_VALUE"""),"समय शुरू")</f>
        <v>समय शुरू</v>
      </c>
      <c r="E638" s="2" t="str">
        <f>IFERROR(__xludf.DUMMYFUNCTION("""COMPUTED_VALUE"""),"trutiya paksh")</f>
        <v>trutiya paksh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 t="str">
        <f>IFERROR(__xludf.DUMMYFUNCTION("""COMPUTED_VALUE"""),"endTime")</f>
        <v>endTime</v>
      </c>
      <c r="B639" s="2" t="str">
        <f>IFERROR(__xludf.DUMMYFUNCTION("""COMPUTED_VALUE"""),"End Time")</f>
        <v>End Time</v>
      </c>
      <c r="C639" s="2"/>
      <c r="D639" s="2" t="str">
        <f>IFERROR(__xludf.DUMMYFUNCTION("""COMPUTED_VALUE"""),"अंत समय")</f>
        <v>अंत समय</v>
      </c>
      <c r="E639" s="2" t="str">
        <f>IFERROR(__xludf.DUMMYFUNCTION("""COMPUTED_VALUE"""),"processing samay")</f>
        <v>processing samay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 t="str">
        <f>IFERROR(__xludf.DUMMYFUNCTION("""COMPUTED_VALUE"""),"capacity")</f>
        <v>capacity</v>
      </c>
      <c r="B640" s="2" t="str">
        <f>IFERROR(__xludf.DUMMYFUNCTION("""COMPUTED_VALUE"""),"Capacity")</f>
        <v>Capacity</v>
      </c>
      <c r="C640" s="2"/>
      <c r="D640" s="2" t="str">
        <f>IFERROR(__xludf.DUMMYFUNCTION("""COMPUTED_VALUE"""),"क्षमता")</f>
        <v>क्षमता</v>
      </c>
      <c r="E640" s="2" t="str">
        <f>IFERROR(__xludf.DUMMYFUNCTION("""COMPUTED_VALUE"""),"pickup slot")</f>
        <v>pickup slot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 t="str">
        <f>IFERROR(__xludf.DUMMYFUNCTION("""COMPUTED_VALUE"""),"save")</f>
        <v>save</v>
      </c>
      <c r="B641" s="2" t="str">
        <f>IFERROR(__xludf.DUMMYFUNCTION("""COMPUTED_VALUE"""),"Save")</f>
        <v>Save</v>
      </c>
      <c r="C641" s="2">
        <f>IFERROR(__xludf.DUMMYFUNCTION("""COMPUTED_VALUE"""),0.3)</f>
        <v>0.3</v>
      </c>
      <c r="D641" s="2" t="str">
        <f>IFERROR(__xludf.DUMMYFUNCTION("""COMPUTED_VALUE"""),"बचाना")</f>
        <v>बचाना</v>
      </c>
      <c r="E641" s="2" t="str">
        <f>IFERROR(__xludf.DUMMYFUNCTION("""COMPUTED_VALUE"""),"samay shuru")</f>
        <v>samay shuru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 t="str">
        <f>IFERROR(__xludf.DUMMYFUNCTION("""COMPUTED_VALUE"""),"delete")</f>
        <v>delete</v>
      </c>
      <c r="B642" s="2" t="str">
        <f>IFERROR(__xludf.DUMMYFUNCTION("""COMPUTED_VALUE"""),"Delete")</f>
        <v>Delete</v>
      </c>
      <c r="C642" s="2">
        <f>IFERROR(__xludf.DUMMYFUNCTION("""COMPUTED_VALUE"""),0.3)</f>
        <v>0.3</v>
      </c>
      <c r="D642" s="2" t="str">
        <f>IFERROR(__xludf.DUMMYFUNCTION("""COMPUTED_VALUE"""),"मिटाना")</f>
        <v>मिटाना</v>
      </c>
      <c r="E642" s="2" t="str">
        <f>IFERROR(__xludf.DUMMYFUNCTION("""COMPUTED_VALUE"""),"ant samay")</f>
        <v>ant samay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 t="str">
        <f>IFERROR(__xludf.DUMMYFUNCTION("""COMPUTED_VALUE"""),"distanceCovers")</f>
        <v>distanceCovers</v>
      </c>
      <c r="B643" s="2" t="str">
        <f>IFERROR(__xludf.DUMMYFUNCTION("""COMPUTED_VALUE"""),"Distance covers")</f>
        <v>Distance covers</v>
      </c>
      <c r="C643" s="2"/>
      <c r="D643" s="2" t="str">
        <f>IFERROR(__xludf.DUMMYFUNCTION("""COMPUTED_VALUE"""),"दूरी कवर")</f>
        <v>दूरी कवर</v>
      </c>
      <c r="E643" s="2" t="str">
        <f>IFERROR(__xludf.DUMMYFUNCTION("""COMPUTED_VALUE"""),"shamta")</f>
        <v>shamta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 t="str">
        <f>IFERROR(__xludf.DUMMYFUNCTION("""COMPUTED_VALUE"""),"deliveryCharge")</f>
        <v>deliveryCharge</v>
      </c>
      <c r="B644" s="2" t="str">
        <f>IFERROR(__xludf.DUMMYFUNCTION("""COMPUTED_VALUE"""),"Delivery Charge")</f>
        <v>Delivery Charge</v>
      </c>
      <c r="C644" s="2"/>
      <c r="D644" s="2" t="str">
        <f>IFERROR(__xludf.DUMMYFUNCTION("""COMPUTED_VALUE"""),"वितरण शुल्क")</f>
        <v>वितरण शुल्क</v>
      </c>
      <c r="E644" s="2" t="str">
        <f>IFERROR(__xludf.DUMMYFUNCTION("""COMPUTED_VALUE"""),"bachna")</f>
        <v>bachna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 t="str">
        <f>IFERROR(__xludf.DUMMYFUNCTION("""COMPUTED_VALUE"""),"City/Ward/District")</f>
        <v>City/Ward/District</v>
      </c>
      <c r="B645" s="2" t="str">
        <f>IFERROR(__xludf.DUMMYFUNCTION("""COMPUTED_VALUE"""),"City/Ward/District")</f>
        <v>City/Ward/District</v>
      </c>
      <c r="C645" s="2">
        <f>IFERROR(__xludf.DUMMYFUNCTION("""COMPUTED_VALUE"""),0.3)</f>
        <v>0.3</v>
      </c>
      <c r="D645" s="2" t="str">
        <f>IFERROR(__xludf.DUMMYFUNCTION("""COMPUTED_VALUE"""),"शहर/वार्ड/जिला")</f>
        <v>शहर/वार्ड/जिला</v>
      </c>
      <c r="E645" s="2" t="str">
        <f>IFERROR(__xludf.DUMMYFUNCTION("""COMPUTED_VALUE"""),"mitana")</f>
        <v>mitana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 t="str">
        <f>IFERROR(__xludf.DUMMYFUNCTION("""COMPUTED_VALUE"""),"onOrder")</f>
        <v>onOrder</v>
      </c>
      <c r="B646" s="2" t="str">
        <f>IFERROR(__xludf.DUMMYFUNCTION("""COMPUTED_VALUE"""),"on Order")</f>
        <v>on Order</v>
      </c>
      <c r="C646" s="2"/>
      <c r="D646" s="2" t="str">
        <f>IFERROR(__xludf.DUMMYFUNCTION("""COMPUTED_VALUE"""),"आदेश पर")</f>
        <v>आदेश पर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 t="str">
        <f>IFERROR(__xludf.DUMMYFUNCTION("""COMPUTED_VALUE"""),"totalemployeesfound ")</f>
        <v>totalemployeesfound </v>
      </c>
      <c r="B647" s="2" t="str">
        <f>IFERROR(__xludf.DUMMYFUNCTION("""COMPUTED_VALUE"""),"Total Employees Found ")</f>
        <v>Total Employees Found </v>
      </c>
      <c r="C647" s="2">
        <f>IFERROR(__xludf.DUMMYFUNCTION("""COMPUTED_VALUE"""),0.3)</f>
        <v>0.3</v>
      </c>
      <c r="D647" s="2" t="str">
        <f>IFERROR(__xludf.DUMMYFUNCTION("""COMPUTED_VALUE"""),"कुल कर्मचारी पाए गए")</f>
        <v>कुल कर्मचारी पाए गए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 t="str">
        <f>IFERROR(__xludf.DUMMYFUNCTION("""COMPUTED_VALUE"""),"enableFree")</f>
        <v>enableFree</v>
      </c>
      <c r="B648" s="2" t="str">
        <f>IFERROR(__xludf.DUMMYFUNCTION("""COMPUTED_VALUE"""),"Enable Free")</f>
        <v>Enable Free</v>
      </c>
      <c r="C648" s="2"/>
      <c r="D648" s="2" t="str">
        <f>IFERROR(__xludf.DUMMYFUNCTION("""COMPUTED_VALUE"""),"मुक्त सक्षम करें")</f>
        <v>मुक्त सक्षम करें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 t="str">
        <f>IFERROR(__xludf.DUMMYFUNCTION("""COMPUTED_VALUE"""),"shipping")</f>
        <v>shipping</v>
      </c>
      <c r="B649" s="2" t="str">
        <f>IFERROR(__xludf.DUMMYFUNCTION("""COMPUTED_VALUE"""),"Shipping")</f>
        <v>Shipping</v>
      </c>
      <c r="C649" s="2"/>
      <c r="D649" s="2" t="str">
        <f>IFERROR(__xludf.DUMMYFUNCTION("""COMPUTED_VALUE"""),"शिपिंग")</f>
        <v>शिपिंग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 t="str">
        <f>IFERROR(__xludf.DUMMYFUNCTION("""COMPUTED_VALUE"""),"availOur")</f>
        <v>availOur</v>
      </c>
      <c r="B650" s="2" t="str">
        <f>IFERROR(__xludf.DUMMYFUNCTION("""COMPUTED_VALUE"""),"Avail Our")</f>
        <v>Avail Our</v>
      </c>
      <c r="C650" s="2"/>
      <c r="D650" s="2" t="str">
        <f>IFERROR(__xludf.DUMMYFUNCTION("""COMPUTED_VALUE"""),"हमारा लाभ उठाएं")</f>
        <v>हमारा लाभ उठाएं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 t="str">
        <f>IFERROR(__xludf.DUMMYFUNCTION("""COMPUTED_VALUE"""),"deliveryService")</f>
        <v>deliveryService</v>
      </c>
      <c r="B651" s="2" t="str">
        <f>IFERROR(__xludf.DUMMYFUNCTION("""COMPUTED_VALUE"""),"Delivery Service")</f>
        <v>Delivery Service</v>
      </c>
      <c r="C651" s="2"/>
      <c r="D651" s="2" t="str">
        <f>IFERROR(__xludf.DUMMYFUNCTION("""COMPUTED_VALUE"""),"वितरण सेवा")</f>
        <v>वितरण सेवा</v>
      </c>
      <c r="E651" s="2" t="str">
        <f>IFERROR(__xludf.DUMMYFUNCTION("""COMPUTED_VALUE"""),"mukt sakhsham kare")</f>
        <v>mukt sakhsham kare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 t="str">
        <f>IFERROR(__xludf.DUMMYFUNCTION("""COMPUTED_VALUE"""),"AcceptedOrderDetails")</f>
        <v>AcceptedOrderDetails</v>
      </c>
      <c r="B652" s="2" t="str">
        <f>IFERROR(__xludf.DUMMYFUNCTION("""COMPUTED_VALUE"""),"Accepted Order Details")</f>
        <v>Accepted Order Details</v>
      </c>
      <c r="C652" s="2">
        <f>IFERROR(__xludf.DUMMYFUNCTION("""COMPUTED_VALUE"""),0.3)</f>
        <v>0.3</v>
      </c>
      <c r="D652" s="2" t="str">
        <f>IFERROR(__xludf.DUMMYFUNCTION("""COMPUTED_VALUE"""),"स्वीकृत आदेश विवरण")</f>
        <v>स्वीकृत आदेश विवरण</v>
      </c>
      <c r="E652" s="2" t="str">
        <f>IFERROR(__xludf.DUMMYFUNCTION("""COMPUTED_VALUE"""),"shipping")</f>
        <v>shipping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 t="str">
        <f>IFERROR(__xludf.DUMMYFUNCTION("""COMPUTED_VALUE"""),"finalThoughts")</f>
        <v>finalThoughts</v>
      </c>
      <c r="B653" s="2" t="str">
        <f>IFERROR(__xludf.DUMMYFUNCTION("""COMPUTED_VALUE"""),"Final Thoughts")</f>
        <v>Final Thoughts</v>
      </c>
      <c r="C653" s="2"/>
      <c r="D653" s="2" t="str">
        <f>IFERROR(__xludf.DUMMYFUNCTION("""COMPUTED_VALUE"""),"अंतिम विचार")</f>
        <v>अंतिम विचार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 t="str">
        <f>IFERROR(__xludf.DUMMYFUNCTION("""COMPUTED_VALUE"""),"itemsfor")</f>
        <v>itemsfor</v>
      </c>
      <c r="B654" s="2" t="str">
        <f>IFERROR(__xludf.DUMMYFUNCTION("""COMPUTED_VALUE"""),"Items For")</f>
        <v>Items For</v>
      </c>
      <c r="C654" s="2">
        <f>IFERROR(__xludf.DUMMYFUNCTION("""COMPUTED_VALUE"""),0.4)</f>
        <v>0.4</v>
      </c>
      <c r="D654" s="2" t="str">
        <f>IFERROR(__xludf.DUMMYFUNCTION("""COMPUTED_VALUE"""),"के लिए आइटम")</f>
        <v>के लिए आइटम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 t="str">
        <f>IFERROR(__xludf.DUMMYFUNCTION("""COMPUTED_VALUE"""),"Doyouwanttoprocessingtheorder")</f>
        <v>Doyouwanttoprocessingtheorder</v>
      </c>
      <c r="B655" s="2" t="str">
        <f>IFERROR(__xludf.DUMMYFUNCTION("""COMPUTED_VALUE"""),"Do you want to processing the order?")</f>
        <v>Do you want to processing the order?</v>
      </c>
      <c r="C655" s="2">
        <f>IFERROR(__xludf.DUMMYFUNCTION("""COMPUTED_VALUE"""),0.3)</f>
        <v>0.3</v>
      </c>
      <c r="D655" s="2" t="str">
        <f>IFERROR(__xludf.DUMMYFUNCTION("""COMPUTED_VALUE"""),"क्या आप ऑर्डर को संसाधित करना चाहते हैं?")</f>
        <v>क्या आप ऑर्डर को संसाधित करना चाहते हैं?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 t="str">
        <f>IFERROR(__xludf.DUMMYFUNCTION("""COMPUTED_VALUE"""),"ReadyOrderDetails")</f>
        <v>ReadyOrderDetails</v>
      </c>
      <c r="B656" s="2" t="str">
        <f>IFERROR(__xludf.DUMMYFUNCTION("""COMPUTED_VALUE"""),"Ready Order Details")</f>
        <v>Ready Order Details</v>
      </c>
      <c r="C656" s="2">
        <f>IFERROR(__xludf.DUMMYFUNCTION("""COMPUTED_VALUE"""),0.3)</f>
        <v>0.3</v>
      </c>
      <c r="D656" s="2" t="str">
        <f>IFERROR(__xludf.DUMMYFUNCTION("""COMPUTED_VALUE"""),"तैयार आदेश विवरण")</f>
        <v>तैयार आदेश विवरण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 t="str">
        <f>IFERROR(__xludf.DUMMYFUNCTION("""COMPUTED_VALUE"""),"SearchLanguage ")</f>
        <v>SearchLanguage </v>
      </c>
      <c r="B657" s="2" t="str">
        <f>IFERROR(__xludf.DUMMYFUNCTION("""COMPUTED_VALUE"""),"Language ")</f>
        <v>Language </v>
      </c>
      <c r="C657" s="2">
        <f>IFERROR(__xludf.DUMMYFUNCTION("""COMPUTED_VALUE"""),0.1)</f>
        <v>0.1</v>
      </c>
      <c r="D657" s="2" t="str">
        <f>IFERROR(__xludf.DUMMYFUNCTION("""COMPUTED_VALUE"""),"भाषा  चुनें ")</f>
        <v>भाषा  चुनें 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 t="str">
        <f>IFERROR(__xludf.DUMMYFUNCTION("""COMPUTED_VALUE"""),"uploadbplcard")</f>
        <v>uploadbplcard</v>
      </c>
      <c r="B658" s="2" t="str">
        <f>IFERROR(__xludf.DUMMYFUNCTION("""COMPUTED_VALUE"""),"Upload BPL Card")</f>
        <v>Upload BPL Card</v>
      </c>
      <c r="C658" s="2">
        <f>IFERROR(__xludf.DUMMYFUNCTION("""COMPUTED_VALUE"""),0.1)</f>
        <v>0.1</v>
      </c>
      <c r="D658" s="2" t="str">
        <f>IFERROR(__xludf.DUMMYFUNCTION("""COMPUTED_VALUE"""),"बीपीएल कार्ड अपलोड करें")</f>
        <v>बीपीएल कार्ड अपलोड करें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 t="str">
        <f>IFERROR(__xludf.DUMMYFUNCTION("""COMPUTED_VALUE"""),"skipfornow")</f>
        <v>skipfornow</v>
      </c>
      <c r="B659" s="2" t="str">
        <f>IFERROR(__xludf.DUMMYFUNCTION("""COMPUTED_VALUE"""),"Skip Now")</f>
        <v>Skip Now</v>
      </c>
      <c r="C659" s="2">
        <f>IFERROR(__xludf.DUMMYFUNCTION("""COMPUTED_VALUE"""),0.1)</f>
        <v>0.1</v>
      </c>
      <c r="D659" s="2" t="str">
        <f>IFERROR(__xludf.DUMMYFUNCTION("""COMPUTED_VALUE"""),"अब छोड़ देना")</f>
        <v>अब छोड़ देना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 t="str">
        <f>IFERROR(__xludf.DUMMYFUNCTION("""COMPUTED_VALUE"""),"orderId")</f>
        <v>orderId</v>
      </c>
      <c r="B660" s="2" t="str">
        <f>IFERROR(__xludf.DUMMYFUNCTION("""COMPUTED_VALUE"""),"Order ID")</f>
        <v>Order ID</v>
      </c>
      <c r="C660" s="2">
        <f>IFERROR(__xludf.DUMMYFUNCTION("""COMPUTED_VALUE"""),0.2)</f>
        <v>0.2</v>
      </c>
      <c r="D660" s="2" t="str">
        <f>IFERROR(__xludf.DUMMYFUNCTION("""COMPUTED_VALUE"""),"आदेश कामतत्व")</f>
        <v>आदेश कामतत्व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 t="str">
        <f>IFERROR(__xludf.DUMMYFUNCTION("""COMPUTED_VALUE"""),"Addressdetail")</f>
        <v>Addressdetail</v>
      </c>
      <c r="B661" s="2" t="str">
        <f>IFERROR(__xludf.DUMMYFUNCTION("""COMPUTED_VALUE"""),"Address Detail")</f>
        <v>Address Detail</v>
      </c>
      <c r="C661" s="2">
        <f>IFERROR(__xludf.DUMMYFUNCTION("""COMPUTED_VALUE"""),0.1)</f>
        <v>0.1</v>
      </c>
      <c r="D661" s="2" t="str">
        <f>IFERROR(__xludf.DUMMYFUNCTION("""COMPUTED_VALUE"""),"पता विवरण")</f>
        <v>पता विवरण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 t="str">
        <f>IFERROR(__xludf.DUMMYFUNCTION("""COMPUTED_VALUE"""),"PanProof")</f>
        <v>PanProof</v>
      </c>
      <c r="B662" s="2" t="str">
        <f>IFERROR(__xludf.DUMMYFUNCTION("""COMPUTED_VALUE"""),"PAN Proof")</f>
        <v>PAN Proof</v>
      </c>
      <c r="C662" s="2">
        <f>IFERROR(__xludf.DUMMYFUNCTION("""COMPUTED_VALUE"""),0.1)</f>
        <v>0.1</v>
      </c>
      <c r="D662" s="2" t="str">
        <f>IFERROR(__xludf.DUMMYFUNCTION("""COMPUTED_VALUE"""),"पैन प्रूफ")</f>
        <v>पैन प्रूफ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 t="str">
        <f>IFERROR(__xludf.DUMMYFUNCTION("""COMPUTED_VALUE"""),"Nameasperpancard")</f>
        <v>Nameasperpancard</v>
      </c>
      <c r="B663" s="2" t="str">
        <f>IFERROR(__xludf.DUMMYFUNCTION("""COMPUTED_VALUE"""),"Name as Per Pan Card ")</f>
        <v>Name as Per Pan Card </v>
      </c>
      <c r="C663" s="2">
        <f>IFERROR(__xludf.DUMMYFUNCTION("""COMPUTED_VALUE"""),0.1)</f>
        <v>0.1</v>
      </c>
      <c r="D663" s="2" t="str">
        <f>IFERROR(__xludf.DUMMYFUNCTION("""COMPUTED_VALUE"""),"पैन कार्ड के अनुसार नाम")</f>
        <v>पैन कार्ड के अनुसार नाम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 t="str">
        <f>IFERROR(__xludf.DUMMYFUNCTION("""COMPUTED_VALUE"""),"FixedRetailershop")</f>
        <v>FixedRetailershop</v>
      </c>
      <c r="B664" s="2" t="str">
        <f>IFERROR(__xludf.DUMMYFUNCTION("""COMPUTED_VALUE"""),"Fixed Retailer Shop")</f>
        <v>Fixed Retailer Shop</v>
      </c>
      <c r="C664" s="2">
        <f>IFERROR(__xludf.DUMMYFUNCTION("""COMPUTED_VALUE"""),0.1)</f>
        <v>0.1</v>
      </c>
      <c r="D664" s="2" t="str">
        <f>IFERROR(__xludf.DUMMYFUNCTION("""COMPUTED_VALUE"""),"नियत रिटेलर दुकान")</f>
        <v>नियत रिटेलर दुकान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 t="str">
        <f>IFERROR(__xludf.DUMMYFUNCTION("""COMPUTED_VALUE"""),"MobileRetailershop ")</f>
        <v>MobileRetailershop </v>
      </c>
      <c r="B665" s="2" t="str">
        <f>IFERROR(__xludf.DUMMYFUNCTION("""COMPUTED_VALUE"""),"Mobile Retailer Shop ")</f>
        <v>Mobile Retailer Shop </v>
      </c>
      <c r="C665" s="2">
        <f>IFERROR(__xludf.DUMMYFUNCTION("""COMPUTED_VALUE"""),0.1)</f>
        <v>0.1</v>
      </c>
      <c r="D665" s="2" t="str">
        <f>IFERROR(__xludf.DUMMYFUNCTION("""COMPUTED_VALUE"""),"मोबाइल रिटेलर दुकान")</f>
        <v>मोबाइल रिटेलर दुकान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 t="str">
        <f>IFERROR(__xludf.DUMMYFUNCTION("""COMPUTED_VALUE"""),"Iown ")</f>
        <v>Iown </v>
      </c>
      <c r="B666" s="2" t="str">
        <f>IFERROR(__xludf.DUMMYFUNCTION("""COMPUTED_VALUE"""),"I Own ")</f>
        <v>I Own </v>
      </c>
      <c r="C666" s="2">
        <f>IFERROR(__xludf.DUMMYFUNCTION("""COMPUTED_VALUE"""),0.1)</f>
        <v>0.1</v>
      </c>
      <c r="D666" s="2" t="str">
        <f>IFERROR(__xludf.DUMMYFUNCTION("""COMPUTED_VALUE"""),"मैं खुद")</f>
        <v>मैं खुद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 t="str">
        <f>IFERROR(__xludf.DUMMYFUNCTION("""COMPUTED_VALUE"""),"Membershipplan ")</f>
        <v>Membershipplan </v>
      </c>
      <c r="B667" s="2" t="str">
        <f>IFERROR(__xludf.DUMMYFUNCTION("""COMPUTED_VALUE"""),"Membership Plan ")</f>
        <v>Membership Plan </v>
      </c>
      <c r="C667" s="2">
        <f>IFERROR(__xludf.DUMMYFUNCTION("""COMPUTED_VALUE"""),0.1)</f>
        <v>0.1</v>
      </c>
      <c r="D667" s="2" t="str">
        <f>IFERROR(__xludf.DUMMYFUNCTION("""COMPUTED_VALUE"""),"सदस्यता योजना")</f>
        <v>सदस्यता योजना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 t="str">
        <f>IFERROR(__xludf.DUMMYFUNCTION("""COMPUTED_VALUE"""),"PerMonth")</f>
        <v>PerMonth</v>
      </c>
      <c r="B668" s="2" t="str">
        <f>IFERROR(__xludf.DUMMYFUNCTION("""COMPUTED_VALUE"""),"Per Month")</f>
        <v>Per Month</v>
      </c>
      <c r="C668" s="2">
        <f>IFERROR(__xludf.DUMMYFUNCTION("""COMPUTED_VALUE"""),0.1)</f>
        <v>0.1</v>
      </c>
      <c r="D668" s="2" t="str">
        <f>IFERROR(__xludf.DUMMYFUNCTION("""COMPUTED_VALUE"""),"प्रति महीने")</f>
        <v>प्रति महीने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 t="str">
        <f>IFERROR(__xludf.DUMMYFUNCTION("""COMPUTED_VALUE"""),"Basic")</f>
        <v>Basic</v>
      </c>
      <c r="B669" s="2" t="str">
        <f>IFERROR(__xludf.DUMMYFUNCTION("""COMPUTED_VALUE"""),"Basic")</f>
        <v>Basic</v>
      </c>
      <c r="C669" s="2">
        <f>IFERROR(__xludf.DUMMYFUNCTION("""COMPUTED_VALUE"""),0.1)</f>
        <v>0.1</v>
      </c>
      <c r="D669" s="2" t="str">
        <f>IFERROR(__xludf.DUMMYFUNCTION("""COMPUTED_VALUE"""),"बुनियादी")</f>
        <v>बुनियादी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 t="str">
        <f>IFERROR(__xludf.DUMMYFUNCTION("""COMPUTED_VALUE"""),"Onlineshopspace")</f>
        <v>Onlineshopspace</v>
      </c>
      <c r="B670" s="2" t="str">
        <f>IFERROR(__xludf.DUMMYFUNCTION("""COMPUTED_VALUE"""),"Online Shop Space")</f>
        <v>Online Shop Space</v>
      </c>
      <c r="C670" s="2">
        <f>IFERROR(__xludf.DUMMYFUNCTION("""COMPUTED_VALUE"""),0.1)</f>
        <v>0.1</v>
      </c>
      <c r="D670" s="2" t="str">
        <f>IFERROR(__xludf.DUMMYFUNCTION("""COMPUTED_VALUE"""),"ऑनलाइन दुकान स्थान")</f>
        <v>ऑनलाइन दुकान स्थान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 t="str">
        <f>IFERROR(__xludf.DUMMYFUNCTION("""COMPUTED_VALUE"""),"Sell/purchase ")</f>
        <v>Sell/purchase </v>
      </c>
      <c r="B671" s="2" t="str">
        <f>IFERROR(__xludf.DUMMYFUNCTION("""COMPUTED_VALUE"""),"Sell/Purchase ")</f>
        <v>Sell/Purchase </v>
      </c>
      <c r="C671" s="2">
        <f>IFERROR(__xludf.DUMMYFUNCTION("""COMPUTED_VALUE"""),0.1)</f>
        <v>0.1</v>
      </c>
      <c r="D671" s="2" t="str">
        <f>IFERROR(__xludf.DUMMYFUNCTION("""COMPUTED_VALUE"""),"बेचना/खरीद")</f>
        <v>बेचना/खरीद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 t="str">
        <f>IFERROR(__xludf.DUMMYFUNCTION("""COMPUTED_VALUE"""),"Creditmanagement")</f>
        <v>Creditmanagement</v>
      </c>
      <c r="B672" s="2" t="str">
        <f>IFERROR(__xludf.DUMMYFUNCTION("""COMPUTED_VALUE"""),"Credit Management")</f>
        <v>Credit Management</v>
      </c>
      <c r="C672" s="2">
        <f>IFERROR(__xludf.DUMMYFUNCTION("""COMPUTED_VALUE"""),0.1)</f>
        <v>0.1</v>
      </c>
      <c r="D672" s="2" t="str">
        <f>IFERROR(__xludf.DUMMYFUNCTION("""COMPUTED_VALUE"""),"ऑनलाइन दुकान स्थान")</f>
        <v>ऑनलाइन दुकान स्थान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 t="str">
        <f>IFERROR(__xludf.DUMMYFUNCTION("""COMPUTED_VALUE"""),"Owndelivery ")</f>
        <v>Owndelivery </v>
      </c>
      <c r="B673" s="2" t="str">
        <f>IFERROR(__xludf.DUMMYFUNCTION("""COMPUTED_VALUE"""),"Own Delivery ")</f>
        <v>Own Delivery </v>
      </c>
      <c r="C673" s="2">
        <f>IFERROR(__xludf.DUMMYFUNCTION("""COMPUTED_VALUE"""),0.1)</f>
        <v>0.1</v>
      </c>
      <c r="D673" s="2" t="str">
        <f>IFERROR(__xludf.DUMMYFUNCTION("""COMPUTED_VALUE"""),"अपनी सुपुर्दगी")</f>
        <v>अपनी सुपुर्दगी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 t="str">
        <f>IFERROR(__xludf.DUMMYFUNCTION("""COMPUTED_VALUE"""),"Onlinepayment ")</f>
        <v>Onlinepayment </v>
      </c>
      <c r="B674" s="2" t="str">
        <f>IFERROR(__xludf.DUMMYFUNCTION("""COMPUTED_VALUE"""),"Online Payment ")</f>
        <v>Online Payment </v>
      </c>
      <c r="C674" s="2">
        <f>IFERROR(__xludf.DUMMYFUNCTION("""COMPUTED_VALUE"""),0.1)</f>
        <v>0.1</v>
      </c>
      <c r="D674" s="2" t="str">
        <f>IFERROR(__xludf.DUMMYFUNCTION("""COMPUTED_VALUE"""),"ऑनलाइन भुगतान")</f>
        <v>ऑनलाइन भुगतान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 t="str">
        <f>IFERROR(__xludf.DUMMYFUNCTION("""COMPUTED_VALUE"""),"cataloguemanagement")</f>
        <v>cataloguemanagement</v>
      </c>
      <c r="B675" s="2" t="str">
        <f>IFERROR(__xludf.DUMMYFUNCTION("""COMPUTED_VALUE"""),"Catalogue Management")</f>
        <v>Catalogue Management</v>
      </c>
      <c r="C675" s="2">
        <f>IFERROR(__xludf.DUMMYFUNCTION("""COMPUTED_VALUE"""),0.1)</f>
        <v>0.1</v>
      </c>
      <c r="D675" s="2" t="str">
        <f>IFERROR(__xludf.DUMMYFUNCTION("""COMPUTED_VALUE"""),"सूची प्रबंधन")</f>
        <v>सूची प्रबंधन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 t="str">
        <f>IFERROR(__xludf.DUMMYFUNCTION("""COMPUTED_VALUE"""),"PerOrderManagement ")</f>
        <v>PerOrderManagement </v>
      </c>
      <c r="B676" s="2" t="str">
        <f>IFERROR(__xludf.DUMMYFUNCTION("""COMPUTED_VALUE"""),"Per Order Management ")</f>
        <v>Per Order Management </v>
      </c>
      <c r="C676" s="2">
        <f>IFERROR(__xludf.DUMMYFUNCTION("""COMPUTED_VALUE"""),0.1)</f>
        <v>0.1</v>
      </c>
      <c r="D676" s="2" t="str">
        <f>IFERROR(__xludf.DUMMYFUNCTION("""COMPUTED_VALUE"""),"प्रति आदेश प्रबंधन")</f>
        <v>प्रति आदेश प्रबंधन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 t="str">
        <f>IFERROR(__xludf.DUMMYFUNCTION("""COMPUTED_VALUE"""),"Managecustomers ")</f>
        <v>Managecustomers </v>
      </c>
      <c r="B677" s="2" t="str">
        <f>IFERROR(__xludf.DUMMYFUNCTION("""COMPUTED_VALUE"""),"Manage Customers ")</f>
        <v>Manage Customers </v>
      </c>
      <c r="C677" s="2">
        <f>IFERROR(__xludf.DUMMYFUNCTION("""COMPUTED_VALUE"""),0.1)</f>
        <v>0.1</v>
      </c>
      <c r="D677" s="2" t="str">
        <f>IFERROR(__xludf.DUMMYFUNCTION("""COMPUTED_VALUE"""),"कैटलॉग प्रबंधन")</f>
        <v>कैटलॉग प्रबंधन</v>
      </c>
      <c r="E677" s="2" t="str">
        <f>IFERROR(__xludf.DUMMYFUNCTION("""COMPUTED_VALUE"""),"कैटलॉग प्रबंधन(correct word)")</f>
        <v>कैटलॉग प्रबंधन(correct word)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 t="str">
        <f>IFERROR(__xludf.DUMMYFUNCTION("""COMPUTED_VALUE"""),"BuyNow ")</f>
        <v>BuyNow </v>
      </c>
      <c r="B678" s="2" t="str">
        <f>IFERROR(__xludf.DUMMYFUNCTION("""COMPUTED_VALUE"""),"Buy Now ")</f>
        <v>Buy Now </v>
      </c>
      <c r="C678" s="2">
        <f>IFERROR(__xludf.DUMMYFUNCTION("""COMPUTED_VALUE"""),0.1)</f>
        <v>0.1</v>
      </c>
      <c r="D678" s="2" t="str">
        <f>IFERROR(__xludf.DUMMYFUNCTION("""COMPUTED_VALUE"""),"अभी खरीदें")</f>
        <v>अभी खरीदें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 t="str">
        <f>IFERROR(__xludf.DUMMYFUNCTION("""COMPUTED_VALUE"""),"selectstate ")</f>
        <v>selectstate </v>
      </c>
      <c r="B679" s="2" t="str">
        <f>IFERROR(__xludf.DUMMYFUNCTION("""COMPUTED_VALUE"""),"Select State")</f>
        <v>Select State</v>
      </c>
      <c r="C679" s="2">
        <f>IFERROR(__xludf.DUMMYFUNCTION("""COMPUTED_VALUE"""),0.3)</f>
        <v>0.3</v>
      </c>
      <c r="D679" s="2" t="str">
        <f>IFERROR(__xludf.DUMMYFUNCTION("""COMPUTED_VALUE"""),"राज्य चुनें")</f>
        <v>राज्य चुनें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 t="str">
        <f>IFERROR(__xludf.DUMMYFUNCTION("""COMPUTED_VALUE"""),"Close ")</f>
        <v>Close </v>
      </c>
      <c r="B680" s="2" t="str">
        <f>IFERROR(__xludf.DUMMYFUNCTION("""COMPUTED_VALUE"""),"Close ")</f>
        <v>Close </v>
      </c>
      <c r="C680" s="2">
        <f>IFERROR(__xludf.DUMMYFUNCTION("""COMPUTED_VALUE"""),0.1)</f>
        <v>0.1</v>
      </c>
      <c r="D680" s="2" t="str">
        <f>IFERROR(__xludf.DUMMYFUNCTION("""COMPUTED_VALUE"""),"बंद करना")</f>
        <v>बंद करना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 t="str">
        <f>IFERROR(__xludf.DUMMYFUNCTION("""COMPUTED_VALUE"""),"Open")</f>
        <v>Open</v>
      </c>
      <c r="B681" s="2" t="str">
        <f>IFERROR(__xludf.DUMMYFUNCTION("""COMPUTED_VALUE"""),"Open")</f>
        <v>Open</v>
      </c>
      <c r="C681" s="2">
        <f>IFERROR(__xludf.DUMMYFUNCTION("""COMPUTED_VALUE"""),0.1)</f>
        <v>0.1</v>
      </c>
      <c r="D681" s="2" t="str">
        <f>IFERROR(__xludf.DUMMYFUNCTION("""COMPUTED_VALUE"""),"खुला")</f>
        <v>खुला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 t="str">
        <f>IFERROR(__xludf.DUMMYFUNCTION("""COMPUTED_VALUE"""),"ReferandEarn")</f>
        <v>ReferandEarn</v>
      </c>
      <c r="B682" s="2" t="str">
        <f>IFERROR(__xludf.DUMMYFUNCTION("""COMPUTED_VALUE"""),"Refer and Earn")</f>
        <v>Refer and Earn</v>
      </c>
      <c r="C682" s="2">
        <f>IFERROR(__xludf.DUMMYFUNCTION("""COMPUTED_VALUE"""),0.1)</f>
        <v>0.1</v>
      </c>
      <c r="D682" s="2" t="str">
        <f>IFERROR(__xludf.DUMMYFUNCTION("""COMPUTED_VALUE"""),"देखें और अर्जित करना")</f>
        <v>देखें और अर्जित करना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 t="str">
        <f>IFERROR(__xludf.DUMMYFUNCTION("""COMPUTED_VALUE"""),"Shoppicture")</f>
        <v>Shoppicture</v>
      </c>
      <c r="B683" s="2" t="str">
        <f>IFERROR(__xludf.DUMMYFUNCTION("""COMPUTED_VALUE"""),"Shop Picture")</f>
        <v>Shop Picture</v>
      </c>
      <c r="C683" s="2">
        <f>IFERROR(__xludf.DUMMYFUNCTION("""COMPUTED_VALUE"""),0.1)</f>
        <v>0.1</v>
      </c>
      <c r="D683" s="2" t="str">
        <f>IFERROR(__xludf.DUMMYFUNCTION("""COMPUTED_VALUE"""),"दुकान की तस्वीर")</f>
        <v>दुकान की तस्वीर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 t="str">
        <f>IFERROR(__xludf.DUMMYFUNCTION("""COMPUTED_VALUE"""),"Edit")</f>
        <v>Edit</v>
      </c>
      <c r="B684" s="2" t="str">
        <f>IFERROR(__xludf.DUMMYFUNCTION("""COMPUTED_VALUE"""),"Edit")</f>
        <v>Edit</v>
      </c>
      <c r="C684" s="2">
        <f>IFERROR(__xludf.DUMMYFUNCTION("""COMPUTED_VALUE"""),0.1)</f>
        <v>0.1</v>
      </c>
      <c r="D684" s="2" t="str">
        <f>IFERROR(__xludf.DUMMYFUNCTION("""COMPUTED_VALUE"""),"संपादन करना")</f>
        <v>संपादन करना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 t="str">
        <f>IFERROR(__xludf.DUMMYFUNCTION("""COMPUTED_VALUE"""),"Wallet")</f>
        <v>Wallet</v>
      </c>
      <c r="B685" s="2" t="str">
        <f>IFERROR(__xludf.DUMMYFUNCTION("""COMPUTED_VALUE"""),"Wallet")</f>
        <v>Wallet</v>
      </c>
      <c r="C685" s="2">
        <f>IFERROR(__xludf.DUMMYFUNCTION("""COMPUTED_VALUE"""),0.1)</f>
        <v>0.1</v>
      </c>
      <c r="D685" s="2" t="str">
        <f>IFERROR(__xludf.DUMMYFUNCTION("""COMPUTED_VALUE"""),"बटुआ")</f>
        <v>बटुआ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 t="str">
        <f>IFERROR(__xludf.DUMMYFUNCTION("""COMPUTED_VALUE"""),"DeliveryOrderDetails")</f>
        <v>DeliveryOrderDetails</v>
      </c>
      <c r="B686" s="2" t="str">
        <f>IFERROR(__xludf.DUMMYFUNCTION("""COMPUTED_VALUE"""),"Delivery Order Details")</f>
        <v>Delivery Order Details</v>
      </c>
      <c r="C686" s="2">
        <f>IFERROR(__xludf.DUMMYFUNCTION("""COMPUTED_VALUE"""),0.4)</f>
        <v>0.4</v>
      </c>
      <c r="D686" s="2" t="str">
        <f>IFERROR(__xludf.DUMMYFUNCTION("""COMPUTED_VALUE"""),"संपादन करना")</f>
        <v>संपादन करना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 t="str">
        <f>IFERROR(__xludf.DUMMYFUNCTION("""COMPUTED_VALUE"""),"MyRewards ")</f>
        <v>MyRewards </v>
      </c>
      <c r="B687" s="2" t="str">
        <f>IFERROR(__xludf.DUMMYFUNCTION("""COMPUTED_VALUE"""),"My Rewards ")</f>
        <v>My Rewards </v>
      </c>
      <c r="C687" s="2">
        <f>IFERROR(__xludf.DUMMYFUNCTION("""COMPUTED_VALUE"""),0.1)</f>
        <v>0.1</v>
      </c>
      <c r="D687" s="2" t="str">
        <f>IFERROR(__xludf.DUMMYFUNCTION("""COMPUTED_VALUE"""),"मेरे पुरस्कार")</f>
        <v>मेरे पुरस्कार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 t="str">
        <f>IFERROR(__xludf.DUMMYFUNCTION("""COMPUTED_VALUE"""),"Invitepeoplefromyournetworkandlearncashrewards")</f>
        <v>Invitepeoplefromyournetworkandlearncashrewards</v>
      </c>
      <c r="B688" s="2" t="str">
        <f>IFERROR(__xludf.DUMMYFUNCTION("""COMPUTED_VALUE"""),"Invite people and earn cash rewards")</f>
        <v>Invite people and earn cash rewards</v>
      </c>
      <c r="C688" s="2">
        <f>IFERROR(__xludf.DUMMYFUNCTION("""COMPUTED_VALUE"""),0.1)</f>
        <v>0.1</v>
      </c>
      <c r="D688" s="2" t="str">
        <f>IFERROR(__xludf.DUMMYFUNCTION("""COMPUTED_VALUE"""),"लोगों को आमंत्रित करें और नकद पुरस्कार अर्जित करें")</f>
        <v>लोगों को आमंत्रित करें और नकद पुरस्कार अर्जित करें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 t="str">
        <f>IFERROR(__xludf.DUMMYFUNCTION("""COMPUTED_VALUE"""),"Getcashrewardsupto ")</f>
        <v>Getcashrewardsupto </v>
      </c>
      <c r="B689" s="2" t="str">
        <f>IFERROR(__xludf.DUMMYFUNCTION("""COMPUTED_VALUE"""),"Get Cash Rewards Upto ")</f>
        <v>Get Cash Rewards Upto </v>
      </c>
      <c r="C689" s="2">
        <f>IFERROR(__xludf.DUMMYFUNCTION("""COMPUTED_VALUE"""),0.1)</f>
        <v>0.1</v>
      </c>
      <c r="D689" s="2" t="str">
        <f>IFERROR(__xludf.DUMMYFUNCTION("""COMPUTED_VALUE"""),"नकद पुरस्कार प्राप्त करें")</f>
        <v>नकद पुरस्कार प्राप्त करें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 t="str">
        <f>IFERROR(__xludf.DUMMYFUNCTION("""COMPUTED_VALUE"""),"Invite ")</f>
        <v>Invite </v>
      </c>
      <c r="B690" s="2" t="str">
        <f>IFERROR(__xludf.DUMMYFUNCTION("""COMPUTED_VALUE"""),"Invite ")</f>
        <v>Invite </v>
      </c>
      <c r="C690" s="2">
        <f>IFERROR(__xludf.DUMMYFUNCTION("""COMPUTED_VALUE"""),0.1)</f>
        <v>0.1</v>
      </c>
      <c r="D690" s="2" t="str">
        <f>IFERROR(__xludf.DUMMYFUNCTION("""COMPUTED_VALUE"""),"आमंत्रित करना")</f>
        <v>आमंत्रित करना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 t="str">
        <f>IFERROR(__xludf.DUMMYFUNCTION("""COMPUTED_VALUE"""),"Cash")</f>
        <v>Cash</v>
      </c>
      <c r="B691" s="2" t="str">
        <f>IFERROR(__xludf.DUMMYFUNCTION("""COMPUTED_VALUE"""),"Cash")</f>
        <v>Cash</v>
      </c>
      <c r="C691" s="2">
        <f>IFERROR(__xludf.DUMMYFUNCTION("""COMPUTED_VALUE"""),0.3)</f>
        <v>0.3</v>
      </c>
      <c r="D691" s="2" t="str">
        <f>IFERROR(__xludf.DUMMYFUNCTION("""COMPUTED_VALUE"""),"नकद")</f>
        <v>नकद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 t="str">
        <f>IFERROR(__xludf.DUMMYFUNCTION("""COMPUTED_VALUE"""),"TotalReferal")</f>
        <v>TotalReferal</v>
      </c>
      <c r="B692" s="2" t="str">
        <f>IFERROR(__xludf.DUMMYFUNCTION("""COMPUTED_VALUE"""),"Total Referral")</f>
        <v>Total Referral</v>
      </c>
      <c r="C692" s="2">
        <f>IFERROR(__xludf.DUMMYFUNCTION("""COMPUTED_VALUE"""),0.1)</f>
        <v>0.1</v>
      </c>
      <c r="D692" s="2" t="str">
        <f>IFERROR(__xludf.DUMMYFUNCTION("""COMPUTED_VALUE"""),"कुल रेफरल")</f>
        <v>कुल रेफरल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 t="str">
        <f>IFERROR(__xludf.DUMMYFUNCTION("""COMPUTED_VALUE"""),"DeliveredOrderDetails")</f>
        <v>DeliveredOrderDetails</v>
      </c>
      <c r="B693" s="2" t="str">
        <f>IFERROR(__xludf.DUMMYFUNCTION("""COMPUTED_VALUE"""),"Delivered Order Details")</f>
        <v>Delivered Order Details</v>
      </c>
      <c r="C693" s="2">
        <f>IFERROR(__xludf.DUMMYFUNCTION("""COMPUTED_VALUE"""),0.3)</f>
        <v>0.3</v>
      </c>
      <c r="D693" s="2" t="str">
        <f>IFERROR(__xludf.DUMMYFUNCTION("""COMPUTED_VALUE"""),"वितरित आदेश विवरण")</f>
        <v>वितरित आदेश विवरण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 t="str">
        <f>IFERROR(__xludf.DUMMYFUNCTION("""COMPUTED_VALUE"""),"Acknowledge")</f>
        <v>Acknowledge</v>
      </c>
      <c r="B694" s="2" t="str">
        <f>IFERROR(__xludf.DUMMYFUNCTION("""COMPUTED_VALUE"""),"Acknowledge")</f>
        <v>Acknowledge</v>
      </c>
      <c r="C694" s="2">
        <f>IFERROR(__xludf.DUMMYFUNCTION("""COMPUTED_VALUE"""),0.1)</f>
        <v>0.1</v>
      </c>
      <c r="D694" s="2" t="str">
        <f>IFERROR(__xludf.DUMMYFUNCTION("""COMPUTED_VALUE"""),"स्वीकार करना")</f>
        <v>स्वीकार करना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 t="str">
        <f>IFERROR(__xludf.DUMMYFUNCTION("""COMPUTED_VALUE"""),"order")</f>
        <v>order</v>
      </c>
      <c r="B695" s="2" t="str">
        <f>IFERROR(__xludf.DUMMYFUNCTION("""COMPUTED_VALUE"""),"Order #")</f>
        <v>Order #</v>
      </c>
      <c r="C695" s="2">
        <f>IFERROR(__xludf.DUMMYFUNCTION("""COMPUTED_VALUE"""),0.4)</f>
        <v>0.4</v>
      </c>
      <c r="D695" s="2" t="str">
        <f>IFERROR(__xludf.DUMMYFUNCTION("""COMPUTED_VALUE"""),"आदेश #")</f>
        <v>आदेश #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 t="str">
        <f>IFERROR(__xludf.DUMMYFUNCTION("""COMPUTED_VALUE"""),"hours")</f>
        <v>hours</v>
      </c>
      <c r="B696" s="2" t="str">
        <f>IFERROR(__xludf.DUMMYFUNCTION("""COMPUTED_VALUE"""),"Hours")</f>
        <v>Hours</v>
      </c>
      <c r="C696" s="2">
        <f>IFERROR(__xludf.DUMMYFUNCTION("""COMPUTED_VALUE"""),0.1)</f>
        <v>0.1</v>
      </c>
      <c r="D696" s="2" t="str">
        <f>IFERROR(__xludf.DUMMYFUNCTION("""COMPUTED_VALUE"""),"घंटे")</f>
        <v>घंटे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 t="str">
        <f>IFERROR(__xludf.DUMMYFUNCTION("""COMPUTED_VALUE"""),"ProfileComplete")</f>
        <v>ProfileComplete</v>
      </c>
      <c r="B697" s="2" t="str">
        <f>IFERROR(__xludf.DUMMYFUNCTION("""COMPUTED_VALUE"""),"Profile Complete")</f>
        <v>Profile Complete</v>
      </c>
      <c r="C697" s="2">
        <f>IFERROR(__xludf.DUMMYFUNCTION("""COMPUTED_VALUE"""),0.1)</f>
        <v>0.1</v>
      </c>
      <c r="D697" s="2" t="str">
        <f>IFERROR(__xludf.DUMMYFUNCTION("""COMPUTED_VALUE"""),"प्रोफ़ाइल पूर्ण")</f>
        <v>प्रोफ़ाइल पूर्ण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 t="str">
        <f>IFERROR(__xludf.DUMMYFUNCTION("""COMPUTED_VALUE"""),"Referred ")</f>
        <v>Referred </v>
      </c>
      <c r="B698" s="2" t="str">
        <f>IFERROR(__xludf.DUMMYFUNCTION("""COMPUTED_VALUE"""),"Referred ")</f>
        <v>Referred </v>
      </c>
      <c r="C698" s="2">
        <f>IFERROR(__xludf.DUMMYFUNCTION("""COMPUTED_VALUE"""),0.1)</f>
        <v>0.1</v>
      </c>
      <c r="D698" s="2" t="str">
        <f>IFERROR(__xludf.DUMMYFUNCTION("""COMPUTED_VALUE"""),"निर्दिष्ट")</f>
        <v>निर्दिष्ट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 t="str">
        <f>IFERROR(__xludf.DUMMYFUNCTION("""COMPUTED_VALUE"""),"invite")</f>
        <v>invite</v>
      </c>
      <c r="B699" s="2" t="str">
        <f>IFERROR(__xludf.DUMMYFUNCTION("""COMPUTED_VALUE"""),"Invite")</f>
        <v>Invite</v>
      </c>
      <c r="C699" s="2">
        <f>IFERROR(__xludf.DUMMYFUNCTION("""COMPUTED_VALUE"""),0.1)</f>
        <v>0.1</v>
      </c>
      <c r="D699" s="2" t="str">
        <f>IFERROR(__xludf.DUMMYFUNCTION("""COMPUTED_VALUE"""),"आमंत्रित करना")</f>
        <v>आमंत्रित करना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 t="str">
        <f>IFERROR(__xludf.DUMMYFUNCTION("""COMPUTED_VALUE"""),"Instruction ")</f>
        <v>Instruction </v>
      </c>
      <c r="B700" s="2" t="str">
        <f>IFERROR(__xludf.DUMMYFUNCTION("""COMPUTED_VALUE"""),"Instruction ")</f>
        <v>Instruction </v>
      </c>
      <c r="C700" s="2">
        <f>IFERROR(__xludf.DUMMYFUNCTION("""COMPUTED_VALUE"""),0.2)</f>
        <v>0.2</v>
      </c>
      <c r="D700" s="2" t="str">
        <f>IFERROR(__xludf.DUMMYFUNCTION("""COMPUTED_VALUE"""),"अनुदेश")</f>
        <v>अनुदेश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 t="str">
        <f>IFERROR(__xludf.DUMMYFUNCTION("""COMPUTED_VALUE"""),"Deliveryvalet")</f>
        <v>Deliveryvalet</v>
      </c>
      <c r="B701" s="2" t="str">
        <f>IFERROR(__xludf.DUMMYFUNCTION("""COMPUTED_VALUE"""),"Delivery Valet")</f>
        <v>Delivery Valet</v>
      </c>
      <c r="C701" s="2">
        <f>IFERROR(__xludf.DUMMYFUNCTION("""COMPUTED_VALUE"""),0.1)</f>
        <v>0.1</v>
      </c>
      <c r="D701" s="2" t="str">
        <f>IFERROR(__xludf.DUMMYFUNCTION("""COMPUTED_VALUE"""),"सुपुर्दगी")</f>
        <v>सुपुर्दगी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 t="str">
        <f>IFERROR(__xludf.DUMMYFUNCTION("""COMPUTED_VALUE"""),"Wholeseller")</f>
        <v>Wholeseller</v>
      </c>
      <c r="B702" s="2" t="str">
        <f>IFERROR(__xludf.DUMMYFUNCTION("""COMPUTED_VALUE"""),"Wholesaler")</f>
        <v>Wholesaler</v>
      </c>
      <c r="C702" s="2">
        <f>IFERROR(__xludf.DUMMYFUNCTION("""COMPUTED_VALUE"""),0.1)</f>
        <v>0.1</v>
      </c>
      <c r="D702" s="2" t="str">
        <f>IFERROR(__xludf.DUMMYFUNCTION("""COMPUTED_VALUE"""),"थोक विक्रेता")</f>
        <v>थोक विक्रेता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 t="str">
        <f>IFERROR(__xludf.DUMMYFUNCTION("""COMPUTED_VALUE"""),"IncreaseEarningBy150")</f>
        <v>IncreaseEarningBy150</v>
      </c>
      <c r="B703" s="2" t="str">
        <f>IFERROR(__xludf.DUMMYFUNCTION("""COMPUTED_VALUE"""),"Increase Earning By 150% ")</f>
        <v>Increase Earning By 150% </v>
      </c>
      <c r="C703" s="2"/>
      <c r="D703" s="2" t="str">
        <f>IFERROR(__xludf.DUMMYFUNCTION("""COMPUTED_VALUE"""),"150% की कमाई में वृद्धि")</f>
        <v>150% की कमाई में वृद्धि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 t="str">
        <f>IFERROR(__xludf.DUMMYFUNCTION("""COMPUTED_VALUE"""),"Trader/Broker ")</f>
        <v>Trader/Broker </v>
      </c>
      <c r="B704" s="2" t="str">
        <f>IFERROR(__xludf.DUMMYFUNCTION("""COMPUTED_VALUE"""),"Trader/Broker ")</f>
        <v>Trader/Broker </v>
      </c>
      <c r="C704" s="2">
        <f>IFERROR(__xludf.DUMMYFUNCTION("""COMPUTED_VALUE"""),0.1)</f>
        <v>0.1</v>
      </c>
      <c r="D704" s="2" t="str">
        <f>IFERROR(__xludf.DUMMYFUNCTION("""COMPUTED_VALUE"""),"व्यापारी/दलाल")</f>
        <v>व्यापारी/दलाल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 t="str">
        <f>IFERROR(__xludf.DUMMYFUNCTION("""COMPUTED_VALUE"""),"Deliverypartner")</f>
        <v>Deliverypartner</v>
      </c>
      <c r="B705" s="2" t="str">
        <f>IFERROR(__xludf.DUMMYFUNCTION("""COMPUTED_VALUE"""),"Delivery Partner")</f>
        <v>Delivery Partner</v>
      </c>
      <c r="C705" s="2">
        <f>IFERROR(__xludf.DUMMYFUNCTION("""COMPUTED_VALUE"""),0.1)</f>
        <v>0.1</v>
      </c>
      <c r="D705" s="2" t="str">
        <f>IFERROR(__xludf.DUMMYFUNCTION("""COMPUTED_VALUE"""),"वितरण भागीदार")</f>
        <v>वितरण भागीदार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 t="str">
        <f>IFERROR(__xludf.DUMMYFUNCTION("""COMPUTED_VALUE"""),"Inviteesmobilenumber")</f>
        <v>Inviteesmobilenumber</v>
      </c>
      <c r="B706" s="2" t="str">
        <f>IFERROR(__xludf.DUMMYFUNCTION("""COMPUTED_VALUE"""),"Invitees Mobile Number ")</f>
        <v>Invitees Mobile Number </v>
      </c>
      <c r="C706" s="2">
        <f>IFERROR(__xludf.DUMMYFUNCTION("""COMPUTED_VALUE"""),0.1)</f>
        <v>0.1</v>
      </c>
      <c r="D706" s="2" t="str">
        <f>IFERROR(__xludf.DUMMYFUNCTION("""COMPUTED_VALUE"""),"मोबाइल नंबर आमंत्रित करता है")</f>
        <v>मोबाइल नंबर आमंत्रित करता है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 t="str">
        <f>IFERROR(__xludf.DUMMYFUNCTION("""COMPUTED_VALUE"""),"ReferralSMSsendsucessfully")</f>
        <v>ReferralSMSsendsucessfully</v>
      </c>
      <c r="B707" s="2" t="str">
        <f>IFERROR(__xludf.DUMMYFUNCTION("""COMPUTED_VALUE"""),"Referral SMS Sent Successfully")</f>
        <v>Referral SMS Sent Successfully</v>
      </c>
      <c r="C707" s="2">
        <f>IFERROR(__xludf.DUMMYFUNCTION("""COMPUTED_VALUE"""),0.1)</f>
        <v>0.1</v>
      </c>
      <c r="D707" s="2" t="str">
        <f>IFERROR(__xludf.DUMMYFUNCTION("""COMPUTED_VALUE"""),"रेफ़रल एसएमएस सफलतापूर्वक भेजा गया")</f>
        <v>रेफ़रल एसएमएस सफलतापूर्वक भेजा गया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 t="str">
        <f>IFERROR(__xludf.DUMMYFUNCTION("""COMPUTED_VALUE"""),"RequestingReferretoGiveaMissCallon")</f>
        <v>RequestingReferretoGiveaMissCallon</v>
      </c>
      <c r="B708" s="2" t="str">
        <f>IFERROR(__xludf.DUMMYFUNCTION("""COMPUTED_VALUE"""),"Requesting Referee to Give a Miss Call on")</f>
        <v>Requesting Referee to Give a Miss Call on</v>
      </c>
      <c r="C708" s="2">
        <f>IFERROR(__xludf.DUMMYFUNCTION("""COMPUTED_VALUE"""),0.1)</f>
        <v>0.1</v>
      </c>
      <c r="D708" s="2" t="str">
        <f>IFERROR(__xludf.DUMMYFUNCTION("""COMPUTED_VALUE"""),"रेफरी से अनुरोध करने के लिए एक मिस कॉल देने के लिए")</f>
        <v>रेफरी से अनुरोध करने के लिए एक मिस कॉल देने के लिए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 t="str">
        <f>IFERROR(__xludf.DUMMYFUNCTION("""COMPUTED_VALUE"""),"totalrewardsearn")</f>
        <v>totalrewardsearn</v>
      </c>
      <c r="B709" s="2" t="str">
        <f>IFERROR(__xludf.DUMMYFUNCTION("""COMPUTED_VALUE"""),"Total Rewards Earn ")</f>
        <v>Total Rewards Earn </v>
      </c>
      <c r="C709" s="2">
        <f>IFERROR(__xludf.DUMMYFUNCTION("""COMPUTED_VALUE"""),0.1)</f>
        <v>0.1</v>
      </c>
      <c r="D709" s="2" t="str">
        <f>IFERROR(__xludf.DUMMYFUNCTION("""COMPUTED_VALUE"""),"कुल पुरस्कार अर्जित करें")</f>
        <v>कुल पुरस्कार अर्जित करें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 t="str">
        <f>IFERROR(__xludf.DUMMYFUNCTION("""COMPUTED_VALUE"""),"MyReferrals")</f>
        <v>MyReferrals</v>
      </c>
      <c r="B710" s="2" t="str">
        <f>IFERROR(__xludf.DUMMYFUNCTION("""COMPUTED_VALUE"""),"My Referrals")</f>
        <v>My Referrals</v>
      </c>
      <c r="C710" s="2">
        <f>IFERROR(__xludf.DUMMYFUNCTION("""COMPUTED_VALUE"""),0.1)</f>
        <v>0.1</v>
      </c>
      <c r="D710" s="2" t="str">
        <f>IFERROR(__xludf.DUMMYFUNCTION("""COMPUTED_VALUE"""),"मेरा सिफ़ारिशें")</f>
        <v>मेरा सिफ़ारिशें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 t="str">
        <f>IFERROR(__xludf.DUMMYFUNCTION("""COMPUTED_VALUE"""),"IncreaseEarningBy ")</f>
        <v>IncreaseEarningBy </v>
      </c>
      <c r="B711" s="2" t="str">
        <f>IFERROR(__xludf.DUMMYFUNCTION("""COMPUTED_VALUE"""),"Increase Earning By ")</f>
        <v>Increase Earning By </v>
      </c>
      <c r="C711" s="2">
        <f>IFERROR(__xludf.DUMMYFUNCTION("""COMPUTED_VALUE"""),0.1)</f>
        <v>0.1</v>
      </c>
      <c r="D711" s="2" t="str">
        <f>IFERROR(__xludf.DUMMYFUNCTION("""COMPUTED_VALUE"""),"द्वारा कमाई में वृद्धि")</f>
        <v>द्वारा कमाई में वृद्धि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 t="str">
        <f>IFERROR(__xludf.DUMMYFUNCTION("""COMPUTED_VALUE"""),"IncreaseReferralEarningonEachsuccessfulinvite")</f>
        <v>IncreaseReferralEarningonEachsuccessfulinvite</v>
      </c>
      <c r="B712" s="2" t="str">
        <f>IFERROR(__xludf.DUMMYFUNCTION("""COMPUTED_VALUE"""),"Increase Referral Earning On Each Successful Invite")</f>
        <v>Increase Referral Earning On Each Successful Invite</v>
      </c>
      <c r="C712" s="2">
        <f>IFERROR(__xludf.DUMMYFUNCTION("""COMPUTED_VALUE"""),0.1)</f>
        <v>0.1</v>
      </c>
      <c r="D712" s="2" t="str">
        <f>IFERROR(__xludf.DUMMYFUNCTION("""COMPUTED_VALUE"""),"प्रत्येक सफल निमंत्रण पर रेफरल कमाई बढ़ाएं")</f>
        <v>प्रत्येक सफल निमंत्रण पर रेफरल कमाई बढ़ाएं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 t="str">
        <f>IFERROR(__xludf.DUMMYFUNCTION("""COMPUTED_VALUE"""),"Youcanwin")</f>
        <v>Youcanwin</v>
      </c>
      <c r="B713" s="2" t="str">
        <f>IFERROR(__xludf.DUMMYFUNCTION("""COMPUTED_VALUE"""),"You Can Win")</f>
        <v>You Can Win</v>
      </c>
      <c r="C713" s="2">
        <f>IFERROR(__xludf.DUMMYFUNCTION("""COMPUTED_VALUE"""),0.1)</f>
        <v>0.1</v>
      </c>
      <c r="D713" s="2" t="str">
        <f>IFERROR(__xludf.DUMMYFUNCTION("""COMPUTED_VALUE"""),"तुम जीत सकते हो")</f>
        <v>तुम जीत सकते हो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 t="str">
        <f>IFERROR(__xludf.DUMMYFUNCTION("""COMPUTED_VALUE"""),"YouWon")</f>
        <v>YouWon</v>
      </c>
      <c r="B714" s="2" t="str">
        <f>IFERROR(__xludf.DUMMYFUNCTION("""COMPUTED_VALUE"""),"You Won")</f>
        <v>You Won</v>
      </c>
      <c r="C714" s="2">
        <f>IFERROR(__xludf.DUMMYFUNCTION("""COMPUTED_VALUE"""),0.1)</f>
        <v>0.1</v>
      </c>
      <c r="D714" s="2" t="str">
        <f>IFERROR(__xludf.DUMMYFUNCTION("""COMPUTED_VALUE"""),"प्रत्येक सफल आमंत्रण पर रेफ़रल आय बढ़ाएँ")</f>
        <v>प्रत्येक सफल आमंत्रण पर रेफ़रल आय बढ़ाएँ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 t="str">
        <f>IFERROR(__xludf.DUMMYFUNCTION("""COMPUTED_VALUE"""),"ByReferring ")</f>
        <v>ByReferring </v>
      </c>
      <c r="B715" s="2" t="str">
        <f>IFERROR(__xludf.DUMMYFUNCTION("""COMPUTED_VALUE"""),"By Referring ")</f>
        <v>By Referring </v>
      </c>
      <c r="C715" s="2">
        <f>IFERROR(__xludf.DUMMYFUNCTION("""COMPUTED_VALUE"""),0.1)</f>
        <v>0.1</v>
      </c>
      <c r="D715" s="2" t="str">
        <f>IFERROR(__xludf.DUMMYFUNCTION("""COMPUTED_VALUE"""),"संदर्भ देकर")</f>
        <v>संदर्भ देकर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 t="str">
        <f>IFERROR(__xludf.DUMMYFUNCTION("""COMPUTED_VALUE"""),"Completed")</f>
        <v>Completed</v>
      </c>
      <c r="B716" s="2" t="str">
        <f>IFERROR(__xludf.DUMMYFUNCTION("""COMPUTED_VALUE"""),"Completed")</f>
        <v>Completed</v>
      </c>
      <c r="C716" s="2">
        <f>IFERROR(__xludf.DUMMYFUNCTION("""COMPUTED_VALUE"""),0.1)</f>
        <v>0.1</v>
      </c>
      <c r="D716" s="2" t="str">
        <f>IFERROR(__xludf.DUMMYFUNCTION("""COMPUTED_VALUE"""),"पुरा होना।")</f>
        <v>पुरा होना।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 t="str">
        <f>IFERROR(__xludf.DUMMYFUNCTION("""COMPUTED_VALUE"""),"Incompleted")</f>
        <v>Incompleted</v>
      </c>
      <c r="B717" s="2" t="str">
        <f>IFERROR(__xludf.DUMMYFUNCTION("""COMPUTED_VALUE"""),"Incompleted")</f>
        <v>Incompleted</v>
      </c>
      <c r="C717" s="2">
        <f>IFERROR(__xludf.DUMMYFUNCTION("""COMPUTED_VALUE"""),0.1)</f>
        <v>0.1</v>
      </c>
      <c r="D717" s="2" t="str">
        <f>IFERROR(__xludf.DUMMYFUNCTION("""COMPUTED_VALUE"""),"अपूर्ण")</f>
        <v>अपूर्ण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 t="str">
        <f>IFERROR(__xludf.DUMMYFUNCTION("""COMPUTED_VALUE"""),"Referralstatus ")</f>
        <v>Referralstatus </v>
      </c>
      <c r="B718" s="2" t="str">
        <f>IFERROR(__xludf.DUMMYFUNCTION("""COMPUTED_VALUE"""),"Referral Status ")</f>
        <v>Referral Status </v>
      </c>
      <c r="C718" s="2">
        <f>IFERROR(__xludf.DUMMYFUNCTION("""COMPUTED_VALUE"""),0.1)</f>
        <v>0.1</v>
      </c>
      <c r="D718" s="2" t="str">
        <f>IFERROR(__xludf.DUMMYFUNCTION("""COMPUTED_VALUE"""),"रेफरल स्थिति")</f>
        <v>रेफरल स्थिति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 t="str">
        <f>IFERROR(__xludf.DUMMYFUNCTION("""COMPUTED_VALUE"""),"Ordered ")</f>
        <v>Ordered </v>
      </c>
      <c r="B719" s="2" t="str">
        <f>IFERROR(__xludf.DUMMYFUNCTION("""COMPUTED_VALUE"""),"Ordered ")</f>
        <v>Ordered </v>
      </c>
      <c r="C719" s="2">
        <f>IFERROR(__xludf.DUMMYFUNCTION("""COMPUTED_VALUE"""),0.1)</f>
        <v>0.1</v>
      </c>
      <c r="D719" s="2" t="str">
        <f>IFERROR(__xludf.DUMMYFUNCTION("""COMPUTED_VALUE"""),"आदेश दिया")</f>
        <v>आदेश दिया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 t="str">
        <f>IFERROR(__xludf.DUMMYFUNCTION("""COMPUTED_VALUE"""),"Firstorder ")</f>
        <v>Firstorder </v>
      </c>
      <c r="B720" s="2" t="str">
        <f>IFERROR(__xludf.DUMMYFUNCTION("""COMPUTED_VALUE"""),"First order ")</f>
        <v>First order </v>
      </c>
      <c r="C720" s="2">
        <f>IFERROR(__xludf.DUMMYFUNCTION("""COMPUTED_VALUE"""),0.1)</f>
        <v>0.1</v>
      </c>
      <c r="D720" s="2" t="str">
        <f>IFERROR(__xludf.DUMMYFUNCTION("""COMPUTED_VALUE"""),"पहले के आदेश")</f>
        <v>पहले के आदेश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 t="str">
        <f>IFERROR(__xludf.DUMMYFUNCTION("""COMPUTED_VALUE"""),"Signup ")</f>
        <v>Signup </v>
      </c>
      <c r="B721" s="2" t="str">
        <f>IFERROR(__xludf.DUMMYFUNCTION("""COMPUTED_VALUE"""),"Sign Up ")</f>
        <v>Sign Up </v>
      </c>
      <c r="C721" s="2">
        <f>IFERROR(__xludf.DUMMYFUNCTION("""COMPUTED_VALUE"""),0.1)</f>
        <v>0.1</v>
      </c>
      <c r="D721" s="2" t="str">
        <f>IFERROR(__xludf.DUMMYFUNCTION("""COMPUTED_VALUE"""),"साइन अप करें")</f>
        <v>साइन अप करें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 t="str">
        <f>IFERROR(__xludf.DUMMYFUNCTION("""COMPUTED_VALUE"""),"ProfileCompleted")</f>
        <v>ProfileCompleted</v>
      </c>
      <c r="B722" s="2" t="str">
        <f>IFERROR(__xludf.DUMMYFUNCTION("""COMPUTED_VALUE"""),"Profile Completed")</f>
        <v>Profile Completed</v>
      </c>
      <c r="C722" s="2">
        <f>IFERROR(__xludf.DUMMYFUNCTION("""COMPUTED_VALUE"""),0.1)</f>
        <v>0.1</v>
      </c>
      <c r="D722" s="2" t="str">
        <f>IFERROR(__xludf.DUMMYFUNCTION("""COMPUTED_VALUE"""),"प्रोफ़ाइल पूरा हुआ")</f>
        <v>प्रोफ़ाइल पूरा हुआ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 t="str">
        <f>IFERROR(__xludf.DUMMYFUNCTION("""COMPUTED_VALUE"""),"Reminder")</f>
        <v>Reminder</v>
      </c>
      <c r="B723" s="2" t="str">
        <f>IFERROR(__xludf.DUMMYFUNCTION("""COMPUTED_VALUE"""),"Reminder")</f>
        <v>Reminder</v>
      </c>
      <c r="C723" s="2">
        <f>IFERROR(__xludf.DUMMYFUNCTION("""COMPUTED_VALUE"""),0.0999999999999998)</f>
        <v>0.1</v>
      </c>
      <c r="D723" s="2" t="str">
        <f>IFERROR(__xludf.DUMMYFUNCTION("""COMPUTED_VALUE"""),"अनुस्मारक")</f>
        <v>अनुस्मारक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 t="str">
        <f>IFERROR(__xludf.DUMMYFUNCTION("""COMPUTED_VALUE"""),"SelectLanguage ")</f>
        <v>SelectLanguage </v>
      </c>
      <c r="B724" s="2" t="str">
        <f>IFERROR(__xludf.DUMMYFUNCTION("""COMPUTED_VALUE"""),"Select Language ")</f>
        <v>Select Language </v>
      </c>
      <c r="C724" s="2">
        <f>IFERROR(__xludf.DUMMYFUNCTION("""COMPUTED_VALUE"""),0.1)</f>
        <v>0.1</v>
      </c>
      <c r="D724" s="2" t="str">
        <f>IFERROR(__xludf.DUMMYFUNCTION("""COMPUTED_VALUE"""),"भाषा चुने")</f>
        <v>भाषा चुने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 t="str">
        <f>IFERROR(__xludf.DUMMYFUNCTION("""COMPUTED_VALUE"""),"SearchAddress")</f>
        <v>SearchAddress</v>
      </c>
      <c r="B725" s="2" t="str">
        <f>IFERROR(__xludf.DUMMYFUNCTION("""COMPUTED_VALUE"""),"Search Address")</f>
        <v>Search Address</v>
      </c>
      <c r="C725" s="2">
        <f>IFERROR(__xludf.DUMMYFUNCTION("""COMPUTED_VALUE"""),0.1)</f>
        <v>0.1</v>
      </c>
      <c r="D725" s="2" t="str">
        <f>IFERROR(__xludf.DUMMYFUNCTION("""COMPUTED_VALUE"""),"खोज पता")</f>
        <v>खोज पता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 t="str">
        <f>IFERROR(__xludf.DUMMYFUNCTION("""COMPUTED_VALUE"""),"InvitePeopleandearnCashRewards ")</f>
        <v>InvitePeopleandearnCashRewards </v>
      </c>
      <c r="B726" s="2" t="str">
        <f>IFERROR(__xludf.DUMMYFUNCTION("""COMPUTED_VALUE"""),"Invite People and earn Cash Rewards ")</f>
        <v>Invite People and earn Cash Rewards </v>
      </c>
      <c r="C726" s="2">
        <f>IFERROR(__xludf.DUMMYFUNCTION("""COMPUTED_VALUE"""),0.1)</f>
        <v>0.1</v>
      </c>
      <c r="D726" s="2" t="str">
        <f>IFERROR(__xludf.DUMMYFUNCTION("""COMPUTED_VALUE"""),"लोगों को आमंत्रित करें और नकद पुरस्कार अर्जित करें")</f>
        <v>लोगों को आमंत्रित करें और नकद पुरस्कार अर्जित करें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 t="str">
        <f>IFERROR(__xludf.DUMMYFUNCTION("""COMPUTED_VALUE"""),"SMSSendSucessfully ")</f>
        <v>SMSSendSucessfully </v>
      </c>
      <c r="B727" s="2" t="str">
        <f>IFERROR(__xludf.DUMMYFUNCTION("""COMPUTED_VALUE"""),"SMS Sent Successfully ")</f>
        <v>SMS Sent Successfully </v>
      </c>
      <c r="C727" s="2">
        <f>IFERROR(__xludf.DUMMYFUNCTION("""COMPUTED_VALUE"""),0.1)</f>
        <v>0.1</v>
      </c>
      <c r="D727" s="2" t="str">
        <f>IFERROR(__xludf.DUMMYFUNCTION("""COMPUTED_VALUE"""),"एसएमएस सफलतापूर्वक भेजा गया")</f>
        <v>एसएमएस सफलतापूर्वक भेजा गया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 t="str">
        <f>IFERROR(__xludf.DUMMYFUNCTION("""COMPUTED_VALUE"""),"IncreaseEarningoncashinvite")</f>
        <v>IncreaseEarningoncashinvite</v>
      </c>
      <c r="B728" s="2" t="str">
        <f>IFERROR(__xludf.DUMMYFUNCTION("""COMPUTED_VALUE"""),"Increase Earning on cash  invite")</f>
        <v>Increase Earning on cash  invite</v>
      </c>
      <c r="C728" s="2">
        <f>IFERROR(__xludf.DUMMYFUNCTION("""COMPUTED_VALUE"""),0.1)</f>
        <v>0.1</v>
      </c>
      <c r="D728" s="2" t="str">
        <f>IFERROR(__xludf.DUMMYFUNCTION("""COMPUTED_VALUE"""),"नकद आमंत्रित पर कमाई में वृद्धि")</f>
        <v>नकद आमंत्रित पर कमाई में वृद्धि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 t="str">
        <f>IFERROR(__xludf.DUMMYFUNCTION("""COMPUTED_VALUE"""),"Profile ")</f>
        <v>Profile </v>
      </c>
      <c r="B729" s="2" t="str">
        <f>IFERROR(__xludf.DUMMYFUNCTION("""COMPUTED_VALUE"""),"Profile ")</f>
        <v>Profile </v>
      </c>
      <c r="C729" s="2">
        <f>IFERROR(__xludf.DUMMYFUNCTION("""COMPUTED_VALUE"""),0.1)</f>
        <v>0.1</v>
      </c>
      <c r="D729" s="2" t="str">
        <f>IFERROR(__xludf.DUMMYFUNCTION("""COMPUTED_VALUE"""),"प्रोफ़ाइल")</f>
        <v>प्रोफ़ाइल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 t="str">
        <f>IFERROR(__xludf.DUMMYFUNCTION("""COMPUTED_VALUE"""),"Subscribed")</f>
        <v>Subscribed</v>
      </c>
      <c r="B730" s="2" t="str">
        <f>IFERROR(__xludf.DUMMYFUNCTION("""COMPUTED_VALUE"""),"Subscribed")</f>
        <v>Subscribed</v>
      </c>
      <c r="C730" s="2">
        <f>IFERROR(__xludf.DUMMYFUNCTION("""COMPUTED_VALUE"""),0.1)</f>
        <v>0.1</v>
      </c>
      <c r="D730" s="2" t="str">
        <f>IFERROR(__xludf.DUMMYFUNCTION("""COMPUTED_VALUE"""),"सदस्यता लिया")</f>
        <v>सदस्यता लिया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 t="str">
        <f>IFERROR(__xludf.DUMMYFUNCTION("""COMPUTED_VALUE"""),"Unsubscribed ")</f>
        <v>Unsubscribed </v>
      </c>
      <c r="B731" s="2" t="str">
        <f>IFERROR(__xludf.DUMMYFUNCTION("""COMPUTED_VALUE"""),"Unsubscribed")</f>
        <v>Unsubscribed</v>
      </c>
      <c r="C731" s="2">
        <f>IFERROR(__xludf.DUMMYFUNCTION("""COMPUTED_VALUE"""),0.1)</f>
        <v>0.1</v>
      </c>
      <c r="D731" s="2" t="str">
        <f>IFERROR(__xludf.DUMMYFUNCTION("""COMPUTED_VALUE"""),"सदस्यता छोड़ दी गई")</f>
        <v>सदस्यता छोड़ दी गई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 t="str">
        <f>IFERROR(__xludf.DUMMYFUNCTION("""COMPUTED_VALUE"""),"IncreaseEarningoneachinvite")</f>
        <v>IncreaseEarningoneachinvite</v>
      </c>
      <c r="B732" s="2" t="str">
        <f>IFERROR(__xludf.DUMMYFUNCTION("""COMPUTED_VALUE"""),"Increase earning on each invite")</f>
        <v>Increase earning on each invite</v>
      </c>
      <c r="C732" s="2">
        <f>IFERROR(__xludf.DUMMYFUNCTION("""COMPUTED_VALUE"""),0.1)</f>
        <v>0.1</v>
      </c>
      <c r="D732" s="2" t="str">
        <f>IFERROR(__xludf.DUMMYFUNCTION("""COMPUTED_VALUE"""),"प्रत्येक आमंत्रित पर कमाई बढ़ाना")</f>
        <v>प्रत्येक आमंत्रित पर कमाई बढ़ाना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 t="str">
        <f>IFERROR(__xludf.DUMMYFUNCTION("""COMPUTED_VALUE"""),"ProductorCategory ")</f>
        <v>ProductorCategory </v>
      </c>
      <c r="B733" s="2" t="str">
        <f>IFERROR(__xludf.DUMMYFUNCTION("""COMPUTED_VALUE"""),"Product or Category ")</f>
        <v>Product or Category </v>
      </c>
      <c r="C733" s="2">
        <f>IFERROR(__xludf.DUMMYFUNCTION("""COMPUTED_VALUE"""),0.2)</f>
        <v>0.2</v>
      </c>
      <c r="D733" s="2" t="str">
        <f>IFERROR(__xludf.DUMMYFUNCTION("""COMPUTED_VALUE"""),"प्रोफ़ाइल")</f>
        <v>प्रोफ़ाइल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 t="str">
        <f>IFERROR(__xludf.DUMMYFUNCTION("""COMPUTED_VALUE"""),"catalogmanagement ")</f>
        <v>catalogmanagement </v>
      </c>
      <c r="B735" s="2" t="str">
        <f>IFERROR(__xludf.DUMMYFUNCTION("""COMPUTED_VALUE"""),"Catalog Management ")</f>
        <v>Catalog Management </v>
      </c>
      <c r="C735" s="2">
        <f>IFERROR(__xludf.DUMMYFUNCTION("""COMPUTED_VALUE"""),0.2)</f>
        <v>0.2</v>
      </c>
      <c r="D735" s="2" t="str">
        <f>IFERROR(__xludf.DUMMYFUNCTION("""COMPUTED_VALUE"""),"सदस्यता वापस ले ली")</f>
        <v>सदस्यता वापस ले ली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 t="str">
        <f>IFERROR(__xludf.DUMMYFUNCTION("""COMPUTED_VALUE"""),"PaymentManagement")</f>
        <v>PaymentManagement</v>
      </c>
      <c r="B736" s="2" t="str">
        <f>IFERROR(__xludf.DUMMYFUNCTION("""COMPUTED_VALUE"""),"Payment Management")</f>
        <v>Payment Management</v>
      </c>
      <c r="C736" s="2">
        <f>IFERROR(__xludf.DUMMYFUNCTION("""COMPUTED_VALUE"""),0.2)</f>
        <v>0.2</v>
      </c>
      <c r="D736" s="2" t="str">
        <f>IFERROR(__xludf.DUMMYFUNCTION("""COMPUTED_VALUE"""),"भुगतान प्रबंधन")</f>
        <v>भुगतान प्रबंधन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 t="str">
        <f>IFERROR(__xludf.DUMMYFUNCTION("""COMPUTED_VALUE"""),"DeliveryManagement ")</f>
        <v>DeliveryManagement </v>
      </c>
      <c r="B737" s="2" t="str">
        <f>IFERROR(__xludf.DUMMYFUNCTION("""COMPUTED_VALUE"""),"Delivery Management ")</f>
        <v>Delivery Management </v>
      </c>
      <c r="C737" s="2">
        <f>IFERROR(__xludf.DUMMYFUNCTION("""COMPUTED_VALUE"""),0.2)</f>
        <v>0.2</v>
      </c>
      <c r="D737" s="2" t="str">
        <f>IFERROR(__xludf.DUMMYFUNCTION("""COMPUTED_VALUE"""),"वितरण प्रबंधन")</f>
        <v>वितरण प्रबंधन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 t="str">
        <f>IFERROR(__xludf.DUMMYFUNCTION("""COMPUTED_VALUE"""),"OrderManagement ")</f>
        <v>OrderManagement </v>
      </c>
      <c r="B738" s="2" t="str">
        <f>IFERROR(__xludf.DUMMYFUNCTION("""COMPUTED_VALUE"""),"Order Management ")</f>
        <v>Order Management </v>
      </c>
      <c r="C738" s="2">
        <f>IFERROR(__xludf.DUMMYFUNCTION("""COMPUTED_VALUE"""),0.2)</f>
        <v>0.2</v>
      </c>
      <c r="D738" s="2" t="str">
        <f>IFERROR(__xludf.DUMMYFUNCTION("""COMPUTED_VALUE"""),"प्रबंधन को आदेश दें")</f>
        <v>प्रबंधन को आदेश दें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 t="str">
        <f>IFERROR(__xludf.DUMMYFUNCTION("""COMPUTED_VALUE"""),"CustomerService ")</f>
        <v>CustomerService </v>
      </c>
      <c r="B739" s="2" t="str">
        <f>IFERROR(__xludf.DUMMYFUNCTION("""COMPUTED_VALUE"""),"Customer Service ")</f>
        <v>Customer Service </v>
      </c>
      <c r="C739" s="2">
        <f>IFERROR(__xludf.DUMMYFUNCTION("""COMPUTED_VALUE"""),0.2)</f>
        <v>0.2</v>
      </c>
      <c r="D739" s="2" t="str">
        <f>IFERROR(__xludf.DUMMYFUNCTION("""COMPUTED_VALUE"""),"ग्राहक सेवा")</f>
        <v>ग्राहक सेवा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 t="str">
        <f>IFERROR(__xludf.DUMMYFUNCTION("""COMPUTED_VALUE"""),"Neworderdetails")</f>
        <v>Neworderdetails</v>
      </c>
      <c r="B740" s="2" t="str">
        <f>IFERROR(__xludf.DUMMYFUNCTION("""COMPUTED_VALUE"""),"New Order Details")</f>
        <v>New Order Details</v>
      </c>
      <c r="C740" s="2">
        <f>IFERROR(__xludf.DUMMYFUNCTION("""COMPUTED_VALUE"""),0.3)</f>
        <v>0.3</v>
      </c>
      <c r="D740" s="2" t="str">
        <f>IFERROR(__xludf.DUMMYFUNCTION("""COMPUTED_VALUE"""),"नया आदेश विवरण")</f>
        <v>नया आदेश विवरण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 t="str">
        <f>IFERROR(__xludf.DUMMYFUNCTION("""COMPUTED_VALUE"""),"ExpensesManagement ")</f>
        <v>ExpensesManagement </v>
      </c>
      <c r="B741" s="2" t="str">
        <f>IFERROR(__xludf.DUMMYFUNCTION("""COMPUTED_VALUE"""),"Expenses Management ")</f>
        <v>Expenses Management </v>
      </c>
      <c r="C741" s="2">
        <f>IFERROR(__xludf.DUMMYFUNCTION("""COMPUTED_VALUE"""),0.2)</f>
        <v>0.2</v>
      </c>
      <c r="D741" s="2" t="str">
        <f>IFERROR(__xludf.DUMMYFUNCTION("""COMPUTED_VALUE"""),"व्यय प्रबंधन")</f>
        <v>व्यय प्रबंधन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 t="str">
        <f>IFERROR(__xludf.DUMMYFUNCTION("""COMPUTED_VALUE"""),"InventoryManagement ")</f>
        <v>InventoryManagement </v>
      </c>
      <c r="B742" s="2" t="str">
        <f>IFERROR(__xludf.DUMMYFUNCTION("""COMPUTED_VALUE"""),"Inventory Management ")</f>
        <v>Inventory Management </v>
      </c>
      <c r="C742" s="2">
        <f>IFERROR(__xludf.DUMMYFUNCTION("""COMPUTED_VALUE"""),0.2)</f>
        <v>0.2</v>
      </c>
      <c r="D742" s="2" t="str">
        <f>IFERROR(__xludf.DUMMYFUNCTION("""COMPUTED_VALUE"""),"सूची प्रबंधन")</f>
        <v>सूची प्रबंधन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 t="str">
        <f>IFERROR(__xludf.DUMMYFUNCTION("""COMPUTED_VALUE"""),"Complain")</f>
        <v>Complain</v>
      </c>
      <c r="B743" s="2" t="str">
        <f>IFERROR(__xludf.DUMMYFUNCTION("""COMPUTED_VALUE"""),"Complain")</f>
        <v>Complain</v>
      </c>
      <c r="C743" s="2">
        <f>IFERROR(__xludf.DUMMYFUNCTION("""COMPUTED_VALUE"""),0.2)</f>
        <v>0.2</v>
      </c>
      <c r="D743" s="2" t="str">
        <f>IFERROR(__xludf.DUMMYFUNCTION("""COMPUTED_VALUE"""),"शिकायत करना")</f>
        <v>शिकायत करना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 t="str">
        <f>IFERROR(__xludf.DUMMYFUNCTION("""COMPUTED_VALUE"""),"AccountManager ")</f>
        <v>AccountManager </v>
      </c>
      <c r="B744" s="2" t="str">
        <f>IFERROR(__xludf.DUMMYFUNCTION("""COMPUTED_VALUE"""),"Account manager ")</f>
        <v>Account manager </v>
      </c>
      <c r="C744" s="2">
        <f>IFERROR(__xludf.DUMMYFUNCTION("""COMPUTED_VALUE"""),0.2)</f>
        <v>0.2</v>
      </c>
      <c r="D744" s="2" t="str">
        <f>IFERROR(__xludf.DUMMYFUNCTION("""COMPUTED_VALUE"""),"खाता प्रबंधक")</f>
        <v>खाता प्रबंधक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 t="str">
        <f>IFERROR(__xludf.DUMMYFUNCTION("""COMPUTED_VALUE"""),"ActiveOrder")</f>
        <v>ActiveOrder</v>
      </c>
      <c r="B745" s="2" t="str">
        <f>IFERROR(__xludf.DUMMYFUNCTION("""COMPUTED_VALUE"""),"Active Order")</f>
        <v>Active Order</v>
      </c>
      <c r="C745" s="2">
        <f>IFERROR(__xludf.DUMMYFUNCTION("""COMPUTED_VALUE"""),0.3)</f>
        <v>0.3</v>
      </c>
      <c r="D745" s="2" t="str">
        <f>IFERROR(__xludf.DUMMYFUNCTION("""COMPUTED_VALUE"""),"सक्रिय आदेश")</f>
        <v>सक्रिय आदेश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 t="str">
        <f>IFERROR(__xludf.DUMMYFUNCTION("""COMPUTED_VALUE"""),"Refer&amp;earn")</f>
        <v>Refer&amp;earn</v>
      </c>
      <c r="B746" s="2" t="str">
        <f>IFERROR(__xludf.DUMMYFUNCTION("""COMPUTED_VALUE"""),"Refer &amp; Earn")</f>
        <v>Refer &amp; Earn</v>
      </c>
      <c r="C746" s="2">
        <f>IFERROR(__xludf.DUMMYFUNCTION("""COMPUTED_VALUE"""),0.2)</f>
        <v>0.2</v>
      </c>
      <c r="D746" s="2" t="str">
        <f>IFERROR(__xludf.DUMMYFUNCTION("""COMPUTED_VALUE"""),"देखें और अर्जित करना")</f>
        <v>देखें और अर्जित करना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 t="str">
        <f>IFERROR(__xludf.DUMMYFUNCTION("""COMPUTED_VALUE"""),"gstin ")</f>
        <v>gstin </v>
      </c>
      <c r="B747" s="2" t="str">
        <f>IFERROR(__xludf.DUMMYFUNCTION("""COMPUTED_VALUE"""),"GSTIN")</f>
        <v>GSTIN</v>
      </c>
      <c r="C747" s="2">
        <f>IFERROR(__xludf.DUMMYFUNCTION("""COMPUTED_VALUE"""),0.2)</f>
        <v>0.2</v>
      </c>
      <c r="D747" s="2" t="str">
        <f>IFERROR(__xludf.DUMMYFUNCTION("""COMPUTED_VALUE"""),"जीएसटी आई एन
")</f>
        <v>जीएसटी आई एन
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 t="str">
        <f>IFERROR(__xludf.DUMMYFUNCTION("""COMPUTED_VALUE"""),"ActivePlan")</f>
        <v>ActivePlan</v>
      </c>
      <c r="B748" s="2" t="str">
        <f>IFERROR(__xludf.DUMMYFUNCTION("""COMPUTED_VALUE"""),"Active Plan")</f>
        <v>Active Plan</v>
      </c>
      <c r="C748" s="2">
        <f>IFERROR(__xludf.DUMMYFUNCTION("""COMPUTED_VALUE"""),0.2)</f>
        <v>0.2</v>
      </c>
      <c r="D748" s="2" t="str">
        <f>IFERROR(__xludf.DUMMYFUNCTION("""COMPUTED_VALUE"""),"सक्रिय योजना")</f>
        <v>सक्रिय योजना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 t="str">
        <f>IFERROR(__xludf.DUMMYFUNCTION("""COMPUTED_VALUE"""),"Expiresin20days ")</f>
        <v>Expiresin20days </v>
      </c>
      <c r="B749" s="2" t="str">
        <f>IFERROR(__xludf.DUMMYFUNCTION("""COMPUTED_VALUE"""),"Expires in 20 days ")</f>
        <v>Expires in 20 days </v>
      </c>
      <c r="C749" s="2">
        <f>IFERROR(__xludf.DUMMYFUNCTION("""COMPUTED_VALUE"""),0.2)</f>
        <v>0.2</v>
      </c>
      <c r="D749" s="2" t="str">
        <f>IFERROR(__xludf.DUMMYFUNCTION("""COMPUTED_VALUE"""),"जीएसटीआईएन")</f>
        <v>जीएसटीआईएन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 t="str">
        <f>IFERROR(__xludf.DUMMYFUNCTION("""COMPUTED_VALUE"""),"Invoice")</f>
        <v>Invoice</v>
      </c>
      <c r="B750" s="2" t="str">
        <f>IFERROR(__xludf.DUMMYFUNCTION("""COMPUTED_VALUE"""),"Invoice")</f>
        <v>Invoice</v>
      </c>
      <c r="C750" s="2">
        <f>IFERROR(__xludf.DUMMYFUNCTION("""COMPUTED_VALUE"""),0.2)</f>
        <v>0.2</v>
      </c>
      <c r="D750" s="2" t="str">
        <f>IFERROR(__xludf.DUMMYFUNCTION("""COMPUTED_VALUE"""),"इनवॉइस")</f>
        <v>इनवॉइस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 t="str">
        <f>IFERROR(__xludf.DUMMYFUNCTION("""COMPUTED_VALUE"""),"LastSubscriptionOn ")</f>
        <v>LastSubscriptionOn </v>
      </c>
      <c r="B751" s="2" t="str">
        <f>IFERROR(__xludf.DUMMYFUNCTION("""COMPUTED_VALUE"""),"Last Subscription On ")</f>
        <v>Last Subscription On </v>
      </c>
      <c r="C751" s="2">
        <f>IFERROR(__xludf.DUMMYFUNCTION("""COMPUTED_VALUE"""),0.2)</f>
        <v>0.2</v>
      </c>
      <c r="D751" s="2" t="str">
        <f>IFERROR(__xludf.DUMMYFUNCTION("""COMPUTED_VALUE"""),"पर अंतिम सदस्यता")</f>
        <v>पर अंतिम सदस्यता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 t="str">
        <f>IFERROR(__xludf.DUMMYFUNCTION("""COMPUTED_VALUE"""),"RenewPlan ")</f>
        <v>RenewPlan </v>
      </c>
      <c r="B752" s="2" t="str">
        <f>IFERROR(__xludf.DUMMYFUNCTION("""COMPUTED_VALUE"""),"Renew Plan ")</f>
        <v>Renew Plan </v>
      </c>
      <c r="C752" s="2">
        <f>IFERROR(__xludf.DUMMYFUNCTION("""COMPUTED_VALUE"""),0.2)</f>
        <v>0.2</v>
      </c>
      <c r="D752" s="2" t="str">
        <f>IFERROR(__xludf.DUMMYFUNCTION("""COMPUTED_VALUE"""),"नवीनीकरण योजना")</f>
        <v>नवीनीकरण योजना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 t="str">
        <f>IFERROR(__xludf.DUMMYFUNCTION("""COMPUTED_VALUE"""),"ViewOtherPlans")</f>
        <v>ViewOtherPlans</v>
      </c>
      <c r="B753" s="2" t="str">
        <f>IFERROR(__xludf.DUMMYFUNCTION("""COMPUTED_VALUE"""),"View Other Plans")</f>
        <v>View Other Plans</v>
      </c>
      <c r="C753" s="2">
        <f>IFERROR(__xludf.DUMMYFUNCTION("""COMPUTED_VALUE"""),0.2)</f>
        <v>0.2</v>
      </c>
      <c r="D753" s="2" t="str">
        <f>IFERROR(__xludf.DUMMYFUNCTION("""COMPUTED_VALUE"""),"अन्य योजनाएं देखें")</f>
        <v>अन्य योजनाएं देखें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 t="str">
        <f>IFERROR(__xludf.DUMMYFUNCTION("""COMPUTED_VALUE"""),"Offer ")</f>
        <v>Offer </v>
      </c>
      <c r="B754" s="2" t="str">
        <f>IFERROR(__xludf.DUMMYFUNCTION("""COMPUTED_VALUE"""),"Offer ")</f>
        <v>Offer </v>
      </c>
      <c r="C754" s="2">
        <f>IFERROR(__xludf.DUMMYFUNCTION("""COMPUTED_VALUE"""),0.2)</f>
        <v>0.2</v>
      </c>
      <c r="D754" s="2" t="str">
        <f>IFERROR(__xludf.DUMMYFUNCTION("""COMPUTED_VALUE"""),"प्रस्ताव")</f>
        <v>प्रस्ताव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 t="str">
        <f>IFERROR(__xludf.DUMMYFUNCTION("""COMPUTED_VALUE"""),"EntryName ")</f>
        <v>EntryName </v>
      </c>
      <c r="B755" s="2" t="str">
        <f>IFERROR(__xludf.DUMMYFUNCTION("""COMPUTED_VALUE"""),"Entry Name ")</f>
        <v>Entry Name </v>
      </c>
      <c r="C755" s="2">
        <f>IFERROR(__xludf.DUMMYFUNCTION("""COMPUTED_VALUE"""),0.2)</f>
        <v>0.2</v>
      </c>
      <c r="D755" s="2" t="str">
        <f>IFERROR(__xludf.DUMMYFUNCTION("""COMPUTED_VALUE"""),"प्रवेश नाम")</f>
        <v>प्रवेश नाम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 t="str">
        <f>IFERROR(__xludf.DUMMYFUNCTION("""COMPUTED_VALUE"""),"GSTINNumber ")</f>
        <v>GSTINNumber </v>
      </c>
      <c r="B756" s="2" t="str">
        <f>IFERROR(__xludf.DUMMYFUNCTION("""COMPUTED_VALUE"""),"GSTIN Number ")</f>
        <v>GSTIN Number </v>
      </c>
      <c r="C756" s="2">
        <f>IFERROR(__xludf.DUMMYFUNCTION("""COMPUTED_VALUE"""),0.2)</f>
        <v>0.2</v>
      </c>
      <c r="D756" s="2" t="str">
        <f>IFERROR(__xludf.DUMMYFUNCTION("""COMPUTED_VALUE"""),"जीएसटी आई एन संख्या")</f>
        <v>जीएसटी आई एन संख्या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 t="str">
        <f>IFERROR(__xludf.DUMMYFUNCTION("""COMPUTED_VALUE"""),"BasicSubscription ")</f>
        <v>BasicSubscription </v>
      </c>
      <c r="B757" s="2" t="str">
        <f>IFERROR(__xludf.DUMMYFUNCTION("""COMPUTED_VALUE"""),"Basic Subscription ")</f>
        <v>Basic Subscription </v>
      </c>
      <c r="C757" s="2">
        <f>IFERROR(__xludf.DUMMYFUNCTION("""COMPUTED_VALUE"""),0.2)</f>
        <v>0.2</v>
      </c>
      <c r="D757" s="2" t="str">
        <f>IFERROR(__xludf.DUMMYFUNCTION("""COMPUTED_VALUE"""),"मूल सदस्यता")</f>
        <v>मूल सदस्यता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 t="str">
        <f>IFERROR(__xludf.DUMMYFUNCTION("""COMPUTED_VALUE"""),"GST")</f>
        <v>GST</v>
      </c>
      <c r="B758" s="2" t="str">
        <f>IFERROR(__xludf.DUMMYFUNCTION("""COMPUTED_VALUE"""),"GST")</f>
        <v>GST</v>
      </c>
      <c r="C758" s="2">
        <f>IFERROR(__xludf.DUMMYFUNCTION("""COMPUTED_VALUE"""),0.2)</f>
        <v>0.2</v>
      </c>
      <c r="D758" s="2" t="str">
        <f>IFERROR(__xludf.DUMMYFUNCTION("""COMPUTED_VALUE"""),"जीएसटीआईएन नंबर")</f>
        <v>जीएसटीआईएन नंबर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 t="str">
        <f>IFERROR(__xludf.DUMMYFUNCTION("""COMPUTED_VALUE"""),"TotalAmount ")</f>
        <v>TotalAmount </v>
      </c>
      <c r="B759" s="2" t="str">
        <f>IFERROR(__xludf.DUMMYFUNCTION("""COMPUTED_VALUE"""),"Total Amount ")</f>
        <v>Total Amount </v>
      </c>
      <c r="C759" s="2">
        <f>IFERROR(__xludf.DUMMYFUNCTION("""COMPUTED_VALUE"""),0.2)</f>
        <v>0.2</v>
      </c>
      <c r="D759" s="2" t="str">
        <f>IFERROR(__xludf.DUMMYFUNCTION("""COMPUTED_VALUE"""),"कुल राशि")</f>
        <v>कुल राशि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 t="str">
        <f>IFERROR(__xludf.DUMMYFUNCTION("""COMPUTED_VALUE"""),"AddProduct ")</f>
        <v>AddProduct </v>
      </c>
      <c r="B760" s="2" t="str">
        <f>IFERROR(__xludf.DUMMYFUNCTION("""COMPUTED_VALUE"""),"Add Product ")</f>
        <v>Add Product </v>
      </c>
      <c r="C760" s="2">
        <f>IFERROR(__xludf.DUMMYFUNCTION("""COMPUTED_VALUE"""),0.2)</f>
        <v>0.2</v>
      </c>
      <c r="D760" s="2" t="str">
        <f>IFERROR(__xludf.DUMMYFUNCTION("""COMPUTED_VALUE"""),"उत्पाद जोड़ें")</f>
        <v>उत्पाद जोड़ें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 t="str">
        <f>IFERROR(__xludf.DUMMYFUNCTION("""COMPUTED_VALUE"""),"UpdateProduct")</f>
        <v>UpdateProduct</v>
      </c>
      <c r="B761" s="2" t="str">
        <f>IFERROR(__xludf.DUMMYFUNCTION("""COMPUTED_VALUE"""),"Update Product")</f>
        <v>Update Product</v>
      </c>
      <c r="C761" s="2">
        <f>IFERROR(__xludf.DUMMYFUNCTION("""COMPUTED_VALUE"""),0.2)</f>
        <v>0.2</v>
      </c>
      <c r="D761" s="2" t="str">
        <f>IFERROR(__xludf.DUMMYFUNCTION("""COMPUTED_VALUE"""),"अद्यतन उत्पाद")</f>
        <v>अद्यतन उत्पाद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 t="str">
        <f>IFERROR(__xludf.DUMMYFUNCTION("""COMPUTED_VALUE"""),"RecommendedProduct ")</f>
        <v>RecommendedProduct </v>
      </c>
      <c r="B762" s="2" t="str">
        <f>IFERROR(__xludf.DUMMYFUNCTION("""COMPUTED_VALUE"""),"Recommended Product ")</f>
        <v>Recommended Product </v>
      </c>
      <c r="C762" s="2">
        <f>IFERROR(__xludf.DUMMYFUNCTION("""COMPUTED_VALUE"""),0.2)</f>
        <v>0.2</v>
      </c>
      <c r="D762" s="2" t="str">
        <f>IFERROR(__xludf.DUMMYFUNCTION("""COMPUTED_VALUE"""),"अनुशंसित उत्पाद")</f>
        <v>अनुशंसित उत्पाद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 t="str">
        <f>IFERROR(__xludf.DUMMYFUNCTION("""COMPUTED_VALUE"""),"Mycatalog ")</f>
        <v>Mycatalog </v>
      </c>
      <c r="B763" s="2" t="str">
        <f>IFERROR(__xludf.DUMMYFUNCTION("""COMPUTED_VALUE"""),"My Catalog ")</f>
        <v>My Catalog </v>
      </c>
      <c r="C763" s="2">
        <f>IFERROR(__xludf.DUMMYFUNCTION("""COMPUTED_VALUE"""),0.2)</f>
        <v>0.2</v>
      </c>
      <c r="D763" s="2" t="str">
        <f>IFERROR(__xludf.DUMMYFUNCTION("""COMPUTED_VALUE"""),"मेरी सूची")</f>
        <v>मेरी सूची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 t="str">
        <f>IFERROR(__xludf.DUMMYFUNCTION("""COMPUTED_VALUE"""),"SelectProducts ")</f>
        <v>SelectProducts </v>
      </c>
      <c r="B764" s="2" t="str">
        <f>IFERROR(__xludf.DUMMYFUNCTION("""COMPUTED_VALUE"""),"Select Products ")</f>
        <v>Select Products </v>
      </c>
      <c r="C764" s="2">
        <f>IFERROR(__xludf.DUMMYFUNCTION("""COMPUTED_VALUE"""),0.2)</f>
        <v>0.2</v>
      </c>
      <c r="D764" s="2" t="str">
        <f>IFERROR(__xludf.DUMMYFUNCTION("""COMPUTED_VALUE"""),"उत्पादों का चयन करें")</f>
        <v>उत्पादों का चयन करें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 t="str">
        <f>IFERROR(__xludf.DUMMYFUNCTION("""COMPUTED_VALUE"""),"Selectall")</f>
        <v>Selectall</v>
      </c>
      <c r="B765" s="2" t="str">
        <f>IFERROR(__xludf.DUMMYFUNCTION("""COMPUTED_VALUE"""),"Select All")</f>
        <v>Select All</v>
      </c>
      <c r="C765" s="2">
        <f>IFERROR(__xludf.DUMMYFUNCTION("""COMPUTED_VALUE"""),0.2)</f>
        <v>0.2</v>
      </c>
      <c r="D765" s="2" t="str">
        <f>IFERROR(__xludf.DUMMYFUNCTION("""COMPUTED_VALUE"""),"सबका चयन करें")</f>
        <v>सबका चयन करें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 t="str">
        <f>IFERROR(__xludf.DUMMYFUNCTION("""COMPUTED_VALUE"""),"Unpublished ")</f>
        <v>Unpublished </v>
      </c>
      <c r="B766" s="2" t="str">
        <f>IFERROR(__xludf.DUMMYFUNCTION("""COMPUTED_VALUE"""),"Unpublished ")</f>
        <v>Unpublished </v>
      </c>
      <c r="C766" s="2">
        <f>IFERROR(__xludf.DUMMYFUNCTION("""COMPUTED_VALUE"""),0.2)</f>
        <v>0.2</v>
      </c>
      <c r="D766" s="2" t="str">
        <f>IFERROR(__xludf.DUMMYFUNCTION("""COMPUTED_VALUE"""),"अप्रकाशित")</f>
        <v>अप्रकाशित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 t="str">
        <f>IFERROR(__xludf.DUMMYFUNCTION("""COMPUTED_VALUE"""),"PreOrder ")</f>
        <v>PreOrder </v>
      </c>
      <c r="B767" s="2" t="str">
        <f>IFERROR(__xludf.DUMMYFUNCTION("""COMPUTED_VALUE"""),"Pre Order ")</f>
        <v>Pre Order </v>
      </c>
      <c r="C767" s="2">
        <f>IFERROR(__xludf.DUMMYFUNCTION("""COMPUTED_VALUE"""),0.2)</f>
        <v>0.2</v>
      </c>
      <c r="D767" s="2" t="str">
        <f>IFERROR(__xludf.DUMMYFUNCTION("""COMPUTED_VALUE"""),"पूर्व आदेश")</f>
        <v>पूर्व आदेश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 t="str">
        <f>IFERROR(__xludf.DUMMYFUNCTION("""COMPUTED_VALUE"""),"SellingPrice ")</f>
        <v>SellingPrice </v>
      </c>
      <c r="B768" s="2" t="str">
        <f>IFERROR(__xludf.DUMMYFUNCTION("""COMPUTED_VALUE"""),"Selling Price ")</f>
        <v>Selling Price </v>
      </c>
      <c r="C768" s="2">
        <f>IFERROR(__xludf.DUMMYFUNCTION("""COMPUTED_VALUE"""),0.2)</f>
        <v>0.2</v>
      </c>
      <c r="D768" s="2" t="str">
        <f>IFERROR(__xludf.DUMMYFUNCTION("""COMPUTED_VALUE"""),"विक्रय मूल्य")</f>
        <v>विक्रय मूल्य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 t="str">
        <f>IFERROR(__xludf.DUMMYFUNCTION("""COMPUTED_VALUE"""),"SoldBy ")</f>
        <v>SoldBy </v>
      </c>
      <c r="B769" s="2" t="str">
        <f>IFERROR(__xludf.DUMMYFUNCTION("""COMPUTED_VALUE"""),"Sold By ")</f>
        <v>Sold By </v>
      </c>
      <c r="C769" s="2">
        <f>IFERROR(__xludf.DUMMYFUNCTION("""COMPUTED_VALUE"""),0.2)</f>
        <v>0.2</v>
      </c>
      <c r="D769" s="2" t="str">
        <f>IFERROR(__xludf.DUMMYFUNCTION("""COMPUTED_VALUE"""),"द्वारा बेचा")</f>
        <v>द्वारा बेचा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 t="str">
        <f>IFERROR(__xludf.DUMMYFUNCTION("""COMPUTED_VALUE"""),"Liter ")</f>
        <v>Liter </v>
      </c>
      <c r="B770" s="2" t="str">
        <f>IFERROR(__xludf.DUMMYFUNCTION("""COMPUTED_VALUE"""),"Liter ")</f>
        <v>Liter </v>
      </c>
      <c r="C770" s="2">
        <f>IFERROR(__xludf.DUMMYFUNCTION("""COMPUTED_VALUE"""),0.2)</f>
        <v>0.2</v>
      </c>
      <c r="D770" s="2" t="str">
        <f>IFERROR(__xludf.DUMMYFUNCTION("""COMPUTED_VALUE"""),"लीटर")</f>
        <v>लीटर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 t="str">
        <f>IFERROR(__xludf.DUMMYFUNCTION("""COMPUTED_VALUE"""),"Weight ")</f>
        <v>Weight </v>
      </c>
      <c r="B771" s="2" t="str">
        <f>IFERROR(__xludf.DUMMYFUNCTION("""COMPUTED_VALUE"""),"Weight ")</f>
        <v>Weight </v>
      </c>
      <c r="C771" s="2">
        <f>IFERROR(__xludf.DUMMYFUNCTION("""COMPUTED_VALUE"""),0.2)</f>
        <v>0.2</v>
      </c>
      <c r="D771" s="2" t="str">
        <f>IFERROR(__xludf.DUMMYFUNCTION("""COMPUTED_VALUE"""),"वज़न")</f>
        <v>वज़न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 t="str">
        <f>IFERROR(__xludf.DUMMYFUNCTION("""COMPUTED_VALUE"""),"Grading ")</f>
        <v>Grading </v>
      </c>
      <c r="B772" s="2" t="str">
        <f>IFERROR(__xludf.DUMMYFUNCTION("""COMPUTED_VALUE"""),"Grading ")</f>
        <v>Grading </v>
      </c>
      <c r="C772" s="2">
        <f>IFERROR(__xludf.DUMMYFUNCTION("""COMPUTED_VALUE"""),0.2)</f>
        <v>0.2</v>
      </c>
      <c r="D772" s="2" t="str">
        <f>IFERROR(__xludf.DUMMYFUNCTION("""COMPUTED_VALUE"""),"ग्रेडिंग")</f>
        <v>ग्रेडिंग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 t="str">
        <f>IFERROR(__xludf.DUMMYFUNCTION("""COMPUTED_VALUE"""),"PendingApproval")</f>
        <v>PendingApproval</v>
      </c>
      <c r="B773" s="2" t="str">
        <f>IFERROR(__xludf.DUMMYFUNCTION("""COMPUTED_VALUE"""),"Pending Approval")</f>
        <v>Pending Approval</v>
      </c>
      <c r="C773" s="2">
        <f>IFERROR(__xludf.DUMMYFUNCTION("""COMPUTED_VALUE"""),0.2)</f>
        <v>0.2</v>
      </c>
      <c r="D773" s="2" t="str">
        <f>IFERROR(__xludf.DUMMYFUNCTION("""COMPUTED_VALUE"""),"लंबित अनुमोदन")</f>
        <v>लंबित अनुमोदन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 t="str">
        <f>IFERROR(__xludf.DUMMYFUNCTION("""COMPUTED_VALUE"""),"Approved")</f>
        <v>Approved</v>
      </c>
      <c r="B774" s="2" t="str">
        <f>IFERROR(__xludf.DUMMYFUNCTION("""COMPUTED_VALUE"""),"Approved")</f>
        <v>Approved</v>
      </c>
      <c r="C774" s="2">
        <f>IFERROR(__xludf.DUMMYFUNCTION("""COMPUTED_VALUE"""),0.2)</f>
        <v>0.2</v>
      </c>
      <c r="D774" s="2" t="str">
        <f>IFERROR(__xludf.DUMMYFUNCTION("""COMPUTED_VALUE"""),"अनुमत")</f>
        <v>अनुमत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 t="str">
        <f>IFERROR(__xludf.DUMMYFUNCTION("""COMPUTED_VALUE"""),"Rejected ")</f>
        <v>Rejected </v>
      </c>
      <c r="B775" s="2" t="str">
        <f>IFERROR(__xludf.DUMMYFUNCTION("""COMPUTED_VALUE"""),"Rejected ")</f>
        <v>Rejected </v>
      </c>
      <c r="C775" s="2">
        <f>IFERROR(__xludf.DUMMYFUNCTION("""COMPUTED_VALUE"""),0.2)</f>
        <v>0.2</v>
      </c>
      <c r="D775" s="2" t="str">
        <f>IFERROR(__xludf.DUMMYFUNCTION("""COMPUTED_VALUE"""),"अस्वीकार कर दिया")</f>
        <v>अस्वीकार कर दिया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 t="str">
        <f>IFERROR(__xludf.DUMMYFUNCTION("""COMPUTED_VALUE"""),"Customized")</f>
        <v>Customized</v>
      </c>
      <c r="B776" s="2" t="str">
        <f>IFERROR(__xludf.DUMMYFUNCTION("""COMPUTED_VALUE"""),"Customized")</f>
        <v>Customized</v>
      </c>
      <c r="C776" s="2">
        <f>IFERROR(__xludf.DUMMYFUNCTION("""COMPUTED_VALUE"""),0.2)</f>
        <v>0.2</v>
      </c>
      <c r="D776" s="2" t="str">
        <f>IFERROR(__xludf.DUMMYFUNCTION("""COMPUTED_VALUE"""),"स्वनिर्धारित")</f>
        <v>स्वनिर्धारित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 t="str">
        <f>IFERROR(__xludf.DUMMYFUNCTION("""COMPUTED_VALUE"""),"Favouriteshop")</f>
        <v>Favouriteshop</v>
      </c>
      <c r="B777" s="2" t="str">
        <f>IFERROR(__xludf.DUMMYFUNCTION("""COMPUTED_VALUE"""),"Favourite Shop")</f>
        <v>Favourite Shop</v>
      </c>
      <c r="C777" s="2">
        <f>IFERROR(__xludf.DUMMYFUNCTION("""COMPUTED_VALUE"""),0.2)</f>
        <v>0.2</v>
      </c>
      <c r="D777" s="2" t="str">
        <f>IFERROR(__xludf.DUMMYFUNCTION("""COMPUTED_VALUE"""),"पसंदीदा दुकान")</f>
        <v>पसंदीदा दुकान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 t="str">
        <f>IFERROR(__xludf.DUMMYFUNCTION("""COMPUTED_VALUE"""),"ShopByCategories ")</f>
        <v>ShopByCategories </v>
      </c>
      <c r="B778" s="2" t="str">
        <f>IFERROR(__xludf.DUMMYFUNCTION("""COMPUTED_VALUE"""),"Shop By Categories ")</f>
        <v>Shop By Categories </v>
      </c>
      <c r="C778" s="2">
        <f>IFERROR(__xludf.DUMMYFUNCTION("""COMPUTED_VALUE"""),0.2)</f>
        <v>0.2</v>
      </c>
      <c r="D778" s="2" t="str">
        <f>IFERROR(__xludf.DUMMYFUNCTION("""COMPUTED_VALUE"""),"श्रेणियों द्वारा दुकान")</f>
        <v>श्रेणियों द्वारा दुकान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 t="str">
        <f>IFERROR(__xludf.DUMMYFUNCTION("""COMPUTED_VALUE"""),"Grocery ")</f>
        <v>Grocery </v>
      </c>
      <c r="B779" s="2" t="str">
        <f>IFERROR(__xludf.DUMMYFUNCTION("""COMPUTED_VALUE"""),"Grocery ")</f>
        <v>Grocery </v>
      </c>
      <c r="C779" s="2">
        <f>IFERROR(__xludf.DUMMYFUNCTION("""COMPUTED_VALUE"""),0.2)</f>
        <v>0.2</v>
      </c>
      <c r="D779" s="2" t="str">
        <f>IFERROR(__xludf.DUMMYFUNCTION("""COMPUTED_VALUE"""),"किराना")</f>
        <v>किराना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 t="str">
        <f>IFERROR(__xludf.DUMMYFUNCTION("""COMPUTED_VALUE"""),"Fish")</f>
        <v>Fish</v>
      </c>
      <c r="B780" s="2" t="str">
        <f>IFERROR(__xludf.DUMMYFUNCTION("""COMPUTED_VALUE"""),"Fish")</f>
        <v>Fish</v>
      </c>
      <c r="C780" s="2">
        <f>IFERROR(__xludf.DUMMYFUNCTION("""COMPUTED_VALUE"""),0.2)</f>
        <v>0.2</v>
      </c>
      <c r="D780" s="2" t="str">
        <f>IFERROR(__xludf.DUMMYFUNCTION("""COMPUTED_VALUE"""),"मछली")</f>
        <v>मछली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 t="str">
        <f>IFERROR(__xludf.DUMMYFUNCTION("""COMPUTED_VALUE"""),"Flower ")</f>
        <v>Flower </v>
      </c>
      <c r="B781" s="2" t="str">
        <f>IFERROR(__xludf.DUMMYFUNCTION("""COMPUTED_VALUE"""),"Flower ")</f>
        <v>Flower </v>
      </c>
      <c r="C781" s="2">
        <f>IFERROR(__xludf.DUMMYFUNCTION("""COMPUTED_VALUE"""),0.2)</f>
        <v>0.2</v>
      </c>
      <c r="D781" s="2" t="str">
        <f>IFERROR(__xludf.DUMMYFUNCTION("""COMPUTED_VALUE"""),"फूल")</f>
        <v>फूल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 t="str">
        <f>IFERROR(__xludf.DUMMYFUNCTION("""COMPUTED_VALUE"""),"Preference ")</f>
        <v>Preference </v>
      </c>
      <c r="B782" s="2" t="str">
        <f>IFERROR(__xludf.DUMMYFUNCTION("""COMPUTED_VALUE"""),"Preference ")</f>
        <v>Preference </v>
      </c>
      <c r="C782" s="2">
        <f>IFERROR(__xludf.DUMMYFUNCTION("""COMPUTED_VALUE"""),0.2)</f>
        <v>0.2</v>
      </c>
      <c r="D782" s="2" t="str">
        <f>IFERROR(__xludf.DUMMYFUNCTION("""COMPUTED_VALUE"""),"पसंद")</f>
        <v>पसंद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 t="str">
        <f>IFERROR(__xludf.DUMMYFUNCTION("""COMPUTED_VALUE"""),"SelectPreference ")</f>
        <v>SelectPreference </v>
      </c>
      <c r="B783" s="2" t="str">
        <f>IFERROR(__xludf.DUMMYFUNCTION("""COMPUTED_VALUE"""),"Select Preference ")</f>
        <v>Select Preference </v>
      </c>
      <c r="C783" s="2">
        <f>IFERROR(__xludf.DUMMYFUNCTION("""COMPUTED_VALUE"""),0.1)</f>
        <v>0.1</v>
      </c>
      <c r="D783" s="2" t="str">
        <f>IFERROR(__xludf.DUMMYFUNCTION("""COMPUTED_VALUE"""),"वरीयता का चयन करें")</f>
        <v>वरीयता का चयन करें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 t="str">
        <f>IFERROR(__xludf.DUMMYFUNCTION("""COMPUTED_VALUE"""),"FruitsShop")</f>
        <v>FruitsShop</v>
      </c>
      <c r="B784" s="2" t="str">
        <f>IFERROR(__xludf.DUMMYFUNCTION("""COMPUTED_VALUE"""),"Fruits Shop")</f>
        <v>Fruits Shop</v>
      </c>
      <c r="C784" s="2">
        <f>IFERROR(__xludf.DUMMYFUNCTION("""COMPUTED_VALUE"""),0.2)</f>
        <v>0.2</v>
      </c>
      <c r="D784" s="2" t="str">
        <f>IFERROR(__xludf.DUMMYFUNCTION("""COMPUTED_VALUE"""),"फलों की दुकान")</f>
        <v>फलों की दुकान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 t="str">
        <f>IFERROR(__xludf.DUMMYFUNCTION("""COMPUTED_VALUE"""),"LocalGarden")</f>
        <v>LocalGarden</v>
      </c>
      <c r="B785" s="2" t="str">
        <f>IFERROR(__xludf.DUMMYFUNCTION("""COMPUTED_VALUE"""),"Local Garden")</f>
        <v>Local Garden</v>
      </c>
      <c r="C785" s="2">
        <f>IFERROR(__xludf.DUMMYFUNCTION("""COMPUTED_VALUE"""),0.2)</f>
        <v>0.2</v>
      </c>
      <c r="D785" s="2" t="str">
        <f>IFERROR(__xludf.DUMMYFUNCTION("""COMPUTED_VALUE"""),"स्थानीय उद्यान")</f>
        <v>स्थानीय उद्यान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 t="str">
        <f>IFERROR(__xludf.DUMMYFUNCTION("""COMPUTED_VALUE"""),"Nonveg ")</f>
        <v>Nonveg </v>
      </c>
      <c r="B786" s="2" t="str">
        <f>IFERROR(__xludf.DUMMYFUNCTION("""COMPUTED_VALUE"""),"Non veg ")</f>
        <v>Non veg </v>
      </c>
      <c r="C786" s="2">
        <f>IFERROR(__xludf.DUMMYFUNCTION("""COMPUTED_VALUE"""),0.2)</f>
        <v>0.2</v>
      </c>
      <c r="D786" s="2" t="str">
        <f>IFERROR(__xludf.DUMMYFUNCTION("""COMPUTED_VALUE"""),"मांसाहारी")</f>
        <v>मांसाहारी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 t="str">
        <f>IFERROR(__xludf.DUMMYFUNCTION("""COMPUTED_VALUE"""),"Simple ")</f>
        <v>Simple </v>
      </c>
      <c r="B787" s="2" t="str">
        <f>IFERROR(__xludf.DUMMYFUNCTION("""COMPUTED_VALUE"""),"Simple ")</f>
        <v>Simple </v>
      </c>
      <c r="C787" s="2">
        <f>IFERROR(__xludf.DUMMYFUNCTION("""COMPUTED_VALUE"""),0.2)</f>
        <v>0.2</v>
      </c>
      <c r="D787" s="2" t="str">
        <f>IFERROR(__xludf.DUMMYFUNCTION("""COMPUTED_VALUE"""),"सरल")</f>
        <v>सरल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 t="str">
        <f>IFERROR(__xludf.DUMMYFUNCTION("""COMPUTED_VALUE"""),"Aggregate ")</f>
        <v>Aggregate </v>
      </c>
      <c r="B788" s="2" t="str">
        <f>IFERROR(__xludf.DUMMYFUNCTION("""COMPUTED_VALUE"""),"Aggregate ")</f>
        <v>Aggregate </v>
      </c>
      <c r="C788" s="2">
        <f>IFERROR(__xludf.DUMMYFUNCTION("""COMPUTED_VALUE"""),0.2)</f>
        <v>0.2</v>
      </c>
      <c r="D788" s="2" t="str">
        <f>IFERROR(__xludf.DUMMYFUNCTION("""COMPUTED_VALUE"""),"सकल")</f>
        <v>सकल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 t="str">
        <f>IFERROR(__xludf.DUMMYFUNCTION("""COMPUTED_VALUE"""),"MultipleFruits ")</f>
        <v>MultipleFruits </v>
      </c>
      <c r="B789" s="2" t="str">
        <f>IFERROR(__xludf.DUMMYFUNCTION("""COMPUTED_VALUE"""),"Multiple Fruits ")</f>
        <v>Multiple Fruits </v>
      </c>
      <c r="C789" s="2">
        <f>IFERROR(__xludf.DUMMYFUNCTION("""COMPUTED_VALUE"""),0.2)</f>
        <v>0.2</v>
      </c>
      <c r="D789" s="2" t="str">
        <f>IFERROR(__xludf.DUMMYFUNCTION("""COMPUTED_VALUE"""),"कई फल")</f>
        <v>कई फल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 t="str">
        <f>IFERROR(__xludf.DUMMYFUNCTION("""COMPUTED_VALUE"""),"AddAddress")</f>
        <v>AddAddress</v>
      </c>
      <c r="B790" s="2" t="str">
        <f>IFERROR(__xludf.DUMMYFUNCTION("""COMPUTED_VALUE"""),"Add Address")</f>
        <v>Add Address</v>
      </c>
      <c r="C790" s="2">
        <f>IFERROR(__xludf.DUMMYFUNCTION("""COMPUTED_VALUE"""),0.3)</f>
        <v>0.3</v>
      </c>
      <c r="D790" s="2" t="str">
        <f>IFERROR(__xludf.DUMMYFUNCTION("""COMPUTED_VALUE"""),"पता जोड़ें")</f>
        <v>पता जोड़ें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 t="str">
        <f>IFERROR(__xludf.DUMMYFUNCTION("""COMPUTED_VALUE"""),"Seasonal ")</f>
        <v>Seasonal </v>
      </c>
      <c r="B791" s="2" t="str">
        <f>IFERROR(__xludf.DUMMYFUNCTION("""COMPUTED_VALUE"""),"Seasonal ")</f>
        <v>Seasonal </v>
      </c>
      <c r="C791" s="2">
        <f>IFERROR(__xludf.DUMMYFUNCTION("""COMPUTED_VALUE"""),0.2)</f>
        <v>0.2</v>
      </c>
      <c r="D791" s="2" t="str">
        <f>IFERROR(__xludf.DUMMYFUNCTION("""COMPUTED_VALUE"""),"मौसमी")</f>
        <v>मौसमी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 t="str">
        <f>IFERROR(__xludf.DUMMYFUNCTION("""COMPUTED_VALUE"""),"Items ")</f>
        <v>Items </v>
      </c>
      <c r="B792" s="2" t="str">
        <f>IFERROR(__xludf.DUMMYFUNCTION("""COMPUTED_VALUE"""),"Items ")</f>
        <v>Items </v>
      </c>
      <c r="C792" s="2">
        <f>IFERROR(__xludf.DUMMYFUNCTION("""COMPUTED_VALUE"""),0.2)</f>
        <v>0.2</v>
      </c>
      <c r="D792" s="2" t="str">
        <f>IFERROR(__xludf.DUMMYFUNCTION("""COMPUTED_VALUE"""),"सामान")</f>
        <v>सामान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 t="str">
        <f>IFERROR(__xludf.DUMMYFUNCTION("""COMPUTED_VALUE"""),"Employee/partner ")</f>
        <v>Employee/partner </v>
      </c>
      <c r="B793" s="2" t="str">
        <f>IFERROR(__xludf.DUMMYFUNCTION("""COMPUTED_VALUE"""),"Employee/partner ")</f>
        <v>Employee/partner </v>
      </c>
      <c r="C793" s="2">
        <f>IFERROR(__xludf.DUMMYFUNCTION("""COMPUTED_VALUE"""),0.2)</f>
        <v>0.2</v>
      </c>
      <c r="D793" s="2" t="str">
        <f>IFERROR(__xludf.DUMMYFUNCTION("""COMPUTED_VALUE"""),"कर्मचारी/भागीदार")</f>
        <v>कर्मचारी/भागीदार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 t="str">
        <f>IFERROR(__xludf.DUMMYFUNCTION("""COMPUTED_VALUE"""),"Refer ")</f>
        <v>Refer </v>
      </c>
      <c r="B794" s="2" t="str">
        <f>IFERROR(__xludf.DUMMYFUNCTION("""COMPUTED_VALUE"""),"Refer ")</f>
        <v>Refer </v>
      </c>
      <c r="C794" s="2">
        <f>IFERROR(__xludf.DUMMYFUNCTION("""COMPUTED_VALUE"""),0.2)</f>
        <v>0.2</v>
      </c>
      <c r="D794" s="2" t="str">
        <f>IFERROR(__xludf.DUMMYFUNCTION("""COMPUTED_VALUE"""),"उद्घृत करना")</f>
        <v>उद्घृत करना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 t="str">
        <f>IFERROR(__xludf.DUMMYFUNCTION("""COMPUTED_VALUE"""),"Employeemanagement ")</f>
        <v>Employeemanagement </v>
      </c>
      <c r="B795" s="2" t="str">
        <f>IFERROR(__xludf.DUMMYFUNCTION("""COMPUTED_VALUE"""),"Employee Management")</f>
        <v>Employee Management</v>
      </c>
      <c r="C795" s="2">
        <f>IFERROR(__xludf.DUMMYFUNCTION("""COMPUTED_VALUE"""),0.2)</f>
        <v>0.2</v>
      </c>
      <c r="D795" s="2" t="str">
        <f>IFERROR(__xludf.DUMMYFUNCTION("""COMPUTED_VALUE"""),"कर्मचारी प्रबंधन")</f>
        <v>कर्मचारी प्रबंधन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 t="str">
        <f>IFERROR(__xludf.DUMMYFUNCTION("""COMPUTED_VALUE"""),"StateHead")</f>
        <v>StateHead</v>
      </c>
      <c r="B796" s="2" t="str">
        <f>IFERROR(__xludf.DUMMYFUNCTION("""COMPUTED_VALUE"""),"State Head")</f>
        <v>State Head</v>
      </c>
      <c r="C796" s="2">
        <f>IFERROR(__xludf.DUMMYFUNCTION("""COMPUTED_VALUE"""),0.2)</f>
        <v>0.2</v>
      </c>
      <c r="D796" s="2" t="str">
        <f>IFERROR(__xludf.DUMMYFUNCTION("""COMPUTED_VALUE"""),"राज्य -प्रधान")</f>
        <v>राज्य -प्रधान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 t="str">
        <f>IFERROR(__xludf.DUMMYFUNCTION("""COMPUTED_VALUE"""),"AddEmployee")</f>
        <v>AddEmployee</v>
      </c>
      <c r="B797" s="2" t="str">
        <f>IFERROR(__xludf.DUMMYFUNCTION("""COMPUTED_VALUE"""),"Add Employee")</f>
        <v>Add Employee</v>
      </c>
      <c r="C797" s="2">
        <f>IFERROR(__xludf.DUMMYFUNCTION("""COMPUTED_VALUE"""),0.2)</f>
        <v>0.2</v>
      </c>
      <c r="D797" s="2" t="str">
        <f>IFERROR(__xludf.DUMMYFUNCTION("""COMPUTED_VALUE"""),"कर्मचारी जोड़ें")</f>
        <v>कर्मचारी जोड़ें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 t="str">
        <f>IFERROR(__xludf.DUMMYFUNCTION("""COMPUTED_VALUE"""),"ManagerId ")</f>
        <v>ManagerId </v>
      </c>
      <c r="B798" s="2" t="str">
        <f>IFERROR(__xludf.DUMMYFUNCTION("""COMPUTED_VALUE"""),"Manager ID")</f>
        <v>Manager ID</v>
      </c>
      <c r="C798" s="2">
        <f>IFERROR(__xludf.DUMMYFUNCTION("""COMPUTED_VALUE"""),0.2)</f>
        <v>0.2</v>
      </c>
      <c r="D798" s="2" t="str">
        <f>IFERROR(__xludf.DUMMYFUNCTION("""COMPUTED_VALUE"""),"प्रबंधक आईडी")</f>
        <v>प्रबंधक आईडी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 t="str">
        <f>IFERROR(__xludf.DUMMYFUNCTION("""COMPUTED_VALUE"""),"OrgId")</f>
        <v>OrgId</v>
      </c>
      <c r="B799" s="2" t="str">
        <f>IFERROR(__xludf.DUMMYFUNCTION("""COMPUTED_VALUE"""),"Org ID")</f>
        <v>Org ID</v>
      </c>
      <c r="C799" s="2">
        <f>IFERROR(__xludf.DUMMYFUNCTION("""COMPUTED_VALUE"""),0.2)</f>
        <v>0.2</v>
      </c>
      <c r="D799" s="2" t="str">
        <f>IFERROR(__xludf.DUMMYFUNCTION("""COMPUTED_VALUE"""),"संगठन आईडी")</f>
        <v>संगठन आईडी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 t="str">
        <f>IFERROR(__xludf.DUMMYFUNCTION("""COMPUTED_VALUE"""),"AssignRole")</f>
        <v>AssignRole</v>
      </c>
      <c r="B800" s="2" t="str">
        <f>IFERROR(__xludf.DUMMYFUNCTION("""COMPUTED_VALUE"""),"Assign Role")</f>
        <v>Assign Role</v>
      </c>
      <c r="C800" s="2">
        <f>IFERROR(__xludf.DUMMYFUNCTION("""COMPUTED_VALUE"""),0.2)</f>
        <v>0.2</v>
      </c>
      <c r="D800" s="2" t="str">
        <f>IFERROR(__xludf.DUMMYFUNCTION("""COMPUTED_VALUE"""),"भूमिका निभाना")</f>
        <v>भूमिका निभाना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 t="str">
        <f>IFERROR(__xludf.DUMMYFUNCTION("""COMPUTED_VALUE"""),"CityOfficer ")</f>
        <v>CityOfficer </v>
      </c>
      <c r="B801" s="2" t="str">
        <f>IFERROR(__xludf.DUMMYFUNCTION("""COMPUTED_VALUE"""),"City Officer ")</f>
        <v>City Officer </v>
      </c>
      <c r="C801" s="2">
        <f>IFERROR(__xludf.DUMMYFUNCTION("""COMPUTED_VALUE"""),0.2)</f>
        <v>0.2</v>
      </c>
      <c r="D801" s="2" t="str">
        <f>IFERROR(__xludf.DUMMYFUNCTION("""COMPUTED_VALUE"""),"नगर अधिकारी")</f>
        <v>नगर अधिकारी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 t="str">
        <f>IFERROR(__xludf.DUMMYFUNCTION("""COMPUTED_VALUE"""),"FrontlineOfficer ")</f>
        <v>FrontlineOfficer </v>
      </c>
      <c r="B802" s="2" t="str">
        <f>IFERROR(__xludf.DUMMYFUNCTION("""COMPUTED_VALUE"""),"Frontline Officer ")</f>
        <v>Frontline Officer </v>
      </c>
      <c r="C802" s="2">
        <f>IFERROR(__xludf.DUMMYFUNCTION("""COMPUTED_VALUE"""),0.2)</f>
        <v>0.2</v>
      </c>
      <c r="D802" s="2" t="str">
        <f>IFERROR(__xludf.DUMMYFUNCTION("""COMPUTED_VALUE"""),"सीमा -सीमा अधिकारी")</f>
        <v>सीमा -सीमा अधिकारी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 t="str">
        <f>IFERROR(__xludf.DUMMYFUNCTION("""COMPUTED_VALUE"""),"Employeecreatedsuccessfully")</f>
        <v>Employeecreatedsuccessfully</v>
      </c>
      <c r="B803" s="2" t="str">
        <f>IFERROR(__xludf.DUMMYFUNCTION("""COMPUTED_VALUE"""),"Employee Created Successfully YAY!")</f>
        <v>Employee Created Successfully YAY!</v>
      </c>
      <c r="C803" s="2">
        <f>IFERROR(__xludf.DUMMYFUNCTION("""COMPUTED_VALUE"""),0.2)</f>
        <v>0.2</v>
      </c>
      <c r="D803" s="2" t="str">
        <f>IFERROR(__xludf.DUMMYFUNCTION("""COMPUTED_VALUE"""),"कर्मचारी ने सफलतापूर्वक YAY बनाया!")</f>
        <v>कर्मचारी ने सफलतापूर्वक YAY बनाया!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 t="str">
        <f>IFERROR(__xludf.DUMMYFUNCTION("""COMPUTED_VALUE"""),"AlmoniUser ")</f>
        <v>AlmoniUser </v>
      </c>
      <c r="B804" s="2" t="str">
        <f>IFERROR(__xludf.DUMMYFUNCTION("""COMPUTED_VALUE"""),"Almoni User ")</f>
        <v>Almoni User </v>
      </c>
      <c r="C804" s="2">
        <f>IFERROR(__xludf.DUMMYFUNCTION("""COMPUTED_VALUE"""),0.2)</f>
        <v>0.2</v>
      </c>
      <c r="D804" s="2" t="str">
        <f>IFERROR(__xludf.DUMMYFUNCTION("""COMPUTED_VALUE"""),"अल्मोनी उपयोगकर्ता")</f>
        <v>अल्मोनी उपयोगकर्ता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 t="str">
        <f>IFERROR(__xludf.DUMMYFUNCTION("""COMPUTED_VALUE"""),"Undo")</f>
        <v>Undo</v>
      </c>
      <c r="B805" s="2" t="str">
        <f>IFERROR(__xludf.DUMMYFUNCTION("""COMPUTED_VALUE"""),"Undo")</f>
        <v>Undo</v>
      </c>
      <c r="C805" s="2">
        <f>IFERROR(__xludf.DUMMYFUNCTION("""COMPUTED_VALUE"""),0.2)</f>
        <v>0.2</v>
      </c>
      <c r="D805" s="2" t="str">
        <f>IFERROR(__xludf.DUMMYFUNCTION("""COMPUTED_VALUE"""),"पूर्ववत")</f>
        <v>पूर्ववत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 t="str">
        <f>IFERROR(__xludf.DUMMYFUNCTION("""COMPUTED_VALUE"""),"Franchiese ")</f>
        <v>Franchiese </v>
      </c>
      <c r="B806" s="2" t="str">
        <f>IFERROR(__xludf.DUMMYFUNCTION("""COMPUTED_VALUE"""),"Franchise ")</f>
        <v>Franchise </v>
      </c>
      <c r="C806" s="2">
        <f>IFERROR(__xludf.DUMMYFUNCTION("""COMPUTED_VALUE"""),0.2)</f>
        <v>0.2</v>
      </c>
      <c r="D806" s="2" t="str">
        <f>IFERROR(__xludf.DUMMYFUNCTION("""COMPUTED_VALUE"""),"मताधिकार")</f>
        <v>मताधिकार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 t="str">
        <f>IFERROR(__xludf.DUMMYFUNCTION("""COMPUTED_VALUE"""),"Freelancer ")</f>
        <v>Freelancer </v>
      </c>
      <c r="B807" s="2" t="str">
        <f>IFERROR(__xludf.DUMMYFUNCTION("""COMPUTED_VALUE"""),"Freelancer ")</f>
        <v>Freelancer </v>
      </c>
      <c r="C807" s="2">
        <f>IFERROR(__xludf.DUMMYFUNCTION("""COMPUTED_VALUE"""),0.2)</f>
        <v>0.2</v>
      </c>
      <c r="D807" s="2" t="str">
        <f>IFERROR(__xludf.DUMMYFUNCTION("""COMPUTED_VALUE"""),"फ्रीलांसर")</f>
        <v>फ्रीलांसर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 t="str">
        <f>IFERROR(__xludf.DUMMYFUNCTION("""COMPUTED_VALUE"""),"January")</f>
        <v>January</v>
      </c>
      <c r="B808" s="2" t="str">
        <f>IFERROR(__xludf.DUMMYFUNCTION("""COMPUTED_VALUE"""),"January")</f>
        <v>January</v>
      </c>
      <c r="C808" s="2">
        <f>IFERROR(__xludf.DUMMYFUNCTION("""COMPUTED_VALUE"""),0.2)</f>
        <v>0.2</v>
      </c>
      <c r="D808" s="2" t="str">
        <f>IFERROR(__xludf.DUMMYFUNCTION("""COMPUTED_VALUE"""),"जनवरी")</f>
        <v>जनवरी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 t="str">
        <f>IFERROR(__xludf.DUMMYFUNCTION("""COMPUTED_VALUE"""),"businessnameisrequired")</f>
        <v>businessnameisrequired</v>
      </c>
      <c r="B809" s="2" t="str">
        <f>IFERROR(__xludf.DUMMYFUNCTION("""COMPUTED_VALUE"""),"Business Name is Required")</f>
        <v>Business Name is Required</v>
      </c>
      <c r="C809" s="2">
        <f>IFERROR(__xludf.DUMMYFUNCTION("""COMPUTED_VALUE"""),0.2)</f>
        <v>0.2</v>
      </c>
      <c r="D809" s="2" t="str">
        <f>IFERROR(__xludf.DUMMYFUNCTION("""COMPUTED_VALUE"""),"व्यवसाय का नाम आवश्यक है")</f>
        <v>व्यवसाय का नाम आवश्यक है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 t="str">
        <f>IFERROR(__xludf.DUMMYFUNCTION("""COMPUTED_VALUE"""),"nameshouldbemin5charslong.")</f>
        <v>nameshouldbemin5charslong.</v>
      </c>
      <c r="B810" s="2" t="str">
        <f>IFERROR(__xludf.DUMMYFUNCTION("""COMPUTED_VALUE"""),"Name should be min 5 chars long.")</f>
        <v>Name should be min 5 chars long.</v>
      </c>
      <c r="C810" s="2">
        <f>IFERROR(__xludf.DUMMYFUNCTION("""COMPUTED_VALUE"""),0.2)</f>
        <v>0.2</v>
      </c>
      <c r="D810" s="2" t="str">
        <f>IFERROR(__xludf.DUMMYFUNCTION("""COMPUTED_VALUE"""),"नाम न्यूनतम 5 chars लंबा होना चाहिए।")</f>
        <v>नाम न्यूनतम 5 chars लंबा होना चाहिए।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 t="str">
        <f>IFERROR(__xludf.DUMMYFUNCTION("""COMPUTED_VALUE"""),"shopno.isrequired.")</f>
        <v>shopno.isrequired.</v>
      </c>
      <c r="B811" s="2" t="str">
        <f>IFERROR(__xludf.DUMMYFUNCTION("""COMPUTED_VALUE"""),"Shop no.is required.")</f>
        <v>Shop no.is required.</v>
      </c>
      <c r="C811" s="2">
        <f>IFERROR(__xludf.DUMMYFUNCTION("""COMPUTED_VALUE"""),0.2)</f>
        <v>0.2</v>
      </c>
      <c r="D811" s="2" t="str">
        <f>IFERROR(__xludf.DUMMYFUNCTION("""COMPUTED_VALUE"""),"शॉप नंबर की आवश्यकता है।")</f>
        <v>शॉप नंबर की आवश्यकता है।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 t="str">
        <f>IFERROR(__xludf.DUMMYFUNCTION("""COMPUTED_VALUE"""),"streetno.isrequired")</f>
        <v>streetno.isrequired</v>
      </c>
      <c r="B812" s="2" t="str">
        <f>IFERROR(__xludf.DUMMYFUNCTION("""COMPUTED_VALUE"""),"Street no.is required.")</f>
        <v>Street no.is required.</v>
      </c>
      <c r="C812" s="2">
        <f>IFERROR(__xludf.DUMMYFUNCTION("""COMPUTED_VALUE"""),0.2)</f>
        <v>0.2</v>
      </c>
      <c r="D812" s="2" t="str">
        <f>IFERROR(__xludf.DUMMYFUNCTION("""COMPUTED_VALUE"""),"स्ट्रीट नंबर की आवश्यकता है।")</f>
        <v>स्ट्रीट नंबर की आवश्यकता है।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 t="str">
        <f>IFERROR(__xludf.DUMMYFUNCTION("""COMPUTED_VALUE"""),"landmarkisrequired")</f>
        <v>landmarkisrequired</v>
      </c>
      <c r="B813" s="2" t="str">
        <f>IFERROR(__xludf.DUMMYFUNCTION("""COMPUTED_VALUE"""),"landmark is required.")</f>
        <v>landmark is required.</v>
      </c>
      <c r="C813" s="2">
        <f>IFERROR(__xludf.DUMMYFUNCTION("""COMPUTED_VALUE"""),0.2)</f>
        <v>0.2</v>
      </c>
      <c r="D813" s="2" t="str">
        <f>IFERROR(__xludf.DUMMYFUNCTION("""COMPUTED_VALUE"""),"लैंडमार्क की आवश्यकता है।")</f>
        <v>लैंडमार्क की आवश्यकता है।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 t="str">
        <f>IFERROR(__xludf.DUMMYFUNCTION("""COMPUTED_VALUE"""),"cityisrequired")</f>
        <v>cityisrequired</v>
      </c>
      <c r="B814" s="2" t="str">
        <f>IFERROR(__xludf.DUMMYFUNCTION("""COMPUTED_VALUE"""),"City is required.")</f>
        <v>City is required.</v>
      </c>
      <c r="C814" s="2">
        <f>IFERROR(__xludf.DUMMYFUNCTION("""COMPUTED_VALUE"""),0.2)</f>
        <v>0.2</v>
      </c>
      <c r="D814" s="2" t="str">
        <f>IFERROR(__xludf.DUMMYFUNCTION("""COMPUTED_VALUE"""),"शहर की आवश्यकता है।")</f>
        <v>शहर की आवश्यकता है।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 t="str">
        <f>IFERROR(__xludf.DUMMYFUNCTION("""COMPUTED_VALUE"""),"pincodeisrequired")</f>
        <v>pincodeisrequired</v>
      </c>
      <c r="B815" s="2" t="str">
        <f>IFERROR(__xludf.DUMMYFUNCTION("""COMPUTED_VALUE"""),"Pincode is required.")</f>
        <v>Pincode is required.</v>
      </c>
      <c r="C815" s="2">
        <f>IFERROR(__xludf.DUMMYFUNCTION("""COMPUTED_VALUE"""),0.2)</f>
        <v>0.2</v>
      </c>
      <c r="D815" s="2" t="str">
        <f>IFERROR(__xludf.DUMMYFUNCTION("""COMPUTED_VALUE"""),"पिनकोड की आवश्यकता है।")</f>
        <v>पिनकोड की आवश्यकता है।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 t="str">
        <f>IFERROR(__xludf.DUMMYFUNCTION("""COMPUTED_VALUE"""),"updategstin")</f>
        <v>updategstin</v>
      </c>
      <c r="B816" s="2" t="str">
        <f>IFERROR(__xludf.DUMMYFUNCTION("""COMPUTED_VALUE"""),"Update GSTIN")</f>
        <v>Update GSTIN</v>
      </c>
      <c r="C816" s="2">
        <f>IFERROR(__xludf.DUMMYFUNCTION("""COMPUTED_VALUE"""),0.2)</f>
        <v>0.2</v>
      </c>
      <c r="D816" s="2" t="str">
        <f>IFERROR(__xludf.DUMMYFUNCTION("""COMPUTED_VALUE"""),"जीएसटीएन अपडेट करें")</f>
        <v>जीएसटीएन अपडेट करें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 t="str">
        <f>IFERROR(__xludf.DUMMYFUNCTION("""COMPUTED_VALUE"""),"Pancardno.isrequired")</f>
        <v>Pancardno.isrequired</v>
      </c>
      <c r="B817" s="2" t="str">
        <f>IFERROR(__xludf.DUMMYFUNCTION("""COMPUTED_VALUE"""),"PAN Card No. is required .")</f>
        <v>PAN Card No. is required .</v>
      </c>
      <c r="C817" s="2">
        <f>IFERROR(__xludf.DUMMYFUNCTION("""COMPUTED_VALUE"""),0.2)</f>
        <v>0.2</v>
      </c>
      <c r="D817" s="2" t="str">
        <f>IFERROR(__xludf.DUMMYFUNCTION("""COMPUTED_VALUE"""),"पैन कार्ड नंबर की आवश्यकता है।")</f>
        <v>पैन कार्ड नंबर की आवश्यकता है।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 t="str">
        <f>IFERROR(__xludf.DUMMYFUNCTION("""COMPUTED_VALUE"""),"Region")</f>
        <v>Region</v>
      </c>
      <c r="B818" s="2" t="str">
        <f>IFERROR(__xludf.DUMMYFUNCTION("""COMPUTED_VALUE"""),"Region")</f>
        <v>Region</v>
      </c>
      <c r="C818" s="2">
        <f>IFERROR(__xludf.DUMMYFUNCTION("""COMPUTED_VALUE"""),0.3)</f>
        <v>0.3</v>
      </c>
      <c r="D818" s="2" t="str">
        <f>IFERROR(__xludf.DUMMYFUNCTION("""COMPUTED_VALUE"""),"जीएसटीआईएन अपडेट करें")</f>
        <v>जीएसटीआईएन अपडेट करें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 t="str">
        <f>IFERROR(__xludf.DUMMYFUNCTION("""COMPUTED_VALUE"""),"Doyouwanttocontinuewiththisnumber?")</f>
        <v>Doyouwanttocontinuewiththisnumber?</v>
      </c>
      <c r="B819" s="2" t="str">
        <f>IFERROR(__xludf.DUMMYFUNCTION("""COMPUTED_VALUE"""),"Do you want to continue with this number?")</f>
        <v>Do you want to continue with this number?</v>
      </c>
      <c r="C819" s="2">
        <f>IFERROR(__xludf.DUMMYFUNCTION("""COMPUTED_VALUE"""),0.3)</f>
        <v>0.3</v>
      </c>
      <c r="D819" s="2" t="str">
        <f>IFERROR(__xludf.DUMMYFUNCTION("""COMPUTED_VALUE"""),"क्या आप इस नंबर के साथ जारी रखना चाहते हैं?")</f>
        <v>क्या आप इस नंबर के साथ जारी रखना चाहते हैं?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 t="str">
        <f>IFERROR(__xludf.DUMMYFUNCTION("""COMPUTED_VALUE"""),"Pleaseprovidealltherequiredvalues!")</f>
        <v>Pleaseprovidealltherequiredvalues!</v>
      </c>
      <c r="B820" s="2" t="str">
        <f>IFERROR(__xludf.DUMMYFUNCTION("""COMPUTED_VALUE"""),"Please provide all the required values!")</f>
        <v>Please provide all the required values!</v>
      </c>
      <c r="C820" s="2">
        <f>IFERROR(__xludf.DUMMYFUNCTION("""COMPUTED_VALUE"""),0.3)</f>
        <v>0.3</v>
      </c>
      <c r="D820" s="2" t="str">
        <f>IFERROR(__xludf.DUMMYFUNCTION("""COMPUTED_VALUE"""),"कृपया सभी आवश्यक मान प्रदान करें!")</f>
        <v>कृपया सभी आवश्यक मान प्रदान करें!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 t="str">
        <f>IFERROR(__xludf.DUMMYFUNCTION("""COMPUTED_VALUE"""),"Taptoretry")</f>
        <v>Taptoretry</v>
      </c>
      <c r="B821" s="2" t="str">
        <f>IFERROR(__xludf.DUMMYFUNCTION("""COMPUTED_VALUE"""),"Tap to retry")</f>
        <v>Tap to retry</v>
      </c>
      <c r="C821" s="2">
        <f>IFERROR(__xludf.DUMMYFUNCTION("""COMPUTED_VALUE"""),0.3)</f>
        <v>0.3</v>
      </c>
      <c r="D821" s="2" t="str">
        <f>IFERROR(__xludf.DUMMYFUNCTION("""COMPUTED_VALUE"""),"पुन: प्रयास करने के लिए ठोकिए")</f>
        <v>पुन: प्रयास करने के लिए ठोकिए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 t="str">
        <f>IFERROR(__xludf.DUMMYFUNCTION("""COMPUTED_VALUE"""),"somethingwentwrong")</f>
        <v>somethingwentwrong</v>
      </c>
      <c r="B822" s="2" t="str">
        <f>IFERROR(__xludf.DUMMYFUNCTION("""COMPUTED_VALUE"""),"something went wrong")</f>
        <v>something went wrong</v>
      </c>
      <c r="C822" s="2">
        <f>IFERROR(__xludf.DUMMYFUNCTION("""COMPUTED_VALUE"""),0.3)</f>
        <v>0.3</v>
      </c>
      <c r="D822" s="2" t="str">
        <f>IFERROR(__xludf.DUMMYFUNCTION("""COMPUTED_VALUE"""),"कुछ गलत हो गया")</f>
        <v>कुछ गलत हो गया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 t="str">
        <f>IFERROR(__xludf.DUMMYFUNCTION("""COMPUTED_VALUE"""),"Searchbyfruits,Categories")</f>
        <v>Searchbyfruits,Categories</v>
      </c>
      <c r="B823" s="2" t="str">
        <f>IFERROR(__xludf.DUMMYFUNCTION("""COMPUTED_VALUE"""),"Search by Fruits, Categories")</f>
        <v>Search by Fruits, Categories</v>
      </c>
      <c r="C823" s="2">
        <f>IFERROR(__xludf.DUMMYFUNCTION("""COMPUTED_VALUE"""),0.3)</f>
        <v>0.3</v>
      </c>
      <c r="D823" s="2" t="str">
        <f>IFERROR(__xludf.DUMMYFUNCTION("""COMPUTED_VALUE"""),"फलों, श्रेणियों द्वारा खोजें")</f>
        <v>फलों, श्रेणियों द्वारा खोजें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 t="str">
        <f>IFERROR(__xludf.DUMMYFUNCTION("""COMPUTED_VALUE"""),"PleaseEnterPincode")</f>
        <v>PleaseEnterPincode</v>
      </c>
      <c r="B824" s="2" t="str">
        <f>IFERROR(__xludf.DUMMYFUNCTION("""COMPUTED_VALUE"""),"Please Enter Pincode")</f>
        <v>Please Enter Pincode</v>
      </c>
      <c r="C824" s="2">
        <f>IFERROR(__xludf.DUMMYFUNCTION("""COMPUTED_VALUE"""),0.3)</f>
        <v>0.3</v>
      </c>
      <c r="D824" s="2" t="str">
        <f>IFERROR(__xludf.DUMMYFUNCTION("""COMPUTED_VALUE"""),"कृपया पिनकोड दर्ज करें")</f>
        <v>कृपया पिनकोड दर्ज करें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 t="str">
        <f>IFERROR(__xludf.DUMMYFUNCTION("""COMPUTED_VALUE"""),"PleaseEnterHouse/Flat/Blockno")</f>
        <v>PleaseEnterHouse/Flat/Blockno</v>
      </c>
      <c r="B825" s="2" t="str">
        <f>IFERROR(__xludf.DUMMYFUNCTION("""COMPUTED_VALUE"""),"Please Enter House/Flat/Block no")</f>
        <v>Please Enter House/Flat/Block no</v>
      </c>
      <c r="C825" s="2">
        <f>IFERROR(__xludf.DUMMYFUNCTION("""COMPUTED_VALUE"""),0.3)</f>
        <v>0.3</v>
      </c>
      <c r="D825" s="2" t="str">
        <f>IFERROR(__xludf.DUMMYFUNCTION("""COMPUTED_VALUE"""),"कृपया घर/फ्लैट/ब्लॉक नहीं दर्ज करें")</f>
        <v>कृपया घर/फ्लैट/ब्लॉक नहीं दर्ज करें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 t="str">
        <f>IFERROR(__xludf.DUMMYFUNCTION("""COMPUTED_VALUE"""),"PleaseEnterApartment/Road/Area")</f>
        <v>PleaseEnterApartment/Road/Area</v>
      </c>
      <c r="B826" s="2" t="str">
        <f>IFERROR(__xludf.DUMMYFUNCTION("""COMPUTED_VALUE"""),"Please Enter Apartment/Road/Area")</f>
        <v>Please Enter Apartment/Road/Area</v>
      </c>
      <c r="C826" s="2">
        <f>IFERROR(__xludf.DUMMYFUNCTION("""COMPUTED_VALUE"""),0.3)</f>
        <v>0.3</v>
      </c>
      <c r="D826" s="2" t="str">
        <f>IFERROR(__xludf.DUMMYFUNCTION("""COMPUTED_VALUE"""),"कृपया अपार्टमेंट/सड़क/क्षेत्र में प्रवेश करें")</f>
        <v>कृपया अपार्टमेंट/सड़क/क्षेत्र में प्रवेश करें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 t="str">
        <f>IFERROR(__xludf.DUMMYFUNCTION("""COMPUTED_VALUE"""),"PleaseEnterLandmark")</f>
        <v>PleaseEnterLandmark</v>
      </c>
      <c r="B827" s="2" t="str">
        <f>IFERROR(__xludf.DUMMYFUNCTION("""COMPUTED_VALUE"""),"Please Enter Landmark")</f>
        <v>Please Enter Landmark</v>
      </c>
      <c r="C827" s="2">
        <f>IFERROR(__xludf.DUMMYFUNCTION("""COMPUTED_VALUE"""),0.3)</f>
        <v>0.3</v>
      </c>
      <c r="D827" s="2" t="str">
        <f>IFERROR(__xludf.DUMMYFUNCTION("""COMPUTED_VALUE"""),"कृपया लैंडमार्क दर्ज करें")</f>
        <v>कृपया लैंडमार्क दर्ज करें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 t="str">
        <f>IFERROR(__xludf.DUMMYFUNCTION("""COMPUTED_VALUE"""),"Pre-Order")</f>
        <v>Pre-Order</v>
      </c>
      <c r="B828" s="2" t="str">
        <f>IFERROR(__xludf.DUMMYFUNCTION("""COMPUTED_VALUE"""),"Pre-Order")</f>
        <v>Pre-Order</v>
      </c>
      <c r="C828" s="2">
        <f>IFERROR(__xludf.DUMMYFUNCTION("""COMPUTED_VALUE"""),0.3)</f>
        <v>0.3</v>
      </c>
      <c r="D828" s="2" t="str">
        <f>IFERROR(__xludf.DUMMYFUNCTION("""COMPUTED_VALUE"""),"पूर्व आदेश")</f>
        <v>पूर्व आदेश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 t="str">
        <f>IFERROR(__xludf.DUMMYFUNCTION("""COMPUTED_VALUE"""),"BrowseCatalog")</f>
        <v>BrowseCatalog</v>
      </c>
      <c r="B829" s="2" t="str">
        <f>IFERROR(__xludf.DUMMYFUNCTION("""COMPUTED_VALUE"""),"Browse Catalog")</f>
        <v>Browse Catalog</v>
      </c>
      <c r="C829" s="2">
        <f>IFERROR(__xludf.DUMMYFUNCTION("""COMPUTED_VALUE"""),0.3)</f>
        <v>0.3</v>
      </c>
      <c r="D829" s="2" t="str">
        <f>IFERROR(__xludf.DUMMYFUNCTION("""COMPUTED_VALUE"""),"ब्राउज़ कैटलॉग")</f>
        <v>ब्राउज़ कैटलॉग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 t="str">
        <f>IFERROR(__xludf.DUMMYFUNCTION("""COMPUTED_VALUE"""),"IFSCisRequired")</f>
        <v>IFSCisRequired</v>
      </c>
      <c r="B830" s="2" t="str">
        <f>IFERROR(__xludf.DUMMYFUNCTION("""COMPUTED_VALUE"""),"IFSC is Required")</f>
        <v>IFSC is Required</v>
      </c>
      <c r="C830" s="2">
        <f>IFERROR(__xludf.DUMMYFUNCTION("""COMPUTED_VALUE"""),0.3)</f>
        <v>0.3</v>
      </c>
      <c r="D830" s="2" t="str">
        <f>IFERROR(__xludf.DUMMYFUNCTION("""COMPUTED_VALUE"""),"आईएफ़एससी आवश्यक है")</f>
        <v>आईएफ़एससी आवश्यक है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 t="str">
        <f>IFERROR(__xludf.DUMMYFUNCTION("""COMPUTED_VALUE"""),"PANNumberisRequired.")</f>
        <v>PANNumberisRequired.</v>
      </c>
      <c r="B831" s="2" t="str">
        <f>IFERROR(__xludf.DUMMYFUNCTION("""COMPUTED_VALUE"""),"PAN Number is Required.")</f>
        <v>PAN Number is Required.</v>
      </c>
      <c r="C831" s="2">
        <f>IFERROR(__xludf.DUMMYFUNCTION("""COMPUTED_VALUE"""),0.3)</f>
        <v>0.3</v>
      </c>
      <c r="D831" s="2" t="str">
        <f>IFERROR(__xludf.DUMMYFUNCTION("""COMPUTED_VALUE"""),"पैन नंबर की आवश्यकता है।")</f>
        <v>पैन नंबर की आवश्यकता है।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 t="str">
        <f>IFERROR(__xludf.DUMMYFUNCTION("""COMPUTED_VALUE"""),"Accept-popupworks!")</f>
        <v>Accept-popupworks!</v>
      </c>
      <c r="B832" s="2" t="str">
        <f>IFERROR(__xludf.DUMMYFUNCTION("""COMPUTED_VALUE"""),"Accept-Popup Works!")</f>
        <v>Accept-Popup Works!</v>
      </c>
      <c r="C832" s="2">
        <f>IFERROR(__xludf.DUMMYFUNCTION("""COMPUTED_VALUE"""),0.3)</f>
        <v>0.3</v>
      </c>
      <c r="D832" s="2" t="str">
        <f>IFERROR(__xludf.DUMMYFUNCTION("""COMPUTED_VALUE"""),"स्वीकार-पॉपअप काम करता है!")</f>
        <v>स्वीकार-पॉपअप काम करता है!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 t="str">
        <f>IFERROR(__xludf.DUMMYFUNCTION("""COMPUTED_VALUE"""),"Accepted-orderworks!")</f>
        <v>Accepted-orderworks!</v>
      </c>
      <c r="B833" s="2" t="str">
        <f>IFERROR(__xludf.DUMMYFUNCTION("""COMPUTED_VALUE"""),"Accepted-Order Works!")</f>
        <v>Accepted-Order Works!</v>
      </c>
      <c r="C833" s="2">
        <f>IFERROR(__xludf.DUMMYFUNCTION("""COMPUTED_VALUE"""),0.3)</f>
        <v>0.3</v>
      </c>
      <c r="D833" s="2" t="str">
        <f>IFERROR(__xludf.DUMMYFUNCTION("""COMPUTED_VALUE"""),"स्वीकृत-आदेश काम करता है!")</f>
        <v>स्वीकृत-आदेश काम करता है!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 t="str">
        <f>IFERROR(__xludf.DUMMYFUNCTION("""COMPUTED_VALUE"""),"Dispatch-ordersworks!")</f>
        <v>Dispatch-ordersworks!</v>
      </c>
      <c r="B834" s="2" t="str">
        <f>IFERROR(__xludf.DUMMYFUNCTION("""COMPUTED_VALUE"""),"Dispatch-Orders Works!")</f>
        <v>Dispatch-Orders Works!</v>
      </c>
      <c r="C834" s="2">
        <f>IFERROR(__xludf.DUMMYFUNCTION("""COMPUTED_VALUE"""),0.3)</f>
        <v>0.3</v>
      </c>
      <c r="D834" s="2" t="str">
        <f>IFERROR(__xludf.DUMMYFUNCTION("""COMPUTED_VALUE"""),"डिस्पैच-ऑर्डर काम करता है!")</f>
        <v>डिस्पैच-ऑर्डर काम करता है!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 t="str">
        <f>IFERROR(__xludf.DUMMYFUNCTION("""COMPUTED_VALUE"""),"New-orderworks!")</f>
        <v>New-orderworks!</v>
      </c>
      <c r="B835" s="2" t="str">
        <f>IFERROR(__xludf.DUMMYFUNCTION("""COMPUTED_VALUE"""),"New-Order Works!")</f>
        <v>New-Order Works!</v>
      </c>
      <c r="C835" s="2">
        <f>IFERROR(__xludf.DUMMYFUNCTION("""COMPUTED_VALUE"""),0.3)</f>
        <v>0.3</v>
      </c>
      <c r="D835" s="2" t="str">
        <f>IFERROR(__xludf.DUMMYFUNCTION("""COMPUTED_VALUE"""),"न्यू-ऑर्डर काम करता है!")</f>
        <v>न्यू-ऑर्डर काम करता है!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 t="str">
        <f>IFERROR(__xludf.DUMMYFUNCTION("""COMPUTED_VALUE"""),"PaymentReceived")</f>
        <v>PaymentReceived</v>
      </c>
      <c r="B836" s="2" t="str">
        <f>IFERROR(__xludf.DUMMYFUNCTION("""COMPUTED_VALUE"""),"Payment Received")</f>
        <v>Payment Received</v>
      </c>
      <c r="C836" s="2">
        <f>IFERROR(__xludf.DUMMYFUNCTION("""COMPUTED_VALUE"""),0.3)</f>
        <v>0.3</v>
      </c>
      <c r="D836" s="2" t="str">
        <f>IFERROR(__xludf.DUMMYFUNCTION("""COMPUTED_VALUE"""),"भुगतान प्राप्त")</f>
        <v>भुगतान प्राप्त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 t="str">
        <f>IFERROR(__xludf.DUMMYFUNCTION("""COMPUTED_VALUE"""),"DeliveryInstructions")</f>
        <v>DeliveryInstructions</v>
      </c>
      <c r="B837" s="2" t="str">
        <f>IFERROR(__xludf.DUMMYFUNCTION("""COMPUTED_VALUE"""),"Delivery Instructions")</f>
        <v>Delivery Instructions</v>
      </c>
      <c r="C837" s="2">
        <f>IFERROR(__xludf.DUMMYFUNCTION("""COMPUTED_VALUE"""),0.3)</f>
        <v>0.3</v>
      </c>
      <c r="D837" s="2" t="str">
        <f>IFERROR(__xludf.DUMMYFUNCTION("""COMPUTED_VALUE"""),"वितरण निर्देश")</f>
        <v>वितरण निर्देश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 t="str">
        <f>IFERROR(__xludf.DUMMYFUNCTION("""COMPUTED_VALUE"""),"Picker")</f>
        <v>Picker</v>
      </c>
      <c r="B838" s="2" t="str">
        <f>IFERROR(__xludf.DUMMYFUNCTION("""COMPUTED_VALUE"""),"Picker")</f>
        <v>Picker</v>
      </c>
      <c r="C838" s="2">
        <f>IFERROR(__xludf.DUMMYFUNCTION("""COMPUTED_VALUE"""),0.3)</f>
        <v>0.3</v>
      </c>
      <c r="D838" s="2" t="str">
        <f>IFERROR(__xludf.DUMMYFUNCTION("""COMPUTED_VALUE"""),"कुदाल")</f>
        <v>कुदाल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 t="str">
        <f>IFERROR(__xludf.DUMMYFUNCTION("""COMPUTED_VALUE"""),"Loading ...")</f>
        <v>Loading ...</v>
      </c>
      <c r="B839" s="2" t="str">
        <f>IFERROR(__xludf.DUMMYFUNCTION("""COMPUTED_VALUE"""),"Loading ...")</f>
        <v>Loading ...</v>
      </c>
      <c r="C839" s="2">
        <f>IFERROR(__xludf.DUMMYFUNCTION("""COMPUTED_VALUE"""),0.3)</f>
        <v>0.3</v>
      </c>
      <c r="D839" s="2" t="str">
        <f>IFERROR(__xludf.DUMMYFUNCTION("""COMPUTED_VALUE"""),"लोड हो रहा है ...")</f>
        <v>लोड हो रहा है ...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 t="str">
        <f>IFERROR(__xludf.DUMMYFUNCTION("""COMPUTED_VALUE"""),"Processing-ordersworks!")</f>
        <v>Processing-ordersworks!</v>
      </c>
      <c r="B840" s="2" t="str">
        <f>IFERROR(__xludf.DUMMYFUNCTION("""COMPUTED_VALUE"""),"Processing-Orders Works!")</f>
        <v>Processing-Orders Works!</v>
      </c>
      <c r="C840" s="2">
        <f>IFERROR(__xludf.DUMMYFUNCTION("""COMPUTED_VALUE"""),0.3)</f>
        <v>0.3</v>
      </c>
      <c r="D840" s="2" t="str">
        <f>IFERROR(__xludf.DUMMYFUNCTION("""COMPUTED_VALUE"""),"प्रसंस्करण-आदेश काम करता है!")</f>
        <v>प्रसंस्करण-आदेश काम करता है!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 t="str">
        <f>IFERROR(__xludf.DUMMYFUNCTION("""COMPUTED_VALUE"""),"Ready-ordersworks!")</f>
        <v>Ready-ordersworks!</v>
      </c>
      <c r="B841" s="2" t="str">
        <f>IFERROR(__xludf.DUMMYFUNCTION("""COMPUTED_VALUE"""),"Ready-Orders Works!")</f>
        <v>Ready-Orders Works!</v>
      </c>
      <c r="C841" s="2">
        <f>IFERROR(__xludf.DUMMYFUNCTION("""COMPUTED_VALUE"""),0.3)</f>
        <v>0.3</v>
      </c>
      <c r="D841" s="2" t="str">
        <f>IFERROR(__xludf.DUMMYFUNCTION("""COMPUTED_VALUE"""),"रेडी-ऑर्डर काम करता है!")</f>
        <v>रेडी-ऑर्डर काम करता है!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 t="str">
        <f>IFERROR(__xludf.DUMMYFUNCTION("""COMPUTED_VALUE"""),"Environment:Staging")</f>
        <v>Environment:Staging</v>
      </c>
      <c r="B842" s="2" t="str">
        <f>IFERROR(__xludf.DUMMYFUNCTION("""COMPUTED_VALUE"""),"Environment: Staging")</f>
        <v>Environment: Staging</v>
      </c>
      <c r="C842" s="2">
        <f>IFERROR(__xludf.DUMMYFUNCTION("""COMPUTED_VALUE"""),0.3)</f>
        <v>0.3</v>
      </c>
      <c r="D842" s="2" t="str">
        <f>IFERROR(__xludf.DUMMYFUNCTION("""COMPUTED_VALUE"""),"पर्यावरण: मंचन")</f>
        <v>पर्यावरण: मंचन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 t="str">
        <f>IFERROR(__xludf.DUMMYFUNCTION("""COMPUTED_VALUE"""),"NoDataFound")</f>
        <v>NoDataFound</v>
      </c>
      <c r="B843" s="2" t="str">
        <f>IFERROR(__xludf.DUMMYFUNCTION("""COMPUTED_VALUE"""),"No Data Found")</f>
        <v>No Data Found</v>
      </c>
      <c r="C843" s="2">
        <f>IFERROR(__xludf.DUMMYFUNCTION("""COMPUTED_VALUE"""),0.3)</f>
        <v>0.3</v>
      </c>
      <c r="D843" s="2" t="str">
        <f>IFERROR(__xludf.DUMMYFUNCTION("""COMPUTED_VALUE"""),"डाटा प्राप्त नहीं हुआ")</f>
        <v>डाटा प्राप्त नहीं हुआ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 t="str">
        <f>IFERROR(__xludf.DUMMYFUNCTION("""COMPUTED_VALUE"""),"Progressbarworks!")</f>
        <v>Progressbarworks!</v>
      </c>
      <c r="B844" s="2" t="str">
        <f>IFERROR(__xludf.DUMMYFUNCTION("""COMPUTED_VALUE"""),"Progressbar Works!")</f>
        <v>Progressbar Works!</v>
      </c>
      <c r="C844" s="2">
        <f>IFERROR(__xludf.DUMMYFUNCTION("""COMPUTED_VALUE"""),0.3)</f>
        <v>0.3</v>
      </c>
      <c r="D844" s="2" t="str">
        <f>IFERROR(__xludf.DUMMYFUNCTION("""COMPUTED_VALUE"""),"प्रोग्रेसबार काम करता है!")</f>
        <v>प्रोग्रेसबार काम करता है!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 t="str">
        <f>IFERROR(__xludf.DUMMYFUNCTION("""COMPUTED_VALUE"""),"InvoiceNumber")</f>
        <v>InvoiceNumber</v>
      </c>
      <c r="B845" s="2" t="str">
        <f>IFERROR(__xludf.DUMMYFUNCTION("""COMPUTED_VALUE"""),"Invoice Number")</f>
        <v>Invoice Number</v>
      </c>
      <c r="C845" s="2">
        <f>IFERROR(__xludf.DUMMYFUNCTION("""COMPUTED_VALUE"""),0.3)</f>
        <v>0.3</v>
      </c>
      <c r="D845" s="2" t="str">
        <f>IFERROR(__xludf.DUMMYFUNCTION("""COMPUTED_VALUE"""),"बीजक संख्या")</f>
        <v>बीजक संख्या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 t="str">
        <f>IFERROR(__xludf.DUMMYFUNCTION("""COMPUTED_VALUE"""),"IGSTIN")</f>
        <v>IGSTIN</v>
      </c>
      <c r="B846" s="2" t="str">
        <f>IFERROR(__xludf.DUMMYFUNCTION("""COMPUTED_VALUE"""),"IGSTIN")</f>
        <v>IGSTIN</v>
      </c>
      <c r="C846" s="2">
        <f>IFERROR(__xludf.DUMMYFUNCTION("""COMPUTED_VALUE"""),0.3)</f>
        <v>0.3</v>
      </c>
      <c r="D846" s="2" t="str">
        <f>IFERROR(__xludf.DUMMYFUNCTION("""COMPUTED_VALUE"""),"इगस्टिन")</f>
        <v>इगस्टिन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 t="str">
        <f>IFERROR(__xludf.DUMMYFUNCTION("""COMPUTED_VALUE"""),"ShopName")</f>
        <v>ShopName</v>
      </c>
      <c r="B847" s="2" t="str">
        <f>IFERROR(__xludf.DUMMYFUNCTION("""COMPUTED_VALUE"""),"Shop Name")</f>
        <v>Shop Name</v>
      </c>
      <c r="C847" s="2">
        <f>IFERROR(__xludf.DUMMYFUNCTION("""COMPUTED_VALUE"""),0.3)</f>
        <v>0.3</v>
      </c>
      <c r="D847" s="2" t="str">
        <f>IFERROR(__xludf.DUMMYFUNCTION("""COMPUTED_VALUE"""),"दुकान का नाम")</f>
        <v>दुकान का नाम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 t="str">
        <f>IFERROR(__xludf.DUMMYFUNCTION("""COMPUTED_VALUE"""),"PhoneNo.")</f>
        <v>PhoneNo.</v>
      </c>
      <c r="B848" s="2" t="str">
        <f>IFERROR(__xludf.DUMMYFUNCTION("""COMPUTED_VALUE"""),"Phone No.")</f>
        <v>Phone No.</v>
      </c>
      <c r="C848" s="2">
        <f>IFERROR(__xludf.DUMMYFUNCTION("""COMPUTED_VALUE"""),0.3)</f>
        <v>0.3</v>
      </c>
      <c r="D848" s="2" t="str">
        <f>IFERROR(__xludf.DUMMYFUNCTION("""COMPUTED_VALUE"""),"फोन नंबर।")</f>
        <v>फोन नंबर।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 t="str">
        <f>IFERROR(__xludf.DUMMYFUNCTION("""COMPUTED_VALUE"""),"Gallery")</f>
        <v>Gallery</v>
      </c>
      <c r="B849" s="2" t="str">
        <f>IFERROR(__xludf.DUMMYFUNCTION("""COMPUTED_VALUE"""),"Gallery")</f>
        <v>Gallery</v>
      </c>
      <c r="C849" s="2">
        <f>IFERROR(__xludf.DUMMYFUNCTION("""COMPUTED_VALUE"""),0.4)</f>
        <v>0.4</v>
      </c>
      <c r="D849" s="2" t="str">
        <f>IFERROR(__xludf.DUMMYFUNCTION("""COMPUTED_VALUE"""),"गेलरी")</f>
        <v>गेलरी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 t="str">
        <f>IFERROR(__xludf.DUMMYFUNCTION("""COMPUTED_VALUE"""),"Update&amp;Continue")</f>
        <v>Update&amp;Continue</v>
      </c>
      <c r="B850" s="2" t="str">
        <f>IFERROR(__xludf.DUMMYFUNCTION("""COMPUTED_VALUE"""),"Update &amp; Continue")</f>
        <v>Update &amp; Continue</v>
      </c>
      <c r="C850" s="2">
        <f>IFERROR(__xludf.DUMMYFUNCTION("""COMPUTED_VALUE"""),0.4)</f>
        <v>0.4</v>
      </c>
      <c r="D850" s="2" t="str">
        <f>IFERROR(__xludf.DUMMYFUNCTION("""COMPUTED_VALUE"""),"अद्यतन करें और जारी रखें")</f>
        <v>अद्यतन करें और जारी रखें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 t="str">
        <f>IFERROR(__xludf.DUMMYFUNCTION("""COMPUTED_VALUE"""),"alert ")</f>
        <v>alert </v>
      </c>
      <c r="B851" s="2" t="str">
        <f>IFERROR(__xludf.DUMMYFUNCTION("""COMPUTED_VALUE"""),"Alert!!")</f>
        <v>Alert!!</v>
      </c>
      <c r="C851" s="2">
        <f>IFERROR(__xludf.DUMMYFUNCTION("""COMPUTED_VALUE"""),0.4)</f>
        <v>0.4</v>
      </c>
      <c r="D851" s="2" t="str">
        <f>IFERROR(__xludf.DUMMYFUNCTION("""COMPUTED_VALUE"""),"चेतावनी!!")</f>
        <v>चेतावनी!!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 t="str">
        <f>IFERROR(__xludf.DUMMYFUNCTION("""COMPUTED_VALUE"""),"Areyousureyouwanttodelete?")</f>
        <v>Areyousureyouwanttodelete?</v>
      </c>
      <c r="B852" s="2" t="str">
        <f>IFERROR(__xludf.DUMMYFUNCTION("""COMPUTED_VALUE"""),"Are you sure you want to delete?")</f>
        <v>Are you sure you want to delete?</v>
      </c>
      <c r="C852" s="2">
        <f>IFERROR(__xludf.DUMMYFUNCTION("""COMPUTED_VALUE"""),0.4)</f>
        <v>0.4</v>
      </c>
      <c r="D852" s="2" t="str">
        <f>IFERROR(__xludf.DUMMYFUNCTION("""COMPUTED_VALUE"""),"क्या आप आश्वस्त है कि आपको डिलीट करना है?")</f>
        <v>क्या आप आश्वस्त है कि आपको डिलीट करना है?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 t="str">
        <f>IFERROR(__xludf.DUMMYFUNCTION("""COMPUTED_VALUE"""),"Organisation")</f>
        <v>Organisation</v>
      </c>
      <c r="B853" s="2" t="str">
        <f>IFERROR(__xludf.DUMMYFUNCTION("""COMPUTED_VALUE"""),"Organisation")</f>
        <v>Organisation</v>
      </c>
      <c r="C853" s="2">
        <f>IFERROR(__xludf.DUMMYFUNCTION("""COMPUTED_VALUE"""),0.4)</f>
        <v>0.4</v>
      </c>
      <c r="D853" s="2" t="str">
        <f>IFERROR(__xludf.DUMMYFUNCTION("""COMPUTED_VALUE"""),"संगठन")</f>
        <v>संगठन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 t="str">
        <f>IFERROR(__xludf.DUMMYFUNCTION("""COMPUTED_VALUE"""),"SelectOrganistion")</f>
        <v>SelectOrganistion</v>
      </c>
      <c r="B854" s="2" t="str">
        <f>IFERROR(__xludf.DUMMYFUNCTION("""COMPUTED_VALUE"""),"Select Organization")</f>
        <v>Select Organization</v>
      </c>
      <c r="C854" s="2">
        <f>IFERROR(__xludf.DUMMYFUNCTION("""COMPUTED_VALUE"""),0.4)</f>
        <v>0.4</v>
      </c>
      <c r="D854" s="2" t="str">
        <f>IFERROR(__xludf.DUMMYFUNCTION("""COMPUTED_VALUE"""),"संगठन का चयन करें")</f>
        <v>संगठन का चयन करें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 t="str">
        <f>IFERROR(__xludf.DUMMYFUNCTION("""COMPUTED_VALUE"""),"Select&amp;Continue")</f>
        <v>Select&amp;Continue</v>
      </c>
      <c r="B855" s="2" t="str">
        <f>IFERROR(__xludf.DUMMYFUNCTION("""COMPUTED_VALUE"""),"Select &amp; Continue")</f>
        <v>Select &amp; Continue</v>
      </c>
      <c r="C855" s="2">
        <f>IFERROR(__xludf.DUMMYFUNCTION("""COMPUTED_VALUE"""),0.4)</f>
        <v>0.4</v>
      </c>
      <c r="D855" s="2" t="str">
        <f>IFERROR(__xludf.DUMMYFUNCTION("""COMPUTED_VALUE"""),"चयन करें और जारी रखें")</f>
        <v>चयन करें और जारी रखें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 t="str">
        <f>IFERROR(__xludf.DUMMYFUNCTION("""COMPUTED_VALUE"""),"Sarvm")</f>
        <v>Sarvm</v>
      </c>
      <c r="B856" s="2" t="str">
        <f>IFERROR(__xludf.DUMMYFUNCTION("""COMPUTED_VALUE"""),"Sarvm")</f>
        <v>Sarvm</v>
      </c>
      <c r="C856" s="2">
        <f>IFERROR(__xludf.DUMMYFUNCTION("""COMPUTED_VALUE"""),0.4)</f>
        <v>0.4</v>
      </c>
      <c r="D856" s="2" t="str">
        <f>IFERROR(__xludf.DUMMYFUNCTION("""COMPUTED_VALUE"""),"सरवम")</f>
        <v>सरवम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 t="str">
        <f>IFERROR(__xludf.DUMMYFUNCTION("""COMPUTED_VALUE"""),"Iwilldeliverby")</f>
        <v>Iwilldeliverby</v>
      </c>
      <c r="B857" s="2" t="str">
        <f>IFERROR(__xludf.DUMMYFUNCTION("""COMPUTED_VALUE"""),"I will deliver by")</f>
        <v>I will deliver by</v>
      </c>
      <c r="C857" s="2">
        <f>IFERROR(__xludf.DUMMYFUNCTION("""COMPUTED_VALUE"""),1.0)</f>
        <v>1</v>
      </c>
      <c r="D857" s="2" t="str">
        <f>IFERROR(__xludf.DUMMYFUNCTION("""COMPUTED_VALUE"""),"मैं वितरित करूँगा")</f>
        <v>मैं वितरित करूँगा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 t="str">
        <f>IFERROR(__xludf.DUMMYFUNCTION("""COMPUTED_VALUE"""),"Pedestrian ")</f>
        <v>Pedestrian </v>
      </c>
      <c r="B858" s="2" t="str">
        <f>IFERROR(__xludf.DUMMYFUNCTION("""COMPUTED_VALUE"""),"Pedestrian ")</f>
        <v>Pedestrian </v>
      </c>
      <c r="C858" s="2">
        <f>IFERROR(__xludf.DUMMYFUNCTION("""COMPUTED_VALUE"""),1.0)</f>
        <v>1</v>
      </c>
      <c r="D858" s="2" t="str">
        <f>IFERROR(__xludf.DUMMYFUNCTION("""COMPUTED_VALUE"""),"पैदल यात्री")</f>
        <v>पैदल यात्री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 t="str">
        <f>IFERROR(__xludf.DUMMYFUNCTION("""COMPUTED_VALUE"""),"Bicycle")</f>
        <v>Bicycle</v>
      </c>
      <c r="B859" s="2" t="str">
        <f>IFERROR(__xludf.DUMMYFUNCTION("""COMPUTED_VALUE"""),"Bicycle")</f>
        <v>Bicycle</v>
      </c>
      <c r="C859" s="2">
        <f>IFERROR(__xludf.DUMMYFUNCTION("""COMPUTED_VALUE"""),1.0)</f>
        <v>1</v>
      </c>
      <c r="D859" s="2" t="str">
        <f>IFERROR(__xludf.DUMMYFUNCTION("""COMPUTED_VALUE"""),"साइकिल")</f>
        <v>साइकिल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 t="str">
        <f>IFERROR(__xludf.DUMMYFUNCTION("""COMPUTED_VALUE"""),"CycleRickshaw")</f>
        <v>CycleRickshaw</v>
      </c>
      <c r="B860" s="2" t="str">
        <f>IFERROR(__xludf.DUMMYFUNCTION("""COMPUTED_VALUE"""),"Cycle Rickshaw")</f>
        <v>Cycle Rickshaw</v>
      </c>
      <c r="C860" s="2">
        <f>IFERROR(__xludf.DUMMYFUNCTION("""COMPUTED_VALUE"""),1.0)</f>
        <v>1</v>
      </c>
      <c r="D860" s="2" t="str">
        <f>IFERROR(__xludf.DUMMYFUNCTION("""COMPUTED_VALUE"""),"साइकिल रिक्शा")</f>
        <v>साइकिल रिक्शा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 t="str">
        <f>IFERROR(__xludf.DUMMYFUNCTION("""COMPUTED_VALUE"""),"AutoRickshaw")</f>
        <v>AutoRickshaw</v>
      </c>
      <c r="B861" s="2" t="str">
        <f>IFERROR(__xludf.DUMMYFUNCTION("""COMPUTED_VALUE"""),"Auto Rickshaw")</f>
        <v>Auto Rickshaw</v>
      </c>
      <c r="C861" s="2">
        <f>IFERROR(__xludf.DUMMYFUNCTION("""COMPUTED_VALUE"""),1.0)</f>
        <v>1</v>
      </c>
      <c r="D861" s="2" t="str">
        <f>IFERROR(__xludf.DUMMYFUNCTION("""COMPUTED_VALUE"""),"ऑटो रिक्शा")</f>
        <v>ऑटो रिक्शा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 t="str">
        <f>IFERROR(__xludf.DUMMYFUNCTION("""COMPUTED_VALUE"""),"Bike")</f>
        <v>Bike</v>
      </c>
      <c r="B862" s="2" t="str">
        <f>IFERROR(__xludf.DUMMYFUNCTION("""COMPUTED_VALUE"""),"Bike")</f>
        <v>Bike</v>
      </c>
      <c r="C862" s="2">
        <f>IFERROR(__xludf.DUMMYFUNCTION("""COMPUTED_VALUE"""),1.0)</f>
        <v>1</v>
      </c>
      <c r="D862" s="2" t="str">
        <f>IFERROR(__xludf.DUMMYFUNCTION("""COMPUTED_VALUE"""),"बाइक")</f>
        <v>बाइक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 t="str">
        <f>IFERROR(__xludf.DUMMYFUNCTION("""COMPUTED_VALUE"""),"E-RIckshaw")</f>
        <v>E-RIckshaw</v>
      </c>
      <c r="B863" s="2" t="str">
        <f>IFERROR(__xludf.DUMMYFUNCTION("""COMPUTED_VALUE"""),"E-RIckshaw")</f>
        <v>E-RIckshaw</v>
      </c>
      <c r="C863" s="2">
        <f>IFERROR(__xludf.DUMMYFUNCTION("""COMPUTED_VALUE"""),1.0)</f>
        <v>1</v>
      </c>
      <c r="D863" s="2" t="str">
        <f>IFERROR(__xludf.DUMMYFUNCTION("""COMPUTED_VALUE"""),"ई-रिक्शा")</f>
        <v>ई-रिक्शा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 t="str">
        <f>IFERROR(__xludf.DUMMYFUNCTION("""COMPUTED_VALUE"""),"DrivingLicenseNo")</f>
        <v>DrivingLicenseNo</v>
      </c>
      <c r="B864" s="2" t="str">
        <f>IFERROR(__xludf.DUMMYFUNCTION("""COMPUTED_VALUE"""),"Driving License No")</f>
        <v>Driving License No</v>
      </c>
      <c r="C864" s="2">
        <f>IFERROR(__xludf.DUMMYFUNCTION("""COMPUTED_VALUE"""),1.0)</f>
        <v>1</v>
      </c>
      <c r="D864" s="2" t="str">
        <f>IFERROR(__xludf.DUMMYFUNCTION("""COMPUTED_VALUE"""),"ड्राइवर का लाइसेंस नं")</f>
        <v>ड्राइवर का लाइसेंस नं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 t="str">
        <f>IFERROR(__xludf.DUMMYFUNCTION("""COMPUTED_VALUE"""),"RC")</f>
        <v>RC</v>
      </c>
      <c r="B865" s="2" t="str">
        <f>IFERROR(__xludf.DUMMYFUNCTION("""COMPUTED_VALUE"""),"RC")</f>
        <v>RC</v>
      </c>
      <c r="C865" s="2">
        <f>IFERROR(__xludf.DUMMYFUNCTION("""COMPUTED_VALUE"""),1.0)</f>
        <v>1</v>
      </c>
      <c r="D865" s="2" t="str">
        <f>IFERROR(__xludf.DUMMYFUNCTION("""COMPUTED_VALUE"""),"आर सी")</f>
        <v>आर सी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 t="str">
        <f>IFERROR(__xludf.DUMMYFUNCTION("""COMPUTED_VALUE"""),"VehiclePermit(optional)")</f>
        <v>VehiclePermit(optional)</v>
      </c>
      <c r="B866" s="2" t="str">
        <f>IFERROR(__xludf.DUMMYFUNCTION("""COMPUTED_VALUE"""),"Vehicle Permit(optional)")</f>
        <v>Vehicle Permit(optional)</v>
      </c>
      <c r="C866" s="2">
        <f>IFERROR(__xludf.DUMMYFUNCTION("""COMPUTED_VALUE"""),1.0)</f>
        <v>1</v>
      </c>
      <c r="D866" s="2" t="str">
        <f>IFERROR(__xludf.DUMMYFUNCTION("""COMPUTED_VALUE"""),"वाहन परमिट")</f>
        <v>वाहन परमिट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 t="str">
        <f>IFERROR(__xludf.DUMMYFUNCTION("""COMPUTED_VALUE"""),"UploadVehiclePermitDocs")</f>
        <v>UploadVehiclePermitDocs</v>
      </c>
      <c r="B867" s="2" t="str">
        <f>IFERROR(__xludf.DUMMYFUNCTION("""COMPUTED_VALUE"""),"Upload Vehicle Permit Docs")</f>
        <v>Upload Vehicle Permit Docs</v>
      </c>
      <c r="C867" s="2">
        <f>IFERROR(__xludf.DUMMYFUNCTION("""COMPUTED_VALUE"""),1.0)</f>
        <v>1</v>
      </c>
      <c r="D867" s="2" t="str">
        <f>IFERROR(__xludf.DUMMYFUNCTION("""COMPUTED_VALUE"""),"वाहन परमिट डॉक्स अपलोड करें")</f>
        <v>वाहन परमिट डॉक्स अपलोड करें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 t="str">
        <f>IFERROR(__xludf.DUMMYFUNCTION("""COMPUTED_VALUE"""),"UploadRC(Registration Certificate)")</f>
        <v>UploadRC(Registration Certificate)</v>
      </c>
      <c r="B868" s="2" t="str">
        <f>IFERROR(__xludf.DUMMYFUNCTION("""COMPUTED_VALUE"""),"Upload RC (Registration Certificate)")</f>
        <v>Upload RC (Registration Certificate)</v>
      </c>
      <c r="C868" s="2">
        <f>IFERROR(__xludf.DUMMYFUNCTION("""COMPUTED_VALUE"""),1.0)</f>
        <v>1</v>
      </c>
      <c r="D868" s="2" t="str">
        <f>IFERROR(__xludf.DUMMYFUNCTION("""COMPUTED_VALUE"""),"आरसी अपलोड (पंजीकरण प्रमाणपत्र)")</f>
        <v>आरसी अपलोड (पंजीकरण प्रमाणपत्र)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 t="str">
        <f>IFERROR(__xludf.DUMMYFUNCTION("""COMPUTED_VALUE"""),"OnlineDelivery ")</f>
        <v>OnlineDelivery </v>
      </c>
      <c r="B869" s="2" t="str">
        <f>IFERROR(__xludf.DUMMYFUNCTION("""COMPUTED_VALUE"""),"Online Delivery ")</f>
        <v>Online Delivery </v>
      </c>
      <c r="C869" s="2">
        <f>IFERROR(__xludf.DUMMYFUNCTION("""COMPUTED_VALUE"""),1.0)</f>
        <v>1</v>
      </c>
      <c r="D869" s="2" t="str">
        <f>IFERROR(__xludf.DUMMYFUNCTION("""COMPUTED_VALUE"""),"ऑनलाइन वितरण")</f>
        <v>ऑनलाइन वितरण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 t="str">
        <f>IFERROR(__xludf.DUMMYFUNCTION("""COMPUTED_VALUE"""),"EasyNavigation")</f>
        <v>EasyNavigation</v>
      </c>
      <c r="B870" s="2" t="str">
        <f>IFERROR(__xludf.DUMMYFUNCTION("""COMPUTED_VALUE"""),"Easy Navigation")</f>
        <v>Easy Navigation</v>
      </c>
      <c r="C870" s="2">
        <f>IFERROR(__xludf.DUMMYFUNCTION("""COMPUTED_VALUE"""),1.0)</f>
        <v>1</v>
      </c>
      <c r="D870" s="2" t="str">
        <f>IFERROR(__xludf.DUMMYFUNCTION("""COMPUTED_VALUE"""),"आसान नेविगेशन")</f>
        <v>आसान नेविगेशन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 t="str">
        <f>IFERROR(__xludf.DUMMYFUNCTION("""COMPUTED_VALUE"""),"ManageMultipleDelivery ")</f>
        <v>ManageMultipleDelivery </v>
      </c>
      <c r="B871" s="2" t="str">
        <f>IFERROR(__xludf.DUMMYFUNCTION("""COMPUTED_VALUE"""),"Manage Multiple Delivery ")</f>
        <v>Manage Multiple Delivery </v>
      </c>
      <c r="C871" s="2">
        <f>IFERROR(__xludf.DUMMYFUNCTION("""COMPUTED_VALUE"""),1.0)</f>
        <v>1</v>
      </c>
      <c r="D871" s="2" t="str">
        <f>IFERROR(__xludf.DUMMYFUNCTION("""COMPUTED_VALUE"""),"कई डिलीवरी का प्रबंधन करें")</f>
        <v>कई डिलीवरी का प्रबंधन करें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 t="str">
        <f>IFERROR(__xludf.DUMMYFUNCTION("""COMPUTED_VALUE"""),"DistanceManagement")</f>
        <v>DistanceManagement</v>
      </c>
      <c r="B872" s="2" t="str">
        <f>IFERROR(__xludf.DUMMYFUNCTION("""COMPUTED_VALUE"""),"Distance Management")</f>
        <v>Distance Management</v>
      </c>
      <c r="C872" s="2">
        <f>IFERROR(__xludf.DUMMYFUNCTION("""COMPUTED_VALUE"""),1.0)</f>
        <v>1</v>
      </c>
      <c r="D872" s="2" t="str">
        <f>IFERROR(__xludf.DUMMYFUNCTION("""COMPUTED_VALUE"""),"दूरस्थ प्रबंधन")</f>
        <v>दूरस्थ प्रबंधन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 t="str">
        <f>IFERROR(__xludf.DUMMYFUNCTION("""COMPUTED_VALUE"""),"RateManagement")</f>
        <v>RateManagement</v>
      </c>
      <c r="B873" s="2" t="str">
        <f>IFERROR(__xludf.DUMMYFUNCTION("""COMPUTED_VALUE"""),"Rate Management")</f>
        <v>Rate Management</v>
      </c>
      <c r="C873" s="2">
        <f>IFERROR(__xludf.DUMMYFUNCTION("""COMPUTED_VALUE"""),1.0)</f>
        <v>1</v>
      </c>
      <c r="D873" s="2" t="str">
        <f>IFERROR(__xludf.DUMMYFUNCTION("""COMPUTED_VALUE"""),"दर -प्रबंध")</f>
        <v>दर -प्रबंध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 t="str">
        <f>IFERROR(__xludf.DUMMYFUNCTION("""COMPUTED_VALUE"""),"Online")</f>
        <v>Online</v>
      </c>
      <c r="B874" s="2" t="str">
        <f>IFERROR(__xludf.DUMMYFUNCTION("""COMPUTED_VALUE"""),"Online")</f>
        <v>Online</v>
      </c>
      <c r="C874" s="2">
        <f>IFERROR(__xludf.DUMMYFUNCTION("""COMPUTED_VALUE"""),1.0)</f>
        <v>1</v>
      </c>
      <c r="D874" s="2" t="str">
        <f>IFERROR(__xludf.DUMMYFUNCTION("""COMPUTED_VALUE"""),"ऑनलाइन")</f>
        <v>ऑनलाइन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 t="str">
        <f>IFERROR(__xludf.DUMMYFUNCTION("""COMPUTED_VALUE"""),"Reportincident ")</f>
        <v>Reportincident </v>
      </c>
      <c r="B875" s="2" t="str">
        <f>IFERROR(__xludf.DUMMYFUNCTION("""COMPUTED_VALUE"""),"Report Incident ")</f>
        <v>Report Incident </v>
      </c>
      <c r="C875" s="2">
        <f>IFERROR(__xludf.DUMMYFUNCTION("""COMPUTED_VALUE"""),1.0)</f>
        <v>1</v>
      </c>
      <c r="D875" s="2" t="str">
        <f>IFERROR(__xludf.DUMMYFUNCTION("""COMPUTED_VALUE"""),"रिपोर्ट की घटना")</f>
        <v>रिपोर्ट की घटना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 t="str">
        <f>IFERROR(__xludf.DUMMYFUNCTION("""COMPUTED_VALUE"""),"Referafriend&amp;Earn ")</f>
        <v>Referafriend&amp;Earn </v>
      </c>
      <c r="B876" s="2" t="str">
        <f>IFERROR(__xludf.DUMMYFUNCTION("""COMPUTED_VALUE"""),"Refer a Friend &amp; Earn ")</f>
        <v>Refer a Friend &amp; Earn </v>
      </c>
      <c r="C876" s="2">
        <f>IFERROR(__xludf.DUMMYFUNCTION("""COMPUTED_VALUE"""),1.0)</f>
        <v>1</v>
      </c>
      <c r="D876" s="2" t="str">
        <f>IFERROR(__xludf.DUMMYFUNCTION("""COMPUTED_VALUE"""),"एक दोस्त देखें और कमाएं")</f>
        <v>एक दोस्त देखें और कमाएं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 t="str">
        <f>IFERROR(__xludf.DUMMYFUNCTION("""COMPUTED_VALUE"""),"NewTrips ")</f>
        <v>NewTrips </v>
      </c>
      <c r="B877" s="2" t="str">
        <f>IFERROR(__xludf.DUMMYFUNCTION("""COMPUTED_VALUE"""),"New Trips ")</f>
        <v>New Trips </v>
      </c>
      <c r="C877" s="2">
        <f>IFERROR(__xludf.DUMMYFUNCTION("""COMPUTED_VALUE"""),1.0)</f>
        <v>1</v>
      </c>
      <c r="D877" s="2" t="str">
        <f>IFERROR(__xludf.DUMMYFUNCTION("""COMPUTED_VALUE"""),"नई यात्राएं")</f>
        <v>नई यात्राएं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 t="str">
        <f>IFERROR(__xludf.DUMMYFUNCTION("""COMPUTED_VALUE"""),"ExpectedEarnings")</f>
        <v>ExpectedEarnings</v>
      </c>
      <c r="B878" s="2" t="str">
        <f>IFERROR(__xludf.DUMMYFUNCTION("""COMPUTED_VALUE"""),"Expected Earnings")</f>
        <v>Expected Earnings</v>
      </c>
      <c r="C878" s="2">
        <f>IFERROR(__xludf.DUMMYFUNCTION("""COMPUTED_VALUE"""),1.0)</f>
        <v>1</v>
      </c>
      <c r="D878" s="2" t="str">
        <f>IFERROR(__xludf.DUMMYFUNCTION("""COMPUTED_VALUE"""),"प्रत्याशित आय")</f>
        <v>प्रत्याशित आय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 t="str">
        <f>IFERROR(__xludf.DUMMYFUNCTION("""COMPUTED_VALUE"""),"OngoingTrip")</f>
        <v>OngoingTrip</v>
      </c>
      <c r="B879" s="2" t="str">
        <f>IFERROR(__xludf.DUMMYFUNCTION("""COMPUTED_VALUE"""),"Ongoing Trip")</f>
        <v>Ongoing Trip</v>
      </c>
      <c r="C879" s="2">
        <f>IFERROR(__xludf.DUMMYFUNCTION("""COMPUTED_VALUE"""),1.0)</f>
        <v>1</v>
      </c>
      <c r="D879" s="2" t="str">
        <f>IFERROR(__xludf.DUMMYFUNCTION("""COMPUTED_VALUE"""),"चल रही यात्रा")</f>
        <v>चल रही यात्रा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 t="str">
        <f>IFERROR(__xludf.DUMMYFUNCTION("""COMPUTED_VALUE"""),"Drop-Off")</f>
        <v>Drop-Off</v>
      </c>
      <c r="B880" s="2" t="str">
        <f>IFERROR(__xludf.DUMMYFUNCTION("""COMPUTED_VALUE"""),"Drop-Off")</f>
        <v>Drop-Off</v>
      </c>
      <c r="C880" s="2">
        <f>IFERROR(__xludf.DUMMYFUNCTION("""COMPUTED_VALUE"""),1.0)</f>
        <v>1</v>
      </c>
      <c r="D880" s="2" t="str">
        <f>IFERROR(__xludf.DUMMYFUNCTION("""COMPUTED_VALUE"""),"बाहर निकलना")</f>
        <v>बाहर निकलना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 t="str">
        <f>IFERROR(__xludf.DUMMYFUNCTION("""COMPUTED_VALUE"""),"Payments")</f>
        <v>Payments</v>
      </c>
      <c r="B881" s="2" t="str">
        <f>IFERROR(__xludf.DUMMYFUNCTION("""COMPUTED_VALUE"""),"Payments")</f>
        <v>Payments</v>
      </c>
      <c r="C881" s="2">
        <f>IFERROR(__xludf.DUMMYFUNCTION("""COMPUTED_VALUE"""),1.0)</f>
        <v>1</v>
      </c>
      <c r="D881" s="2" t="str">
        <f>IFERROR(__xludf.DUMMYFUNCTION("""COMPUTED_VALUE"""),"भुगतान")</f>
        <v>भुगतान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 t="str">
        <f>IFERROR(__xludf.DUMMYFUNCTION("""COMPUTED_VALUE"""),"Offline")</f>
        <v>Offline</v>
      </c>
      <c r="B882" s="2" t="str">
        <f>IFERROR(__xludf.DUMMYFUNCTION("""COMPUTED_VALUE"""),"Offline")</f>
        <v>Offline</v>
      </c>
      <c r="C882" s="2">
        <f>IFERROR(__xludf.DUMMYFUNCTION("""COMPUTED_VALUE"""),1.0)</f>
        <v>1</v>
      </c>
      <c r="D882" s="2" t="str">
        <f>IFERROR(__xludf.DUMMYFUNCTION("""COMPUTED_VALUE"""),"ऑफलाइन")</f>
        <v>ऑफलाइन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 t="str">
        <f>IFERROR(__xludf.DUMMYFUNCTION("""COMPUTED_VALUE"""),"NewOrder!")</f>
        <v>NewOrder!</v>
      </c>
      <c r="B883" s="2" t="str">
        <f>IFERROR(__xludf.DUMMYFUNCTION("""COMPUTED_VALUE"""),"New Order!")</f>
        <v>New Order!</v>
      </c>
      <c r="C883" s="2">
        <f>IFERROR(__xludf.DUMMYFUNCTION("""COMPUTED_VALUE"""),1.0)</f>
        <v>1</v>
      </c>
      <c r="D883" s="2" t="str">
        <f>IFERROR(__xludf.DUMMYFUNCTION("""COMPUTED_VALUE"""),"नए आदेश!")</f>
        <v>नए आदेश!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 t="str">
        <f>IFERROR(__xludf.DUMMYFUNCTION("""COMPUTED_VALUE"""),"OrderWeight")</f>
        <v>OrderWeight</v>
      </c>
      <c r="B884" s="2" t="str">
        <f>IFERROR(__xludf.DUMMYFUNCTION("""COMPUTED_VALUE"""),"Order Weight")</f>
        <v>Order Weight</v>
      </c>
      <c r="C884" s="2">
        <f>IFERROR(__xludf.DUMMYFUNCTION("""COMPUTED_VALUE"""),1.0)</f>
        <v>1</v>
      </c>
      <c r="D884" s="2" t="str">
        <f>IFERROR(__xludf.DUMMYFUNCTION("""COMPUTED_VALUE"""),"आदेश भार")</f>
        <v>आदेश भार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 t="str">
        <f>IFERROR(__xludf.DUMMYFUNCTION("""COMPUTED_VALUE"""),"ReachedPickupLocation ")</f>
        <v>ReachedPickupLocation </v>
      </c>
      <c r="B885" s="2" t="str">
        <f>IFERROR(__xludf.DUMMYFUNCTION("""COMPUTED_VALUE"""),"Reached Pickup Location ")</f>
        <v>Reached Pickup Location </v>
      </c>
      <c r="C885" s="2">
        <f>IFERROR(__xludf.DUMMYFUNCTION("""COMPUTED_VALUE"""),1.0)</f>
        <v>1</v>
      </c>
      <c r="D885" s="2" t="str">
        <f>IFERROR(__xludf.DUMMYFUNCTION("""COMPUTED_VALUE"""),"पिकअप स्थान पर पहुंच गया")</f>
        <v>पिकअप स्थान पर पहुंच गया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 t="str">
        <f>IFERROR(__xludf.DUMMYFUNCTION("""COMPUTED_VALUE"""),"ReachedDL")</f>
        <v>ReachedDL</v>
      </c>
      <c r="B886" s="2" t="str">
        <f>IFERROR(__xludf.DUMMYFUNCTION("""COMPUTED_VALUE"""),"Reached DL")</f>
        <v>Reached DL</v>
      </c>
      <c r="C886" s="2">
        <f>IFERROR(__xludf.DUMMYFUNCTION("""COMPUTED_VALUE"""),1.0)</f>
        <v>1</v>
      </c>
      <c r="D886" s="2" t="str">
        <f>IFERROR(__xludf.DUMMYFUNCTION("""COMPUTED_VALUE"""),"डीएल तक पहुंच गया")</f>
        <v>डीएल तक पहुंच गया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 t="str">
        <f>IFERROR(__xludf.DUMMYFUNCTION("""COMPUTED_VALUE"""),"GotoMap")</f>
        <v>GotoMap</v>
      </c>
      <c r="B887" s="2" t="str">
        <f>IFERROR(__xludf.DUMMYFUNCTION("""COMPUTED_VALUE"""),"Go to Map")</f>
        <v>Go to Map</v>
      </c>
      <c r="C887" s="2">
        <f>IFERROR(__xludf.DUMMYFUNCTION("""COMPUTED_VALUE"""),1.0)</f>
        <v>1</v>
      </c>
      <c r="D887" s="2" t="str">
        <f>IFERROR(__xludf.DUMMYFUNCTION("""COMPUTED_VALUE"""),"मानचित्र पर जाना")</f>
        <v>मानचित्र पर जाना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 t="str">
        <f>IFERROR(__xludf.DUMMYFUNCTION("""COMPUTED_VALUE"""),"Deliverto")</f>
        <v>Deliverto</v>
      </c>
      <c r="B888" s="2" t="str">
        <f>IFERROR(__xludf.DUMMYFUNCTION("""COMPUTED_VALUE"""),"Deliver to")</f>
        <v>Deliver to</v>
      </c>
      <c r="C888" s="2">
        <f>IFERROR(__xludf.DUMMYFUNCTION("""COMPUTED_VALUE"""),1.0)</f>
        <v>1</v>
      </c>
      <c r="D888" s="2" t="str">
        <f>IFERROR(__xludf.DUMMYFUNCTION("""COMPUTED_VALUE"""),"करने के लिए वितरित")</f>
        <v>करने के लिए वितरित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 t="str">
        <f>IFERROR(__xludf.DUMMYFUNCTION("""COMPUTED_VALUE"""),"UPIID")</f>
        <v>UPIID</v>
      </c>
      <c r="B889" s="2" t="str">
        <f>IFERROR(__xludf.DUMMYFUNCTION("""COMPUTED_VALUE"""),"UPI ID")</f>
        <v>UPI ID</v>
      </c>
      <c r="C889" s="2">
        <f>IFERROR(__xludf.DUMMYFUNCTION("""COMPUTED_VALUE"""),1.0)</f>
        <v>1</v>
      </c>
      <c r="D889" s="2" t="str">
        <f>IFERROR(__xludf.DUMMYFUNCTION("""COMPUTED_VALUE"""),"यूपी आईडी")</f>
        <v>यूपी आईडी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 t="str">
        <f>IFERROR(__xludf.DUMMYFUNCTION("""COMPUTED_VALUE"""),"Receivedamount")</f>
        <v>Receivedamount</v>
      </c>
      <c r="B890" s="2" t="str">
        <f>IFERROR(__xludf.DUMMYFUNCTION("""COMPUTED_VALUE"""),"Received amount")</f>
        <v>Received amount</v>
      </c>
      <c r="C890" s="2">
        <f>IFERROR(__xludf.DUMMYFUNCTION("""COMPUTED_VALUE"""),1.0)</f>
        <v>1</v>
      </c>
      <c r="D890" s="2" t="str">
        <f>IFERROR(__xludf.DUMMYFUNCTION("""COMPUTED_VALUE"""),"प्राप्त राशि")</f>
        <v>प्राप्त राशि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 t="str">
        <f>IFERROR(__xludf.DUMMYFUNCTION("""COMPUTED_VALUE"""),"Pendingamount")</f>
        <v>Pendingamount</v>
      </c>
      <c r="B891" s="2" t="str">
        <f>IFERROR(__xludf.DUMMYFUNCTION("""COMPUTED_VALUE"""),"Pending amount")</f>
        <v>Pending amount</v>
      </c>
      <c r="C891" s="2">
        <f>IFERROR(__xludf.DUMMYFUNCTION("""COMPUTED_VALUE"""),1.0)</f>
        <v>1</v>
      </c>
      <c r="D891" s="2" t="str">
        <f>IFERROR(__xludf.DUMMYFUNCTION("""COMPUTED_VALUE"""),"बकाया राशि")</f>
        <v>बकाया राशि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 t="str">
        <f>IFERROR(__xludf.DUMMYFUNCTION("""COMPUTED_VALUE"""),"SendReminder")</f>
        <v>SendReminder</v>
      </c>
      <c r="B892" s="2" t="str">
        <f>IFERROR(__xludf.DUMMYFUNCTION("""COMPUTED_VALUE"""),"Send Reminder")</f>
        <v>Send Reminder</v>
      </c>
      <c r="C892" s="2">
        <f>IFERROR(__xludf.DUMMYFUNCTION("""COMPUTED_VALUE"""),1.0)</f>
        <v>1</v>
      </c>
      <c r="D892" s="2" t="str">
        <f>IFERROR(__xludf.DUMMYFUNCTION("""COMPUTED_VALUE"""),"याद दिलाना")</f>
        <v>याद दिलाना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 t="str">
        <f>IFERROR(__xludf.DUMMYFUNCTION("""COMPUTED_VALUE"""),"Thisweek ")</f>
        <v>Thisweek </v>
      </c>
      <c r="B893" s="2" t="str">
        <f>IFERROR(__xludf.DUMMYFUNCTION("""COMPUTED_VALUE"""),"This Week ")</f>
        <v>This Week </v>
      </c>
      <c r="C893" s="2">
        <f>IFERROR(__xludf.DUMMYFUNCTION("""COMPUTED_VALUE"""),1.0)</f>
        <v>1</v>
      </c>
      <c r="D893" s="2" t="str">
        <f>IFERROR(__xludf.DUMMYFUNCTION("""COMPUTED_VALUE"""),"इस सप्ताह")</f>
        <v>इस सप्ताह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 t="str">
        <f>IFERROR(__xludf.DUMMYFUNCTION("""COMPUTED_VALUE"""),"ThisMonth ")</f>
        <v>ThisMonth </v>
      </c>
      <c r="B894" s="2" t="str">
        <f>IFERROR(__xludf.DUMMYFUNCTION("""COMPUTED_VALUE"""),"This Month ")</f>
        <v>This Month </v>
      </c>
      <c r="C894" s="2">
        <f>IFERROR(__xludf.DUMMYFUNCTION("""COMPUTED_VALUE"""),1.0)</f>
        <v>1</v>
      </c>
      <c r="D894" s="2" t="str">
        <f>IFERROR(__xludf.DUMMYFUNCTION("""COMPUTED_VALUE"""),"इस महीने")</f>
        <v>इस महीने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 t="str">
        <f>IFERROR(__xludf.DUMMYFUNCTION("""COMPUTED_VALUE"""),"ThisWeeksEarnings")</f>
        <v>ThisWeeksEarnings</v>
      </c>
      <c r="B895" s="2" t="str">
        <f>IFERROR(__xludf.DUMMYFUNCTION("""COMPUTED_VALUE"""),"This Weeks Earnings")</f>
        <v>This Weeks Earnings</v>
      </c>
      <c r="C895" s="2">
        <f>IFERROR(__xludf.DUMMYFUNCTION("""COMPUTED_VALUE"""),1.0)</f>
        <v>1</v>
      </c>
      <c r="D895" s="2" t="str">
        <f>IFERROR(__xludf.DUMMYFUNCTION("""COMPUTED_VALUE"""),"इस सप्ताह की कमाई")</f>
        <v>इस सप्ताह की कमाई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 t="str">
        <f>IFERROR(__xludf.DUMMYFUNCTION("""COMPUTED_VALUE"""),"TripsHistory ")</f>
        <v>TripsHistory </v>
      </c>
      <c r="B896" s="2" t="str">
        <f>IFERROR(__xludf.DUMMYFUNCTION("""COMPUTED_VALUE"""),"Trips History ")</f>
        <v>Trips History </v>
      </c>
      <c r="C896" s="2">
        <f>IFERROR(__xludf.DUMMYFUNCTION("""COMPUTED_VALUE"""),1.0)</f>
        <v>1</v>
      </c>
      <c r="D896" s="2" t="str">
        <f>IFERROR(__xludf.DUMMYFUNCTION("""COMPUTED_VALUE"""),"यात्रा इतिहास")</f>
        <v>यात्रा इतिहास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 t="str">
        <f>IFERROR(__xludf.DUMMYFUNCTION("""COMPUTED_VALUE"""),"Vehicle ")</f>
        <v>Vehicle </v>
      </c>
      <c r="B897" s="2" t="str">
        <f>IFERROR(__xludf.DUMMYFUNCTION("""COMPUTED_VALUE"""),"Vehicle ")</f>
        <v>Vehicle </v>
      </c>
      <c r="C897" s="2">
        <f>IFERROR(__xludf.DUMMYFUNCTION("""COMPUTED_VALUE"""),1.0)</f>
        <v>1</v>
      </c>
      <c r="D897" s="2" t="str">
        <f>IFERROR(__xludf.DUMMYFUNCTION("""COMPUTED_VALUE"""),"वाहन")</f>
        <v>वाहन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 t="str">
        <f>IFERROR(__xludf.DUMMYFUNCTION("""COMPUTED_VALUE"""),"AllIndiaPermit ")</f>
        <v>AllIndiaPermit </v>
      </c>
      <c r="B898" s="2" t="str">
        <f>IFERROR(__xludf.DUMMYFUNCTION("""COMPUTED_VALUE"""),"All India Permit ")</f>
        <v>All India Permit </v>
      </c>
      <c r="C898" s="2">
        <f>IFERROR(__xludf.DUMMYFUNCTION("""COMPUTED_VALUE"""),1.0)</f>
        <v>1</v>
      </c>
      <c r="D898" s="2" t="str">
        <f>IFERROR(__xludf.DUMMYFUNCTION("""COMPUTED_VALUE"""),"अखिल भारतीय परमिट")</f>
        <v>अखिल भारतीय परमिट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 t="str">
        <f>IFERROR(__xludf.DUMMYFUNCTION("""COMPUTED_VALUE"""),"Multi-StatePermit ")</f>
        <v>Multi-StatePermit </v>
      </c>
      <c r="B899" s="2" t="str">
        <f>IFERROR(__xludf.DUMMYFUNCTION("""COMPUTED_VALUE"""),"Multi - State Permit ")</f>
        <v>Multi - State Permit </v>
      </c>
      <c r="C899" s="2">
        <f>IFERROR(__xludf.DUMMYFUNCTION("""COMPUTED_VALUE"""),1.0)</f>
        <v>1</v>
      </c>
      <c r="D899" s="2" t="str">
        <f>IFERROR(__xludf.DUMMYFUNCTION("""COMPUTED_VALUE"""),"बहु राज्य परमिट")</f>
        <v>बहु राज्य परमिट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 t="str">
        <f>IFERROR(__xludf.DUMMYFUNCTION("""COMPUTED_VALUE"""),"StateLevelPermit ")</f>
        <v>StateLevelPermit </v>
      </c>
      <c r="B900" s="2" t="str">
        <f>IFERROR(__xludf.DUMMYFUNCTION("""COMPUTED_VALUE"""),"State Level Permit ")</f>
        <v>State Level Permit </v>
      </c>
      <c r="C900" s="2">
        <f>IFERROR(__xludf.DUMMYFUNCTION("""COMPUTED_VALUE"""),1.0)</f>
        <v>1</v>
      </c>
      <c r="D900" s="2" t="str">
        <f>IFERROR(__xludf.DUMMYFUNCTION("""COMPUTED_VALUE"""),"राज्य स्तरीय परमिट")</f>
        <v>राज्य स्तरीय परमिट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 t="str">
        <f>IFERROR(__xludf.DUMMYFUNCTION("""COMPUTED_VALUE"""),"Uploading ")</f>
        <v>Uploading </v>
      </c>
      <c r="B901" s="2" t="str">
        <f>IFERROR(__xludf.DUMMYFUNCTION("""COMPUTED_VALUE"""),"Uploading ")</f>
        <v>Uploading </v>
      </c>
      <c r="C901" s="2">
        <f>IFERROR(__xludf.DUMMYFUNCTION("""COMPUTED_VALUE"""),1.0)</f>
        <v>1</v>
      </c>
      <c r="D901" s="2" t="str">
        <f>IFERROR(__xludf.DUMMYFUNCTION("""COMPUTED_VALUE"""),"अपलोड हो रहा है")</f>
        <v>अपलोड हो रहा है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 t="str">
        <f>IFERROR(__xludf.DUMMYFUNCTION("""COMPUTED_VALUE"""),"RCNo.")</f>
        <v>RCNo.</v>
      </c>
      <c r="B902" s="2" t="str">
        <f>IFERROR(__xludf.DUMMYFUNCTION("""COMPUTED_VALUE"""),"RC No.")</f>
        <v>RC No.</v>
      </c>
      <c r="C902" s="2">
        <f>IFERROR(__xludf.DUMMYFUNCTION("""COMPUTED_VALUE"""),1.0)</f>
        <v>1</v>
      </c>
      <c r="D902" s="2" t="str">
        <f>IFERROR(__xludf.DUMMYFUNCTION("""COMPUTED_VALUE"""),"आरसी नं।")</f>
        <v>आरसी नं।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 t="str">
        <f>IFERROR(__xludf.DUMMYFUNCTION("""COMPUTED_VALUE"""),"DeliveryChargesfor")</f>
        <v>DeliveryChargesfor</v>
      </c>
      <c r="B903" s="2" t="str">
        <f>IFERROR(__xludf.DUMMYFUNCTION("""COMPUTED_VALUE"""),"Delivery Charges for")</f>
        <v>Delivery Charges for</v>
      </c>
      <c r="C903" s="2">
        <f>IFERROR(__xludf.DUMMYFUNCTION("""COMPUTED_VALUE"""),1.0)</f>
        <v>1</v>
      </c>
      <c r="D903" s="2" t="str">
        <f>IFERROR(__xludf.DUMMYFUNCTION("""COMPUTED_VALUE"""),"के लिए वितरण शुल्क")</f>
        <v>के लिए वितरण शुल्क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 t="str">
        <f>IFERROR(__xludf.DUMMYFUNCTION("""COMPUTED_VALUE"""),"AddWeight ")</f>
        <v>AddWeight </v>
      </c>
      <c r="B904" s="2" t="str">
        <f>IFERROR(__xludf.DUMMYFUNCTION("""COMPUTED_VALUE"""),"Add Weight ")</f>
        <v>Add Weight </v>
      </c>
      <c r="C904" s="2">
        <f>IFERROR(__xludf.DUMMYFUNCTION("""COMPUTED_VALUE"""),1.0)</f>
        <v>1</v>
      </c>
      <c r="D904" s="2" t="str">
        <f>IFERROR(__xludf.DUMMYFUNCTION("""COMPUTED_VALUE"""),"वजन जोड़ें")</f>
        <v>वजन जोड़ें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 t="str">
        <f>IFERROR(__xludf.DUMMYFUNCTION("""COMPUTED_VALUE"""),"AddDistanceCovers")</f>
        <v>AddDistanceCovers</v>
      </c>
      <c r="B905" s="2" t="str">
        <f>IFERROR(__xludf.DUMMYFUNCTION("""COMPUTED_VALUE"""),"Add Distance Covers")</f>
        <v>Add Distance Covers</v>
      </c>
      <c r="C905" s="2">
        <f>IFERROR(__xludf.DUMMYFUNCTION("""COMPUTED_VALUE"""),1.0)</f>
        <v>1</v>
      </c>
      <c r="D905" s="2" t="str">
        <f>IFERROR(__xludf.DUMMYFUNCTION("""COMPUTED_VALUE"""),"दूरी कवर जोड़ें")</f>
        <v>दूरी कवर जोड़ें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 t="str">
        <f>IFERROR(__xludf.DUMMYFUNCTION("""COMPUTED_VALUE"""),"Distance ")</f>
        <v>Distance </v>
      </c>
      <c r="B906" s="2" t="str">
        <f>IFERROR(__xludf.DUMMYFUNCTION("""COMPUTED_VALUE"""),"Distance ")</f>
        <v>Distance </v>
      </c>
      <c r="C906" s="2">
        <f>IFERROR(__xludf.DUMMYFUNCTION("""COMPUTED_VALUE"""),1.0)</f>
        <v>1</v>
      </c>
      <c r="D906" s="2" t="str">
        <f>IFERROR(__xludf.DUMMYFUNCTION("""COMPUTED_VALUE"""),"दूरी")</f>
        <v>दूरी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 t="str">
        <f>IFERROR(__xludf.DUMMYFUNCTION("""COMPUTED_VALUE"""),"TripStatus")</f>
        <v>TripStatus</v>
      </c>
      <c r="B907" s="2" t="str">
        <f>IFERROR(__xludf.DUMMYFUNCTION("""COMPUTED_VALUE"""),"Trip Status")</f>
        <v>Trip Status</v>
      </c>
      <c r="C907" s="2">
        <f>IFERROR(__xludf.DUMMYFUNCTION("""COMPUTED_VALUE"""),1.0)</f>
        <v>1</v>
      </c>
      <c r="D907" s="2" t="str">
        <f>IFERROR(__xludf.DUMMYFUNCTION("""COMPUTED_VALUE"""),"यात्रा की स्थिति")</f>
        <v>यात्रा की स्थिति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 t="str">
        <f>IFERROR(__xludf.DUMMYFUNCTION("""COMPUTED_VALUE"""),"Areyousure.DeletetheBankDetails?")</f>
        <v>Areyousure.DeletetheBankDetails?</v>
      </c>
      <c r="B908" s="2" t="str">
        <f>IFERROR(__xludf.DUMMYFUNCTION("""COMPUTED_VALUE"""),"Are you sure.Delete the Bank Details?")</f>
        <v>Are you sure.Delete the Bank Details?</v>
      </c>
      <c r="C908" s="2">
        <f>IFERROR(__xludf.DUMMYFUNCTION("""COMPUTED_VALUE"""),1.0)</f>
        <v>1</v>
      </c>
      <c r="D908" s="2" t="str">
        <f>IFERROR(__xludf.DUMMYFUNCTION("""COMPUTED_VALUE"""),"क्या आप निश्चित हैं। बैंक विवरण दें?")</f>
        <v>क्या आप निश्चित हैं। बैंक विवरण दें?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 t="str">
        <f>IFERROR(__xludf.DUMMYFUNCTION("""COMPUTED_VALUE"""),"BankAccount")</f>
        <v>BankAccount</v>
      </c>
      <c r="B909" s="2" t="str">
        <f>IFERROR(__xludf.DUMMYFUNCTION("""COMPUTED_VALUE"""),"Bank Account")</f>
        <v>Bank Account</v>
      </c>
      <c r="C909" s="2">
        <f>IFERROR(__xludf.DUMMYFUNCTION("""COMPUTED_VALUE"""),1.0)</f>
        <v>1</v>
      </c>
      <c r="D909" s="2" t="str">
        <f>IFERROR(__xludf.DUMMYFUNCTION("""COMPUTED_VALUE"""),"बैंक खाता")</f>
        <v>बैंक खाता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 t="str">
        <f>IFERROR(__xludf.DUMMYFUNCTION("""COMPUTED_VALUE"""),"AlternateMobileNumber")</f>
        <v>AlternateMobileNumber</v>
      </c>
      <c r="B910" s="2" t="str">
        <f>IFERROR(__xludf.DUMMYFUNCTION("""COMPUTED_VALUE"""),"Alternate Mobile Number")</f>
        <v>Alternate Mobile Number</v>
      </c>
      <c r="C910" s="2">
        <f>IFERROR(__xludf.DUMMYFUNCTION("""COMPUTED_VALUE"""),1.0)</f>
        <v>1</v>
      </c>
      <c r="D910" s="2" t="str">
        <f>IFERROR(__xludf.DUMMYFUNCTION("""COMPUTED_VALUE"""),"वैकल्पिक मोबाइल नंबर")</f>
        <v>वैकल्पिक मोबाइल नंबर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 t="str">
        <f>IFERROR(__xludf.DUMMYFUNCTION("""COMPUTED_VALUE"""),"AboutMe")</f>
        <v>AboutMe</v>
      </c>
      <c r="B911" s="2" t="str">
        <f>IFERROR(__xludf.DUMMYFUNCTION("""COMPUTED_VALUE"""),"About Me")</f>
        <v>About Me</v>
      </c>
      <c r="C911" s="2">
        <f>IFERROR(__xludf.DUMMYFUNCTION("""COMPUTED_VALUE"""),1.0)</f>
        <v>1</v>
      </c>
      <c r="D911" s="2" t="str">
        <f>IFERROR(__xludf.DUMMYFUNCTION("""COMPUTED_VALUE"""),"मेरे बारे मेँ")</f>
        <v>मेरे बारे मेँ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 t="str">
        <f>IFERROR(__xludf.DUMMYFUNCTION("""COMPUTED_VALUE"""),"DeleteAccount")</f>
        <v>DeleteAccount</v>
      </c>
      <c r="B912" s="2" t="str">
        <f>IFERROR(__xludf.DUMMYFUNCTION("""COMPUTED_VALUE"""),"Delete Account")</f>
        <v>Delete Account</v>
      </c>
      <c r="C912" s="2">
        <f>IFERROR(__xludf.DUMMYFUNCTION("""COMPUTED_VALUE"""),1.0)</f>
        <v>1</v>
      </c>
      <c r="D912" s="2" t="str">
        <f>IFERROR(__xludf.DUMMYFUNCTION("""COMPUTED_VALUE"""),"खाता हटा दो")</f>
        <v>खाता हटा दो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 t="str">
        <f>IFERROR(__xludf.DUMMYFUNCTION("""COMPUTED_VALUE"""),"Pay")</f>
        <v>Pay</v>
      </c>
      <c r="B913" s="2" t="str">
        <f>IFERROR(__xludf.DUMMYFUNCTION("""COMPUTED_VALUE"""),"Pay")</f>
        <v>Pay</v>
      </c>
      <c r="C913" s="2">
        <f>IFERROR(__xludf.DUMMYFUNCTION("""COMPUTED_VALUE"""),1.0)</f>
        <v>1</v>
      </c>
      <c r="D913" s="2" t="str">
        <f>IFERROR(__xludf.DUMMYFUNCTION("""COMPUTED_VALUE"""),"भुगतान करना")</f>
        <v>भुगतान करना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 t="str">
        <f>IFERROR(__xludf.DUMMYFUNCTION("""COMPUTED_VALUE"""),"PayatDelivery")</f>
        <v>PayatDelivery</v>
      </c>
      <c r="B914" s="2" t="str">
        <f>IFERROR(__xludf.DUMMYFUNCTION("""COMPUTED_VALUE"""),"Pay at Delivery")</f>
        <v>Pay at Delivery</v>
      </c>
      <c r="C914" s="2">
        <f>IFERROR(__xludf.DUMMYFUNCTION("""COMPUTED_VALUE"""),1.0)</f>
        <v>1</v>
      </c>
      <c r="D914" s="2" t="str">
        <f>IFERROR(__xludf.DUMMYFUNCTION("""COMPUTED_VALUE"""),"डिलीवरी पर भुगतान करें")</f>
        <v>डिलीवरी पर भुगतान करें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 t="str">
        <f>IFERROR(__xludf.DUMMYFUNCTION("""COMPUTED_VALUE"""),"areyousure")</f>
        <v>areyousure</v>
      </c>
      <c r="B915" s="2" t="str">
        <f>IFERROR(__xludf.DUMMYFUNCTION("""COMPUTED_VALUE"""),"Are you Sure .")</f>
        <v>Are you Sure .</v>
      </c>
      <c r="C915" s="2">
        <f>IFERROR(__xludf.DUMMYFUNCTION("""COMPUTED_VALUE"""),1.0)</f>
        <v>1</v>
      </c>
      <c r="D915" s="2" t="str">
        <f>IFERROR(__xludf.DUMMYFUNCTION("""COMPUTED_VALUE"""),"क्या आपको यकीन है ।")</f>
        <v>क्या आपको यकीन है ।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 t="str">
        <f>IFERROR(__xludf.DUMMYFUNCTION("""COMPUTED_VALUE"""),"OrderProcessed")</f>
        <v>OrderProcessed</v>
      </c>
      <c r="B916" s="2" t="str">
        <f>IFERROR(__xludf.DUMMYFUNCTION("""COMPUTED_VALUE"""),"Order Processed")</f>
        <v>Order Processed</v>
      </c>
      <c r="C916" s="2">
        <f>IFERROR(__xludf.DUMMYFUNCTION("""COMPUTED_VALUE"""),1.0)</f>
        <v>1</v>
      </c>
      <c r="D916" s="2" t="str">
        <f>IFERROR(__xludf.DUMMYFUNCTION("""COMPUTED_VALUE"""),"आदेश संसाधित")</f>
        <v>आदेश संसाधित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 t="str">
        <f>IFERROR(__xludf.DUMMYFUNCTION("""COMPUTED_VALUE"""),"Orderready")</f>
        <v>Orderready</v>
      </c>
      <c r="B917" s="2" t="str">
        <f>IFERROR(__xludf.DUMMYFUNCTION("""COMPUTED_VALUE"""),"Order Ready")</f>
        <v>Order Ready</v>
      </c>
      <c r="C917" s="2">
        <f>IFERROR(__xludf.DUMMYFUNCTION("""COMPUTED_VALUE"""),1.0)</f>
        <v>1</v>
      </c>
      <c r="D917" s="2" t="str">
        <f>IFERROR(__xludf.DUMMYFUNCTION("""COMPUTED_VALUE"""),"आदेश तैयार करना")</f>
        <v>आदेश तैयार करना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 t="str">
        <f>IFERROR(__xludf.DUMMYFUNCTION("""COMPUTED_VALUE"""),"OrderDelivery")</f>
        <v>OrderDelivery</v>
      </c>
      <c r="B918" s="2" t="str">
        <f>IFERROR(__xludf.DUMMYFUNCTION("""COMPUTED_VALUE"""),"Order Delivery")</f>
        <v>Order Delivery</v>
      </c>
      <c r="C918" s="2">
        <f>IFERROR(__xludf.DUMMYFUNCTION("""COMPUTED_VALUE"""),1.0)</f>
        <v>1</v>
      </c>
      <c r="D918" s="2" t="str">
        <f>IFERROR(__xludf.DUMMYFUNCTION("""COMPUTED_VALUE"""),"आदेश वितरण")</f>
        <v>आदेश वितरण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 t="str">
        <f>IFERROR(__xludf.DUMMYFUNCTION("""COMPUTED_VALUE"""),"DoyouwanttoDeliverytheOrder?")</f>
        <v>DoyouwanttoDeliverytheOrder?</v>
      </c>
      <c r="B919" s="2" t="str">
        <f>IFERROR(__xludf.DUMMYFUNCTION("""COMPUTED_VALUE"""),"Do you want to Delivery the Order?")</f>
        <v>Do you want to Delivery the Order?</v>
      </c>
      <c r="C919" s="2">
        <f>IFERROR(__xludf.DUMMYFUNCTION("""COMPUTED_VALUE"""),1.0)</f>
        <v>1</v>
      </c>
      <c r="D919" s="2" t="str">
        <f>IFERROR(__xludf.DUMMYFUNCTION("""COMPUTED_VALUE"""),"क्या आप ऑर्डर डिलीवरी करना चाहते हैं?")</f>
        <v>क्या आप ऑर्डर डिलीवरी करना चाहते हैं?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 t="str">
        <f>IFERROR(__xludf.DUMMYFUNCTION("""COMPUTED_VALUE"""),"Doyouwanttodeliveredtheorder?")</f>
        <v>Doyouwanttodeliveredtheorder?</v>
      </c>
      <c r="B920" s="2" t="str">
        <f>IFERROR(__xludf.DUMMYFUNCTION("""COMPUTED_VALUE"""),"Do you want to delivered the Order ?")</f>
        <v>Do you want to delivered the Order ?</v>
      </c>
      <c r="C920" s="2">
        <f>IFERROR(__xludf.DUMMYFUNCTION("""COMPUTED_VALUE"""),1.0)</f>
        <v>1</v>
      </c>
      <c r="D920" s="2" t="str">
        <f>IFERROR(__xludf.DUMMYFUNCTION("""COMPUTED_VALUE"""),"क्या आप ऑर्डर देना चाहते हैं?")</f>
        <v>क्या आप ऑर्डर देना चाहते हैं?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 t="str">
        <f>IFERROR(__xludf.DUMMYFUNCTION("""COMPUTED_VALUE"""),"Please Wait")</f>
        <v>Please Wait</v>
      </c>
      <c r="B921" s="2" t="str">
        <f>IFERROR(__xludf.DUMMYFUNCTION("""COMPUTED_VALUE"""),"Please Wait")</f>
        <v>Please Wait</v>
      </c>
      <c r="C921" s="2">
        <f>IFERROR(__xludf.DUMMYFUNCTION("""COMPUTED_VALUE"""),1.0)</f>
        <v>1</v>
      </c>
      <c r="D921" s="2" t="str">
        <f>IFERROR(__xludf.DUMMYFUNCTION("""COMPUTED_VALUE"""),"कृपया प्रतीक्षा करें")</f>
        <v>कृपया प्रतीक्षा करें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 t="str">
        <f>IFERROR(__xludf.DUMMYFUNCTION("""COMPUTED_VALUE"""),"Featurenotavailable")</f>
        <v>Featurenotavailable</v>
      </c>
      <c r="B922" s="2" t="str">
        <f>IFERROR(__xludf.DUMMYFUNCTION("""COMPUTED_VALUE"""),"Feature Not Available")</f>
        <v>Feature Not Available</v>
      </c>
      <c r="C922" s="2">
        <f>IFERROR(__xludf.DUMMYFUNCTION("""COMPUTED_VALUE"""),1.0)</f>
        <v>1</v>
      </c>
      <c r="D922" s="2" t="str">
        <f>IFERROR(__xludf.DUMMYFUNCTION("""COMPUTED_VALUE"""),"सुविधा उपलब्ध नहीं है")</f>
        <v>सुविधा उपलब्ध नहीं है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 t="str">
        <f>IFERROR(__xludf.DUMMYFUNCTION("""COMPUTED_VALUE"""),"NodataAvailable.pleasetryAgainlater")</f>
        <v>NodataAvailable.pleasetryAgainlater</v>
      </c>
      <c r="B923" s="2" t="str">
        <f>IFERROR(__xludf.DUMMYFUNCTION("""COMPUTED_VALUE"""),"No data Available.please try Again later")</f>
        <v>No data Available.please try Again later</v>
      </c>
      <c r="C923" s="2">
        <f>IFERROR(__xludf.DUMMYFUNCTION("""COMPUTED_VALUE"""),1.0)</f>
        <v>1</v>
      </c>
      <c r="D923" s="2" t="str">
        <f>IFERROR(__xludf.DUMMYFUNCTION("""COMPUTED_VALUE"""),"कोई डेटा उपलब्ध नहीं है। कृपया बाद में फिर से प्रयास करें")</f>
        <v>कोई डेटा उपलब्ध नहीं है। कृपया बाद में फिर से प्रयास करें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 t="str">
        <f>IFERROR(__xludf.DUMMYFUNCTION("""COMPUTED_VALUE"""),"Pleaseinputallrequiredfields")</f>
        <v>Pleaseinputallrequiredfields</v>
      </c>
      <c r="B924" s="2" t="str">
        <f>IFERROR(__xludf.DUMMYFUNCTION("""COMPUTED_VALUE"""),"Please input all required fields")</f>
        <v>Please input all required fields</v>
      </c>
      <c r="C924" s="2">
        <f>IFERROR(__xludf.DUMMYFUNCTION("""COMPUTED_VALUE"""),1.0)</f>
        <v>1</v>
      </c>
      <c r="D924" s="2" t="str">
        <f>IFERROR(__xludf.DUMMYFUNCTION("""COMPUTED_VALUE"""),"कृपया सभी आवश्यक फ़ील्ड इनपुट करें")</f>
        <v>कृपया सभी आवश्यक फ़ील्ड इनपुट करें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 t="str">
        <f>IFERROR(__xludf.DUMMYFUNCTION("""COMPUTED_VALUE"""),"byClickingIacceptthe")</f>
        <v>byClickingIacceptthe</v>
      </c>
      <c r="B925" s="2" t="str">
        <f>IFERROR(__xludf.DUMMYFUNCTION("""COMPUTED_VALUE"""),"By clicking, I accept the")</f>
        <v>By clicking, I accept the</v>
      </c>
      <c r="C925" s="2">
        <f>IFERROR(__xludf.DUMMYFUNCTION("""COMPUTED_VALUE"""),1.0)</f>
        <v>1</v>
      </c>
      <c r="D925" s="2" t="str">
        <f>IFERROR(__xludf.DUMMYFUNCTION("""COMPUTED_VALUE"""),"क्लिक करके, मैं स्वीकार करता हूं")</f>
        <v>क्लिक करके, मैं स्वीकार करता हूं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 t="str">
        <f>IFERROR(__xludf.DUMMYFUNCTION("""COMPUTED_VALUE"""),"terms&amp;conditions")</f>
        <v>terms&amp;conditions</v>
      </c>
      <c r="B926" s="2" t="str">
        <f>IFERROR(__xludf.DUMMYFUNCTION("""COMPUTED_VALUE"""),"Terms &amp; Conditions")</f>
        <v>Terms &amp; Conditions</v>
      </c>
      <c r="C926" s="2">
        <f>IFERROR(__xludf.DUMMYFUNCTION("""COMPUTED_VALUE"""),1.0)</f>
        <v>1</v>
      </c>
      <c r="D926" s="2" t="str">
        <f>IFERROR(__xludf.DUMMYFUNCTION("""COMPUTED_VALUE"""),"नियम एवं शर्तें")</f>
        <v>नियम एवं शर्तें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 t="str">
        <f>IFERROR(__xludf.DUMMYFUNCTION("""COMPUTED_VALUE"""),"and")</f>
        <v>and</v>
      </c>
      <c r="B927" s="2" t="str">
        <f>IFERROR(__xludf.DUMMYFUNCTION("""COMPUTED_VALUE"""),"and")</f>
        <v>and</v>
      </c>
      <c r="C927" s="2">
        <f>IFERROR(__xludf.DUMMYFUNCTION("""COMPUTED_VALUE"""),1.0)</f>
        <v>1</v>
      </c>
      <c r="D927" s="2" t="str">
        <f>IFERROR(__xludf.DUMMYFUNCTION("""COMPUTED_VALUE"""),"और")</f>
        <v>और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 t="str">
        <f>IFERROR(__xludf.DUMMYFUNCTION("""COMPUTED_VALUE"""),"privacypolicy")</f>
        <v>privacypolicy</v>
      </c>
      <c r="B928" s="2" t="str">
        <f>IFERROR(__xludf.DUMMYFUNCTION("""COMPUTED_VALUE"""),"Privacy Policy")</f>
        <v>Privacy Policy</v>
      </c>
      <c r="C928" s="2">
        <f>IFERROR(__xludf.DUMMYFUNCTION("""COMPUTED_VALUE"""),1.0)</f>
        <v>1</v>
      </c>
      <c r="D928" s="2" t="str">
        <f>IFERROR(__xludf.DUMMYFUNCTION("""COMPUTED_VALUE"""),"गोपनीयता नीति")</f>
        <v>गोपनीयता नीति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 t="str">
        <f>IFERROR(__xludf.DUMMYFUNCTION("""COMPUTED_VALUE"""),"refConsumer")</f>
        <v>refConsumer</v>
      </c>
      <c r="B929" s="2" t="str">
        <f>IFERROR(__xludf.DUMMYFUNCTION("""COMPUTED_VALUE"""),"Consumer")</f>
        <v>Consumer</v>
      </c>
      <c r="C929" s="2">
        <f>IFERROR(__xludf.DUMMYFUNCTION("""COMPUTED_VALUE"""),1.0)</f>
        <v>1</v>
      </c>
      <c r="D929" s="2" t="str">
        <f>IFERROR(__xludf.DUMMYFUNCTION("""COMPUTED_VALUE"""),"उपभोक्ता")</f>
        <v>उपभोक्ता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 t="str">
        <f>IFERROR(__xludf.DUMMYFUNCTION("""COMPUTED_VALUE"""),"refIncompleted")</f>
        <v>refIncompleted</v>
      </c>
      <c r="B930" s="2" t="str">
        <f>IFERROR(__xludf.DUMMYFUNCTION("""COMPUTED_VALUE"""),"Incompleted")</f>
        <v>Incompleted</v>
      </c>
      <c r="C930" s="2">
        <f>IFERROR(__xludf.DUMMYFUNCTION("""COMPUTED_VALUE"""),1.0)</f>
        <v>1</v>
      </c>
      <c r="D930" s="2" t="str">
        <f>IFERROR(__xludf.DUMMYFUNCTION("""COMPUTED_VALUE"""),"अपूर्ण")</f>
        <v>अपूर्ण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 t="str">
        <f>IFERROR(__xludf.DUMMYFUNCTION("""COMPUTED_VALUE"""),"refComplteted")</f>
        <v>refComplteted</v>
      </c>
      <c r="B931" s="2" t="str">
        <f>IFERROR(__xludf.DUMMYFUNCTION("""COMPUTED_VALUE"""),"Completed")</f>
        <v>Completed</v>
      </c>
      <c r="C931" s="2">
        <f>IFERROR(__xludf.DUMMYFUNCTION("""COMPUTED_VALUE"""),1.0)</f>
        <v>1</v>
      </c>
      <c r="D931" s="2" t="str">
        <f>IFERROR(__xludf.DUMMYFUNCTION("""COMPUTED_VALUE"""),"पुरा होना।")</f>
        <v>पुरा होना।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 t="str">
        <f>IFERROR(__xludf.DUMMYFUNCTION("""COMPUTED_VALUE"""),"refall")</f>
        <v>refall</v>
      </c>
      <c r="B932" s="2" t="str">
        <f>IFERROR(__xludf.DUMMYFUNCTION("""COMPUTED_VALUE"""),"All ")</f>
        <v>All </v>
      </c>
      <c r="C932" s="2">
        <f>IFERROR(__xludf.DUMMYFUNCTION("""COMPUTED_VALUE"""),1.0)</f>
        <v>1</v>
      </c>
      <c r="D932" s="2" t="str">
        <f>IFERROR(__xludf.DUMMYFUNCTION("""COMPUTED_VALUE"""),"सभी")</f>
        <v>सभी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 t="str">
        <f>IFERROR(__xludf.DUMMYFUNCTION("""COMPUTED_VALUE"""),"reforder")</f>
        <v>reforder</v>
      </c>
      <c r="B933" s="2" t="str">
        <f>IFERROR(__xludf.DUMMYFUNCTION("""COMPUTED_VALUE"""),"Order")</f>
        <v>Order</v>
      </c>
      <c r="C933" s="2">
        <f>IFERROR(__xludf.DUMMYFUNCTION("""COMPUTED_VALUE"""),1.0)</f>
        <v>1</v>
      </c>
      <c r="D933" s="2" t="str">
        <f>IFERROR(__xludf.DUMMYFUNCTION("""COMPUTED_VALUE"""),"आदेश")</f>
        <v>आदेश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 t="str">
        <f>IFERROR(__xludf.DUMMYFUNCTION("""COMPUTED_VALUE"""),"refsignup")</f>
        <v>refsignup</v>
      </c>
      <c r="B934" s="2" t="str">
        <f>IFERROR(__xludf.DUMMYFUNCTION("""COMPUTED_VALUE"""),"Signup")</f>
        <v>Signup</v>
      </c>
      <c r="C934" s="2">
        <f>IFERROR(__xludf.DUMMYFUNCTION("""COMPUTED_VALUE"""),1.0)</f>
        <v>1</v>
      </c>
      <c r="D934" s="2" t="str">
        <f>IFERROR(__xludf.DUMMYFUNCTION("""COMPUTED_VALUE"""),"साइन अप करें")</f>
        <v>साइन अप करें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 t="str">
        <f>IFERROR(__xludf.DUMMYFUNCTION("""COMPUTED_VALUE"""),"refratings")</f>
        <v>refratings</v>
      </c>
      <c r="B935" s="2" t="str">
        <f>IFERROR(__xludf.DUMMYFUNCTION("""COMPUTED_VALUE"""),"Ratings")</f>
        <v>Ratings</v>
      </c>
      <c r="C935" s="2">
        <f>IFERROR(__xludf.DUMMYFUNCTION("""COMPUTED_VALUE"""),1.0)</f>
        <v>1</v>
      </c>
      <c r="D935" s="2" t="str">
        <f>IFERROR(__xludf.DUMMYFUNCTION("""COMPUTED_VALUE"""),"रेटिंग")</f>
        <v>रेटिंग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 t="str">
        <f>IFERROR(__xludf.DUMMYFUNCTION("""COMPUTED_VALUE"""),"refretailer")</f>
        <v>refretailer</v>
      </c>
      <c r="B936" s="2" t="str">
        <f>IFERROR(__xludf.DUMMYFUNCTION("""COMPUTED_VALUE"""),"Retailer")</f>
        <v>Retailer</v>
      </c>
      <c r="C936" s="2">
        <f>IFERROR(__xludf.DUMMYFUNCTION("""COMPUTED_VALUE"""),1.0)</f>
        <v>1</v>
      </c>
      <c r="D936" s="2" t="str">
        <f>IFERROR(__xludf.DUMMYFUNCTION("""COMPUTED_VALUE"""),"फुटकर विक्रेता")</f>
        <v>फुटकर विक्रेता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 t="str">
        <f>IFERROR(__xludf.DUMMYFUNCTION("""COMPUTED_VALUE"""),"refunsubscribe")</f>
        <v>refunsubscribe</v>
      </c>
      <c r="B937" s="2" t="str">
        <f>IFERROR(__xludf.DUMMYFUNCTION("""COMPUTED_VALUE"""),"Unsubscribe")</f>
        <v>Unsubscribe</v>
      </c>
      <c r="C937" s="2">
        <f>IFERROR(__xludf.DUMMYFUNCTION("""COMPUTED_VALUE"""),1.0)</f>
        <v>1</v>
      </c>
      <c r="D937" s="2" t="str">
        <f>IFERROR(__xludf.DUMMYFUNCTION("""COMPUTED_VALUE"""),"सदस्यता रद्द")</f>
        <v>सदस्यता रद्द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 t="str">
        <f>IFERROR(__xludf.DUMMYFUNCTION("""COMPUTED_VALUE"""),"refsubscription")</f>
        <v>refsubscription</v>
      </c>
      <c r="B938" s="2" t="str">
        <f>IFERROR(__xludf.DUMMYFUNCTION("""COMPUTED_VALUE"""),"Subscription")</f>
        <v>Subscription</v>
      </c>
      <c r="C938" s="2">
        <f>IFERROR(__xludf.DUMMYFUNCTION("""COMPUTED_VALUE"""),1.0)</f>
        <v>1</v>
      </c>
      <c r="D938" s="2" t="str">
        <f>IFERROR(__xludf.DUMMYFUNCTION("""COMPUTED_VALUE"""),"अंशदान")</f>
        <v>अंशदान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 t="str">
        <f>IFERROR(__xludf.DUMMYFUNCTION("""COMPUTED_VALUE"""),"Searchnumber")</f>
        <v>Searchnumber</v>
      </c>
      <c r="B939" s="2" t="str">
        <f>IFERROR(__xludf.DUMMYFUNCTION("""COMPUTED_VALUE"""),"Search Number")</f>
        <v>Search Number</v>
      </c>
      <c r="C939" s="2">
        <f>IFERROR(__xludf.DUMMYFUNCTION("""COMPUTED_VALUE"""),1.0)</f>
        <v>1</v>
      </c>
      <c r="D939" s="2" t="str">
        <f>IFERROR(__xludf.DUMMYFUNCTION("""COMPUTED_VALUE"""),"खोज संख्या")</f>
        <v>खोज संख्या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 t="str">
        <f>IFERROR(__xludf.DUMMYFUNCTION("""COMPUTED_VALUE"""),"updaterating")</f>
        <v>updaterating</v>
      </c>
      <c r="B940" s="2" t="str">
        <f>IFERROR(__xludf.DUMMYFUNCTION("""COMPUTED_VALUE"""),"Update Rating ")</f>
        <v>Update Rating </v>
      </c>
      <c r="C940" s="2">
        <f>IFERROR(__xludf.DUMMYFUNCTION("""COMPUTED_VALUE"""),1.0)</f>
        <v>1</v>
      </c>
      <c r="D940" s="2" t="str">
        <f>IFERROR(__xludf.DUMMYFUNCTION("""COMPUTED_VALUE"""),"अद्यतन रेटिंग")</f>
        <v>अद्यतन रेटिंग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 t="str">
        <f>IFERROR(__xludf.DUMMYFUNCTION("""COMPUTED_VALUE"""),"remarks")</f>
        <v>remarks</v>
      </c>
      <c r="B941" s="2" t="str">
        <f>IFERROR(__xludf.DUMMYFUNCTION("""COMPUTED_VALUE"""),"Remarks")</f>
        <v>Remarks</v>
      </c>
      <c r="C941" s="2">
        <f>IFERROR(__xludf.DUMMYFUNCTION("""COMPUTED_VALUE"""),1.0)</f>
        <v>1</v>
      </c>
      <c r="D941" s="2" t="str">
        <f>IFERROR(__xludf.DUMMYFUNCTION("""COMPUTED_VALUE"""),"टिप्पणियां")</f>
        <v>टिप्पणियां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 t="str">
        <f>IFERROR(__xludf.DUMMYFUNCTION("""COMPUTED_VALUE"""),"Sweet")</f>
        <v>Sweet</v>
      </c>
      <c r="B942" s="2" t="str">
        <f>IFERROR(__xludf.DUMMYFUNCTION("""COMPUTED_VALUE"""),"Sweet")</f>
        <v>Sweet</v>
      </c>
      <c r="C942" s="2"/>
      <c r="D942" s="2" t="str">
        <f>IFERROR(__xludf.DUMMYFUNCTION("""COMPUTED_VALUE"""),"मिठाई")</f>
        <v>मिठाई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 t="str">
        <f>IFERROR(__xludf.DUMMYFUNCTION("""COMPUTED_VALUE"""),"Paan")</f>
        <v>Paan</v>
      </c>
      <c r="B943" s="2" t="str">
        <f>IFERROR(__xludf.DUMMYFUNCTION("""COMPUTED_VALUE"""),"Paan")</f>
        <v>Paan</v>
      </c>
      <c r="C943" s="2"/>
      <c r="D943" s="2" t="str">
        <f>IFERROR(__xludf.DUMMYFUNCTION("""COMPUTED_VALUE"""),"पान")</f>
        <v>पान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 t="str">
        <f>IFERROR(__xludf.DUMMYFUNCTION("""COMPUTED_VALUE"""),"Pooja Items")</f>
        <v>Pooja Items</v>
      </c>
      <c r="B944" s="2" t="str">
        <f>IFERROR(__xludf.DUMMYFUNCTION("""COMPUTED_VALUE"""),"Pooja Items")</f>
        <v>Pooja Items</v>
      </c>
      <c r="C944" s="2"/>
      <c r="D944" s="2" t="str">
        <f>IFERROR(__xludf.DUMMYFUNCTION("""COMPUTED_VALUE"""),"पूजा आइटम")</f>
        <v>पूजा आइटम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 t="str">
        <f>IFERROR(__xludf.DUMMYFUNCTION("""COMPUTED_VALUE"""),"Home Foods")</f>
        <v>Home Foods</v>
      </c>
      <c r="B945" s="2" t="str">
        <f>IFERROR(__xludf.DUMMYFUNCTION("""COMPUTED_VALUE"""),"Home Foods")</f>
        <v>Home Foods</v>
      </c>
      <c r="C945" s="2"/>
      <c r="D945" s="2" t="str">
        <f>IFERROR(__xludf.DUMMYFUNCTION("""COMPUTED_VALUE"""),"घर का खाद्य पदार्थ")</f>
        <v>घर का खाद्य पदार्थ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 t="str">
        <f>IFERROR(__xludf.DUMMYFUNCTION("""COMPUTED_VALUE"""),"Pet Foods")</f>
        <v>Pet Foods</v>
      </c>
      <c r="B946" s="2" t="str">
        <f>IFERROR(__xludf.DUMMYFUNCTION("""COMPUTED_VALUE"""),"Pet Foods")</f>
        <v>Pet Foods</v>
      </c>
      <c r="C946" s="2"/>
      <c r="D946" s="2" t="str">
        <f>IFERROR(__xludf.DUMMYFUNCTION("""COMPUTED_VALUE"""),"पालतू खाद्य पदार्थ")</f>
        <v>पालतू खाद्य पदार्थ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 t="str">
        <f>IFERROR(__xludf.DUMMYFUNCTION("""COMPUTED_VALUE"""),"Veg/Non-Veg")</f>
        <v>Veg/Non-Veg</v>
      </c>
      <c r="B947" s="2" t="str">
        <f>IFERROR(__xludf.DUMMYFUNCTION("""COMPUTED_VALUE"""),"Veg/Non-Veg")</f>
        <v>Veg/Non-Veg</v>
      </c>
      <c r="C947" s="2"/>
      <c r="D947" s="2" t="str">
        <f>IFERROR(__xludf.DUMMYFUNCTION("""COMPUTED_VALUE"""),"शाकाहारी")</f>
        <v>शाकाहारी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 t="str">
        <f>IFERROR(__xludf.DUMMYFUNCTION("""COMPUTED_VALUE"""),"Vegetable Shops")</f>
        <v>Vegetable Shops</v>
      </c>
      <c r="B948" s="2" t="str">
        <f>IFERROR(__xludf.DUMMYFUNCTION("""COMPUTED_VALUE"""),"Vegetable Shops")</f>
        <v>Vegetable Shops</v>
      </c>
      <c r="C948" s="2"/>
      <c r="D948" s="2" t="str">
        <f>IFERROR(__xludf.DUMMYFUNCTION("""COMPUTED_VALUE"""),"सब्जी की दुकानें")</f>
        <v>सब्जी की दुकानें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 t="str">
        <f>IFERROR(__xludf.DUMMYFUNCTION("""COMPUTED_VALUE"""),"Fish Shops")</f>
        <v>Fish Shops</v>
      </c>
      <c r="B949" s="2" t="str">
        <f>IFERROR(__xludf.DUMMYFUNCTION("""COMPUTED_VALUE"""),"Fish Shops")</f>
        <v>Fish Shops</v>
      </c>
      <c r="C949" s="2"/>
      <c r="D949" s="2" t="str">
        <f>IFERROR(__xludf.DUMMYFUNCTION("""COMPUTED_VALUE"""),"मछली की दुकानें")</f>
        <v>मछली की दुकानें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 t="str">
        <f>IFERROR(__xludf.DUMMYFUNCTION("""COMPUTED_VALUE"""),"Restaurant Shops")</f>
        <v>Restaurant Shops</v>
      </c>
      <c r="B950" s="2" t="str">
        <f>IFERROR(__xludf.DUMMYFUNCTION("""COMPUTED_VALUE"""),"Restaurant Shops")</f>
        <v>Restaurant Shops</v>
      </c>
      <c r="C950" s="2"/>
      <c r="D950" s="2" t="str">
        <f>IFERROR(__xludf.DUMMYFUNCTION("""COMPUTED_VALUE"""),"रेस्तरां की दुकानें")</f>
        <v>रेस्तरां की दुकानें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 t="str">
        <f>IFERROR(__xludf.DUMMYFUNCTION("""COMPUTED_VALUE"""),"Flowers Shops")</f>
        <v>Flowers Shops</v>
      </c>
      <c r="B951" s="2" t="str">
        <f>IFERROR(__xludf.DUMMYFUNCTION("""COMPUTED_VALUE"""),"Flowers Shops")</f>
        <v>Flowers Shops</v>
      </c>
      <c r="C951" s="2"/>
      <c r="D951" s="2" t="str">
        <f>IFERROR(__xludf.DUMMYFUNCTION("""COMPUTED_VALUE"""),"फूलों की दुकानें")</f>
        <v>फूलों की दुकानें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 t="str">
        <f>IFERROR(__xludf.DUMMYFUNCTION("""COMPUTED_VALUE"""),"Bakery Shops")</f>
        <v>Bakery Shops</v>
      </c>
      <c r="B952" s="2" t="str">
        <f>IFERROR(__xludf.DUMMYFUNCTION("""COMPUTED_VALUE"""),"Bakery Shops")</f>
        <v>Bakery Shops</v>
      </c>
      <c r="C952" s="2"/>
      <c r="D952" s="2" t="str">
        <f>IFERROR(__xludf.DUMMYFUNCTION("""COMPUTED_VALUE"""),"बेकरी की दुकानें")</f>
        <v>बेकरी की दुकानें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 t="str">
        <f>IFERROR(__xludf.DUMMYFUNCTION("""COMPUTED_VALUE"""),"Fruits Shops")</f>
        <v>Fruits Shops</v>
      </c>
      <c r="B953" s="2" t="str">
        <f>IFERROR(__xludf.DUMMYFUNCTION("""COMPUTED_VALUE"""),"Fruits Shops")</f>
        <v>Fruits Shops</v>
      </c>
      <c r="C953" s="2"/>
      <c r="D953" s="2" t="str">
        <f>IFERROR(__xludf.DUMMYFUNCTION("""COMPUTED_VALUE"""),"फलों की दुकानें")</f>
        <v>फलों की दुकानें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 t="str">
        <f>IFERROR(__xludf.DUMMYFUNCTION("""COMPUTED_VALUE"""),"Meat Shops")</f>
        <v>Meat Shops</v>
      </c>
      <c r="B954" s="2" t="str">
        <f>IFERROR(__xludf.DUMMYFUNCTION("""COMPUTED_VALUE"""),"Meat Shops")</f>
        <v>Meat Shops</v>
      </c>
      <c r="C954" s="2"/>
      <c r="D954" s="2" t="str">
        <f>IFERROR(__xludf.DUMMYFUNCTION("""COMPUTED_VALUE"""),"मांस की दुकानें")</f>
        <v>मांस की दुकानें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 t="str">
        <f>IFERROR(__xludf.DUMMYFUNCTION("""COMPUTED_VALUE"""),"GroceryShops")</f>
        <v>GroceryShops</v>
      </c>
      <c r="B955" s="2" t="str">
        <f>IFERROR(__xludf.DUMMYFUNCTION("""COMPUTED_VALUE"""),"Grocery Shops")</f>
        <v>Grocery Shops</v>
      </c>
      <c r="C955" s="2"/>
      <c r="D955" s="2" t="str">
        <f>IFERROR(__xludf.DUMMYFUNCTION("""COMPUTED_VALUE"""),"किराने की दुकानें")</f>
        <v>किराने की दुकानें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 t="str">
        <f>IFERROR(__xludf.DUMMYFUNCTION("""COMPUTED_VALUE"""),"PaanShops")</f>
        <v>PaanShops</v>
      </c>
      <c r="B956" s="2" t="str">
        <f>IFERROR(__xludf.DUMMYFUNCTION("""COMPUTED_VALUE"""),"Paan Shops")</f>
        <v>Paan Shops</v>
      </c>
      <c r="C956" s="2"/>
      <c r="D956" s="2" t="str">
        <f>IFERROR(__xludf.DUMMYFUNCTION("""COMPUTED_VALUE"""),"पान की दुकानें")</f>
        <v>पान की दुकानें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 t="str">
        <f>IFERROR(__xludf.DUMMYFUNCTION("""COMPUTED_VALUE"""),"SweetShops")</f>
        <v>SweetShops</v>
      </c>
      <c r="B957" s="2" t="str">
        <f>IFERROR(__xludf.DUMMYFUNCTION("""COMPUTED_VALUE"""),"Sweet Shops")</f>
        <v>Sweet Shops</v>
      </c>
      <c r="C957" s="2"/>
      <c r="D957" s="2" t="str">
        <f>IFERROR(__xludf.DUMMYFUNCTION("""COMPUTED_VALUE"""),"मीठी दुकानें")</f>
        <v>मीठी दुकानें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 t="str">
        <f>IFERROR(__xludf.DUMMYFUNCTION("""COMPUTED_VALUE"""),"HomeFoodShops")</f>
        <v>HomeFoodShops</v>
      </c>
      <c r="B958" s="2" t="str">
        <f>IFERROR(__xludf.DUMMYFUNCTION("""COMPUTED_VALUE"""),"Home Food Shops")</f>
        <v>Home Food Shops</v>
      </c>
      <c r="C958" s="2"/>
      <c r="D958" s="2" t="str">
        <f>IFERROR(__xludf.DUMMYFUNCTION("""COMPUTED_VALUE"""),"होम फूड शॉप्स")</f>
        <v>होम फूड शॉप्स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 t="str">
        <f>IFERROR(__xludf.DUMMYFUNCTION("""COMPUTED_VALUE"""),"PetFoodShops")</f>
        <v>PetFoodShops</v>
      </c>
      <c r="B959" s="2" t="str">
        <f>IFERROR(__xludf.DUMMYFUNCTION("""COMPUTED_VALUE"""),"Pet Food Shops")</f>
        <v>Pet Food Shops</v>
      </c>
      <c r="C959" s="2"/>
      <c r="D959" s="2" t="str">
        <f>IFERROR(__xludf.DUMMYFUNCTION("""COMPUTED_VALUE"""),"पालतू भोजन की दुकानें")</f>
        <v>पालतू भोजन की दुकानें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 t="str">
        <f>IFERROR(__xludf.DUMMYFUNCTION("""COMPUTED_VALUE"""),"Youwanttodeleteyouraccount")</f>
        <v>Youwanttodeleteyouraccount</v>
      </c>
      <c r="B960" s="2" t="str">
        <f>IFERROR(__xludf.DUMMYFUNCTION("""COMPUTED_VALUE"""),"You want to delete your account")</f>
        <v>You want to delete your account</v>
      </c>
      <c r="C960" s="2"/>
      <c r="D960" s="2" t="str">
        <f>IFERROR(__xludf.DUMMYFUNCTION("""COMPUTED_VALUE"""),"आप अपना खाता हटाना चाहते हैं")</f>
        <v>आप अपना खाता हटाना चाहते हैं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 t="str">
        <f>IFERROR(__xludf.DUMMYFUNCTION("""COMPUTED_VALUE"""),"AddQuantity(g/kg)")</f>
        <v>AddQuantity(g/kg)</v>
      </c>
      <c r="B961" s="2" t="str">
        <f>IFERROR(__xludf.DUMMYFUNCTION("""COMPUTED_VALUE"""),"Add Quantity (g/kg)")</f>
        <v>Add Quantity (g/kg)</v>
      </c>
      <c r="C961" s="2"/>
      <c r="D961" s="2" t="str">
        <f>IFERROR(__xludf.DUMMYFUNCTION("""COMPUTED_VALUE"""),"मात्रा जोड़ें (जी/किग्रा)")</f>
        <v>मात्रा जोड़ें (जी/किग्रा)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 t="str">
        <f>IFERROR(__xludf.DUMMYFUNCTION("""COMPUTED_VALUE"""),"AddQuantity(Pieces/Plates)")</f>
        <v>AddQuantity(Pieces/Plates)</v>
      </c>
      <c r="B962" s="2" t="str">
        <f>IFERROR(__xludf.DUMMYFUNCTION("""COMPUTED_VALUE"""),"Add Quantity (Pieces/Plates)")</f>
        <v>Add Quantity (Pieces/Plates)</v>
      </c>
      <c r="C962" s="2"/>
      <c r="D962" s="2" t="str">
        <f>IFERROR(__xludf.DUMMYFUNCTION("""COMPUTED_VALUE"""),"मात्रा (टुकड़े/प्लेट) जोड़ें")</f>
        <v>मात्रा (टुकड़े/प्लेट) जोड़ें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 t="str">
        <f>IFERROR(__xludf.DUMMYFUNCTION("""COMPUTED_VALUE"""),"AddQuantity(ml/l)")</f>
        <v>AddQuantity(ml/l)</v>
      </c>
      <c r="B963" s="2" t="str">
        <f>IFERROR(__xludf.DUMMYFUNCTION("""COMPUTED_VALUE"""),"Add Quantity (ml/l)")</f>
        <v>Add Quantity (ml/l)</v>
      </c>
      <c r="C963" s="2"/>
      <c r="D963" s="2" t="str">
        <f>IFERROR(__xludf.DUMMYFUNCTION("""COMPUTED_VALUE"""),"मात्रा जोड़ें (एमएल/एल)")</f>
        <v>मात्रा जोड़ें (एमएल/एल)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 t="str">
        <f>IFERROR(__xludf.DUMMYFUNCTION("""COMPUTED_VALUE"""),"EnterAmount")</f>
        <v>EnterAmount</v>
      </c>
      <c r="B964" s="2" t="str">
        <f>IFERROR(__xludf.DUMMYFUNCTION("""COMPUTED_VALUE"""),"Enter Amount")</f>
        <v>Enter Amount</v>
      </c>
      <c r="C964" s="2"/>
      <c r="D964" s="2" t="str">
        <f>IFERROR(__xludf.DUMMYFUNCTION("""COMPUTED_VALUE"""),"राशि डालें")</f>
        <v>राशि डालें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 t="str">
        <f>IFERROR(__xludf.DUMMYFUNCTION("""COMPUTED_VALUE"""),"Enterno.of Pcs")</f>
        <v>Enterno.of Pcs</v>
      </c>
      <c r="B965" s="2" t="str">
        <f>IFERROR(__xludf.DUMMYFUNCTION("""COMPUTED_VALUE"""),"Enter no. of Pcs")</f>
        <v>Enter no. of Pcs</v>
      </c>
      <c r="C965" s="2"/>
      <c r="D965" s="2" t="str">
        <f>IFERROR(__xludf.DUMMYFUNCTION("""COMPUTED_VALUE"""),"दर्ज करें नहीं। पीसीएस का")</f>
        <v>दर्ज करें नहीं। पीसीएस का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 t="str">
        <f>IFERROR(__xludf.DUMMYFUNCTION("""COMPUTED_VALUE"""),"Enterno.of Kgs")</f>
        <v>Enterno.of Kgs</v>
      </c>
      <c r="B966" s="2" t="str">
        <f>IFERROR(__xludf.DUMMYFUNCTION("""COMPUTED_VALUE"""),"Enter no. of Kgs")</f>
        <v>Enter no. of Kgs</v>
      </c>
      <c r="C966" s="2"/>
      <c r="D966" s="2" t="str">
        <f>IFERROR(__xludf.DUMMYFUNCTION("""COMPUTED_VALUE"""),"दर्ज करें नहीं। केजीएस का")</f>
        <v>दर्ज करें नहीं। केजीएस का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 t="str">
        <f>IFERROR(__xludf.DUMMYFUNCTION("""COMPUTED_VALUE"""),"Enterno. ofLtr")</f>
        <v>Enterno. ofLtr</v>
      </c>
      <c r="B967" s="2" t="str">
        <f>IFERROR(__xludf.DUMMYFUNCTION("""COMPUTED_VALUE"""),"Enter no. of Ltr")</f>
        <v>Enter no. of Ltr</v>
      </c>
      <c r="C967" s="2"/>
      <c r="D967" s="2" t="str">
        <f>IFERROR(__xludf.DUMMYFUNCTION("""COMPUTED_VALUE"""),"दर्ज करें नहीं। Ltr")</f>
        <v>दर्ज करें नहीं। Ltr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 t="str">
        <f>IFERROR(__xludf.DUMMYFUNCTION("""COMPUTED_VALUE"""),"Pickup/Noshow")</f>
        <v>Pickup/Noshow</v>
      </c>
      <c r="B968" s="2" t="str">
        <f>IFERROR(__xludf.DUMMYFUNCTION("""COMPUTED_VALUE"""),"Pickup/No show")</f>
        <v>Pickup/No show</v>
      </c>
      <c r="C968" s="2"/>
      <c r="D968" s="2" t="str">
        <f>IFERROR(__xludf.DUMMYFUNCTION("""COMPUTED_VALUE"""),"पिकअप/कोई शो नहीं")</f>
        <v>पिकअप/कोई शो नहीं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 t="str">
        <f>IFERROR(__xludf.DUMMYFUNCTION("""COMPUTED_VALUE"""),"Shopaddedtofavourites")</f>
        <v>Shopaddedtofavourites</v>
      </c>
      <c r="B969" s="2" t="str">
        <f>IFERROR(__xludf.DUMMYFUNCTION("""COMPUTED_VALUE"""),"Shop added to favourites")</f>
        <v>Shop added to favourites</v>
      </c>
      <c r="C969" s="2"/>
      <c r="D969" s="2" t="str">
        <f>IFERROR(__xludf.DUMMYFUNCTION("""COMPUTED_VALUE"""),"पसंदीदा में जोड़ा गया")</f>
        <v>पसंदीदा में जोड़ा गया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 t="str">
        <f>IFERROR(__xludf.DUMMYFUNCTION("""COMPUTED_VALUE"""),"Shopremovedfromfavourites")</f>
        <v>Shopremovedfromfavourites</v>
      </c>
      <c r="B970" s="2" t="str">
        <f>IFERROR(__xludf.DUMMYFUNCTION("""COMPUTED_VALUE"""),"Shop removed from favourites")</f>
        <v>Shop removed from favourites</v>
      </c>
      <c r="C970" s="2"/>
      <c r="D970" s="2" t="str">
        <f>IFERROR(__xludf.DUMMYFUNCTION("""COMPUTED_VALUE"""),"पसंदीदा से हटाए गए दुकान")</f>
        <v>पसंदीदा से हटाए गए दुकान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 t="str">
        <f>IFERROR(__xludf.DUMMYFUNCTION("""COMPUTED_VALUE"""),"PreOrderManagement")</f>
        <v>PreOrderManagement</v>
      </c>
      <c r="B971" s="2" t="str">
        <f>IFERROR(__xludf.DUMMYFUNCTION("""COMPUTED_VALUE"""),"Pre Order Management")</f>
        <v>Pre Order Management</v>
      </c>
      <c r="C971" s="2"/>
      <c r="D971" s="2" t="str">
        <f>IFERROR(__xludf.DUMMYFUNCTION("""COMPUTED_VALUE"""),"पूर्व आदेश प्रबंधन")</f>
        <v>पूर्व आदेश प्रबंधन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 t="str">
        <f>IFERROR(__xludf.DUMMYFUNCTION("""COMPUTED_VALUE"""),"entergstin")</f>
        <v>entergstin</v>
      </c>
      <c r="B972" s="2" t="str">
        <f>IFERROR(__xludf.DUMMYFUNCTION("""COMPUTED_VALUE"""),"Enter GSTIN")</f>
        <v>Enter GSTIN</v>
      </c>
      <c r="C972" s="2"/>
      <c r="D972" s="2" t="str">
        <f>IFERROR(__xludf.DUMMYFUNCTION("""COMPUTED_VALUE"""),"GSTIN दर्ज करें")</f>
        <v>GSTIN दर्ज करें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 t="str">
        <f>IFERROR(__xludf.DUMMYFUNCTION("""COMPUTED_VALUE"""),"orderorshop")</f>
        <v>orderorshop</v>
      </c>
      <c r="B973" s="2" t="str">
        <f>IFERROR(__xludf.DUMMYFUNCTION("""COMPUTED_VALUE"""),"order or shop")</f>
        <v>order or shop</v>
      </c>
      <c r="C973" s="2"/>
      <c r="D973" s="2" t="str">
        <f>IFERROR(__xludf.DUMMYFUNCTION("""COMPUTED_VALUE"""),"आदेश या दुकान")</f>
        <v>आदेश या दुकान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 t="str">
        <f>IFERROR(__xludf.DUMMYFUNCTION("""COMPUTED_VALUE"""),"withinkms")</f>
        <v>withinkms</v>
      </c>
      <c r="B974" s="2" t="str">
        <f>IFERROR(__xludf.DUMMYFUNCTION("""COMPUTED_VALUE"""),"within kms")</f>
        <v>within kms</v>
      </c>
      <c r="C974" s="2"/>
      <c r="D974" s="2" t="str">
        <f>IFERROR(__xludf.DUMMYFUNCTION("""COMPUTED_VALUE"""),"kms के भीतर")</f>
        <v>kms के भीतर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 t="str">
        <f>IFERROR(__xludf.DUMMYFUNCTION("""COMPUTED_VALUE"""),"Uploadprofilephoto")</f>
        <v>Uploadprofilephoto</v>
      </c>
      <c r="B975" s="2" t="str">
        <f>IFERROR(__xludf.DUMMYFUNCTION("""COMPUTED_VALUE"""),"Upload profile photo")</f>
        <v>Upload profile photo</v>
      </c>
      <c r="C975" s="2"/>
      <c r="D975" s="2" t="str">
        <f>IFERROR(__xludf.DUMMYFUNCTION("""COMPUTED_VALUE"""),"प्रोफ़ाइल फ़ोटो अपलोड करें")</f>
        <v>प्रोफ़ाइल फ़ोटो अपलोड करें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 t="str">
        <f>IFERROR(__xludf.DUMMYFUNCTION("""COMPUTED_VALUE"""),"Invalidname")</f>
        <v>Invalidname</v>
      </c>
      <c r="B976" s="2" t="str">
        <f>IFERROR(__xludf.DUMMYFUNCTION("""COMPUTED_VALUE"""),"Invalid name")</f>
        <v>Invalid name</v>
      </c>
      <c r="C976" s="2"/>
      <c r="D976" s="2" t="str">
        <f>IFERROR(__xludf.DUMMYFUNCTION("""COMPUTED_VALUE"""),"अमान्य नाम")</f>
        <v>अमान्य नाम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 t="str">
        <f>IFERROR(__xludf.DUMMYFUNCTION("""COMPUTED_VALUE"""),"Invalidnumber")</f>
        <v>Invalidnumber</v>
      </c>
      <c r="B977" s="2" t="str">
        <f>IFERROR(__xludf.DUMMYFUNCTION("""COMPUTED_VALUE"""),"Invalid number")</f>
        <v>Invalid number</v>
      </c>
      <c r="C977" s="2"/>
      <c r="D977" s="2" t="str">
        <f>IFERROR(__xludf.DUMMYFUNCTION("""COMPUTED_VALUE"""),"अमान्य संख्या")</f>
        <v>अमान्य संख्या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 t="str">
        <f>IFERROR(__xludf.DUMMYFUNCTION("""COMPUTED_VALUE"""),"Addressdeleted !!")</f>
        <v>Addressdeleted !!</v>
      </c>
      <c r="B978" s="2" t="str">
        <f>IFERROR(__xludf.DUMMYFUNCTION("""COMPUTED_VALUE"""),"Address deleted !!")</f>
        <v>Address deleted !!</v>
      </c>
      <c r="C978" s="2"/>
      <c r="D978" s="2" t="str">
        <f>IFERROR(__xludf.DUMMYFUNCTION("""COMPUTED_VALUE"""),"पता हटा दिया गया !!")</f>
        <v>पता हटा दिया गया !!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 t="str">
        <f>IFERROR(__xludf.DUMMYFUNCTION("""COMPUTED_VALUE"""),"Invitevia")</f>
        <v>Invitevia</v>
      </c>
      <c r="B979" s="2" t="str">
        <f>IFERROR(__xludf.DUMMYFUNCTION("""COMPUTED_VALUE"""),"Invite via")</f>
        <v>Invite via</v>
      </c>
      <c r="C979" s="2"/>
      <c r="D979" s="2" t="str">
        <f>IFERROR(__xludf.DUMMYFUNCTION("""COMPUTED_VALUE"""),"के माध्यम से आमंत्रित करें")</f>
        <v>के माध्यम से आमंत्रित करें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 t="str">
        <f>IFERROR(__xludf.DUMMYFUNCTION("""COMPUTED_VALUE"""),"whywouldyouliketodeleteyouraccount ?")</f>
        <v>whywouldyouliketodeleteyouraccount ?</v>
      </c>
      <c r="B980" s="2" t="str">
        <f>IFERROR(__xludf.DUMMYFUNCTION("""COMPUTED_VALUE"""),"why would you like to delete your account ?")</f>
        <v>why would you like to delete your account ?</v>
      </c>
      <c r="C980" s="2"/>
      <c r="D980" s="2" t="str">
        <f>IFERROR(__xludf.DUMMYFUNCTION("""COMPUTED_VALUE"""),"आप अपना खाता क्यों हटाना चाहेंगे?")</f>
        <v>आप अपना खाता क्यों हटाना चाहेंगे?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 t="str">
        <f>IFERROR(__xludf.DUMMYFUNCTION("""COMPUTED_VALUE"""),"Sarvm.aiManagerID")</f>
        <v>Sarvm.aiManagerID</v>
      </c>
      <c r="B981" s="2" t="str">
        <f>IFERROR(__xludf.DUMMYFUNCTION("""COMPUTED_VALUE"""),"Sarvm.ai Manager ID")</f>
        <v>Sarvm.ai Manager ID</v>
      </c>
      <c r="C981" s="2"/>
      <c r="D981" s="2" t="str">
        <f>IFERROR(__xludf.DUMMYFUNCTION("""COMPUTED_VALUE"""),"सरवमाई मैनेजर आईडी")</f>
        <v>सरवमाई मैनेजर आईडी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 t="str">
        <f>IFERROR(__xludf.DUMMYFUNCTION("""COMPUTED_VALUE"""),"Invalidpincode")</f>
        <v>Invalidpincode</v>
      </c>
      <c r="B982" s="2" t="str">
        <f>IFERROR(__xludf.DUMMYFUNCTION("""COMPUTED_VALUE"""),"Invalid pincode")</f>
        <v>Invalid pincode</v>
      </c>
      <c r="C982" s="2"/>
      <c r="D982" s="2" t="str">
        <f>IFERROR(__xludf.DUMMYFUNCTION("""COMPUTED_VALUE"""),"अमान्य पिनकोड")</f>
        <v>अमान्य पिनकोड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 t="str">
        <f>IFERROR(__xludf.DUMMYFUNCTION("""COMPUTED_VALUE"""),"Sarvm.Ai")</f>
        <v>Sarvm.Ai</v>
      </c>
      <c r="B983" s="3" t="str">
        <f>IFERROR(__xludf.DUMMYFUNCTION("""COMPUTED_VALUE"""),"Sarvm.Ai")</f>
        <v>Sarvm.Ai</v>
      </c>
      <c r="C983" s="2"/>
      <c r="D983" s="2" t="str">
        <f>IFERROR(__xludf.DUMMYFUNCTION("""COMPUTED_VALUE"""),"सरवमाई")</f>
        <v>सरवमाई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 t="str">
        <f>IFERROR(__xludf.DUMMYFUNCTION("""COMPUTED_VALUE"""),"Entertext")</f>
        <v>Entertext</v>
      </c>
      <c r="B984" s="2" t="str">
        <f>IFERROR(__xludf.DUMMYFUNCTION("""COMPUTED_VALUE"""),"Enter text")</f>
        <v>Enter text</v>
      </c>
      <c r="C984" s="2"/>
      <c r="D984" s="2" t="str">
        <f>IFERROR(__xludf.DUMMYFUNCTION("""COMPUTED_VALUE"""),"पाठ दर्ज करें")</f>
        <v>पाठ दर्ज करें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 t="str">
        <f>IFERROR(__xludf.DUMMYFUNCTION("""COMPUTED_VALUE"""),"Shopalready exist for this user")</f>
        <v>Shopalready exist for this user</v>
      </c>
      <c r="B985" s="2" t="str">
        <f>IFERROR(__xludf.DUMMYFUNCTION("""COMPUTED_VALUE"""),"Shop already exist for this user")</f>
        <v>Shop already exist for this user</v>
      </c>
      <c r="C985" s="2"/>
      <c r="D985" s="2" t="str">
        <f>IFERROR(__xludf.DUMMYFUNCTION("""COMPUTED_VALUE"""),"इस उपयोगकर्ता के लिए पहले से ही दुकान मौजूद है")</f>
        <v>इस उपयोगकर्ता के लिए पहले से ही दुकान मौजूद है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 t="str">
        <f>IFERROR(__xludf.DUMMYFUNCTION("""COMPUTED_VALUE"""),"ScanQRcode")</f>
        <v>ScanQRcode</v>
      </c>
      <c r="B986" s="2" t="str">
        <f>IFERROR(__xludf.DUMMYFUNCTION("""COMPUTED_VALUE"""),"Scan QR code")</f>
        <v>Scan QR code</v>
      </c>
      <c r="C986" s="2"/>
      <c r="D986" s="2" t="str">
        <f>IFERROR(__xludf.DUMMYFUNCTION("""COMPUTED_VALUE"""),"स्कैन क्यू आर कोड")</f>
        <v>स्कैन क्यू आर कोड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 t="str">
        <f>IFERROR(__xludf.DUMMYFUNCTION("""COMPUTED_VALUE"""),"Select UPI App")</f>
        <v>Select UPI App</v>
      </c>
      <c r="B987" s="2" t="str">
        <f>IFERROR(__xludf.DUMMYFUNCTION("""COMPUTED_VALUE"""),"Select UPI App")</f>
        <v>Select UPI App</v>
      </c>
      <c r="C987" s="2"/>
      <c r="D987" s="2" t="str">
        <f>IFERROR(__xludf.DUMMYFUNCTION("""COMPUTED_VALUE"""),"यूपीआई ऐप का चयन करें")</f>
        <v>यूपीआई ऐप का चयन करें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 t="str">
        <f>IFERROR(__xludf.DUMMYFUNCTION("""COMPUTED_VALUE"""),"Please enter valid number")</f>
        <v>Please enter valid number</v>
      </c>
      <c r="B988" s="2" t="str">
        <f>IFERROR(__xludf.DUMMYFUNCTION("""COMPUTED_VALUE"""),"Please enter valid number")</f>
        <v>Please enter valid number</v>
      </c>
      <c r="C988" s="2"/>
      <c r="D988" s="2" t="str">
        <f>IFERROR(__xludf.DUMMYFUNCTION("""COMPUTED_VALUE"""),"कृपया मान्य नंबर दर्ज करें")</f>
        <v>कृपया मान्य नंबर दर्ज करें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 t="str">
        <f>IFERROR(__xludf.DUMMYFUNCTION("""COMPUTED_VALUE"""),"Payment : Pending")</f>
        <v>Payment : Pending</v>
      </c>
      <c r="B989" s="2" t="str">
        <f>IFERROR(__xludf.DUMMYFUNCTION("""COMPUTED_VALUE"""),"Payment : Pending")</f>
        <v>Payment : Pending</v>
      </c>
      <c r="C989" s="2"/>
      <c r="D989" s="2" t="str">
        <f>IFERROR(__xludf.DUMMYFUNCTION("""COMPUTED_VALUE"""),"भुगतान लंबित")</f>
        <v>भुगतान लंबित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 t="str">
        <f>IFERROR(__xludf.DUMMYFUNCTION("""COMPUTED_VALUE"""),"Start Delivery")</f>
        <v>Start Delivery</v>
      </c>
      <c r="B990" s="2" t="str">
        <f>IFERROR(__xludf.DUMMYFUNCTION("""COMPUTED_VALUE"""),"Start Delivery")</f>
        <v>Start Delivery</v>
      </c>
      <c r="C990" s="2"/>
      <c r="D990" s="2" t="str">
        <f>IFERROR(__xludf.DUMMYFUNCTION("""COMPUTED_VALUE"""),"वितरण शुरू करें")</f>
        <v>वितरण शुरू करें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 t="str">
        <f>IFERROR(__xludf.DUMMYFUNCTION("""COMPUTED_VALUE"""),"Order dispatch")</f>
        <v>Order dispatch</v>
      </c>
      <c r="B991" s="2" t="str">
        <f>IFERROR(__xludf.DUMMYFUNCTION("""COMPUTED_VALUE"""),"Order dispatch")</f>
        <v>Order dispatch</v>
      </c>
      <c r="C991" s="2"/>
      <c r="D991" s="2" t="str">
        <f>IFERROR(__xludf.DUMMYFUNCTION("""COMPUTED_VALUE"""),"आदेश प्रेषण")</f>
        <v>आदेश प्रेषण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 t="str">
        <f>IFERROR(__xludf.DUMMYFUNCTION("""COMPUTED_VALUE"""),"Order dispatched")</f>
        <v>Order dispatched</v>
      </c>
      <c r="B992" s="2" t="str">
        <f>IFERROR(__xludf.DUMMYFUNCTION("""COMPUTED_VALUE"""),"Order dispatched")</f>
        <v>Order dispatched</v>
      </c>
      <c r="C992" s="2"/>
      <c r="D992" s="2" t="str">
        <f>IFERROR(__xludf.DUMMYFUNCTION("""COMPUTED_VALUE"""),"ऑर्डर भेजा गया")</f>
        <v>ऑर्डर भेजा गया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 t="str">
        <f>IFERROR(__xludf.DUMMYFUNCTION("""COMPUTED_VALUE"""),"Reached Delivery Location")</f>
        <v>Reached Delivery Location</v>
      </c>
      <c r="B993" s="2" t="str">
        <f>IFERROR(__xludf.DUMMYFUNCTION("""COMPUTED_VALUE"""),"Reached Delivery Location")</f>
        <v>Reached Delivery Location</v>
      </c>
      <c r="C993" s="2"/>
      <c r="D993" s="2" t="str">
        <f>IFERROR(__xludf.DUMMYFUNCTION("""COMPUTED_VALUE"""),"वितरण स्थान पर पहुंच गया")</f>
        <v>वितरण स्थान पर पहुंच गया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 t="str">
        <f>IFERROR(__xludf.DUMMYFUNCTION("""COMPUTED_VALUE"""),"Order Pickedup")</f>
        <v>Order Pickedup</v>
      </c>
      <c r="B994" s="2" t="str">
        <f>IFERROR(__xludf.DUMMYFUNCTION("""COMPUTED_VALUE"""),"Order Pickedup")</f>
        <v>Order Pickedup</v>
      </c>
      <c r="C994" s="2"/>
      <c r="D994" s="2" t="str">
        <f>IFERROR(__xludf.DUMMYFUNCTION("""COMPUTED_VALUE"""),"आदेश चुना")</f>
        <v>आदेश चुना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 t="str">
        <f>IFERROR(__xludf.DUMMYFUNCTION("""COMPUTED_VALUE"""),"OrderIDorCustomerNumber")</f>
        <v>OrderIDorCustomerNumber</v>
      </c>
      <c r="B995" s="2" t="str">
        <f>IFERROR(__xludf.DUMMYFUNCTION("""COMPUTED_VALUE"""),"Order ID or Customer Number")</f>
        <v>Order ID or Customer Number</v>
      </c>
      <c r="C995" s="2"/>
      <c r="D995" s="2" t="str">
        <f>IFERROR(__xludf.DUMMYFUNCTION("""COMPUTED_VALUE"""),"ऑर्डर आईडी या ग्राहक नंबर")</f>
        <v>ऑर्डर आईडी या ग्राहक नंबर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 t="str">
        <f>IFERROR(__xludf.DUMMYFUNCTION("""COMPUTED_VALUE"""),"OrderRejected")</f>
        <v>OrderRejected</v>
      </c>
      <c r="B996" s="2" t="str">
        <f>IFERROR(__xludf.DUMMYFUNCTION("""COMPUTED_VALUE"""),"Order Rejected")</f>
        <v>Order Rejected</v>
      </c>
      <c r="C996" s="2"/>
      <c r="D996" s="2" t="str">
        <f>IFERROR(__xludf.DUMMYFUNCTION("""COMPUTED_VALUE"""),"आदेश अस्वीकार कर दिया")</f>
        <v>आदेश अस्वीकार कर दिया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 t="str">
        <f>IFERROR(__xludf.DUMMYFUNCTION("""COMPUTED_VALUE"""),"OrderCompleted")</f>
        <v>OrderCompleted</v>
      </c>
      <c r="B997" s="2" t="str">
        <f>IFERROR(__xludf.DUMMYFUNCTION("""COMPUTED_VALUE"""),"Order Completed")</f>
        <v>Order Completed</v>
      </c>
      <c r="C997" s="2"/>
      <c r="D997" s="2" t="str">
        <f>IFERROR(__xludf.DUMMYFUNCTION("""COMPUTED_VALUE"""),"आर्डर पूरा हुआ")</f>
        <v>आर्डर पूरा हुआ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 t="str">
        <f>IFERROR(__xludf.DUMMYFUNCTION("""COMPUTED_VALUE"""),"OrderCancelled")</f>
        <v>OrderCancelled</v>
      </c>
      <c r="B998" s="2" t="str">
        <f>IFERROR(__xludf.DUMMYFUNCTION("""COMPUTED_VALUE"""),"Order Cancelled")</f>
        <v>Order Cancelled</v>
      </c>
      <c r="C998" s="2"/>
      <c r="D998" s="2" t="str">
        <f>IFERROR(__xludf.DUMMYFUNCTION("""COMPUTED_VALUE"""),"आदेश रद्द किया गया")</f>
        <v>आदेश रद्द किया गया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 t="str">
        <f>IFERROR(__xludf.DUMMYFUNCTION("""COMPUTED_VALUE"""),"CustomerPickedup")</f>
        <v>CustomerPickedup</v>
      </c>
      <c r="B999" s="2" t="str">
        <f>IFERROR(__xludf.DUMMYFUNCTION("""COMPUTED_VALUE"""),"Customer Picked up")</f>
        <v>Customer Picked up</v>
      </c>
      <c r="C999" s="2"/>
      <c r="D999" s="2" t="str">
        <f>IFERROR(__xludf.DUMMYFUNCTION("""COMPUTED_VALUE"""),"ग्राहक उठाया")</f>
        <v>ग्राहक उठाया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 t="str">
        <f>IFERROR(__xludf.DUMMYFUNCTION("""COMPUTED_VALUE"""),"DeliveryBoy")</f>
        <v>DeliveryBoy</v>
      </c>
      <c r="B1000" s="2" t="str">
        <f>IFERROR(__xludf.DUMMYFUNCTION("""COMPUTED_VALUE"""),"Delivery Boy")</f>
        <v>Delivery Boy</v>
      </c>
      <c r="C1000" s="2"/>
      <c r="D1000" s="2" t="str">
        <f>IFERROR(__xludf.DUMMYFUNCTION("""COMPUTED_VALUE"""),"वितरण करने वाला लड़का")</f>
        <v>वितरण करने वाला लड़का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 t="str">
        <f>IFERROR(__xludf.DUMMYFUNCTION("""COMPUTED_VALUE"""),"Removefromfavourites")</f>
        <v>Removefromfavourites</v>
      </c>
      <c r="B1001" s="2" t="str">
        <f>IFERROR(__xludf.DUMMYFUNCTION("""COMPUTED_VALUE"""),"Remove from favourites")</f>
        <v>Remove from favourites</v>
      </c>
      <c r="C1001" s="2"/>
      <c r="D1001" s="2" t="str">
        <f>IFERROR(__xludf.DUMMYFUNCTION("""COMPUTED_VALUE"""),"पसंदीदा से निकालें")</f>
        <v>पसंदीदा से निकालें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 t="str">
        <f>IFERROR(__xludf.DUMMYFUNCTION("""COMPUTED_VALUE"""),"Searchforproductname")</f>
        <v>Searchforproductname</v>
      </c>
      <c r="B1002" s="2" t="str">
        <f>IFERROR(__xludf.DUMMYFUNCTION("""COMPUTED_VALUE"""),"Search for product name")</f>
        <v>Search for product name</v>
      </c>
      <c r="C1002" s="2"/>
      <c r="D1002" s="2" t="str">
        <f>IFERROR(__xludf.DUMMYFUNCTION("""COMPUTED_VALUE"""),"उत्पाद का नाम खोजें")</f>
        <v>उत्पाद का नाम खोजें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 t="str">
        <f>IFERROR(__xludf.DUMMYFUNCTION("""COMPUTED_VALUE"""),"Apply")</f>
        <v>Apply</v>
      </c>
      <c r="B1003" s="2" t="str">
        <f>IFERROR(__xludf.DUMMYFUNCTION("""COMPUTED_VALUE"""),"Apply")</f>
        <v>Apply</v>
      </c>
      <c r="C1003" s="2"/>
      <c r="D1003" s="2" t="str">
        <f>IFERROR(__xludf.DUMMYFUNCTION("""COMPUTED_VALUE"""),"आवेदन करना")</f>
        <v>आवेदन करना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 t="str">
        <f>IFERROR(__xludf.DUMMYFUNCTION("""COMPUTED_VALUE"""),"for")</f>
        <v>for</v>
      </c>
      <c r="B1004" s="2" t="str">
        <f>IFERROR(__xludf.DUMMYFUNCTION("""COMPUTED_VALUE"""),"for")</f>
        <v>for</v>
      </c>
      <c r="C1004" s="2"/>
      <c r="D1004" s="2" t="str">
        <f>IFERROR(__xludf.DUMMYFUNCTION("""COMPUTED_VALUE"""),"के लिए")</f>
        <v>के लिए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 t="str">
        <f>IFERROR(__xludf.DUMMYFUNCTION("""COMPUTED_VALUE"""),"Readyfordelivery")</f>
        <v>Readyfordelivery</v>
      </c>
      <c r="B1005" s="2" t="str">
        <f>IFERROR(__xludf.DUMMYFUNCTION("""COMPUTED_VALUE"""),"Ready for delivery")</f>
        <v>Ready for delivery</v>
      </c>
      <c r="C1005" s="2"/>
      <c r="D1005" s="2" t="str">
        <f>IFERROR(__xludf.DUMMYFUNCTION("""COMPUTED_VALUE"""),"पहुँचाने के लिए तैयार")</f>
        <v>पहुँचाने के लिए तैयार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 t="str">
        <f>IFERROR(__xludf.DUMMYFUNCTION("""COMPUTED_VALUE"""),"Pickedupfordelivery")</f>
        <v>Pickedupfordelivery</v>
      </c>
      <c r="B1006" s="2" t="str">
        <f>IFERROR(__xludf.DUMMYFUNCTION("""COMPUTED_VALUE"""),"Picked up for delivery")</f>
        <v>Picked up for delivery</v>
      </c>
      <c r="C1006" s="2"/>
      <c r="D1006" s="2" t="str">
        <f>IFERROR(__xludf.DUMMYFUNCTION("""COMPUTED_VALUE"""),"डिलीवरी के लिए उठाया")</f>
        <v>डिलीवरी के लिए उठाया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 t="str">
        <f>IFERROR(__xludf.DUMMYFUNCTION("""COMPUTED_VALUE"""),"AsmaaIndia")</f>
        <v>AsmaaIndia</v>
      </c>
      <c r="B1007" s="2" t="str">
        <f>IFERROR(__xludf.DUMMYFUNCTION("""COMPUTED_VALUE"""),"Asmaa India")</f>
        <v>Asmaa India</v>
      </c>
      <c r="C1007" s="2"/>
      <c r="D1007" s="2" t="str">
        <f>IFERROR(__xludf.DUMMYFUNCTION("""COMPUTED_VALUE"""),"असमा इंडिया")</f>
        <v>असमा इंडिया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 t="str">
        <f>IFERROR(__xludf.DUMMYFUNCTION("""COMPUTED_VALUE"""),"JyotiEnterprises")</f>
        <v>JyotiEnterprises</v>
      </c>
      <c r="B1008" s="2" t="str">
        <f>IFERROR(__xludf.DUMMYFUNCTION("""COMPUTED_VALUE"""),"Jyoti Enterprises")</f>
        <v>Jyoti Enterprises</v>
      </c>
      <c r="C1008" s="2"/>
      <c r="D1008" s="2" t="str">
        <f>IFERROR(__xludf.DUMMYFUNCTION("""COMPUTED_VALUE"""),"ज्योति एंटरप्राइजेज")</f>
        <v>ज्योति एंटरप्राइजेज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 t="str">
        <f>IFERROR(__xludf.DUMMYFUNCTION("""COMPUTED_VALUE"""),"CleanTech")</f>
        <v>CleanTech</v>
      </c>
      <c r="B1009" s="2" t="str">
        <f>IFERROR(__xludf.DUMMYFUNCTION("""COMPUTED_VALUE"""),"Clean Tech")</f>
        <v>Clean Tech</v>
      </c>
      <c r="C1009" s="2"/>
      <c r="D1009" s="2" t="str">
        <f>IFERROR(__xludf.DUMMYFUNCTION("""COMPUTED_VALUE"""),"स्वच्छ तकनीक")</f>
        <v>स्वच्छ तकनीक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 t="str">
        <f>IFERROR(__xludf.DUMMYFUNCTION("""COMPUTED_VALUE"""),"Agency-Excelience")</f>
        <v>Agency-Excelience</v>
      </c>
      <c r="B1010" s="2" t="str">
        <f>IFERROR(__xludf.DUMMYFUNCTION("""COMPUTED_VALUE"""),"Agency - Excelience")</f>
        <v>Agency - Excelience</v>
      </c>
      <c r="C1010" s="2"/>
      <c r="D1010" s="2" t="str">
        <f>IFERROR(__xludf.DUMMYFUNCTION("""COMPUTED_VALUE"""),"एजेंसी - उत्कृष्टता")</f>
        <v>एजेंसी - उत्कृष्टता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 t="str">
        <f>IFERROR(__xludf.DUMMYFUNCTION("""COMPUTED_VALUE"""),"within")</f>
        <v>within</v>
      </c>
      <c r="B1011" s="2" t="str">
        <f>IFERROR(__xludf.DUMMYFUNCTION("""COMPUTED_VALUE"""),"within")</f>
        <v>within</v>
      </c>
      <c r="C1011" s="2"/>
      <c r="D1011" s="2" t="str">
        <f>IFERROR(__xludf.DUMMYFUNCTION("""COMPUTED_VALUE"""),"अंदर")</f>
        <v>अंदर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 t="str">
        <f>IFERROR(__xludf.DUMMYFUNCTION("""COMPUTED_VALUE"""),"kms")</f>
        <v>kms</v>
      </c>
      <c r="B1012" s="2" t="str">
        <f>IFERROR(__xludf.DUMMYFUNCTION("""COMPUTED_VALUE"""),"kms")</f>
        <v>kms</v>
      </c>
      <c r="C1012" s="2"/>
      <c r="D1012" s="2" t="str">
        <f>IFERROR(__xludf.DUMMYFUNCTION("""COMPUTED_VALUE"""),"कि.मी.")</f>
        <v>कि.मी.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 t="str">
        <f>IFERROR(__xludf.DUMMYFUNCTION("""COMPUTED_VALUE"""),"EnterIDCardNo")</f>
        <v>EnterIDCardNo</v>
      </c>
      <c r="B1013" s="2" t="str">
        <f>IFERROR(__xludf.DUMMYFUNCTION("""COMPUTED_VALUE"""),"Enter ID Card No")</f>
        <v>Enter ID Card No</v>
      </c>
      <c r="C1013" s="2"/>
      <c r="D1013" s="2" t="str">
        <f>IFERROR(__xludf.DUMMYFUNCTION("""COMPUTED_VALUE"""),"आईडी कार्ड नं दर्ज करें")</f>
        <v>आईडी कार्ड नं दर्ज करें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 t="str">
        <f>IFERROR(__xludf.DUMMYFUNCTION("""COMPUTED_VALUE"""),"EnterName")</f>
        <v>EnterName</v>
      </c>
      <c r="B1014" s="2" t="str">
        <f>IFERROR(__xludf.DUMMYFUNCTION("""COMPUTED_VALUE"""),"Enter Name")</f>
        <v>Enter Name</v>
      </c>
      <c r="C1014" s="2"/>
      <c r="D1014" s="2" t="str">
        <f>IFERROR(__xludf.DUMMYFUNCTION("""COMPUTED_VALUE"""),"नाम दर्ज करें")</f>
        <v>नाम दर्ज करें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 t="str">
        <f>IFERROR(__xludf.DUMMYFUNCTION("""COMPUTED_VALUE"""),"EnterShopNoorBuilding")</f>
        <v>EnterShopNoorBuilding</v>
      </c>
      <c r="B1015" s="2" t="str">
        <f>IFERROR(__xludf.DUMMYFUNCTION("""COMPUTED_VALUE"""),"Enter Shop No or Building")</f>
        <v>Enter Shop No or Building</v>
      </c>
      <c r="C1015" s="2"/>
      <c r="D1015" s="2" t="str">
        <f>IFERROR(__xludf.DUMMYFUNCTION("""COMPUTED_VALUE"""),"दुकान नहीं या भवन में प्रवेश करें")</f>
        <v>दुकान नहीं या भवन में प्रवेश करें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 t="str">
        <f>IFERROR(__xludf.DUMMYFUNCTION("""COMPUTED_VALUE"""),"EnterLocalityorArea")</f>
        <v>EnterLocalityorArea</v>
      </c>
      <c r="B1016" s="2" t="str">
        <f>IFERROR(__xludf.DUMMYFUNCTION("""COMPUTED_VALUE"""),"Enter Locality or Area")</f>
        <v>Enter Locality or Area</v>
      </c>
      <c r="C1016" s="2"/>
      <c r="D1016" s="2" t="str">
        <f>IFERROR(__xludf.DUMMYFUNCTION("""COMPUTED_VALUE"""),"इलाके या क्षेत्र दर्ज करें")</f>
        <v>इलाके या क्षेत्र दर्ज करें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 t="str">
        <f>IFERROR(__xludf.DUMMYFUNCTION("""COMPUTED_VALUE"""),"EnterStreetno")</f>
        <v>EnterStreetno</v>
      </c>
      <c r="B1017" s="2" t="str">
        <f>IFERROR(__xludf.DUMMYFUNCTION("""COMPUTED_VALUE"""),"Enter Street no")</f>
        <v>Enter Street no</v>
      </c>
      <c r="C1017" s="2"/>
      <c r="D1017" s="2" t="str">
        <f>IFERROR(__xludf.DUMMYFUNCTION("""COMPUTED_VALUE"""),"स्ट्रीट नं दर्ज करें")</f>
        <v>स्ट्रीट नं दर्ज करें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 t="str">
        <f>IFERROR(__xludf.DUMMYFUNCTION("""COMPUTED_VALUE"""),"EnterLandmark")</f>
        <v>EnterLandmark</v>
      </c>
      <c r="B1018" s="2" t="str">
        <f>IFERROR(__xludf.DUMMYFUNCTION("""COMPUTED_VALUE"""),"Enter Landmark")</f>
        <v>Enter Landmark</v>
      </c>
      <c r="C1018" s="2"/>
      <c r="D1018" s="2" t="str">
        <f>IFERROR(__xludf.DUMMYFUNCTION("""COMPUTED_VALUE"""),"लैंडमार्क दर्ज करें")</f>
        <v>लैंडमार्क दर्ज करें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 t="str">
        <f>IFERROR(__xludf.DUMMYFUNCTION("""COMPUTED_VALUE"""),"EnterCityorState")</f>
        <v>EnterCityorState</v>
      </c>
      <c r="B1019" s="2" t="str">
        <f>IFERROR(__xludf.DUMMYFUNCTION("""COMPUTED_VALUE"""),"Enter City or State")</f>
        <v>Enter City or State</v>
      </c>
      <c r="C1019" s="2"/>
      <c r="D1019" s="2" t="str">
        <f>IFERROR(__xludf.DUMMYFUNCTION("""COMPUTED_VALUE"""),"शहर या राज्य में प्रवेश करें")</f>
        <v>शहर या राज्य में प्रवेश करें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 t="str">
        <f>IFERROR(__xludf.DUMMYFUNCTION("""COMPUTED_VALUE"""),"EnterPincode")</f>
        <v>EnterPincode</v>
      </c>
      <c r="B1020" s="2" t="str">
        <f>IFERROR(__xludf.DUMMYFUNCTION("""COMPUTED_VALUE"""),"Enter Pincode")</f>
        <v>Enter Pincode</v>
      </c>
      <c r="C1020" s="2"/>
      <c r="D1020" s="2" t="str">
        <f>IFERROR(__xludf.DUMMYFUNCTION("""COMPUTED_VALUE"""),"पिनकोड दर्ज करें")</f>
        <v>पिनकोड दर्ज करें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 t="str">
        <f>IFERROR(__xludf.DUMMYFUNCTION("""COMPUTED_VALUE"""),"EnterPANCardNo")</f>
        <v>EnterPANCardNo</v>
      </c>
      <c r="B1021" s="2" t="str">
        <f>IFERROR(__xludf.DUMMYFUNCTION("""COMPUTED_VALUE"""),"Enter PAN Card No")</f>
        <v>Enter PAN Card No</v>
      </c>
      <c r="C1021" s="2"/>
      <c r="D1021" s="2" t="str">
        <f>IFERROR(__xludf.DUMMYFUNCTION("""COMPUTED_VALUE"""),"पैन कार्ड नहीं दर्ज करें")</f>
        <v>पैन कार्ड नहीं दर्ज करें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 t="str">
        <f>IFERROR(__xludf.DUMMYFUNCTION("""COMPUTED_VALUE"""),"EnterNameasperPANcard")</f>
        <v>EnterNameasperPANcard</v>
      </c>
      <c r="B1022" s="2" t="str">
        <f>IFERROR(__xludf.DUMMYFUNCTION("""COMPUTED_VALUE"""),"Enter Name as per PAN card")</f>
        <v>Enter Name as per PAN card</v>
      </c>
      <c r="C1022" s="2"/>
      <c r="D1022" s="2" t="str">
        <f>IFERROR(__xludf.DUMMYFUNCTION("""COMPUTED_VALUE"""),"पैन कार्ड के अनुसार नाम दर्ज करें")</f>
        <v>पैन कार्ड के अनुसार नाम दर्ज करें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 t="str">
        <f>IFERROR(__xludf.DUMMYFUNCTION("""COMPUTED_VALUE"""),"EnterFather’sName")</f>
        <v>EnterFather’sName</v>
      </c>
      <c r="B1023" s="2" t="str">
        <f>IFERROR(__xludf.DUMMYFUNCTION("""COMPUTED_VALUE"""),"Enter Father’s Name")</f>
        <v>Enter Father’s Name</v>
      </c>
      <c r="C1023" s="2"/>
      <c r="D1023" s="2" t="str">
        <f>IFERROR(__xludf.DUMMYFUNCTION("""COMPUTED_VALUE"""),"पिता का नाम दर्ज करें")</f>
        <v>पिता का नाम दर्ज करें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 t="str">
        <f>IFERROR(__xludf.DUMMYFUNCTION("""COMPUTED_VALUE"""),"findthedate")</f>
        <v>findthedate</v>
      </c>
      <c r="B1024" s="2" t="str">
        <f>IFERROR(__xludf.DUMMYFUNCTION("""COMPUTED_VALUE"""),"find the date")</f>
        <v>find the date</v>
      </c>
      <c r="C1024" s="2"/>
      <c r="D1024" s="2" t="str">
        <f>IFERROR(__xludf.DUMMYFUNCTION("""COMPUTED_VALUE"""),"तिथि खोजें")</f>
        <v>तिथि खोजें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 t="str">
        <f>IFERROR(__xludf.DUMMYFUNCTION("""COMPUTED_VALUE"""),"scanmyshop")</f>
        <v>scanmyshop</v>
      </c>
      <c r="B1025" s="2" t="str">
        <f>IFERROR(__xludf.DUMMYFUNCTION("""COMPUTED_VALUE"""),"scan my shop")</f>
        <v>scan my shop</v>
      </c>
      <c r="C1025" s="2"/>
      <c r="D1025" s="2" t="str">
        <f>IFERROR(__xludf.DUMMYFUNCTION("""COMPUTED_VALUE"""),"मेरी दुकान को स्कैन करें")</f>
        <v>मेरी दुकान को स्कैन करें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 t="str">
        <f>IFERROR(__xludf.DUMMYFUNCTION("""COMPUTED_VALUE"""),"MyShopQRCode")</f>
        <v>MyShopQRCode</v>
      </c>
      <c r="B1026" s="2" t="str">
        <f>IFERROR(__xludf.DUMMYFUNCTION("""COMPUTED_VALUE"""),"My Shop QR Code")</f>
        <v>My Shop QR Code</v>
      </c>
      <c r="C1026" s="2"/>
      <c r="D1026" s="2" t="str">
        <f>IFERROR(__xludf.DUMMYFUNCTION("""COMPUTED_VALUE"""),"मेरी दुकान क्यूआर कोड")</f>
        <v>मेरी दुकान क्यूआर कोड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 t="str">
        <f>IFERROR(__xludf.DUMMYFUNCTION("""COMPUTED_VALUE"""),"Comment")</f>
        <v>Comment</v>
      </c>
      <c r="B1027" s="2" t="str">
        <f>IFERROR(__xludf.DUMMYFUNCTION("""COMPUTED_VALUE"""),"Comment")</f>
        <v>Comment</v>
      </c>
      <c r="C1027" s="2"/>
      <c r="D1027" s="2" t="str">
        <f>IFERROR(__xludf.DUMMYFUNCTION("""COMPUTED_VALUE"""),"टिप्पणी")</f>
        <v>टिप्पणी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 t="str">
        <f>IFERROR(__xludf.DUMMYFUNCTION("""COMPUTED_VALUE"""),"Download")</f>
        <v>Download</v>
      </c>
      <c r="B1028" s="2" t="str">
        <f>IFERROR(__xludf.DUMMYFUNCTION("""COMPUTED_VALUE"""),"Download")</f>
        <v>Download</v>
      </c>
      <c r="C1028" s="2"/>
      <c r="D1028" s="2" t="str">
        <f>IFERROR(__xludf.DUMMYFUNCTION("""COMPUTED_VALUE"""),"डाउनलोड करना")</f>
        <v>डाउनलोड करना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 t="str">
        <f>IFERROR(__xludf.DUMMYFUNCTION("""COMPUTED_VALUE"""),"Environment")</f>
        <v>Environment</v>
      </c>
      <c r="B1029" s="2" t="str">
        <f>IFERROR(__xludf.DUMMYFUNCTION("""COMPUTED_VALUE"""),"Environment")</f>
        <v>Environment</v>
      </c>
      <c r="C1029" s="2"/>
      <c r="D1029" s="2" t="str">
        <f>IFERROR(__xludf.DUMMYFUNCTION("""COMPUTED_VALUE"""),"पर्यावरण")</f>
        <v>पर्यावरण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 t="str">
        <f>IFERROR(__xludf.DUMMYFUNCTION("""COMPUTED_VALUE"""),"Map")</f>
        <v>Map</v>
      </c>
      <c r="B1030" s="2" t="str">
        <f>IFERROR(__xludf.DUMMYFUNCTION("""COMPUTED_VALUE"""),"Map")</f>
        <v>Map</v>
      </c>
      <c r="C1030" s="2"/>
      <c r="D1030" s="2" t="str">
        <f>IFERROR(__xludf.DUMMYFUNCTION("""COMPUTED_VALUE"""),"नक्शा")</f>
        <v>नक्शा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 t="str">
        <f>IFERROR(__xludf.DUMMYFUNCTION("""COMPUTED_VALUE"""),"Satellite")</f>
        <v>Satellite</v>
      </c>
      <c r="B1031" s="2" t="str">
        <f>IFERROR(__xludf.DUMMYFUNCTION("""COMPUTED_VALUE"""),"Satellite")</f>
        <v>Satellite</v>
      </c>
      <c r="C1031" s="2"/>
      <c r="D1031" s="2" t="str">
        <f>IFERROR(__xludf.DUMMYFUNCTION("""COMPUTED_VALUE"""),"उपग्रह")</f>
        <v>उपग्रह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 t="str">
        <f>IFERROR(__xludf.DUMMYFUNCTION("""COMPUTED_VALUE"""),"BHIM")</f>
        <v>BHIM</v>
      </c>
      <c r="B1032" s="2" t="str">
        <f>IFERROR(__xludf.DUMMYFUNCTION("""COMPUTED_VALUE"""),"BHIM")</f>
        <v>BHIM</v>
      </c>
      <c r="C1032" s="2"/>
      <c r="D1032" s="2" t="str">
        <f>IFERROR(__xludf.DUMMYFUNCTION("""COMPUTED_VALUE"""),"भीम")</f>
        <v>भीम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 t="str">
        <f>IFERROR(__xludf.DUMMYFUNCTION("""COMPUTED_VALUE"""),"Uber")</f>
        <v>Uber</v>
      </c>
      <c r="B1033" s="2" t="str">
        <f>IFERROR(__xludf.DUMMYFUNCTION("""COMPUTED_VALUE"""),"Uber")</f>
        <v>Uber</v>
      </c>
      <c r="C1033" s="2"/>
      <c r="D1033" s="2" t="str">
        <f>IFERROR(__xludf.DUMMYFUNCTION("""COMPUTED_VALUE"""),"उबेर")</f>
        <v>उबेर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 t="str">
        <f>IFERROR(__xludf.DUMMYFUNCTION("""COMPUTED_VALUE"""),"Gpay")</f>
        <v>Gpay</v>
      </c>
      <c r="B1034" s="2" t="str">
        <f>IFERROR(__xludf.DUMMYFUNCTION("""COMPUTED_VALUE"""),"G pay")</f>
        <v>G pay</v>
      </c>
      <c r="C1034" s="2"/>
      <c r="D1034" s="2" t="str">
        <f>IFERROR(__xludf.DUMMYFUNCTION("""COMPUTED_VALUE"""),"जी वेतन")</f>
        <v>जी वेतन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 t="str">
        <f>IFERROR(__xludf.DUMMYFUNCTION("""COMPUTED_VALUE"""),"Axispay")</f>
        <v>Axispay</v>
      </c>
      <c r="B1035" s="2" t="str">
        <f>IFERROR(__xludf.DUMMYFUNCTION("""COMPUTED_VALUE"""),"Axis pay")</f>
        <v>Axis pay</v>
      </c>
      <c r="C1035" s="2"/>
      <c r="D1035" s="2" t="str">
        <f>IFERROR(__xludf.DUMMYFUNCTION("""COMPUTED_VALUE"""),"अक्ष वेतन")</f>
        <v>अक्ष वेतन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 t="str">
        <f>IFERROR(__xludf.DUMMYFUNCTION("""COMPUTED_VALUE"""),"Mobikwik")</f>
        <v>Mobikwik</v>
      </c>
      <c r="B1036" s="2" t="str">
        <f>IFERROR(__xludf.DUMMYFUNCTION("""COMPUTED_VALUE"""),"Mobikwik")</f>
        <v>Mobikwik</v>
      </c>
      <c r="C1036" s="2"/>
      <c r="D1036" s="2" t="str">
        <f>IFERROR(__xludf.DUMMYFUNCTION("""COMPUTED_VALUE"""),"MobiKwik")</f>
        <v>MobiKwik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 t="str">
        <f>IFERROR(__xludf.DUMMYFUNCTION("""COMPUTED_VALUE"""),"SBIpay")</f>
        <v>SBIpay</v>
      </c>
      <c r="B1037" s="2" t="str">
        <f>IFERROR(__xludf.DUMMYFUNCTION("""COMPUTED_VALUE"""),"SBI pay")</f>
        <v>SBI pay</v>
      </c>
      <c r="C1037" s="2"/>
      <c r="D1037" s="2" t="str">
        <f>IFERROR(__xludf.DUMMYFUNCTION("""COMPUTED_VALUE"""),"एसबीआई वेतन")</f>
        <v>एसबीआई वेतन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 t="str">
        <f>IFERROR(__xludf.DUMMYFUNCTION("""COMPUTED_VALUE"""),"Existing")</f>
        <v>Existing</v>
      </c>
      <c r="B1038" s="2" t="str">
        <f>IFERROR(__xludf.DUMMYFUNCTION("""COMPUTED_VALUE"""),"Existing")</f>
        <v>Existing</v>
      </c>
      <c r="C1038" s="2"/>
      <c r="D1038" s="2" t="str">
        <f>IFERROR(__xludf.DUMMYFUNCTION("""COMPUTED_VALUE"""),"मौजूदा")</f>
        <v>मौजूदा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 t="str">
        <f>IFERROR(__xludf.DUMMYFUNCTION("""COMPUTED_VALUE"""),"Active")</f>
        <v>Active</v>
      </c>
      <c r="B1039" s="2" t="str">
        <f>IFERROR(__xludf.DUMMYFUNCTION("""COMPUTED_VALUE"""),"Active")</f>
        <v>Active</v>
      </c>
      <c r="C1039" s="2"/>
      <c r="D1039" s="2" t="str">
        <f>IFERROR(__xludf.DUMMYFUNCTION("""COMPUTED_VALUE"""),"सक्रिय")</f>
        <v>सक्रिय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 t="str">
        <f>IFERROR(__xludf.DUMMYFUNCTION("""COMPUTED_VALUE"""),"InActive")</f>
        <v>InActive</v>
      </c>
      <c r="B1040" s="2" t="str">
        <f>IFERROR(__xludf.DUMMYFUNCTION("""COMPUTED_VALUE"""),"InActive")</f>
        <v>InActive</v>
      </c>
      <c r="C1040" s="2"/>
      <c r="D1040" s="2" t="str">
        <f>IFERROR(__xludf.DUMMYFUNCTION("""COMPUTED_VALUE"""),"निष्क्रिय")</f>
        <v>निष्क्रिय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 t="str">
        <f>IFERROR(__xludf.DUMMYFUNCTION("""COMPUTED_VALUE"""),"3days")</f>
        <v>3days</v>
      </c>
      <c r="B1041" s="2" t="str">
        <f>IFERROR(__xludf.DUMMYFUNCTION("""COMPUTED_VALUE"""),"3 days")</f>
        <v>3 days</v>
      </c>
      <c r="C1041" s="2"/>
      <c r="D1041" s="2" t="str">
        <f>IFERROR(__xludf.DUMMYFUNCTION("""COMPUTED_VALUE"""),"3 दिन")</f>
        <v>3 दिन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 t="str">
        <f>IFERROR(__xludf.DUMMYFUNCTION("""COMPUTED_VALUE"""),"5days")</f>
        <v>5days</v>
      </c>
      <c r="B1042" s="2" t="str">
        <f>IFERROR(__xludf.DUMMYFUNCTION("""COMPUTED_VALUE"""),"5 days")</f>
        <v>5 days</v>
      </c>
      <c r="C1042" s="2"/>
      <c r="D1042" s="2" t="str">
        <f>IFERROR(__xludf.DUMMYFUNCTION("""COMPUTED_VALUE"""),"पांच दिन")</f>
        <v>पांच दिन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 t="str">
        <f>IFERROR(__xludf.DUMMYFUNCTION("""COMPUTED_VALUE"""),"7days")</f>
        <v>7days</v>
      </c>
      <c r="B1043" s="2" t="str">
        <f>IFERROR(__xludf.DUMMYFUNCTION("""COMPUTED_VALUE"""),"7 days")</f>
        <v>7 days</v>
      </c>
      <c r="C1043" s="2"/>
      <c r="D1043" s="2" t="str">
        <f>IFERROR(__xludf.DUMMYFUNCTION("""COMPUTED_VALUE"""),"7 दिन")</f>
        <v>7 दिन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 t="str">
        <f>IFERROR(__xludf.DUMMYFUNCTION("""COMPUTED_VALUE"""),"Pushnotification")</f>
        <v>Pushnotification</v>
      </c>
      <c r="B1044" s="2" t="str">
        <f>IFERROR(__xludf.DUMMYFUNCTION("""COMPUTED_VALUE"""),"Push notification")</f>
        <v>Push notification</v>
      </c>
      <c r="C1044" s="2"/>
      <c r="D1044" s="2" t="str">
        <f>IFERROR(__xludf.DUMMYFUNCTION("""COMPUTED_VALUE"""),"सर्वर पुश नोटीफिकेशन")</f>
        <v>सर्वर पुश नोटीफिकेशन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 t="str">
        <f>IFERROR(__xludf.DUMMYFUNCTION("""COMPUTED_VALUE"""),"Remainder")</f>
        <v>Remainder</v>
      </c>
      <c r="B1045" s="2" t="str">
        <f>IFERROR(__xludf.DUMMYFUNCTION("""COMPUTED_VALUE"""),"Remainder")</f>
        <v>Remainder</v>
      </c>
      <c r="C1045" s="2"/>
      <c r="D1045" s="2" t="str">
        <f>IFERROR(__xludf.DUMMYFUNCTION("""COMPUTED_VALUE"""),"शेष")</f>
        <v>शेष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 t="str">
        <f>IFERROR(__xludf.DUMMYFUNCTION("""COMPUTED_VALUE"""),"ProcessOrder")</f>
        <v>ProcessOrder</v>
      </c>
      <c r="B1046" s="2" t="str">
        <f>IFERROR(__xludf.DUMMYFUNCTION("""COMPUTED_VALUE"""),"Process Order")</f>
        <v>Process Order</v>
      </c>
      <c r="C1046" s="2"/>
      <c r="D1046" s="2" t="str">
        <f>IFERROR(__xludf.DUMMYFUNCTION("""COMPUTED_VALUE"""),"आदेश प्रक्रिया में लाएं")</f>
        <v>आदेश प्रक्रिया में लाएं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 t="str">
        <f>IFERROR(__xludf.DUMMYFUNCTION("""COMPUTED_VALUE"""),"DispatchOrder")</f>
        <v>DispatchOrder</v>
      </c>
      <c r="B1047" s="2" t="str">
        <f>IFERROR(__xludf.DUMMYFUNCTION("""COMPUTED_VALUE"""),"Dispatch Order")</f>
        <v>Dispatch Order</v>
      </c>
      <c r="C1047" s="2"/>
      <c r="D1047" s="2" t="str">
        <f>IFERROR(__xludf.DUMMYFUNCTION("""COMPUTED_VALUE"""),"प्रेषण आदेश")</f>
        <v>प्रेषण आदेश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 t="str">
        <f>IFERROR(__xludf.DUMMYFUNCTION("""COMPUTED_VALUE"""),"Complaint")</f>
        <v>Complaint</v>
      </c>
      <c r="B1048" s="2" t="str">
        <f>IFERROR(__xludf.DUMMYFUNCTION("""COMPUTED_VALUE"""),"Complaint")</f>
        <v>Complaint</v>
      </c>
      <c r="C1048" s="2"/>
      <c r="D1048" s="2" t="str">
        <f>IFERROR(__xludf.DUMMYFUNCTION("""COMPUTED_VALUE"""),"शिकायत")</f>
        <v>शिकायत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 t="str">
        <f>IFERROR(__xludf.DUMMYFUNCTION("""COMPUTED_VALUE"""),"QR Code")</f>
        <v>QR Code</v>
      </c>
      <c r="B1049" s="2" t="str">
        <f>IFERROR(__xludf.DUMMYFUNCTION("""COMPUTED_VALUE"""),"QR Code")</f>
        <v>QR Code</v>
      </c>
      <c r="C1049" s="2"/>
      <c r="D1049" s="2" t="str">
        <f>IFERROR(__xludf.DUMMYFUNCTION("""COMPUTED_VALUE"""),"क्यू आर संहिता")</f>
        <v>क्यू आर संहिता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 t="str">
        <f>IFERROR(__xludf.DUMMYFUNCTION("""COMPUTED_VALUE"""),"Environment:Dev")</f>
        <v>Environment:Dev</v>
      </c>
      <c r="B1050" s="2" t="str">
        <f>IFERROR(__xludf.DUMMYFUNCTION("""COMPUTED_VALUE"""),"Environment: Dev")</f>
        <v>Environment: Dev</v>
      </c>
      <c r="C1050" s="2"/>
      <c r="D1050" s="2" t="str">
        <f>IFERROR(__xludf.DUMMYFUNCTION("""COMPUTED_VALUE"""),"पर्यावरण: देव")</f>
        <v>पर्यावरण: देव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 t="str">
        <f>IFERROR(__xludf.DUMMYFUNCTION("""COMPUTED_VALUE"""),"Paid")</f>
        <v>Paid</v>
      </c>
      <c r="B1051" s="2" t="str">
        <f>IFERROR(__xludf.DUMMYFUNCTION("""COMPUTED_VALUE"""),"Paid")</f>
        <v>Paid</v>
      </c>
      <c r="C1051" s="2"/>
      <c r="D1051" s="2" t="str">
        <f>IFERROR(__xludf.DUMMYFUNCTION("""COMPUTED_VALUE"""),"चुकाया गया")</f>
        <v>चुकाया गया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 t="str">
        <f>IFERROR(__xludf.DUMMYFUNCTION("""COMPUTED_VALUE"""),"﻿Theuserhasalreadyanactivereferral")</f>
        <v>﻿Theuserhasalreadyanactivereferral</v>
      </c>
      <c r="B1052" s="2" t="str">
        <f>IFERROR(__xludf.DUMMYFUNCTION("""COMPUTED_VALUE"""),"﻿The user has already an active referral")</f>
        <v>﻿The user has already an active referral</v>
      </c>
      <c r="C1052" s="2"/>
      <c r="D1052" s="2" t="str">
        <f>IFERROR(__xludf.DUMMYFUNCTION("""COMPUTED_VALUE"""),"उपयोगकर्ता के पास पहले से ही एक सक्रिय रेफरल है")</f>
        <v>उपयोगकर्ता के पास पहले से ही एक सक्रिय रेफरल है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 t="str">
        <f>IFERROR(__xludf.DUMMYFUNCTION("""COMPUTED_VALUE"""),"Thedicountcannotbegreaterthan99%")</f>
        <v>Thedicountcannotbegreaterthan99%</v>
      </c>
      <c r="B1053" s="2" t="str">
        <f>IFERROR(__xludf.DUMMYFUNCTION("""COMPUTED_VALUE"""),"The dicount cannot be greater than 99%")</f>
        <v>The dicount cannot be greater than 99%</v>
      </c>
      <c r="C1053" s="2"/>
      <c r="D1053" s="2" t="str">
        <f>IFERROR(__xludf.DUMMYFUNCTION("""COMPUTED_VALUE"""),"DICOUNT 99% से अधिक नहीं हो सकता है")</f>
        <v>DICOUNT 99% से अधिक नहीं हो सकता है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 t="str">
        <f>IFERROR(__xludf.DUMMYFUNCTION("""COMPUTED_VALUE"""),"Minimumorderquantity")</f>
        <v>Minimumorderquantity</v>
      </c>
      <c r="B1054" s="2" t="str">
        <f>IFERROR(__xludf.DUMMYFUNCTION("""COMPUTED_VALUE"""),"Minimum order quantity")</f>
        <v>Minimum order quantity</v>
      </c>
      <c r="C1054" s="2"/>
      <c r="D1054" s="2" t="str">
        <f>IFERROR(__xludf.DUMMYFUNCTION("""COMPUTED_VALUE"""),"न्यूनतम आदेश मात्रा")</f>
        <v>न्यूनतम आदेश मात्रा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 t="str">
        <f>IFERROR(__xludf.DUMMYFUNCTION("""COMPUTED_VALUE"""),"Gram")</f>
        <v>Gram</v>
      </c>
      <c r="B1055" s="2" t="str">
        <f>IFERROR(__xludf.DUMMYFUNCTION("""COMPUTED_VALUE"""),"Gram")</f>
        <v>Gram</v>
      </c>
      <c r="C1055" s="2"/>
      <c r="D1055" s="2" t="str">
        <f>IFERROR(__xludf.DUMMYFUNCTION("""COMPUTED_VALUE"""),"ग्राम")</f>
        <v>ग्राम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 t="str">
        <f>IFERROR(__xludf.DUMMYFUNCTION("""COMPUTED_VALUE"""),"OrderAggregation")</f>
        <v>OrderAggregation</v>
      </c>
      <c r="B1056" s="2" t="str">
        <f>IFERROR(__xludf.DUMMYFUNCTION("""COMPUTED_VALUE"""),"Order Aggregation")</f>
        <v>Order Aggregation</v>
      </c>
      <c r="C1056" s="2"/>
      <c r="D1056" s="2" t="str">
        <f>IFERROR(__xludf.DUMMYFUNCTION("""COMPUTED_VALUE"""),"आदेश एकत्रीकरण")</f>
        <v>आदेश एकत्रीकरण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 t="str">
        <f>IFERROR(__xludf.DUMMYFUNCTION("""COMPUTED_VALUE"""),"TotalWeight")</f>
        <v>TotalWeight</v>
      </c>
      <c r="B1057" s="2" t="str">
        <f>IFERROR(__xludf.DUMMYFUNCTION("""COMPUTED_VALUE"""),"Total Weight")</f>
        <v>Total Weight</v>
      </c>
      <c r="C1057" s="2"/>
      <c r="D1057" s="2" t="str">
        <f>IFERROR(__xludf.DUMMYFUNCTION("""COMPUTED_VALUE"""),"कुल वजन")</f>
        <v>कुल वजन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 t="str">
        <f>IFERROR(__xludf.DUMMYFUNCTION("""COMPUTED_VALUE"""),"TotalLitres")</f>
        <v>TotalLitres</v>
      </c>
      <c r="B1058" s="2" t="str">
        <f>IFERROR(__xludf.DUMMYFUNCTION("""COMPUTED_VALUE"""),"Total Litres")</f>
        <v>Total Litres</v>
      </c>
      <c r="C1058" s="2"/>
      <c r="D1058" s="2" t="str">
        <f>IFERROR(__xludf.DUMMYFUNCTION("""COMPUTED_VALUE"""),"कुल लीटर")</f>
        <v>कुल लीटर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 t="str">
        <f>IFERROR(__xludf.DUMMYFUNCTION("""COMPUTED_VALUE"""),"TotalPieces")</f>
        <v>TotalPieces</v>
      </c>
      <c r="B1059" s="2" t="str">
        <f>IFERROR(__xludf.DUMMYFUNCTION("""COMPUTED_VALUE"""),"Total Pieces")</f>
        <v>Total Pieces</v>
      </c>
      <c r="C1059" s="2"/>
      <c r="D1059" s="2" t="str">
        <f>IFERROR(__xludf.DUMMYFUNCTION("""COMPUTED_VALUE"""),"कुल टुकड़े")</f>
        <v>कुल टुकड़े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 t="str">
        <f>IFERROR(__xludf.DUMMYFUNCTION("""COMPUTED_VALUE"""),"TotalPlates")</f>
        <v>TotalPlates</v>
      </c>
      <c r="B1060" s="2" t="str">
        <f>IFERROR(__xludf.DUMMYFUNCTION("""COMPUTED_VALUE"""),"Total Plates")</f>
        <v>Total Plates</v>
      </c>
      <c r="C1060" s="2"/>
      <c r="D1060" s="2" t="str">
        <f>IFERROR(__xludf.DUMMYFUNCTION("""COMPUTED_VALUE"""),"कुल प्लेटें")</f>
        <v>कुल प्लेटें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 t="str">
        <f>IFERROR(__xludf.DUMMYFUNCTION("""COMPUTED_VALUE"""),"Itemstobedelivered")</f>
        <v>Itemstobedelivered</v>
      </c>
      <c r="B1061" s="2" t="str">
        <f>IFERROR(__xludf.DUMMYFUNCTION("""COMPUTED_VALUE"""),"Items to be delivered")</f>
        <v>Items to be delivered</v>
      </c>
      <c r="C1061" s="2"/>
      <c r="D1061" s="2" t="str">
        <f>IFERROR(__xludf.DUMMYFUNCTION("""COMPUTED_VALUE"""),"वितरित किए जाने वाले आइटम")</f>
        <v>वितरित किए जाने वाले आइटम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 t="str">
        <f>IFERROR(__xludf.DUMMYFUNCTION("""COMPUTED_VALUE"""),"Lastorder")</f>
        <v>Lastorder</v>
      </c>
      <c r="B1062" s="2" t="str">
        <f>IFERROR(__xludf.DUMMYFUNCTION("""COMPUTED_VALUE"""),"Last order")</f>
        <v>Last order</v>
      </c>
      <c r="C1062" s="2"/>
      <c r="D1062" s="2" t="str">
        <f>IFERROR(__xludf.DUMMYFUNCTION("""COMPUTED_VALUE"""),"अंतिम आदेश")</f>
        <v>अंतिम आदेश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 t="str">
        <f>IFERROR(__xludf.DUMMYFUNCTION("""COMPUTED_VALUE"""),"Paymentprocessingcancelledbyuse")</f>
        <v>Paymentprocessingcancelledbyuse</v>
      </c>
      <c r="B1063" s="2" t="str">
        <f>IFERROR(__xludf.DUMMYFUNCTION("""COMPUTED_VALUE"""),"Payment processing cancelled by use")</f>
        <v>Payment processing cancelled by use</v>
      </c>
      <c r="C1063" s="2"/>
      <c r="D1063" s="2" t="str">
        <f>IFERROR(__xludf.DUMMYFUNCTION("""COMPUTED_VALUE"""),"उपयोग द्वारा रद्द किए गए भुगतान प्रसंस्करण")</f>
        <v>उपयोग द्वारा रद्द किए गए भुगतान प्रसंस्करण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 t="str">
        <f>IFERROR(__xludf.DUMMYFUNCTION("""COMPUTED_VALUE"""),"PleasescanthereferralQRcode")</f>
        <v>PleasescanthereferralQRcode</v>
      </c>
      <c r="B1064" s="2" t="str">
        <f>IFERROR(__xludf.DUMMYFUNCTION("""COMPUTED_VALUE"""),"Please scan the referral QR code")</f>
        <v>Please scan the referral QR code</v>
      </c>
      <c r="C1064" s="2"/>
      <c r="D1064" s="2" t="str">
        <f>IFERROR(__xludf.DUMMYFUNCTION("""COMPUTED_VALUE"""),"कृपया रेफरल क्यूआर कोड को स्कैन करें")</f>
        <v>कृपया रेफरल क्यूआर कोड को स्कैन करें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 t="str">
        <f>IFERROR(__xludf.DUMMYFUNCTION("""COMPUTED_VALUE"""),"imagesavedsuccessfully")</f>
        <v>imagesavedsuccessfully</v>
      </c>
      <c r="B1065" s="2" t="str">
        <f>IFERROR(__xludf.DUMMYFUNCTION("""COMPUTED_VALUE"""),"image saved successfully")</f>
        <v>image saved successfully</v>
      </c>
      <c r="C1065" s="2"/>
      <c r="D1065" s="2" t="str">
        <f>IFERROR(__xludf.DUMMYFUNCTION("""COMPUTED_VALUE"""),"छवि सफलतापूर्वक सहेजा गया")</f>
        <v>छवि सफलतापूर्वक सहेजा गया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 t="str">
        <f>IFERROR(__xludf.DUMMYFUNCTION("""COMPUTED_VALUE"""),"SaveYourLocation!")</f>
        <v>SaveYourLocation!</v>
      </c>
      <c r="B1066" s="2" t="str">
        <f>IFERROR(__xludf.DUMMYFUNCTION("""COMPUTED_VALUE"""),"Save Your Location!")</f>
        <v>Save Your Location!</v>
      </c>
      <c r="C1066" s="2"/>
      <c r="D1066" s="2" t="str">
        <f>IFERROR(__xludf.DUMMYFUNCTION("""COMPUTED_VALUE"""),"अपना स्थान सहेजें!")</f>
        <v>अपना स्थान सहेजें!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 t="str">
        <f>IFERROR(__xludf.DUMMYFUNCTION("""COMPUTED_VALUE"""),"Pleaseenteryourlocationtohelpusfindtheshopsnearyou")</f>
        <v>Pleaseenteryourlocationtohelpusfindtheshopsnearyou</v>
      </c>
      <c r="B1067" s="2" t="str">
        <f>IFERROR(__xludf.DUMMYFUNCTION("""COMPUTED_VALUE"""),"Please enter your location to help us find the shops near you")</f>
        <v>Please enter your location to help us find the shops near you</v>
      </c>
      <c r="C1067" s="2"/>
      <c r="D1067" s="2" t="str">
        <f>IFERROR(__xludf.DUMMYFUNCTION("""COMPUTED_VALUE"""),"कृपया अपने पास की दुकानें खोजने में मदद करने के लिए अपना स्थान दर्ज करें")</f>
        <v>कृपया अपने पास की दुकानें खोजने में मदद करने के लिए अपना स्थान दर्ज करें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 t="str">
        <f>IFERROR(__xludf.DUMMYFUNCTION("""COMPUTED_VALUE"""),"DoYouHave")</f>
        <v>DoYouHave</v>
      </c>
      <c r="B1068" s="2" t="str">
        <f>IFERROR(__xludf.DUMMYFUNCTION("""COMPUTED_VALUE"""),"Do You Have")</f>
        <v>Do You Have</v>
      </c>
      <c r="C1068" s="2"/>
      <c r="D1068" s="2" t="str">
        <f>IFERROR(__xludf.DUMMYFUNCTION("""COMPUTED_VALUE"""),"क्या आपके पास है")</f>
        <v>क्या आपके पास है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 t="str">
        <f>IFERROR(__xludf.DUMMYFUNCTION("""COMPUTED_VALUE"""),"refferalcode?")</f>
        <v>refferalcode?</v>
      </c>
      <c r="B1069" s="2" t="str">
        <f>IFERROR(__xludf.DUMMYFUNCTION("""COMPUTED_VALUE"""),"refferal code?")</f>
        <v>refferal code?</v>
      </c>
      <c r="C1069" s="2"/>
      <c r="D1069" s="2" t="str">
        <f>IFERROR(__xludf.DUMMYFUNCTION("""COMPUTED_VALUE"""),"refferal कोड?")</f>
        <v>refferal कोड?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 t="str">
        <f>IFERROR(__xludf.DUMMYFUNCTION("""COMPUTED_VALUE"""),"FavouritesShops")</f>
        <v>FavouritesShops</v>
      </c>
      <c r="B1070" s="2" t="str">
        <f>IFERROR(__xludf.DUMMYFUNCTION("""COMPUTED_VALUE"""),"Favourites Shops")</f>
        <v>Favourites Shops</v>
      </c>
      <c r="C1070" s="2"/>
      <c r="D1070" s="2" t="str">
        <f>IFERROR(__xludf.DUMMYFUNCTION("""COMPUTED_VALUE"""),"पसंदीदा दुकानें")</f>
        <v>पसंदीदा दुकानें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 t="str">
        <f>IFERROR(__xludf.DUMMYFUNCTION("""COMPUTED_VALUE"""),"AddressAdded!!")</f>
        <v>AddressAdded!!</v>
      </c>
      <c r="B1071" s="2" t="str">
        <f>IFERROR(__xludf.DUMMYFUNCTION("""COMPUTED_VALUE"""),"Address Added !!")</f>
        <v>Address Added !!</v>
      </c>
      <c r="C1071" s="2"/>
      <c r="D1071" s="2" t="str">
        <f>IFERROR(__xludf.DUMMYFUNCTION("""COMPUTED_VALUE"""),"पता जोड़ा !!")</f>
        <v>पता जोड़ा !!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 t="str">
        <f>IFERROR(__xludf.DUMMYFUNCTION("""COMPUTED_VALUE"""),"ratingsuccess")</f>
        <v>ratingsuccess</v>
      </c>
      <c r="B1072" s="2" t="str">
        <f>IFERROR(__xludf.DUMMYFUNCTION("""COMPUTED_VALUE"""),"rating success")</f>
        <v>rating success</v>
      </c>
      <c r="C1072" s="2"/>
      <c r="D1072" s="2" t="str">
        <f>IFERROR(__xludf.DUMMYFUNCTION("""COMPUTED_VALUE"""),"रेटिंग सफलता")</f>
        <v>रेटिंग सफलता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 t="str">
        <f>IFERROR(__xludf.DUMMYFUNCTION("""COMPUTED_VALUE"""),"employeestatusupdated!!")</f>
        <v>employeestatusupdated!!</v>
      </c>
      <c r="B1073" s="2" t="str">
        <f>IFERROR(__xludf.DUMMYFUNCTION("""COMPUTED_VALUE"""),"employee status updated!!")</f>
        <v>employee status updated!!</v>
      </c>
      <c r="C1073" s="2"/>
      <c r="D1073" s="2" t="str">
        <f>IFERROR(__xludf.DUMMYFUNCTION("""COMPUTED_VALUE"""),"कर्मचारी की स्थिति अद्यतन !!")</f>
        <v>कर्मचारी की स्थिति अद्यतन !!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 t="str">
        <f>IFERROR(__xludf.DUMMYFUNCTION("""COMPUTED_VALUE"""),"areyousureyouwanttodeactivate?")</f>
        <v>areyousureyouwanttodeactivate?</v>
      </c>
      <c r="B1074" s="2" t="str">
        <f>IFERROR(__xludf.DUMMYFUNCTION("""COMPUTED_VALUE"""),"are you sure you want to deactivate?")</f>
        <v>are you sure you want to deactivate?</v>
      </c>
      <c r="C1074" s="2"/>
      <c r="D1074" s="2" t="str">
        <f>IFERROR(__xludf.DUMMYFUNCTION("""COMPUTED_VALUE"""),"क्या आप सुनिश्चित हैं कि आप निष्क्रिय करना चाहते हैं?")</f>
        <v>क्या आप सुनिश्चित हैं कि आप निष्क्रिय करना चाहते हैं?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 t="str">
        <f>IFERROR(__xludf.DUMMYFUNCTION("""COMPUTED_VALUE"""),"Areyousureyouwanttoleavethepagewithoutsavingchanges?Changenotsaved!")</f>
        <v>Areyousureyouwanttoleavethepagewithoutsavingchanges?Changenotsaved!</v>
      </c>
      <c r="B1075" s="2" t="str">
        <f>IFERROR(__xludf.DUMMYFUNCTION("""COMPUTED_VALUE"""),"Are you sure you want to leave the page without saving changes?")</f>
        <v>Are you sure you want to leave the page without saving changes?</v>
      </c>
      <c r="C1075" s="2"/>
      <c r="D1075" s="2" t="str">
        <f>IFERROR(__xludf.DUMMYFUNCTION("""COMPUTED_VALUE"""),"क्या आप सुनिश्चित हैं कि आप परिवर्तनों को सहेजे बिना पृष्ठ छोड़ना चाहते हैं?")</f>
        <v>क्या आप सुनिश्चित हैं कि आप परिवर्तनों को सहेजे बिना पृष्ठ छोड़ना चाहते हैं?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 t="str">
        <f>IFERROR(__xludf.DUMMYFUNCTION("""COMPUTED_VALUE"""),"Changenotsaved!")</f>
        <v>Changenotsaved!</v>
      </c>
      <c r="B1076" s="2" t="str">
        <f>IFERROR(__xludf.DUMMYFUNCTION("""COMPUTED_VALUE"""),"Change not saved!")</f>
        <v>Change not saved!</v>
      </c>
      <c r="C1076" s="2"/>
      <c r="D1076" s="2" t="str">
        <f>IFERROR(__xludf.DUMMYFUNCTION("""COMPUTED_VALUE"""),"बचाया नहीं गया!")</f>
        <v>बचाया नहीं गया!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 t="str">
        <f>IFERROR(__xludf.DUMMYFUNCTION("""COMPUTED_VALUE"""),"Userdatauploaded!")</f>
        <v>Userdatauploaded!</v>
      </c>
      <c r="B1077" s="2" t="str">
        <f>IFERROR(__xludf.DUMMYFUNCTION("""COMPUTED_VALUE"""),"User data uploaded!")</f>
        <v>User data uploaded!</v>
      </c>
      <c r="C1077" s="2"/>
      <c r="D1077" s="2" t="str">
        <f>IFERROR(__xludf.DUMMYFUNCTION("""COMPUTED_VALUE"""),"उपयोगकर्ता डेटा अपलोड किया गया!")</f>
        <v>उपयोगकर्ता डेटा अपलोड किया गया!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 t="str">
        <f>IFERROR(__xludf.DUMMYFUNCTION("""COMPUTED_VALUE"""),"MinOrderQuantity")</f>
        <v>MinOrderQuantity</v>
      </c>
      <c r="B1078" s="2" t="str">
        <f>IFERROR(__xludf.DUMMYFUNCTION("""COMPUTED_VALUE"""),"Min Order Quantity")</f>
        <v>Min Order Quantity</v>
      </c>
      <c r="C1078" s="2"/>
      <c r="D1078" s="2" t="str">
        <f>IFERROR(__xludf.DUMMYFUNCTION("""COMPUTED_VALUE"""),"न्यूनतम आर्डर राशि")</f>
        <v>न्यूनतम आर्डर राशि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 t="str">
        <f>IFERROR(__xludf.DUMMYFUNCTION("""COMPUTED_VALUE"""),"PaymentDone-AcknowledgementPending")</f>
        <v>PaymentDone-AcknowledgementPending</v>
      </c>
      <c r="B1079" s="2" t="str">
        <f>IFERROR(__xludf.DUMMYFUNCTION("""COMPUTED_VALUE"""),"Payment Done-Acknowledgement Pending")</f>
        <v>Payment Done-Acknowledgement Pending</v>
      </c>
      <c r="C1079" s="2"/>
      <c r="D1079" s="2" t="str">
        <f>IFERROR(__xludf.DUMMYFUNCTION("""COMPUTED_VALUE"""),"भुगतान किया गया भुगतान लंबित")</f>
        <v>भुगतान किया गया भुगतान लंबित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 t="str">
        <f>IFERROR(__xludf.DUMMYFUNCTION("""COMPUTED_VALUE"""),"DateofPickup")</f>
        <v>DateofPickup</v>
      </c>
      <c r="B1080" s="2" t="str">
        <f>IFERROR(__xludf.DUMMYFUNCTION("""COMPUTED_VALUE"""),"Date of Pickup")</f>
        <v>Date of Pickup</v>
      </c>
      <c r="C1080" s="2"/>
      <c r="D1080" s="2" t="str">
        <f>IFERROR(__xludf.DUMMYFUNCTION("""COMPUTED_VALUE"""),"पिकअप की तारीख")</f>
        <v>पिकअप की तारीख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 t="str">
        <f>IFERROR(__xludf.DUMMYFUNCTION("""COMPUTED_VALUE"""),"06AM-10PM")</f>
        <v>06AM-10PM</v>
      </c>
      <c r="B1081" s="2" t="str">
        <f>IFERROR(__xludf.DUMMYFUNCTION("""COMPUTED_VALUE"""),"06AM-10PM")</f>
        <v>06AM-10PM</v>
      </c>
      <c r="C1081" s="2"/>
      <c r="D1081" s="2" t="str">
        <f>IFERROR(__xludf.DUMMYFUNCTION("""COMPUTED_VALUE"""),"06 am-10pm")</f>
        <v>06 am-10pm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 t="str">
        <f>IFERROR(__xludf.DUMMYFUNCTION("""COMPUTED_VALUE"""),"Logistic")</f>
        <v>Logistic</v>
      </c>
      <c r="B1082" s="2" t="str">
        <f>IFERROR(__xludf.DUMMYFUNCTION("""COMPUTED_VALUE"""),"Logistic")</f>
        <v>Logistic</v>
      </c>
      <c r="C1082" s="2"/>
      <c r="D1082" s="2" t="str">
        <f>IFERROR(__xludf.DUMMYFUNCTION("""COMPUTED_VALUE"""),"तार्किक")</f>
        <v>तार्किक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 t="str">
        <f>IFERROR(__xludf.DUMMYFUNCTION("""COMPUTED_VALUE"""),"NoOrderFound")</f>
        <v>NoOrderFound</v>
      </c>
      <c r="B1083" s="2" t="str">
        <f>IFERROR(__xludf.DUMMYFUNCTION("""COMPUTED_VALUE"""),"No Order Found")</f>
        <v>No Order Found</v>
      </c>
      <c r="C1083" s="2"/>
      <c r="D1083" s="2" t="str">
        <f>IFERROR(__xludf.DUMMYFUNCTION("""COMPUTED_VALUE"""),"कोई आदेश नहीं मिला")</f>
        <v>कोई आदेश नहीं मिला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 t="str">
        <f>IFERROR(__xludf.DUMMYFUNCTION("""COMPUTED_VALUE"""),"ProcurementManagement")</f>
        <v>ProcurementManagement</v>
      </c>
      <c r="B1084" s="2" t="str">
        <f>IFERROR(__xludf.DUMMYFUNCTION("""COMPUTED_VALUE"""),"Procurement Management")</f>
        <v>Procurement Management</v>
      </c>
      <c r="C1084" s="2"/>
      <c r="D1084" s="2" t="str">
        <f>IFERROR(__xludf.DUMMYFUNCTION("""COMPUTED_VALUE"""),"खरीदी प्रबंधन")</f>
        <v>खरीदी प्रबंधन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 t="str">
        <f>IFERROR(__xludf.DUMMYFUNCTION("""COMPUTED_VALUE"""),"sortby")</f>
        <v>sortby</v>
      </c>
      <c r="B1085" s="2" t="str">
        <f>IFERROR(__xludf.DUMMYFUNCTION("""COMPUTED_VALUE"""),"sortby")</f>
        <v>sortby</v>
      </c>
      <c r="C1085" s="2"/>
      <c r="D1085" s="2" t="str">
        <f>IFERROR(__xludf.DUMMYFUNCTION("""COMPUTED_VALUE"""),"क्रमबद्ध करें")</f>
        <v>क्रमबद्ध करें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 t="str">
        <f>IFERROR(__xludf.DUMMYFUNCTION("""COMPUTED_VALUE"""),"NewTrip")</f>
        <v>NewTrip</v>
      </c>
      <c r="B1086" s="2" t="str">
        <f>IFERROR(__xludf.DUMMYFUNCTION("""COMPUTED_VALUE"""),"New Trip")</f>
        <v>New Trip</v>
      </c>
      <c r="C1086" s="2"/>
      <c r="D1086" s="2" t="str">
        <f>IFERROR(__xludf.DUMMYFUNCTION("""COMPUTED_VALUE"""),"नई यात्रा")</f>
        <v>नई यात्रा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 t="str">
        <f>IFERROR(__xludf.DUMMYFUNCTION("""COMPUTED_VALUE"""),"OngoingTrips")</f>
        <v>OngoingTrips</v>
      </c>
      <c r="B1087" s="2" t="str">
        <f>IFERROR(__xludf.DUMMYFUNCTION("""COMPUTED_VALUE"""),"Ongoing Trips")</f>
        <v>Ongoing Trips</v>
      </c>
      <c r="C1087" s="2"/>
      <c r="D1087" s="2" t="str">
        <f>IFERROR(__xludf.DUMMYFUNCTION("""COMPUTED_VALUE"""),"चल रही यात्राएं")</f>
        <v>चल रही यात्राएं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 t="str">
        <f>IFERROR(__xludf.DUMMYFUNCTION("""COMPUTED_VALUE"""),"TodaysEarnings:")</f>
        <v>TodaysEarnings:</v>
      </c>
      <c r="B1088" s="2" t="str">
        <f>IFERROR(__xludf.DUMMYFUNCTION("""COMPUTED_VALUE"""),"Todays Earnings:")</f>
        <v>Todays Earnings:</v>
      </c>
      <c r="C1088" s="2"/>
      <c r="D1088" s="2" t="str">
        <f>IFERROR(__xludf.DUMMYFUNCTION("""COMPUTED_VALUE"""),"आज की कमाई:")</f>
        <v>आज की कमाई: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 t="str">
        <f>IFERROR(__xludf.DUMMYFUNCTION("""COMPUTED_VALUE"""),"Earningson")</f>
        <v>Earningson</v>
      </c>
      <c r="B1089" s="2" t="str">
        <f>IFERROR(__xludf.DUMMYFUNCTION("""COMPUTED_VALUE"""),"Earnings on")</f>
        <v>Earnings on</v>
      </c>
      <c r="C1089" s="2"/>
      <c r="D1089" s="2" t="str">
        <f>IFERROR(__xludf.DUMMYFUNCTION("""COMPUTED_VALUE"""),"पर कमाई")</f>
        <v>पर कमाई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 t="str">
        <f>IFERROR(__xludf.DUMMYFUNCTION("""COMPUTED_VALUE"""),"Week")</f>
        <v>Week</v>
      </c>
      <c r="B1090" s="2" t="str">
        <f>IFERROR(__xludf.DUMMYFUNCTION("""COMPUTED_VALUE"""),"Week")</f>
        <v>Week</v>
      </c>
      <c r="C1090" s="2"/>
      <c r="D1090" s="2" t="str">
        <f>IFERROR(__xludf.DUMMYFUNCTION("""COMPUTED_VALUE"""),"सप्ताह")</f>
        <v>सप्ताह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 t="str">
        <f>IFERROR(__xludf.DUMMYFUNCTION("""COMPUTED_VALUE"""),"Month")</f>
        <v>Month</v>
      </c>
      <c r="B1091" s="2" t="str">
        <f>IFERROR(__xludf.DUMMYFUNCTION("""COMPUTED_VALUE"""),"Month")</f>
        <v>Month</v>
      </c>
      <c r="C1091" s="2"/>
      <c r="D1091" s="2" t="str">
        <f>IFERROR(__xludf.DUMMYFUNCTION("""COMPUTED_VALUE"""),"महीना")</f>
        <v>महीना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 t="str">
        <f>IFERROR(__xludf.DUMMYFUNCTION("""COMPUTED_VALUE"""),"CustomerManagement")</f>
        <v>CustomerManagement</v>
      </c>
      <c r="B1092" s="2" t="str">
        <f>IFERROR(__xludf.DUMMYFUNCTION("""COMPUTED_VALUE"""),"Customer Management")</f>
        <v>Customer Management</v>
      </c>
      <c r="C1092" s="2"/>
      <c r="D1092" s="2" t="str">
        <f>IFERROR(__xludf.DUMMYFUNCTION("""COMPUTED_VALUE"""),"ग्राहक प्रबंधन")</f>
        <v>ग्राहक प्रबंधन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 t="str">
        <f>IFERROR(__xludf.DUMMYFUNCTION("""COMPUTED_VALUE"""),"About")</f>
        <v>About</v>
      </c>
      <c r="B1093" s="2" t="str">
        <f>IFERROR(__xludf.DUMMYFUNCTION("""COMPUTED_VALUE"""),"About")</f>
        <v>About</v>
      </c>
      <c r="C1093" s="2"/>
      <c r="D1093" s="2" t="str">
        <f>IFERROR(__xludf.DUMMYFUNCTION("""COMPUTED_VALUE"""),"के बारे में")</f>
        <v>के बारे में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 t="str">
        <f>IFERROR(__xludf.DUMMYFUNCTION("""COMPUTED_VALUE"""),"KYCForm")</f>
        <v>KYCForm</v>
      </c>
      <c r="B1094" s="2" t="str">
        <f>IFERROR(__xludf.DUMMYFUNCTION("""COMPUTED_VALUE"""),"KYC Form")</f>
        <v>KYC Form</v>
      </c>
      <c r="C1094" s="2"/>
      <c r="D1094" s="2" t="str">
        <f>IFERROR(__xludf.DUMMYFUNCTION("""COMPUTED_VALUE"""),"KYC फॉर्म")</f>
        <v>KYC फॉर्म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 t="str">
        <f>IFERROR(__xludf.DUMMYFUNCTION("""COMPUTED_VALUE"""),"PoliceVerification")</f>
        <v>PoliceVerification</v>
      </c>
      <c r="B1095" s="2" t="str">
        <f>IFERROR(__xludf.DUMMYFUNCTION("""COMPUTED_VALUE"""),"Police Verification")</f>
        <v>Police Verification</v>
      </c>
      <c r="C1095" s="2"/>
      <c r="D1095" s="2" t="str">
        <f>IFERROR(__xludf.DUMMYFUNCTION("""COMPUTED_VALUE"""),"पुलिस सत्यापन")</f>
        <v>पुलिस सत्यापन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 t="str">
        <f>IFERROR(__xludf.DUMMYFUNCTION("""COMPUTED_VALUE"""),"AadharCardNo.")</f>
        <v>AadharCardNo.</v>
      </c>
      <c r="B1096" s="2" t="str">
        <f>IFERROR(__xludf.DUMMYFUNCTION("""COMPUTED_VALUE"""),"Aadhar Card No.")</f>
        <v>Aadhar Card No.</v>
      </c>
      <c r="C1096" s="2"/>
      <c r="D1096" s="2" t="str">
        <f>IFERROR(__xludf.DUMMYFUNCTION("""COMPUTED_VALUE"""),"आम कार्ड नं।")</f>
        <v>आम कार्ड नं।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 t="str">
        <f>IFERROR(__xludf.DUMMYFUNCTION("""COMPUTED_VALUE"""),"PoliceStationName")</f>
        <v>PoliceStationName</v>
      </c>
      <c r="B1097" s="2" t="str">
        <f>IFERROR(__xludf.DUMMYFUNCTION("""COMPUTED_VALUE"""),"Police Station Name")</f>
        <v>Police Station Name</v>
      </c>
      <c r="C1097" s="2"/>
      <c r="D1097" s="2" t="str">
        <f>IFERROR(__xludf.DUMMYFUNCTION("""COMPUTED_VALUE"""),"पुलिस स्टेशन का नाम")</f>
        <v>पुलिस स्टेशन का नाम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 t="str">
        <f>IFERROR(__xludf.DUMMYFUNCTION("""COMPUTED_VALUE"""),"LocalityorArea")</f>
        <v>LocalityorArea</v>
      </c>
      <c r="B1098" s="2" t="str">
        <f>IFERROR(__xludf.DUMMYFUNCTION("""COMPUTED_VALUE"""),"Locality or Area")</f>
        <v>Locality or Area</v>
      </c>
      <c r="C1098" s="2"/>
      <c r="D1098" s="2" t="str">
        <f>IFERROR(__xludf.DUMMYFUNCTION("""COMPUTED_VALUE"""),"स्थानीयता या क्षेत्र")</f>
        <v>स्थानीयता या क्षेत्र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 t="str">
        <f>IFERROR(__xludf.DUMMYFUNCTION("""COMPUTED_VALUE"""),"UploadPoliceVerificationCard")</f>
        <v>UploadPoliceVerificationCard</v>
      </c>
      <c r="B1099" s="2" t="str">
        <f>IFERROR(__xludf.DUMMYFUNCTION("""COMPUTED_VALUE"""),"Upload Police Verification Card")</f>
        <v>Upload Police Verification Card</v>
      </c>
      <c r="C1099" s="2"/>
      <c r="D1099" s="2" t="str">
        <f>IFERROR(__xludf.DUMMYFUNCTION("""COMPUTED_VALUE"""),"पुलिस सत्यापन कार्ड अपलोड करें")</f>
        <v>पुलिस सत्यापन कार्ड अपलोड करें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 t="str">
        <f>IFERROR(__xludf.DUMMYFUNCTION("""COMPUTED_VALUE"""),"VehicleDetails")</f>
        <v>VehicleDetails</v>
      </c>
      <c r="B1100" s="2" t="str">
        <f>IFERROR(__xludf.DUMMYFUNCTION("""COMPUTED_VALUE"""),"Vehicle Details")</f>
        <v>Vehicle Details</v>
      </c>
      <c r="C1100" s="2"/>
      <c r="D1100" s="2" t="str">
        <f>IFERROR(__xludf.DUMMYFUNCTION("""COMPUTED_VALUE"""),"वाहन की सूचना")</f>
        <v>वाहन की सूचना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 t="str">
        <f>IFERROR(__xludf.DUMMYFUNCTION("""COMPUTED_VALUE"""),"LicenseType")</f>
        <v>LicenseType</v>
      </c>
      <c r="B1101" s="2" t="str">
        <f>IFERROR(__xludf.DUMMYFUNCTION("""COMPUTED_VALUE"""),"License Type")</f>
        <v>License Type</v>
      </c>
      <c r="C1101" s="2"/>
      <c r="D1101" s="2" t="str">
        <f>IFERROR(__xludf.DUMMYFUNCTION("""COMPUTED_VALUE"""),"लाइसेंस के प्रकार")</f>
        <v>लाइसेंस के प्रकार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 t="str">
        <f>IFERROR(__xludf.DUMMYFUNCTION("""COMPUTED_VALUE"""),"ValidUpto")</f>
        <v>ValidUpto</v>
      </c>
      <c r="B1102" s="2" t="str">
        <f>IFERROR(__xludf.DUMMYFUNCTION("""COMPUTED_VALUE"""),"Valid Upto")</f>
        <v>Valid Upto</v>
      </c>
      <c r="C1102" s="2"/>
      <c r="D1102" s="2" t="str">
        <f>IFERROR(__xludf.DUMMYFUNCTION("""COMPUTED_VALUE"""),"तक वैध है")</f>
        <v>तक वैध है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 t="str">
        <f>IFERROR(__xludf.DUMMYFUNCTION("""COMPUTED_VALUE"""),"IssuingState")</f>
        <v>IssuingState</v>
      </c>
      <c r="B1103" s="2" t="str">
        <f>IFERROR(__xludf.DUMMYFUNCTION("""COMPUTED_VALUE"""),"Issuing State")</f>
        <v>Issuing State</v>
      </c>
      <c r="C1103" s="2"/>
      <c r="D1103" s="2" t="str">
        <f>IFERROR(__xludf.DUMMYFUNCTION("""COMPUTED_VALUE"""),"राज्य जारी करना")</f>
        <v>राज्य जारी करना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 t="str">
        <f>IFERROR(__xludf.DUMMYFUNCTION("""COMPUTED_VALUE"""),"VehicleNumber")</f>
        <v>VehicleNumber</v>
      </c>
      <c r="B1104" s="2" t="str">
        <f>IFERROR(__xludf.DUMMYFUNCTION("""COMPUTED_VALUE"""),"Vehicle Number")</f>
        <v>Vehicle Number</v>
      </c>
      <c r="C1104" s="2"/>
      <c r="D1104" s="2" t="str">
        <f>IFERROR(__xludf.DUMMYFUNCTION("""COMPUTED_VALUE"""),"गाडी नंबर")</f>
        <v>गाडी नंबर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 t="str">
        <f>IFERROR(__xludf.DUMMYFUNCTION("""COMPUTED_VALUE"""),"ValidFrom")</f>
        <v>ValidFrom</v>
      </c>
      <c r="B1105" s="2" t="str">
        <f>IFERROR(__xludf.DUMMYFUNCTION("""COMPUTED_VALUE"""),"Valid From")</f>
        <v>Valid From</v>
      </c>
      <c r="C1105" s="2"/>
      <c r="D1105" s="2" t="str">
        <f>IFERROR(__xludf.DUMMYFUNCTION("""COMPUTED_VALUE"""),"से मान्य")</f>
        <v>से मान्य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 t="str">
        <f>IFERROR(__xludf.DUMMYFUNCTION("""COMPUTED_VALUE"""),"DewormingCertificate")</f>
        <v>DewormingCertificate</v>
      </c>
      <c r="B1106" s="2" t="str">
        <f>IFERROR(__xludf.DUMMYFUNCTION("""COMPUTED_VALUE"""),"Deworming Certificate")</f>
        <v>Deworming Certificate</v>
      </c>
      <c r="C1106" s="2"/>
      <c r="D1106" s="2" t="str">
        <f>IFERROR(__xludf.DUMMYFUNCTION("""COMPUTED_VALUE"""),"देवर्म प्रमाणपत्र")</f>
        <v>देवर्म प्रमाणपत्र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 t="str">
        <f>IFERROR(__xludf.DUMMYFUNCTION("""COMPUTED_VALUE"""),"UploadDewormingCertificate")</f>
        <v>UploadDewormingCertificate</v>
      </c>
      <c r="B1107" s="2" t="str">
        <f>IFERROR(__xludf.DUMMYFUNCTION("""COMPUTED_VALUE"""),"Upload Deworming Certificate")</f>
        <v>Upload Deworming Certificate</v>
      </c>
      <c r="C1107" s="2"/>
      <c r="D1107" s="2" t="str">
        <f>IFERROR(__xludf.DUMMYFUNCTION("""COMPUTED_VALUE"""),"अपलोड डिवोर्मिंग प्रमाणपत्र")</f>
        <v>अपलोड डिवोर्मिंग प्रमाणपत्र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 t="str">
        <f>IFERROR(__xludf.DUMMYFUNCTION("""COMPUTED_VALUE"""),"EditProfileDocs")</f>
        <v>EditProfileDocs</v>
      </c>
      <c r="B1108" s="2" t="str">
        <f>IFERROR(__xludf.DUMMYFUNCTION("""COMPUTED_VALUE"""),"Edit Profile Docs")</f>
        <v>Edit Profile Docs</v>
      </c>
      <c r="C1108" s="2"/>
      <c r="D1108" s="2" t="str">
        <f>IFERROR(__xludf.DUMMYFUNCTION("""COMPUTED_VALUE"""),"प्रोफ़ाइल डॉक्स संपादित करें")</f>
        <v>प्रोफ़ाइल डॉक्स संपादित करें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 t="str">
        <f>IFERROR(__xludf.DUMMYFUNCTION("""COMPUTED_VALUE"""),"UploadVehicleInsurance")</f>
        <v>UploadVehicleInsurance</v>
      </c>
      <c r="B1109" s="2" t="str">
        <f>IFERROR(__xludf.DUMMYFUNCTION("""COMPUTED_VALUE"""),"Upload Vehicle Insurance")</f>
        <v>Upload Vehicle Insurance</v>
      </c>
      <c r="C1109" s="2"/>
      <c r="D1109" s="2" t="str">
        <f>IFERROR(__xludf.DUMMYFUNCTION("""COMPUTED_VALUE"""),"वाहन बीमा अपलोड करें")</f>
        <v>वाहन बीमा अपलोड करें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 t="str">
        <f>IFERROR(__xludf.DUMMYFUNCTION("""COMPUTED_VALUE"""),"UploadRCLicense")</f>
        <v>UploadRCLicense</v>
      </c>
      <c r="B1110" s="2" t="str">
        <f>IFERROR(__xludf.DUMMYFUNCTION("""COMPUTED_VALUE"""),"Upload RC License")</f>
        <v>Upload RC License</v>
      </c>
      <c r="C1110" s="2"/>
      <c r="D1110" s="2" t="str">
        <f>IFERROR(__xludf.DUMMYFUNCTION("""COMPUTED_VALUE"""),"आरसी लाइसेंस अपलोड करें")</f>
        <v>आरसी लाइसेंस अपलोड करें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 t="str">
        <f>IFERROR(__xludf.DUMMYFUNCTION("""COMPUTED_VALUE"""),"FlatRate")</f>
        <v>FlatRate</v>
      </c>
      <c r="B1111" s="2" t="str">
        <f>IFERROR(__xludf.DUMMYFUNCTION("""COMPUTED_VALUE"""),"Flat Rate")</f>
        <v>Flat Rate</v>
      </c>
      <c r="C1111" s="2"/>
      <c r="D1111" s="2" t="str">
        <f>IFERROR(__xludf.DUMMYFUNCTION("""COMPUTED_VALUE"""),"फ्लैट रेट")</f>
        <v>फ्लैट रेट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 t="str">
        <f>IFERROR(__xludf.DUMMYFUNCTION("""COMPUTED_VALUE"""),"EditVehicleDocs")</f>
        <v>EditVehicleDocs</v>
      </c>
      <c r="B1112" s="2" t="str">
        <f>IFERROR(__xludf.DUMMYFUNCTION("""COMPUTED_VALUE"""),"Edit Vehicle Docs")</f>
        <v>Edit Vehicle Docs</v>
      </c>
      <c r="C1112" s="2"/>
      <c r="D1112" s="2" t="str">
        <f>IFERROR(__xludf.DUMMYFUNCTION("""COMPUTED_VALUE"""),"वाहन डॉक्स संपादित करें")</f>
        <v>वाहन डॉक्स संपादित करें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 t="str">
        <f>IFERROR(__xludf.DUMMYFUNCTION("""COMPUTED_VALUE"""),"DoYouWanttoLogOut?")</f>
        <v>DoYouWanttoLogOut?</v>
      </c>
      <c r="B1113" s="2" t="str">
        <f>IFERROR(__xludf.DUMMYFUNCTION("""COMPUTED_VALUE"""),"Do You Want to Log Out?")</f>
        <v>Do You Want to Log Out?</v>
      </c>
      <c r="C1113" s="2"/>
      <c r="D1113" s="2" t="str">
        <f>IFERROR(__xludf.DUMMYFUNCTION("""COMPUTED_VALUE"""),"क्या आप लॉग आउट करना चाहते हैं?")</f>
        <v>क्या आप लॉग आउट करना चाहते हैं?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</sheetData>
  <hyperlinks>
    <hyperlink r:id="rId1" ref="E289"/>
    <hyperlink r:id="rId2" ref="A983"/>
    <hyperlink r:id="rId3" ref="B98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IFERROR(__xludf.DUMMYFUNCTION("IMPORTRANGE(""https://docs.google.com/spreadsheets/d/1ui-_nS1oEFKBZAQNarj0mbVplv97_2grLkXeWucodOc"",""Odia!A:z"")"),"keys")</f>
        <v>keys</v>
      </c>
      <c r="B1" s="2" t="str">
        <f>IFERROR(__xludf.DUMMYFUNCTION("""COMPUTED_VALUE"""),"Phrase / Cat / Sub")</f>
        <v>Phrase / Cat / Sub</v>
      </c>
      <c r="C1" s="2" t="str">
        <f>IFERROR(__xludf.DUMMYFUNCTION("""COMPUTED_VALUE"""),"Release")</f>
        <v>Release</v>
      </c>
      <c r="D1" s="2" t="str">
        <f>IFERROR(__xludf.DUMMYFUNCTION("""COMPUTED_VALUE"""),"Odia")</f>
        <v>Odia</v>
      </c>
      <c r="E1" s="2" t="str">
        <f>IFERROR(__xludf.DUMMYFUNCTION("""COMPUTED_VALUE"""),"QC")</f>
        <v>QC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tr">
        <f>IFERROR(__xludf.DUMMYFUNCTION("""COMPUTED_VALUE"""),"item")</f>
        <v>item</v>
      </c>
      <c r="B2" s="2" t="str">
        <f>IFERROR(__xludf.DUMMYFUNCTION("""COMPUTED_VALUE"""),"Item")</f>
        <v>Item</v>
      </c>
      <c r="C2" s="2"/>
      <c r="D2" s="2" t="str">
        <f>IFERROR(__xludf.DUMMYFUNCTION("""COMPUTED_VALUE"""),"ଆଇଟମ୍")</f>
        <v>ଆଇଟମ୍</v>
      </c>
      <c r="E2" s="2" t="str">
        <f>IFERROR(__xludf.DUMMYFUNCTION("""COMPUTED_VALUE"""),"ok")</f>
        <v>ok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tr">
        <f>IFERROR(__xludf.DUMMYFUNCTION("""COMPUTED_VALUE"""),"productItem")</f>
        <v>productItem</v>
      </c>
      <c r="B3" s="2" t="str">
        <f>IFERROR(__xludf.DUMMYFUNCTION("""COMPUTED_VALUE"""),"Product Item")</f>
        <v>Product Item</v>
      </c>
      <c r="C3" s="2"/>
      <c r="D3" s="2" t="str">
        <f>IFERROR(__xludf.DUMMYFUNCTION("""COMPUTED_VALUE"""),"ଉତ୍ପାଦ ବସ୍ତୁ")</f>
        <v>ଉତ୍ପାଦ ବସ୍ତୁ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tr">
        <f>IFERROR(__xludf.DUMMYFUNCTION("""COMPUTED_VALUE"""),"price")</f>
        <v>price</v>
      </c>
      <c r="B4" s="2" t="str">
        <f>IFERROR(__xludf.DUMMYFUNCTION("""COMPUTED_VALUE"""),"Price")</f>
        <v>Price</v>
      </c>
      <c r="C4" s="2"/>
      <c r="D4" s="2" t="str">
        <f>IFERROR(__xludf.DUMMYFUNCTION("""COMPUTED_VALUE"""),"ମୂଲ୍ୟ")</f>
        <v>ମୂଲ୍ୟ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tr">
        <f>IFERROR(__xludf.DUMMYFUNCTION("""COMPUTED_VALUE"""),"cost")</f>
        <v>cost</v>
      </c>
      <c r="B5" s="2" t="str">
        <f>IFERROR(__xludf.DUMMYFUNCTION("""COMPUTED_VALUE"""),"Cost")</f>
        <v>Cost</v>
      </c>
      <c r="C5" s="2"/>
      <c r="D5" s="2" t="str">
        <f>IFERROR(__xludf.DUMMYFUNCTION("""COMPUTED_VALUE"""),"ମୂଲ୍ୟ")</f>
        <v>ମୂଲ୍ୟ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tr">
        <f>IFERROR(__xludf.DUMMYFUNCTION("""COMPUTED_VALUE"""),"favourities")</f>
        <v>favourities</v>
      </c>
      <c r="B6" s="2" t="str">
        <f>IFERROR(__xludf.DUMMYFUNCTION("""COMPUTED_VALUE"""),"Favourites")</f>
        <v>Favourites</v>
      </c>
      <c r="C6" s="2">
        <f>IFERROR(__xludf.DUMMYFUNCTION("""COMPUTED_VALUE"""),0.3)</f>
        <v>0.3</v>
      </c>
      <c r="D6" s="2" t="str">
        <f>IFERROR(__xludf.DUMMYFUNCTION("""COMPUTED_VALUE"""),"ପୂitesାକୁ ଭଲପାଇବା")</f>
        <v>ପୂitesାକୁ ଭଲପାଇବା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tr">
        <f>IFERROR(__xludf.DUMMYFUNCTION("""COMPUTED_VALUE"""),"mobile")</f>
        <v>mobile</v>
      </c>
      <c r="B7" s="2" t="str">
        <f>IFERROR(__xludf.DUMMYFUNCTION("""COMPUTED_VALUE"""),"Mobile")</f>
        <v>Mobile</v>
      </c>
      <c r="C7" s="2">
        <f>IFERROR(__xludf.DUMMYFUNCTION("""COMPUTED_VALUE"""),0.3)</f>
        <v>0.3</v>
      </c>
      <c r="D7" s="2" t="str">
        <f>IFERROR(__xludf.DUMMYFUNCTION("""COMPUTED_VALUE"""),"ମୋବାଇଲ୍ |")</f>
        <v>ମୋବାଇଲ୍ |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tr">
        <f>IFERROR(__xludf.DUMMYFUNCTION("""COMPUTED_VALUE"""),"address")</f>
        <v>address</v>
      </c>
      <c r="B8" s="2" t="str">
        <f>IFERROR(__xludf.DUMMYFUNCTION("""COMPUTED_VALUE"""),"Address")</f>
        <v>Address</v>
      </c>
      <c r="C8" s="2"/>
      <c r="D8" s="2" t="str">
        <f>IFERROR(__xludf.DUMMYFUNCTION("""COMPUTED_VALUE"""),"ଠିକଣା")</f>
        <v>ଠିକଣା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tr">
        <f>IFERROR(__xludf.DUMMYFUNCTION("""COMPUTED_VALUE"""),"error")</f>
        <v>error</v>
      </c>
      <c r="B9" s="2" t="str">
        <f>IFERROR(__xludf.DUMMYFUNCTION("""COMPUTED_VALUE"""),"Error ")</f>
        <v>Error </v>
      </c>
      <c r="C9" s="2"/>
      <c r="D9" s="2" t="str">
        <f>IFERROR(__xludf.DUMMYFUNCTION("""COMPUTED_VALUE"""),"ତ୍ରୁଟି")</f>
        <v>ତ୍ରୁଟି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tr">
        <f>IFERROR(__xludf.DUMMYFUNCTION("""COMPUTED_VALUE"""),"selectLanguage")</f>
        <v>selectLanguage</v>
      </c>
      <c r="B10" s="2" t="str">
        <f>IFERROR(__xludf.DUMMYFUNCTION("""COMPUTED_VALUE"""),"Select Language")</f>
        <v>Select Language</v>
      </c>
      <c r="C10" s="2">
        <f>IFERROR(__xludf.DUMMYFUNCTION("""COMPUTED_VALUE"""),0.1)</f>
        <v>0.1</v>
      </c>
      <c r="D10" s="2" t="str">
        <f>IFERROR(__xludf.DUMMYFUNCTION("""COMPUTED_VALUE"""),"ଭାଷା ଚୟନ କରନ୍ତୁ |")</f>
        <v>ଭାଷା ଚୟନ କରନ୍ତୁ |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tr">
        <f>IFERROR(__xludf.DUMMYFUNCTION("""COMPUTED_VALUE"""),"alternatemobile")</f>
        <v>alternatemobile</v>
      </c>
      <c r="B11" s="2" t="str">
        <f>IFERROR(__xludf.DUMMYFUNCTION("""COMPUTED_VALUE"""),"Alternate Mobile")</f>
        <v>Alternate Mobile</v>
      </c>
      <c r="C11" s="2">
        <f>IFERROR(__xludf.DUMMYFUNCTION("""COMPUTED_VALUE"""),0.3)</f>
        <v>0.3</v>
      </c>
      <c r="D11" s="2" t="str">
        <f>IFERROR(__xludf.DUMMYFUNCTION("""COMPUTED_VALUE"""),"ଅନ୍ୟ ପୋଟର୍ଷା ମୋବାଇଲ୍ |")</f>
        <v>ଅନ୍ୟ ପୋଟର୍ଷା ମୋବାଇଲ୍ |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tr">
        <f>IFERROR(__xludf.DUMMYFUNCTION("""COMPUTED_VALUE"""),"vegetarian")</f>
        <v>vegetarian</v>
      </c>
      <c r="B12" s="2" t="str">
        <f>IFERROR(__xludf.DUMMYFUNCTION("""COMPUTED_VALUE"""),"Vegetarian")</f>
        <v>Vegetarian</v>
      </c>
      <c r="C12" s="2">
        <f>IFERROR(__xludf.DUMMYFUNCTION("""COMPUTED_VALUE"""),0.1)</f>
        <v>0.1</v>
      </c>
      <c r="D12" s="2" t="str">
        <f>IFERROR(__xludf.DUMMYFUNCTION("""COMPUTED_VALUE"""),"ଶାକାହାରୀ")</f>
        <v>ଶାକାହାରୀ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tr">
        <f>IFERROR(__xludf.DUMMYFUNCTION("""COMPUTED_VALUE"""),"nonVegetarian")</f>
        <v>nonVegetarian</v>
      </c>
      <c r="B13" s="2" t="str">
        <f>IFERROR(__xludf.DUMMYFUNCTION("""COMPUTED_VALUE"""),"Non-Vegetarian")</f>
        <v>Non-Vegetarian</v>
      </c>
      <c r="C13" s="2">
        <f>IFERROR(__xludf.DUMMYFUNCTION("""COMPUTED_VALUE"""),0.1)</f>
        <v>0.1</v>
      </c>
      <c r="D13" s="2" t="str">
        <f>IFERROR(__xludf.DUMMYFUNCTION("""COMPUTED_VALUE"""),"ଅଣ-ଶାକାହାରୀ |")</f>
        <v>ଅଣ-ଶାକାହାରୀ |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tr">
        <f>IFERROR(__xludf.DUMMYFUNCTION("""COMPUTED_VALUE"""),"manageemployee")</f>
        <v>manageemployee</v>
      </c>
      <c r="B14" s="2" t="str">
        <f>IFERROR(__xludf.DUMMYFUNCTION("""COMPUTED_VALUE"""),"Manage Employee")</f>
        <v>Manage Employee</v>
      </c>
      <c r="C14" s="2">
        <f>IFERROR(__xludf.DUMMYFUNCTION("""COMPUTED_VALUE"""),0.3)</f>
        <v>0.3</v>
      </c>
      <c r="D14" s="2" t="str">
        <f>IFERROR(__xludf.DUMMYFUNCTION("""COMPUTED_VALUE"""),"କର୍ମଚାରୀ ପରିଚାଳନା କରନ୍ତୁ")</f>
        <v>କର୍ମଚାରୀ ପରିଚାଳନା କରନ୍ତୁ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tr">
        <f>IFERROR(__xludf.DUMMYFUNCTION("""COMPUTED_VALUE"""),"compliant")</f>
        <v>compliant</v>
      </c>
      <c r="B15" s="2" t="str">
        <f>IFERROR(__xludf.DUMMYFUNCTION("""COMPUTED_VALUE"""),"Compliant")</f>
        <v>Compliant</v>
      </c>
      <c r="C15" s="2">
        <f>IFERROR(__xludf.DUMMYFUNCTION("""COMPUTED_VALUE"""),0.3)</f>
        <v>0.3</v>
      </c>
      <c r="D15" s="2" t="str">
        <f>IFERROR(__xludf.DUMMYFUNCTION("""COMPUTED_VALUE"""),"ଅନୁପଯୁକ୍ତ")</f>
        <v>ଅନୁପଯୁକ୍ତ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tr">
        <f>IFERROR(__xludf.DUMMYFUNCTION("""COMPUTED_VALUE"""),"proceed")</f>
        <v>proceed</v>
      </c>
      <c r="B16" s="2" t="str">
        <f>IFERROR(__xludf.DUMMYFUNCTION("""COMPUTED_VALUE"""),"Proceed")</f>
        <v>Proceed</v>
      </c>
      <c r="C16" s="2">
        <f>IFERROR(__xludf.DUMMYFUNCTION("""COMPUTED_VALUE"""),0.1)</f>
        <v>0.1</v>
      </c>
      <c r="D16" s="2" t="str">
        <f>IFERROR(__xludf.DUMMYFUNCTION("""COMPUTED_VALUE"""),"ଅଗ୍ରଗତି କର |")</f>
        <v>ଅଗ୍ରଗତି କର |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tr">
        <f>IFERROR(__xludf.DUMMYFUNCTION("""COMPUTED_VALUE"""),"filters")</f>
        <v>filters</v>
      </c>
      <c r="B17" s="2" t="str">
        <f>IFERROR(__xludf.DUMMYFUNCTION("""COMPUTED_VALUE"""),"Filters")</f>
        <v>Filters</v>
      </c>
      <c r="C17" s="2">
        <f>IFERROR(__xludf.DUMMYFUNCTION("""COMPUTED_VALUE"""),0.2)</f>
        <v>0.2</v>
      </c>
      <c r="D17" s="2" t="str">
        <f>IFERROR(__xludf.DUMMYFUNCTION("""COMPUTED_VALUE"""),"ଫିଲ୍ଟର୍")</f>
        <v>ଫିଲ୍ଟର୍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tr">
        <f>IFERROR(__xludf.DUMMYFUNCTION("""COMPUTED_VALUE"""),"sortBy")</f>
        <v>sortBy</v>
      </c>
      <c r="B18" s="2" t="str">
        <f>IFERROR(__xludf.DUMMYFUNCTION("""COMPUTED_VALUE"""),"Sort By")</f>
        <v>Sort By</v>
      </c>
      <c r="C18" s="2">
        <f>IFERROR(__xludf.DUMMYFUNCTION("""COMPUTED_VALUE"""),0.2)</f>
        <v>0.2</v>
      </c>
      <c r="D18" s="2" t="str">
        <f>IFERROR(__xludf.DUMMYFUNCTION("""COMPUTED_VALUE"""),"ଦ୍ boot ାରା ସର୍ଟ କରନ୍ତୁ |")</f>
        <v>ଦ୍ boot ାରା ସର୍ଟ କରନ୍ତୁ |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tr">
        <f>IFERROR(__xludf.DUMMYFUNCTION("""COMPUTED_VALUE"""),"expiresin")</f>
        <v>expiresin</v>
      </c>
      <c r="B19" s="2" t="str">
        <f>IFERROR(__xludf.DUMMYFUNCTION("""COMPUTED_VALUE"""),"Expires in")</f>
        <v>Expires in</v>
      </c>
      <c r="C19" s="2">
        <f>IFERROR(__xludf.DUMMYFUNCTION("""COMPUTED_VALUE"""),0.2)</f>
        <v>0.2</v>
      </c>
      <c r="D19" s="2" t="str">
        <f>IFERROR(__xludf.DUMMYFUNCTION("""COMPUTED_VALUE"""),"ରେ ସମାପ୍ତ ହେବ |")</f>
        <v>ରେ ସମାପ୍ତ ହେବ |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tr">
        <f>IFERROR(__xludf.DUMMYFUNCTION("""COMPUTED_VALUE"""),"ratings")</f>
        <v>ratings</v>
      </c>
      <c r="B20" s="2" t="str">
        <f>IFERROR(__xludf.DUMMYFUNCTION("""COMPUTED_VALUE"""),"Ratings")</f>
        <v>Ratings</v>
      </c>
      <c r="C20" s="2">
        <f>IFERROR(__xludf.DUMMYFUNCTION("""COMPUTED_VALUE"""),0.2)</f>
        <v>0.2</v>
      </c>
      <c r="D20" s="2" t="str">
        <f>IFERROR(__xludf.DUMMYFUNCTION("""COMPUTED_VALUE"""),"ଗଡା")</f>
        <v>ଗଡା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tr">
        <f>IFERROR(__xludf.DUMMYFUNCTION("""COMPUTED_VALUE"""),"nearYou")</f>
        <v>nearYou</v>
      </c>
      <c r="B21" s="2" t="str">
        <f>IFERROR(__xludf.DUMMYFUNCTION("""COMPUTED_VALUE"""),"Near You")</f>
        <v>Near You</v>
      </c>
      <c r="C21" s="2">
        <f>IFERROR(__xludf.DUMMYFUNCTION("""COMPUTED_VALUE"""),0.1)</f>
        <v>0.1</v>
      </c>
      <c r="D21" s="2" t="str">
        <f>IFERROR(__xludf.DUMMYFUNCTION("""COMPUTED_VALUE"""),"ଆପଣଙ୍କ ନିକଟରେ")</f>
        <v>ଆପଣଙ୍କ ନିକଟରେ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tr">
        <f>IFERROR(__xludf.DUMMYFUNCTION("""COMPUTED_VALUE"""),"mobileNumber")</f>
        <v>mobileNumber</v>
      </c>
      <c r="B22" s="2" t="str">
        <f>IFERROR(__xludf.DUMMYFUNCTION("""COMPUTED_VALUE"""),"Mobile Number")</f>
        <v>Mobile Number</v>
      </c>
      <c r="C22" s="2">
        <f>IFERROR(__xludf.DUMMYFUNCTION("""COMPUTED_VALUE"""),0.1)</f>
        <v>0.1</v>
      </c>
      <c r="D22" s="2" t="str">
        <f>IFERROR(__xludf.DUMMYFUNCTION("""COMPUTED_VALUE"""),"ମୋବାଇଲ୍ ନମ୍ବର")</f>
        <v>ମୋବାଇଲ୍ ନମ୍ବର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tr">
        <f>IFERROR(__xludf.DUMMYFUNCTION("""COMPUTED_VALUE"""),"otp")</f>
        <v>otp</v>
      </c>
      <c r="B23" s="2" t="str">
        <f>IFERROR(__xludf.DUMMYFUNCTION("""COMPUTED_VALUE"""),"OTP")</f>
        <v>OTP</v>
      </c>
      <c r="C23" s="2">
        <f>IFERROR(__xludf.DUMMYFUNCTION("""COMPUTED_VALUE"""),0.5)</f>
        <v>0.5</v>
      </c>
      <c r="D23" s="2" t="str">
        <f>IFERROR(__xludf.DUMMYFUNCTION("""COMPUTED_VALUE"""),"Otp")</f>
        <v>Otp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tr">
        <f>IFERROR(__xludf.DUMMYFUNCTION("""COMPUTED_VALUE"""),"uploadidentityproof")</f>
        <v>uploadidentityproof</v>
      </c>
      <c r="B24" s="2" t="str">
        <f>IFERROR(__xludf.DUMMYFUNCTION("""COMPUTED_VALUE"""),"Upload Identity Proof")</f>
        <v>Upload Identity Proof</v>
      </c>
      <c r="C24" s="2">
        <f>IFERROR(__xludf.DUMMYFUNCTION("""COMPUTED_VALUE"""),0.2)</f>
        <v>0.2</v>
      </c>
      <c r="D24" s="2" t="str">
        <f>IFERROR(__xludf.DUMMYFUNCTION("""COMPUTED_VALUE"""),"ପରିଚୟ ପ୍ରମାଣ ଅପଲୋଡ୍ କରନ୍ତୁ |")</f>
        <v>ପରିଚୟ ପ୍ରମାଣ ଅପଲୋଡ୍ କରନ୍ତୁ |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tr">
        <f>IFERROR(__xludf.DUMMYFUNCTION("""COMPUTED_VALUE"""),"call")</f>
        <v>call</v>
      </c>
      <c r="B25" s="2" t="str">
        <f>IFERROR(__xludf.DUMMYFUNCTION("""COMPUTED_VALUE"""),"Call")</f>
        <v>Call</v>
      </c>
      <c r="C25" s="2">
        <f>IFERROR(__xludf.DUMMYFUNCTION("""COMPUTED_VALUE"""),0.1)</f>
        <v>0.1</v>
      </c>
      <c r="D25" s="2" t="str">
        <f>IFERROR(__xludf.DUMMYFUNCTION("""COMPUTED_VALUE"""),"କଲ୍ କରନ୍ତୁ |")</f>
        <v>କଲ୍ କରନ୍ତୁ |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tr">
        <f>IFERROR(__xludf.DUMMYFUNCTION("""COMPUTED_VALUE"""),"sms")</f>
        <v>sms</v>
      </c>
      <c r="B26" s="2" t="str">
        <f>IFERROR(__xludf.DUMMYFUNCTION("""COMPUTED_VALUE"""),"SMS")</f>
        <v>SMS</v>
      </c>
      <c r="C26" s="2">
        <f>IFERROR(__xludf.DUMMYFUNCTION("""COMPUTED_VALUE"""),0.1)</f>
        <v>0.1</v>
      </c>
      <c r="D26" s="2" t="str">
        <f>IFERROR(__xludf.DUMMYFUNCTION("""COMPUTED_VALUE"""),"ଏସଏମଏସ")</f>
        <v>ଏସଏମଏସ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tr">
        <f>IFERROR(__xludf.DUMMYFUNCTION("""COMPUTED_VALUE"""),"whatsApp")</f>
        <v>whatsApp</v>
      </c>
      <c r="B27" s="2" t="str">
        <f>IFERROR(__xludf.DUMMYFUNCTION("""COMPUTED_VALUE"""),"WhatsApp")</f>
        <v>WhatsApp</v>
      </c>
      <c r="C27" s="2"/>
      <c r="D27" s="2" t="str">
        <f>IFERROR(__xludf.DUMMYFUNCTION("""COMPUTED_VALUE"""),"ହ୍ ats ାଟସ୍ ଆପ୍ |")</f>
        <v>ହ୍ ats ାଟସ୍ ଆପ୍ |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tr">
        <f>IFERROR(__xludf.DUMMYFUNCTION("""COMPUTED_VALUE"""),"orderAgain")</f>
        <v>orderAgain</v>
      </c>
      <c r="B28" s="2" t="str">
        <f>IFERROR(__xludf.DUMMYFUNCTION("""COMPUTED_VALUE"""),"Order Again")</f>
        <v>Order Again</v>
      </c>
      <c r="C28" s="2"/>
      <c r="D28" s="2" t="str">
        <f>IFERROR(__xludf.DUMMYFUNCTION("""COMPUTED_VALUE"""),"ପୁଣି ଅର୍ଡର କର")</f>
        <v>ପୁଣି ଅର୍ଡର କର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tr">
        <f>IFERROR(__xludf.DUMMYFUNCTION("""COMPUTED_VALUE"""),"currentLocation")</f>
        <v>currentLocation</v>
      </c>
      <c r="B29" s="2" t="str">
        <f>IFERROR(__xludf.DUMMYFUNCTION("""COMPUTED_VALUE"""),"Current Location")</f>
        <v>Current Location</v>
      </c>
      <c r="C29" s="2"/>
      <c r="D29" s="2" t="str">
        <f>IFERROR(__xludf.DUMMYFUNCTION("""COMPUTED_VALUE"""),"ସାମ୍ପ୍ରତିକ ଅବସ୍ଥାନ |")</f>
        <v>ସାମ୍ପ୍ରତିକ ଅବସ୍ଥାନ |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tr">
        <f>IFERROR(__xludf.DUMMYFUNCTION("""COMPUTED_VALUE"""),"usingGps")</f>
        <v>usingGps</v>
      </c>
      <c r="B30" s="2" t="str">
        <f>IFERROR(__xludf.DUMMYFUNCTION("""COMPUTED_VALUE"""),"Using GPS")</f>
        <v>Using GPS</v>
      </c>
      <c r="C30" s="2">
        <f>IFERROR(__xludf.DUMMYFUNCTION("""COMPUTED_VALUE"""),0.2)</f>
        <v>0.2</v>
      </c>
      <c r="D30" s="2" t="str">
        <f>IFERROR(__xludf.DUMMYFUNCTION("""COMPUTED_VALUE"""),"ଜିପି ବ୍ୟବହାର କରିବା |")</f>
        <v>ଜିପି ବ୍ୟବହାର କରିବା |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tr">
        <f>IFERROR(__xludf.DUMMYFUNCTION("""COMPUTED_VALUE"""),"frequentlyUsed")</f>
        <v>frequentlyUsed</v>
      </c>
      <c r="B31" s="2" t="str">
        <f>IFERROR(__xludf.DUMMYFUNCTION("""COMPUTED_VALUE"""),"Frequently Used")</f>
        <v>Frequently Used</v>
      </c>
      <c r="C31" s="2">
        <f>IFERROR(__xludf.DUMMYFUNCTION("""COMPUTED_VALUE"""),0.2)</f>
        <v>0.2</v>
      </c>
      <c r="D31" s="2" t="str">
        <f>IFERROR(__xludf.DUMMYFUNCTION("""COMPUTED_VALUE"""),"ବାରମ୍ବାର ବ୍ୟବହୃତ |")</f>
        <v>ବାରମ୍ବାର ବ୍ୟବହୃତ |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tr">
        <f>IFERROR(__xludf.DUMMYFUNCTION("""COMPUTED_VALUE"""),"other")</f>
        <v>other</v>
      </c>
      <c r="B32" s="2" t="str">
        <f>IFERROR(__xludf.DUMMYFUNCTION("""COMPUTED_VALUE"""),"Other ")</f>
        <v>Other </v>
      </c>
      <c r="C32" s="2">
        <f>IFERROR(__xludf.DUMMYFUNCTION("""COMPUTED_VALUE"""),0.3)</f>
        <v>0.3</v>
      </c>
      <c r="D32" s="2" t="str">
        <f>IFERROR(__xludf.DUMMYFUNCTION("""COMPUTED_VALUE"""),"ଅନ୍ୟ")</f>
        <v>ଅନ୍ୟ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tr">
        <f>IFERROR(__xludf.DUMMYFUNCTION("""COMPUTED_VALUE"""),"work")</f>
        <v>work</v>
      </c>
      <c r="B33" s="2" t="str">
        <f>IFERROR(__xludf.DUMMYFUNCTION("""COMPUTED_VALUE"""),"Work ")</f>
        <v>Work </v>
      </c>
      <c r="C33" s="2">
        <f>IFERROR(__xludf.DUMMYFUNCTION("""COMPUTED_VALUE"""),0.2)</f>
        <v>0.2</v>
      </c>
      <c r="D33" s="2" t="str">
        <f>IFERROR(__xludf.DUMMYFUNCTION("""COMPUTED_VALUE"""),"କାର୍ଯ୍ୟ")</f>
        <v>କାର୍ଯ୍ୟ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tr">
        <f>IFERROR(__xludf.DUMMYFUNCTION("""COMPUTED_VALUE"""),"home")</f>
        <v>home</v>
      </c>
      <c r="B34" s="2" t="str">
        <f>IFERROR(__xludf.DUMMYFUNCTION("""COMPUTED_VALUE"""),"Home ")</f>
        <v>Home </v>
      </c>
      <c r="C34" s="2">
        <f>IFERROR(__xludf.DUMMYFUNCTION("""COMPUTED_VALUE"""),0.1)</f>
        <v>0.1</v>
      </c>
      <c r="D34" s="2" t="str">
        <f>IFERROR(__xludf.DUMMYFUNCTION("""COMPUTED_VALUE"""),"ଘର")</f>
        <v>ଘର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tr">
        <f>IFERROR(__xludf.DUMMYFUNCTION("""COMPUTED_VALUE"""),"recentSearch")</f>
        <v>recentSearch</v>
      </c>
      <c r="B35" s="2" t="str">
        <f>IFERROR(__xludf.DUMMYFUNCTION("""COMPUTED_VALUE"""),"Recent Search ")</f>
        <v>Recent Search </v>
      </c>
      <c r="C35" s="2">
        <f>IFERROR(__xludf.DUMMYFUNCTION("""COMPUTED_VALUE"""),0.2)</f>
        <v>0.2</v>
      </c>
      <c r="D35" s="2" t="str">
        <f>IFERROR(__xludf.DUMMYFUNCTION("""COMPUTED_VALUE"""),"ସାମ୍ପ୍ରତିକ ସନ୍ଧାନ |")</f>
        <v>ସାମ୍ପ୍ରତିକ ସନ୍ଧାନ |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tr">
        <f>IFERROR(__xludf.DUMMYFUNCTION("""COMPUTED_VALUE"""),"selectLocation")</f>
        <v>selectLocation</v>
      </c>
      <c r="B36" s="2" t="str">
        <f>IFERROR(__xludf.DUMMYFUNCTION("""COMPUTED_VALUE"""),"Select Location")</f>
        <v>Select Location</v>
      </c>
      <c r="C36" s="2">
        <f>IFERROR(__xludf.DUMMYFUNCTION("""COMPUTED_VALUE"""),0.2)</f>
        <v>0.2</v>
      </c>
      <c r="D36" s="2" t="str">
        <f>IFERROR(__xludf.DUMMYFUNCTION("""COMPUTED_VALUE"""),"ଅବସ୍ଥାନ ଚୟନ କରନ୍ତୁ |")</f>
        <v>ଅବସ୍ଥାନ ଚୟନ କରନ୍ତୁ |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tr">
        <f>IFERROR(__xludf.DUMMYFUNCTION("""COMPUTED_VALUE"""),"change")</f>
        <v>change</v>
      </c>
      <c r="B37" s="2" t="str">
        <f>IFERROR(__xludf.DUMMYFUNCTION("""COMPUTED_VALUE"""),"Change")</f>
        <v>Change</v>
      </c>
      <c r="C37" s="2">
        <f>IFERROR(__xludf.DUMMYFUNCTION("""COMPUTED_VALUE"""),0.1)</f>
        <v>0.1</v>
      </c>
      <c r="D37" s="2" t="str">
        <f>IFERROR(__xludf.DUMMYFUNCTION("""COMPUTED_VALUE"""),"ପରିବର୍ତ୍ତନ")</f>
        <v>ପରିବର୍ତ୍ତନ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tr">
        <f>IFERROR(__xludf.DUMMYFUNCTION("""COMPUTED_VALUE"""),"confirmLocation")</f>
        <v>confirmLocation</v>
      </c>
      <c r="B38" s="2" t="str">
        <f>IFERROR(__xludf.DUMMYFUNCTION("""COMPUTED_VALUE"""),"Confirm Location")</f>
        <v>Confirm Location</v>
      </c>
      <c r="C38" s="2">
        <f>IFERROR(__xludf.DUMMYFUNCTION("""COMPUTED_VALUE"""),0.2)</f>
        <v>0.2</v>
      </c>
      <c r="D38" s="2" t="str">
        <f>IFERROR(__xludf.DUMMYFUNCTION("""COMPUTED_VALUE"""),"ଅବସ୍ଥାନ ନିଶ୍ଚିତ କରନ୍ତୁ |")</f>
        <v>ଅବସ୍ଥାନ ନିଶ୍ଚିତ କରନ୍ତୁ |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tr">
        <f>IFERROR(__xludf.DUMMYFUNCTION("""COMPUTED_VALUE"""),"distanceLessThan")</f>
        <v>distanceLessThan</v>
      </c>
      <c r="B39" s="2" t="str">
        <f>IFERROR(__xludf.DUMMYFUNCTION("""COMPUTED_VALUE"""),"Distance less than ")</f>
        <v>Distance less than </v>
      </c>
      <c r="C39" s="2"/>
      <c r="D39" s="2" t="str">
        <f>IFERROR(__xludf.DUMMYFUNCTION("""COMPUTED_VALUE"""),"ଠାରୁ କମ୍ ଦୂରତା |")</f>
        <v>ଠାରୁ କମ୍ ଦୂରତା |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tr">
        <f>IFERROR(__xludf.DUMMYFUNCTION("""COMPUTED_VALUE"""),"km")</f>
        <v>km</v>
      </c>
      <c r="B40" s="2" t="str">
        <f>IFERROR(__xludf.DUMMYFUNCTION("""COMPUTED_VALUE"""),"KM")</f>
        <v>KM</v>
      </c>
      <c r="C40" s="2"/>
      <c r="D40" s="2" t="str">
        <f>IFERROR(__xludf.DUMMYFUNCTION("""COMPUTED_VALUE"""),"କିଲୋମିଟର")</f>
        <v>କିଲୋମିଟର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tr">
        <f>IFERROR(__xludf.DUMMYFUNCTION("""COMPUTED_VALUE"""),"moreThan")</f>
        <v>moreThan</v>
      </c>
      <c r="B41" s="2" t="str">
        <f>IFERROR(__xludf.DUMMYFUNCTION("""COMPUTED_VALUE"""),"More than")</f>
        <v>More than</v>
      </c>
      <c r="C41" s="2"/>
      <c r="D41" s="2" t="str">
        <f>IFERROR(__xludf.DUMMYFUNCTION("""COMPUTED_VALUE"""),"ଠାରୁ ଅଧିକ")</f>
        <v>ଠାରୁ ଅଧିକ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tr">
        <f>IFERROR(__xludf.DUMMYFUNCTION("""COMPUTED_VALUE"""),"all")</f>
        <v>all</v>
      </c>
      <c r="B42" s="2" t="str">
        <f>IFERROR(__xludf.DUMMYFUNCTION("""COMPUTED_VALUE"""),"All")</f>
        <v>All</v>
      </c>
      <c r="C42" s="2">
        <f>IFERROR(__xludf.DUMMYFUNCTION("""COMPUTED_VALUE"""),0.1)</f>
        <v>0.1</v>
      </c>
      <c r="D42" s="2" t="str">
        <f>IFERROR(__xludf.DUMMYFUNCTION("""COMPUTED_VALUE"""),"ସମସ୍ତ")</f>
        <v>ସମସ୍ତ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tr">
        <f>IFERROR(__xludf.DUMMYFUNCTION("""COMPUTED_VALUE"""),"delivery")</f>
        <v>delivery</v>
      </c>
      <c r="B43" s="2" t="str">
        <f>IFERROR(__xludf.DUMMYFUNCTION("""COMPUTED_VALUE"""),"Delivery ")</f>
        <v>Delivery </v>
      </c>
      <c r="C43" s="2">
        <f>IFERROR(__xludf.DUMMYFUNCTION("""COMPUTED_VALUE"""),0.5)</f>
        <v>0.5</v>
      </c>
      <c r="D43" s="2" t="str">
        <f>IFERROR(__xludf.DUMMYFUNCTION("""COMPUTED_VALUE"""),"ବିତରଣ")</f>
        <v>ବିତରଣ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tr">
        <f>IFERROR(__xludf.DUMMYFUNCTION("""COMPUTED_VALUE"""),"pickUp")</f>
        <v>pickUp</v>
      </c>
      <c r="B44" s="2" t="str">
        <f>IFERROR(__xludf.DUMMYFUNCTION("""COMPUTED_VALUE"""),"Pickup")</f>
        <v>Pickup</v>
      </c>
      <c r="C44" s="2">
        <f>IFERROR(__xludf.DUMMYFUNCTION("""COMPUTED_VALUE"""),0.4)</f>
        <v>0.4</v>
      </c>
      <c r="D44" s="2" t="str">
        <f>IFERROR(__xludf.DUMMYFUNCTION("""COMPUTED_VALUE"""),"ପିକଅପ୍ |")</f>
        <v>ପିକଅପ୍ |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tr">
        <f>IFERROR(__xludf.DUMMYFUNCTION("""COMPUTED_VALUE"""),"previousOrder")</f>
        <v>previousOrder</v>
      </c>
      <c r="B45" s="2" t="str">
        <f>IFERROR(__xludf.DUMMYFUNCTION("""COMPUTED_VALUE"""),"Previous Order")</f>
        <v>Previous Order</v>
      </c>
      <c r="C45" s="2"/>
      <c r="D45" s="2" t="str">
        <f>IFERROR(__xludf.DUMMYFUNCTION("""COMPUTED_VALUE"""),"ପୂର୍ବ କ୍ରମ")</f>
        <v>ପୂର୍ବ କ୍ରମ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tr">
        <f>IFERROR(__xludf.DUMMYFUNCTION("""COMPUTED_VALUE"""),"frequentlyBought")</f>
        <v>frequentlyBought</v>
      </c>
      <c r="B46" s="2" t="str">
        <f>IFERROR(__xludf.DUMMYFUNCTION("""COMPUTED_VALUE"""),"Frequently Bought")</f>
        <v>Frequently Bought</v>
      </c>
      <c r="C46" s="2"/>
      <c r="D46" s="2" t="str">
        <f>IFERROR(__xludf.DUMMYFUNCTION("""COMPUTED_VALUE"""),"ବାରମ୍ବାର କିଣିଛି |")</f>
        <v>ବାରମ୍ବାର କିଣିଛି |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tr">
        <f>IFERROR(__xludf.DUMMYFUNCTION("""COMPUTED_VALUE"""),"recommended")</f>
        <v>recommended</v>
      </c>
      <c r="B47" s="2" t="str">
        <f>IFERROR(__xludf.DUMMYFUNCTION("""COMPUTED_VALUE"""),"Recommended")</f>
        <v>Recommended</v>
      </c>
      <c r="C47" s="2"/>
      <c r="D47" s="2" t="str">
        <f>IFERROR(__xludf.DUMMYFUNCTION("""COMPUTED_VALUE"""),"ସୁପାରିଶ କରାଯାଇଛି |")</f>
        <v>ସୁପାରିଶ କରାଯାଇଛି |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tr">
        <f>IFERROR(__xludf.DUMMYFUNCTION("""COMPUTED_VALUE"""),"aboutSeller")</f>
        <v>aboutSeller</v>
      </c>
      <c r="B48" s="2" t="str">
        <f>IFERROR(__xludf.DUMMYFUNCTION("""COMPUTED_VALUE"""),"About Seller ")</f>
        <v>About Seller </v>
      </c>
      <c r="C48" s="2"/>
      <c r="D48" s="2" t="str">
        <f>IFERROR(__xludf.DUMMYFUNCTION("""COMPUTED_VALUE"""),"ବିକ୍ରେତା ବିଷୟରେ")</f>
        <v>ବିକ୍ରେତା ବିଷୟରେ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tr">
        <f>IFERROR(__xludf.DUMMYFUNCTION("""COMPUTED_VALUE"""),"sellingItems")</f>
        <v>sellingItems</v>
      </c>
      <c r="B49" s="2" t="str">
        <f>IFERROR(__xludf.DUMMYFUNCTION("""COMPUTED_VALUE"""),"Selling Items")</f>
        <v>Selling Items</v>
      </c>
      <c r="C49" s="2"/>
      <c r="D49" s="2" t="str">
        <f>IFERROR(__xludf.DUMMYFUNCTION("""COMPUTED_VALUE"""),"ଆଇଟମ୍ ବିକ୍ରୟ |")</f>
        <v>ଆଇଟମ୍ ବିକ୍ରୟ |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tr">
        <f>IFERROR(__xludf.DUMMYFUNCTION("""COMPUTED_VALUE"""),"menu")</f>
        <v>menu</v>
      </c>
      <c r="B50" s="2" t="str">
        <f>IFERROR(__xludf.DUMMYFUNCTION("""COMPUTED_VALUE"""),"Menu ")</f>
        <v>Menu </v>
      </c>
      <c r="C50" s="2"/>
      <c r="D50" s="2" t="str">
        <f>IFERROR(__xludf.DUMMYFUNCTION("""COMPUTED_VALUE"""),"ମେନୁ")</f>
        <v>ମେନୁ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tr">
        <f>IFERROR(__xludf.DUMMYFUNCTION("""COMPUTED_VALUE"""),"addToFavourites")</f>
        <v>addToFavourites</v>
      </c>
      <c r="B51" s="2" t="str">
        <f>IFERROR(__xludf.DUMMYFUNCTION("""COMPUTED_VALUE"""),"Add to favourites")</f>
        <v>Add to favourites</v>
      </c>
      <c r="C51" s="2"/>
      <c r="D51" s="2" t="str">
        <f>IFERROR(__xludf.DUMMYFUNCTION("""COMPUTED_VALUE"""),"ପ୍ରିୟମାନଙ୍କୁ ଯୋଡନ୍ତୁ |")</f>
        <v>ପ୍ରିୟମାନଙ୍କୁ ଯୋଡନ୍ତୁ |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tr">
        <f>IFERROR(__xludf.DUMMYFUNCTION("""COMPUTED_VALUE"""),"share")</f>
        <v>share</v>
      </c>
      <c r="B52" s="2" t="str">
        <f>IFERROR(__xludf.DUMMYFUNCTION("""COMPUTED_VALUE"""),"Share ")</f>
        <v>Share </v>
      </c>
      <c r="C52" s="2"/>
      <c r="D52" s="2" t="str">
        <f>IFERROR(__xludf.DUMMYFUNCTION("""COMPUTED_VALUE"""),"ଅଂଶୀଦାର କରନ୍ତୁ |")</f>
        <v>ଅଂଶୀଦାର କରନ୍ତୁ |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tr">
        <f>IFERROR(__xludf.DUMMYFUNCTION("""COMPUTED_VALUE"""),"shopInformation")</f>
        <v>shopInformation</v>
      </c>
      <c r="B53" s="2" t="str">
        <f>IFERROR(__xludf.DUMMYFUNCTION("""COMPUTED_VALUE"""),"Shop Information")</f>
        <v>Shop Information</v>
      </c>
      <c r="C53" s="2"/>
      <c r="D53" s="2" t="str">
        <f>IFERROR(__xludf.DUMMYFUNCTION("""COMPUTED_VALUE"""),"ଦୋକାନ ସୂଚନା")</f>
        <v>ଦୋକାନ ସୂଚନା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tr">
        <f>IFERROR(__xludf.DUMMYFUNCTION("""COMPUTED_VALUE"""),"more")</f>
        <v>more</v>
      </c>
      <c r="B54" s="2" t="str">
        <f>IFERROR(__xludf.DUMMYFUNCTION("""COMPUTED_VALUE"""),"More ")</f>
        <v>More </v>
      </c>
      <c r="C54" s="2">
        <f>IFERROR(__xludf.DUMMYFUNCTION("""COMPUTED_VALUE"""),0.2)</f>
        <v>0.2</v>
      </c>
      <c r="D54" s="2" t="str">
        <f>IFERROR(__xludf.DUMMYFUNCTION("""COMPUTED_VALUE"""),"ଅଧିକ")</f>
        <v>ଅଧିକ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tr">
        <f>IFERROR(__xludf.DUMMYFUNCTION("""COMPUTED_VALUE"""),"no.of pieces")</f>
        <v>no.of pieces</v>
      </c>
      <c r="B55" s="2" t="str">
        <f>IFERROR(__xludf.DUMMYFUNCTION("""COMPUTED_VALUE"""),"No.of Pieces")</f>
        <v>No.of Pieces</v>
      </c>
      <c r="C55" s="2">
        <f>IFERROR(__xludf.DUMMYFUNCTION("""COMPUTED_VALUE"""),0.3)</f>
        <v>0.3</v>
      </c>
      <c r="D55" s="2" t="str">
        <f>IFERROR(__xludf.DUMMYFUNCTION("""COMPUTED_VALUE"""),"ନଂ")</f>
        <v>ନଂ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tr">
        <f>IFERROR(__xludf.DUMMYFUNCTION("""COMPUTED_VALUE"""),"vegetables")</f>
        <v>vegetables</v>
      </c>
      <c r="B56" s="2" t="str">
        <f>IFERROR(__xludf.DUMMYFUNCTION("""COMPUTED_VALUE"""),"Vegetables ")</f>
        <v>Vegetables </v>
      </c>
      <c r="C56" s="2"/>
      <c r="D56" s="2" t="str">
        <f>IFERROR(__xludf.DUMMYFUNCTION("""COMPUTED_VALUE"""),"ପନିପରିବା |")</f>
        <v>ପନିପରିବା |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tr">
        <f>IFERROR(__xludf.DUMMYFUNCTION("""COMPUTED_VALUE"""),"today")</f>
        <v>today</v>
      </c>
      <c r="B57" s="2" t="str">
        <f>IFERROR(__xludf.DUMMYFUNCTION("""COMPUTED_VALUE"""),"Today")</f>
        <v>Today</v>
      </c>
      <c r="C57" s="2">
        <f>IFERROR(__xludf.DUMMYFUNCTION("""COMPUTED_VALUE"""),0.4)</f>
        <v>0.4</v>
      </c>
      <c r="D57" s="2" t="str">
        <f>IFERROR(__xludf.DUMMYFUNCTION("""COMPUTED_VALUE"""),"ଆଜି")</f>
        <v>ଆଜି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tr">
        <f>IFERROR(__xludf.DUMMYFUNCTION("""COMPUTED_VALUE"""),"tomorrow")</f>
        <v>tomorrow</v>
      </c>
      <c r="B58" s="2" t="str">
        <f>IFERROR(__xludf.DUMMYFUNCTION("""COMPUTED_VALUE"""),"Tomorrow")</f>
        <v>Tomorrow</v>
      </c>
      <c r="C58" s="2">
        <f>IFERROR(__xludf.DUMMYFUNCTION("""COMPUTED_VALUE"""),0.4)</f>
        <v>0.4</v>
      </c>
      <c r="D58" s="2" t="str">
        <f>IFERROR(__xludf.DUMMYFUNCTION("""COMPUTED_VALUE"""),"ଆସନ୍ତାକାଲି")</f>
        <v>ଆସନ୍ତାକାଲି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tr">
        <f>IFERROR(__xludf.DUMMYFUNCTION("""COMPUTED_VALUE"""),"addQuantity")</f>
        <v>addQuantity</v>
      </c>
      <c r="B59" s="2" t="str">
        <f>IFERROR(__xludf.DUMMYFUNCTION("""COMPUTED_VALUE"""),"Add Quantity ")</f>
        <v>Add Quantity </v>
      </c>
      <c r="C59" s="2">
        <f>IFERROR(__xludf.DUMMYFUNCTION("""COMPUTED_VALUE"""),0.3)</f>
        <v>0.3</v>
      </c>
      <c r="D59" s="2" t="str">
        <f>IFERROR(__xludf.DUMMYFUNCTION("""COMPUTED_VALUE"""),"ପରିମାଣ ଯୋଗ କରନ୍ତୁ |")</f>
        <v>ପରିମାଣ ଯୋଗ କରନ୍ତୁ |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tr">
        <f>IFERROR(__xludf.DUMMYFUNCTION("""COMPUTED_VALUE"""),"pieces")</f>
        <v>pieces</v>
      </c>
      <c r="B60" s="2" t="str">
        <f>IFERROR(__xludf.DUMMYFUNCTION("""COMPUTED_VALUE"""),"Pieces")</f>
        <v>Pieces</v>
      </c>
      <c r="C60" s="2">
        <f>IFERROR(__xludf.DUMMYFUNCTION("""COMPUTED_VALUE"""),0.2)</f>
        <v>0.2</v>
      </c>
      <c r="D60" s="2" t="str">
        <f>IFERROR(__xludf.DUMMYFUNCTION("""COMPUTED_VALUE"""),"ଖଣ୍ଡଗୁଡ଼ିକ")</f>
        <v>ଖଣ୍ଡଗୁଡ଼ିକ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tr">
        <f>IFERROR(__xludf.DUMMYFUNCTION("""COMPUTED_VALUE"""),"numberOfpieces")</f>
        <v>numberOfpieces</v>
      </c>
      <c r="B61" s="2" t="str">
        <f>IFERROR(__xludf.DUMMYFUNCTION("""COMPUTED_VALUE"""),"Number of Pieces")</f>
        <v>Number of Pieces</v>
      </c>
      <c r="C61" s="2"/>
      <c r="D61" s="2" t="str">
        <f>IFERROR(__xludf.DUMMYFUNCTION("""COMPUTED_VALUE"""),"ଖଣ୍ଡଗୁଡ଼ିକର ସଂଖ୍ୟା")</f>
        <v>ଖଣ୍ଡଗୁଡ଼ିକର ସଂଖ୍ୟା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tr">
        <f>IFERROR(__xludf.DUMMYFUNCTION("""COMPUTED_VALUE"""),"amount")</f>
        <v>amount</v>
      </c>
      <c r="B62" s="2" t="str">
        <f>IFERROR(__xludf.DUMMYFUNCTION("""COMPUTED_VALUE"""),"Amount ")</f>
        <v>Amount </v>
      </c>
      <c r="C62" s="2">
        <f>IFERROR(__xludf.DUMMYFUNCTION("""COMPUTED_VALUE"""),0.2)</f>
        <v>0.2</v>
      </c>
      <c r="D62" s="2" t="str">
        <f>IFERROR(__xludf.DUMMYFUNCTION("""COMPUTED_VALUE"""),"ପରିମାଣ")</f>
        <v>ପରିମାଣ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tr">
        <f>IFERROR(__xludf.DUMMYFUNCTION("""COMPUTED_VALUE"""),"viewCart")</f>
        <v>viewCart</v>
      </c>
      <c r="B63" s="2" t="str">
        <f>IFERROR(__xludf.DUMMYFUNCTION("""COMPUTED_VALUE"""),"View Cart")</f>
        <v>View Cart</v>
      </c>
      <c r="C63" s="2">
        <f>IFERROR(__xludf.DUMMYFUNCTION("""COMPUTED_VALUE"""),0.3)</f>
        <v>0.3</v>
      </c>
      <c r="D63" s="2" t="str">
        <f>IFERROR(__xludf.DUMMYFUNCTION("""COMPUTED_VALUE"""),"କାର୍ଟ ଦେଖନ୍ତୁ |")</f>
        <v>କାର୍ଟ ଦେଖନ୍ତୁ |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tr">
        <f>IFERROR(__xludf.DUMMYFUNCTION("""COMPUTED_VALUE"""),"orderSummary")</f>
        <v>orderSummary</v>
      </c>
      <c r="B64" s="2" t="str">
        <f>IFERROR(__xludf.DUMMYFUNCTION("""COMPUTED_VALUE"""),"Order Summary")</f>
        <v>Order Summary</v>
      </c>
      <c r="C64" s="2">
        <f>IFERROR(__xludf.DUMMYFUNCTION("""COMPUTED_VALUE"""),0.4)</f>
        <v>0.4</v>
      </c>
      <c r="D64" s="2" t="str">
        <f>IFERROR(__xludf.DUMMYFUNCTION("""COMPUTED_VALUE"""),"କ୍ରମ ସାରାଂଶ")</f>
        <v>କ୍ରମ ସାରାଂଶ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tr">
        <f>IFERROR(__xludf.DUMMYFUNCTION("""COMPUTED_VALUE"""),"detailedBill")</f>
        <v>detailedBill</v>
      </c>
      <c r="B65" s="2" t="str">
        <f>IFERROR(__xludf.DUMMYFUNCTION("""COMPUTED_VALUE"""),"Detailed Bill")</f>
        <v>Detailed Bill</v>
      </c>
      <c r="C65" s="2"/>
      <c r="D65" s="2" t="str">
        <f>IFERROR(__xludf.DUMMYFUNCTION("""COMPUTED_VALUE"""),"ବିସ୍ତୃତ ବିଲ୍ |")</f>
        <v>ବିସ୍ତୃତ ବିଲ୍ |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tr">
        <f>IFERROR(__xludf.DUMMYFUNCTION("""COMPUTED_VALUE"""),"cartTotal")</f>
        <v>cartTotal</v>
      </c>
      <c r="B66" s="2" t="str">
        <f>IFERROR(__xludf.DUMMYFUNCTION("""COMPUTED_VALUE"""),"Cart Total")</f>
        <v>Cart Total</v>
      </c>
      <c r="C66" s="2"/>
      <c r="D66" s="2" t="str">
        <f>IFERROR(__xludf.DUMMYFUNCTION("""COMPUTED_VALUE"""),"କାର୍ଟ ସମୁଦାୟ")</f>
        <v>କାର୍ଟ ସମୁଦାୟ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tr">
        <f>IFERROR(__xludf.DUMMYFUNCTION("""COMPUTED_VALUE"""),"discount")</f>
        <v>discount</v>
      </c>
      <c r="B67" s="2" t="str">
        <f>IFERROR(__xludf.DUMMYFUNCTION("""COMPUTED_VALUE"""),"Discount")</f>
        <v>Discount</v>
      </c>
      <c r="C67" s="2"/>
      <c r="D67" s="2" t="str">
        <f>IFERROR(__xludf.DUMMYFUNCTION("""COMPUTED_VALUE"""),"ରିହାତି")</f>
        <v>ରିହାତି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tr">
        <f>IFERROR(__xludf.DUMMYFUNCTION("""COMPUTED_VALUE"""),"total")</f>
        <v>total</v>
      </c>
      <c r="B68" s="2" t="str">
        <f>IFERROR(__xludf.DUMMYFUNCTION("""COMPUTED_VALUE"""),"Total")</f>
        <v>Total</v>
      </c>
      <c r="C68" s="2"/>
      <c r="D68" s="2" t="str">
        <f>IFERROR(__xludf.DUMMYFUNCTION("""COMPUTED_VALUE"""),"ସମୁଦାୟ")</f>
        <v>ସମୁଦାୟ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tr">
        <f>IFERROR(__xludf.DUMMYFUNCTION("""COMPUTED_VALUE"""),"selfPickup")</f>
        <v>selfPickup</v>
      </c>
      <c r="B69" s="2" t="str">
        <f>IFERROR(__xludf.DUMMYFUNCTION("""COMPUTED_VALUE"""),"Self Pickup")</f>
        <v>Self Pickup</v>
      </c>
      <c r="C69" s="2"/>
      <c r="D69" s="2" t="str">
        <f>IFERROR(__xludf.DUMMYFUNCTION("""COMPUTED_VALUE"""),"ସେଲ୍ପ୍ ପିକଅପ୍ |")</f>
        <v>ସେଲ୍ପ୍ ପିକଅପ୍ |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tr">
        <f>IFERROR(__xludf.DUMMYFUNCTION("""COMPUTED_VALUE"""),"totalPayable")</f>
        <v>totalPayable</v>
      </c>
      <c r="B70" s="2" t="str">
        <f>IFERROR(__xludf.DUMMYFUNCTION("""COMPUTED_VALUE"""),"Total Payable")</f>
        <v>Total Payable</v>
      </c>
      <c r="C70" s="2"/>
      <c r="D70" s="2" t="str">
        <f>IFERROR(__xludf.DUMMYFUNCTION("""COMPUTED_VALUE"""),"ସମୁଦାୟ ଦେୟଯୋଗ୍ୟ |")</f>
        <v>ସମୁଦାୟ ଦେୟଯୋଗ୍ୟ |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tr">
        <f>IFERROR(__xludf.DUMMYFUNCTION("""COMPUTED_VALUE"""),"payAtPickup")</f>
        <v>payAtPickup</v>
      </c>
      <c r="B71" s="2" t="str">
        <f>IFERROR(__xludf.DUMMYFUNCTION("""COMPUTED_VALUE"""),"Pay at Pickup")</f>
        <v>Pay at Pickup</v>
      </c>
      <c r="C71" s="2"/>
      <c r="D71" s="2" t="str">
        <f>IFERROR(__xludf.DUMMYFUNCTION("""COMPUTED_VALUE"""),"ପିକଅପ୍ ରେ ଦେୟ ଦିଅ |")</f>
        <v>ପିକଅପ୍ ରେ ଦେୟ ଦିଅ |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tr">
        <f>IFERROR(__xludf.DUMMYFUNCTION("""COMPUTED_VALUE"""),"savedDetails")</f>
        <v>savedDetails</v>
      </c>
      <c r="B72" s="2" t="str">
        <f>IFERROR(__xludf.DUMMYFUNCTION("""COMPUTED_VALUE"""),"Saved Details")</f>
        <v>Saved Details</v>
      </c>
      <c r="C72" s="2"/>
      <c r="D72" s="2" t="str">
        <f>IFERROR(__xludf.DUMMYFUNCTION("""COMPUTED_VALUE"""),"ସବିଶେଷ ବିବରଣୀ ସଞ୍ଚୟ ହୋଇଛି |")</f>
        <v>ସବିଶେଷ ବିବରଣୀ ସଞ୍ଚୟ ହୋଇଛି |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tr">
        <f>IFERROR(__xludf.DUMMYFUNCTION("""COMPUTED_VALUE"""),"debitAtmCard")</f>
        <v>debitAtmCard</v>
      </c>
      <c r="B73" s="2" t="str">
        <f>IFERROR(__xludf.DUMMYFUNCTION("""COMPUTED_VALUE"""),"Debit/ATM Card")</f>
        <v>Debit/ATM Card</v>
      </c>
      <c r="C73" s="2"/>
      <c r="D73" s="2" t="str">
        <f>IFERROR(__xludf.DUMMYFUNCTION("""COMPUTED_VALUE"""),"ଡେବିଟ୍ / ଏଟିଏମ୍ କାର୍ଡ |")</f>
        <v>ଡେବିଟ୍ / ଏଟିଏମ୍ କାର୍ଡ |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tr">
        <f>IFERROR(__xludf.DUMMYFUNCTION("""COMPUTED_VALUE"""),"netBanking")</f>
        <v>netBanking</v>
      </c>
      <c r="B74" s="2" t="str">
        <f>IFERROR(__xludf.DUMMYFUNCTION("""COMPUTED_VALUE"""),"Net Banking")</f>
        <v>Net Banking</v>
      </c>
      <c r="C74" s="2"/>
      <c r="D74" s="2" t="str">
        <f>IFERROR(__xludf.DUMMYFUNCTION("""COMPUTED_VALUE"""),"ନିଟ୍ ବ୍ୟାଙ୍କିଙ୍ଗ୍ |")</f>
        <v>ନିଟ୍ ବ୍ୟାଙ୍କିଙ୍ଗ୍ |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tr">
        <f>IFERROR(__xludf.DUMMYFUNCTION("""COMPUTED_VALUE"""),"addDebitCreditCard")</f>
        <v>addDebitCreditCard</v>
      </c>
      <c r="B75" s="2" t="str">
        <f>IFERROR(__xludf.DUMMYFUNCTION("""COMPUTED_VALUE"""),"Add Debit/Credit Card")</f>
        <v>Add Debit/Credit Card</v>
      </c>
      <c r="C75" s="2"/>
      <c r="D75" s="2" t="str">
        <f>IFERROR(__xludf.DUMMYFUNCTION("""COMPUTED_VALUE"""),"ଡେବିଟ୍ / କ୍ରେଡିଟ୍ କାର୍ଡ ଯୋଡନ୍ତୁ |")</f>
        <v>ଡେବିଟ୍ / କ୍ରେଡିଟ୍ କାର୍ଡ ଯୋଡନ୍ତୁ |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tr">
        <f>IFERROR(__xludf.DUMMYFUNCTION("""COMPUTED_VALUE"""),"wallets&amp;Upi")</f>
        <v>wallets&amp;Upi</v>
      </c>
      <c r="B76" s="2" t="str">
        <f>IFERROR(__xludf.DUMMYFUNCTION("""COMPUTED_VALUE"""),"Wallets &amp; UPI")</f>
        <v>Wallets &amp; UPI</v>
      </c>
      <c r="C76" s="2"/>
      <c r="D76" s="2" t="str">
        <f>IFERROR(__xludf.DUMMYFUNCTION("""COMPUTED_VALUE"""),"ୱାଲେଟ୍ ଏବଂ ୟୁଇ")</f>
        <v>ୱାଲେଟ୍ ଏବଂ ୟୁଇ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tr">
        <f>IFERROR(__xludf.DUMMYFUNCTION("""COMPUTED_VALUE"""),"phonepe")</f>
        <v>phonepe</v>
      </c>
      <c r="B77" s="2" t="str">
        <f>IFERROR(__xludf.DUMMYFUNCTION("""COMPUTED_VALUE"""),"PhonePe")</f>
        <v>PhonePe</v>
      </c>
      <c r="C77" s="2"/>
      <c r="D77" s="2" t="str">
        <f>IFERROR(__xludf.DUMMYFUNCTION("""COMPUTED_VALUE"""),"ଫୋନ୍ଦେ")</f>
        <v>ଫୋନ୍ଦେ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tr">
        <f>IFERROR(__xludf.DUMMYFUNCTION("""COMPUTED_VALUE"""),"paytm")</f>
        <v>paytm</v>
      </c>
      <c r="B78" s="2" t="str">
        <f>IFERROR(__xludf.DUMMYFUNCTION("""COMPUTED_VALUE"""),"Paytm")</f>
        <v>Paytm</v>
      </c>
      <c r="C78" s="2"/>
      <c r="D78" s="2" t="str">
        <f>IFERROR(__xludf.DUMMYFUNCTION("""COMPUTED_VALUE"""),"ପେଟି")</f>
        <v>ପେଟି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tr">
        <f>IFERROR(__xludf.DUMMYFUNCTION("""COMPUTED_VALUE"""),"otherUpi")</f>
        <v>otherUpi</v>
      </c>
      <c r="B79" s="2" t="str">
        <f>IFERROR(__xludf.DUMMYFUNCTION("""COMPUTED_VALUE"""),"Other UPI")</f>
        <v>Other UPI</v>
      </c>
      <c r="C79" s="2"/>
      <c r="D79" s="2" t="str">
        <f>IFERROR(__xludf.DUMMYFUNCTION("""COMPUTED_VALUE"""),"ଅନ୍ୟ ଉତ୍ତୋଳୁଛି")</f>
        <v>ଅନ୍ୟ ଉତ୍ତୋଳୁଛି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tr">
        <f>IFERROR(__xludf.DUMMYFUNCTION("""COMPUTED_VALUE"""),"payNow")</f>
        <v>payNow</v>
      </c>
      <c r="B80" s="2" t="str">
        <f>IFERROR(__xludf.DUMMYFUNCTION("""COMPUTED_VALUE"""),"Pay Now")</f>
        <v>Pay Now</v>
      </c>
      <c r="C80" s="2"/>
      <c r="D80" s="2" t="str">
        <f>IFERROR(__xludf.DUMMYFUNCTION("""COMPUTED_VALUE"""),"ଏବେ ପରିଶୋଧ କର")</f>
        <v>ଏବେ ପରିଶୋଧ କର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tr">
        <f>IFERROR(__xludf.DUMMYFUNCTION("""COMPUTED_VALUE"""),"deliverAt")</f>
        <v>deliverAt</v>
      </c>
      <c r="B81" s="2" t="str">
        <f>IFERROR(__xludf.DUMMYFUNCTION("""COMPUTED_VALUE"""),"Deliver at")</f>
        <v>Deliver at</v>
      </c>
      <c r="C81" s="2"/>
      <c r="D81" s="2" t="str">
        <f>IFERROR(__xludf.DUMMYFUNCTION("""COMPUTED_VALUE"""),"ରେ ବିତରଣ କରନ୍ତୁ |")</f>
        <v>ରେ ବିତରଣ କରନ୍ତୁ |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tr">
        <f>IFERROR(__xludf.DUMMYFUNCTION("""COMPUTED_VALUE"""),"noContact")</f>
        <v>noContact</v>
      </c>
      <c r="B82" s="2" t="str">
        <f>IFERROR(__xludf.DUMMYFUNCTION("""COMPUTED_VALUE"""),"No Contact")</f>
        <v>No Contact</v>
      </c>
      <c r="C82" s="2"/>
      <c r="D82" s="2" t="str">
        <f>IFERROR(__xludf.DUMMYFUNCTION("""COMPUTED_VALUE"""),"କ contaction ଣସି ସମ୍ପର୍କ ନାହିଁ")</f>
        <v>କ contaction ଣସି ସମ୍ପର୍କ ନାହିଁ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tr">
        <f>IFERROR(__xludf.DUMMYFUNCTION("""COMPUTED_VALUE"""),"scheduleDelivery")</f>
        <v>scheduleDelivery</v>
      </c>
      <c r="B83" s="2" t="str">
        <f>IFERROR(__xludf.DUMMYFUNCTION("""COMPUTED_VALUE"""),"Schedule Delivery")</f>
        <v>Schedule Delivery</v>
      </c>
      <c r="C83" s="2">
        <f>IFERROR(__xludf.DUMMYFUNCTION("""COMPUTED_VALUE"""),0.3)</f>
        <v>0.3</v>
      </c>
      <c r="D83" s="2" t="str">
        <f>IFERROR(__xludf.DUMMYFUNCTION("""COMPUTED_VALUE"""),"ସ୍ଥାୟୀ ବିତରଣ କାର୍ଯ୍ୟସୂଚୀ |")</f>
        <v>ସ୍ଥାୟୀ ବିତରଣ କାର୍ଯ୍ୟସୂଚୀ |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tr">
        <f>IFERROR(__xludf.DUMMYFUNCTION("""COMPUTED_VALUE"""),"am")</f>
        <v>am</v>
      </c>
      <c r="B84" s="2" t="str">
        <f>IFERROR(__xludf.DUMMYFUNCTION("""COMPUTED_VALUE"""),"AM")</f>
        <v>AM</v>
      </c>
      <c r="C84" s="2"/>
      <c r="D84" s="2" t="str">
        <f>IFERROR(__xludf.DUMMYFUNCTION("""COMPUTED_VALUE"""),"ମୁଁ")</f>
        <v>ମୁଁ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tr">
        <f>IFERROR(__xludf.DUMMYFUNCTION("""COMPUTED_VALUE"""),"pm")</f>
        <v>pm</v>
      </c>
      <c r="B85" s="2" t="str">
        <f>IFERROR(__xludf.DUMMYFUNCTION("""COMPUTED_VALUE"""),"PM")</f>
        <v>PM</v>
      </c>
      <c r="C85" s="2"/>
      <c r="D85" s="2" t="str">
        <f>IFERROR(__xludf.DUMMYFUNCTION("""COMPUTED_VALUE"""),"PM")</f>
        <v>PM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tr">
        <f>IFERROR(__xludf.DUMMYFUNCTION("""COMPUTED_VALUE"""),"hour")</f>
        <v>hour</v>
      </c>
      <c r="B86" s="2" t="str">
        <f>IFERROR(__xludf.DUMMYFUNCTION("""COMPUTED_VALUE"""),"Hour")</f>
        <v>Hour</v>
      </c>
      <c r="C86" s="2"/>
      <c r="D86" s="2" t="str">
        <f>IFERROR(__xludf.DUMMYFUNCTION("""COMPUTED_VALUE"""),"ଘଣ୍ଟା")</f>
        <v>ଘଣ୍ଟା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tr">
        <f>IFERROR(__xludf.DUMMYFUNCTION("""COMPUTED_VALUE"""),"freeDelivery")</f>
        <v>freeDelivery</v>
      </c>
      <c r="B87" s="2" t="str">
        <f>IFERROR(__xludf.DUMMYFUNCTION("""COMPUTED_VALUE"""),"Free Delivery")</f>
        <v>Free Delivery</v>
      </c>
      <c r="C87" s="2"/>
      <c r="D87" s="2" t="str">
        <f>IFERROR(__xludf.DUMMYFUNCTION("""COMPUTED_VALUE"""),"ମାଗଣା ବିତରଣ |")</f>
        <v>ମାଗଣା ବିତରଣ |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tr">
        <f>IFERROR(__xludf.DUMMYFUNCTION("""COMPUTED_VALUE"""),"enterCvv")</f>
        <v>enterCvv</v>
      </c>
      <c r="B88" s="2" t="str">
        <f>IFERROR(__xludf.DUMMYFUNCTION("""COMPUTED_VALUE"""),"Enter CVV")</f>
        <v>Enter CVV</v>
      </c>
      <c r="C88" s="2"/>
      <c r="D88" s="2" t="str">
        <f>IFERROR(__xludf.DUMMYFUNCTION("""COMPUTED_VALUE"""),"CVV ପ୍ରବେଶ କରନ୍ତୁ |")</f>
        <v>CVV ପ୍ରବେଶ କରନ୍ତୁ |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tr">
        <f>IFERROR(__xludf.DUMMYFUNCTION("""COMPUTED_VALUE"""),"cardNumber")</f>
        <v>cardNumber</v>
      </c>
      <c r="B89" s="2" t="str">
        <f>IFERROR(__xludf.DUMMYFUNCTION("""COMPUTED_VALUE"""),"Card Number")</f>
        <v>Card Number</v>
      </c>
      <c r="C89" s="2"/>
      <c r="D89" s="2" t="str">
        <f>IFERROR(__xludf.DUMMYFUNCTION("""COMPUTED_VALUE"""),"କାର୍ଡ଼ ସଂଖ୍ୟା")</f>
        <v>କାର୍ଡ଼ ସଂଖ୍ୟା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tr">
        <f>IFERROR(__xludf.DUMMYFUNCTION("""COMPUTED_VALUE"""),"expiry")</f>
        <v>expiry</v>
      </c>
      <c r="B90" s="2" t="str">
        <f>IFERROR(__xludf.DUMMYFUNCTION("""COMPUTED_VALUE"""),"Expiry")</f>
        <v>Expiry</v>
      </c>
      <c r="C90" s="2"/>
      <c r="D90" s="2" t="str">
        <f>IFERROR(__xludf.DUMMYFUNCTION("""COMPUTED_VALUE"""),"ସମାପ୍ତି")</f>
        <v>ସମାପ୍ତି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tr">
        <f>IFERROR(__xludf.DUMMYFUNCTION("""COMPUTED_VALUE"""),"nameOnCard")</f>
        <v>nameOnCard</v>
      </c>
      <c r="B91" s="2" t="str">
        <f>IFERROR(__xludf.DUMMYFUNCTION("""COMPUTED_VALUE"""),"Name on Card")</f>
        <v>Name on Card</v>
      </c>
      <c r="C91" s="2"/>
      <c r="D91" s="2" t="str">
        <f>IFERROR(__xludf.DUMMYFUNCTION("""COMPUTED_VALUE"""),"ପତ୍ର ଉପରେ ଲିଖିତ ନାମ")</f>
        <v>ପତ୍ର ଉପରେ ଲିଖିତ ନାମ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tr">
        <f>IFERROR(__xludf.DUMMYFUNCTION("""COMPUTED_VALUE"""),"saveCardDetails")</f>
        <v>saveCardDetails</v>
      </c>
      <c r="B92" s="2" t="str">
        <f>IFERROR(__xludf.DUMMYFUNCTION("""COMPUTED_VALUE"""),"Save Card Details")</f>
        <v>Save Card Details</v>
      </c>
      <c r="C92" s="2"/>
      <c r="D92" s="2" t="str">
        <f>IFERROR(__xludf.DUMMYFUNCTION("""COMPUTED_VALUE"""),"କାର୍ଡ ବିବରଣୀ ସଞ୍ଚୟ କରନ୍ତୁ |")</f>
        <v>କାର୍ଡ ବିବରଣୀ ସଞ୍ଚୟ କରନ୍ତୁ |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tr">
        <f>IFERROR(__xludf.DUMMYFUNCTION("""COMPUTED_VALUE"""),"icici")</f>
        <v>icici</v>
      </c>
      <c r="B93" s="2" t="str">
        <f>IFERROR(__xludf.DUMMYFUNCTION("""COMPUTED_VALUE"""),"ICICI")</f>
        <v>ICICI</v>
      </c>
      <c r="C93" s="2"/>
      <c r="D93" s="2" t="str">
        <f>IFERROR(__xludf.DUMMYFUNCTION("""COMPUTED_VALUE"""),"ଆଇସିସି")</f>
        <v>ଆଇସିସି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tr">
        <f>IFERROR(__xludf.DUMMYFUNCTION("""COMPUTED_VALUE"""),"sbi")</f>
        <v>sbi</v>
      </c>
      <c r="B94" s="2" t="str">
        <f>IFERROR(__xludf.DUMMYFUNCTION("""COMPUTED_VALUE"""),"SBI")</f>
        <v>SBI</v>
      </c>
      <c r="C94" s="2"/>
      <c r="D94" s="2" t="str">
        <f>IFERROR(__xludf.DUMMYFUNCTION("""COMPUTED_VALUE"""),"SBI")</f>
        <v>SBI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tr">
        <f>IFERROR(__xludf.DUMMYFUNCTION("""COMPUTED_VALUE"""),"hdfc")</f>
        <v>hdfc</v>
      </c>
      <c r="B95" s="2" t="str">
        <f>IFERROR(__xludf.DUMMYFUNCTION("""COMPUTED_VALUE"""),"HDFC")</f>
        <v>HDFC</v>
      </c>
      <c r="C95" s="2"/>
      <c r="D95" s="2" t="str">
        <f>IFERROR(__xludf.DUMMYFUNCTION("""COMPUTED_VALUE"""),"HDFC")</f>
        <v>HDFC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tr">
        <f>IFERROR(__xludf.DUMMYFUNCTION("""COMPUTED_VALUE"""),"moreBanks")</f>
        <v>moreBanks</v>
      </c>
      <c r="B96" s="2" t="str">
        <f>IFERROR(__xludf.DUMMYFUNCTION("""COMPUTED_VALUE"""),"More Banks")</f>
        <v>More Banks</v>
      </c>
      <c r="C96" s="2"/>
      <c r="D96" s="2" t="str">
        <f>IFERROR(__xludf.DUMMYFUNCTION("""COMPUTED_VALUE"""),"ଅଧିକ ବ୍ୟାଙ୍କଗୁଡିକ |")</f>
        <v>ଅଧିକ ବ୍ୟାଙ୍କଗୁଡିକ |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tr">
        <f>IFERROR(__xludf.DUMMYFUNCTION("""COMPUTED_VALUE"""),"orderConfirmed")</f>
        <v>orderConfirmed</v>
      </c>
      <c r="B97" s="2" t="str">
        <f>IFERROR(__xludf.DUMMYFUNCTION("""COMPUTED_VALUE"""),"Order Confirmed")</f>
        <v>Order Confirmed</v>
      </c>
      <c r="C97" s="2"/>
      <c r="D97" s="2" t="str">
        <f>IFERROR(__xludf.DUMMYFUNCTION("""COMPUTED_VALUE"""),"ଅର୍ଡର ନିଶ୍ଚିତ ହୋଇଛି |")</f>
        <v>ଅର୍ଡର ନିଶ୍ଚିତ ହୋଇଛି |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tr">
        <f>IFERROR(__xludf.DUMMYFUNCTION("""COMPUTED_VALUE"""),"orderNumber")</f>
        <v>orderNumber</v>
      </c>
      <c r="B98" s="2" t="str">
        <f>IFERROR(__xludf.DUMMYFUNCTION("""COMPUTED_VALUE"""),"Order Number")</f>
        <v>Order Number</v>
      </c>
      <c r="C98" s="2"/>
      <c r="D98" s="2" t="str">
        <f>IFERROR(__xludf.DUMMYFUNCTION("""COMPUTED_VALUE"""),"ଅର୍ଡର ନମ୍ବର")</f>
        <v>ଅର୍ଡର ନମ୍ବର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tr">
        <f>IFERROR(__xludf.DUMMYFUNCTION("""COMPUTED_VALUE"""),"payment")</f>
        <v>payment</v>
      </c>
      <c r="B99" s="2" t="str">
        <f>IFERROR(__xludf.DUMMYFUNCTION("""COMPUTED_VALUE"""),"Payment ")</f>
        <v>Payment </v>
      </c>
      <c r="C99" s="2"/>
      <c r="D99" s="2" t="str">
        <f>IFERROR(__xludf.DUMMYFUNCTION("""COMPUTED_VALUE"""),"ଦେୟ")</f>
        <v>ଦେୟ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tr">
        <f>IFERROR(__xludf.DUMMYFUNCTION("""COMPUTED_VALUE"""),"dateOfOrder")</f>
        <v>dateOfOrder</v>
      </c>
      <c r="B100" s="2" t="str">
        <f>IFERROR(__xludf.DUMMYFUNCTION("""COMPUTED_VALUE"""),"Date of Order")</f>
        <v>Date of Order</v>
      </c>
      <c r="C100" s="2"/>
      <c r="D100" s="2" t="str">
        <f>IFERROR(__xludf.DUMMYFUNCTION("""COMPUTED_VALUE"""),"କ୍ରମର ତାରିଖ")</f>
        <v>କ୍ରମର ତାରିଖ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tr">
        <f>IFERROR(__xludf.DUMMYFUNCTION("""COMPUTED_VALUE"""),"terms&amp;conditionsandprivacypolicy")</f>
        <v>terms&amp;conditionsandprivacypolicy</v>
      </c>
      <c r="B101" s="2" t="str">
        <f>IFERROR(__xludf.DUMMYFUNCTION("""COMPUTED_VALUE"""),"Terms &amp; Conditions and Privacy Policy")</f>
        <v>Terms &amp; Conditions and Privacy Policy</v>
      </c>
      <c r="C101" s="2">
        <f>IFERROR(__xludf.DUMMYFUNCTION("""COMPUTED_VALUE"""),0.2)</f>
        <v>0.2</v>
      </c>
      <c r="D101" s="2" t="str">
        <f>IFERROR(__xludf.DUMMYFUNCTION("""COMPUTED_VALUE"""),"ସର୍ତ୍ତାବଳୀ ଏବଂ ସର୍ତ୍ତ ଏବଂ ଗୋପନୀୟତା ନୀତି |")</f>
        <v>ସର୍ତ୍ତାବଳୀ ଏବଂ ସର୍ତ୍ତ ଏବଂ ଗୋପନୀୟତା ନୀତି |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tr">
        <f>IFERROR(__xludf.DUMMYFUNCTION("""COMPUTED_VALUE"""),"trackOrder")</f>
        <v>trackOrder</v>
      </c>
      <c r="B102" s="2" t="str">
        <f>IFERROR(__xludf.DUMMYFUNCTION("""COMPUTED_VALUE"""),"Track Order")</f>
        <v>Track Order</v>
      </c>
      <c r="C102" s="2">
        <f>IFERROR(__xludf.DUMMYFUNCTION("""COMPUTED_VALUE"""),0.2)</f>
        <v>0.2</v>
      </c>
      <c r="D102" s="2" t="str">
        <f>IFERROR(__xludf.DUMMYFUNCTION("""COMPUTED_VALUE"""),"ଟ୍ରାକ୍ ଅର୍ଡର |")</f>
        <v>ଟ୍ରାକ୍ ଅର୍ଡର |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tr">
        <f>IFERROR(__xludf.DUMMYFUNCTION("""COMPUTED_VALUE"""),"activeOrders")</f>
        <v>activeOrders</v>
      </c>
      <c r="B103" s="2" t="str">
        <f>IFERROR(__xludf.DUMMYFUNCTION("""COMPUTED_VALUE"""),"Active Orders")</f>
        <v>Active Orders</v>
      </c>
      <c r="C103" s="2"/>
      <c r="D103" s="2" t="str">
        <f>IFERROR(__xludf.DUMMYFUNCTION("""COMPUTED_VALUE"""),"ସକ୍ରିୟ ଅର୍ଡର |")</f>
        <v>ସକ୍ରିୟ ଅର୍ଡର |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tr">
        <f>IFERROR(__xludf.DUMMYFUNCTION("""COMPUTED_VALUE"""),"view")</f>
        <v>view</v>
      </c>
      <c r="B104" s="2" t="str">
        <f>IFERROR(__xludf.DUMMYFUNCTION("""COMPUTED_VALUE"""),"View")</f>
        <v>View</v>
      </c>
      <c r="C104" s="2"/>
      <c r="D104" s="2" t="str">
        <f>IFERROR(__xludf.DUMMYFUNCTION("""COMPUTED_VALUE"""),"ଦର୍ଶନ")</f>
        <v>ଦର୍ଶନ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tr">
        <f>IFERROR(__xludf.DUMMYFUNCTION("""COMPUTED_VALUE"""),"chat")</f>
        <v>chat</v>
      </c>
      <c r="B105" s="2" t="str">
        <f>IFERROR(__xludf.DUMMYFUNCTION("""COMPUTED_VALUE"""),"Chat")</f>
        <v>Chat</v>
      </c>
      <c r="C105" s="2"/>
      <c r="D105" s="2" t="str">
        <f>IFERROR(__xludf.DUMMYFUNCTION("""COMPUTED_VALUE"""),"ଚାଟ୍ କରନ୍ତୁ |")</f>
        <v>ଚାଟ୍ କରନ୍ତୁ |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tr">
        <f>IFERROR(__xludf.DUMMYFUNCTION("""COMPUTED_VALUE"""),"orderDetails")</f>
        <v>orderDetails</v>
      </c>
      <c r="B106" s="2" t="str">
        <f>IFERROR(__xludf.DUMMYFUNCTION("""COMPUTED_VALUE"""),"Order Details")</f>
        <v>Order Details</v>
      </c>
      <c r="C106" s="2"/>
      <c r="D106" s="2" t="str">
        <f>IFERROR(__xludf.DUMMYFUNCTION("""COMPUTED_VALUE"""),"ବିବରଣୀ ଅର୍ଡର କରନ୍ତୁ |")</f>
        <v>ବିବରଣୀ ଅର୍ଡର କରନ୍ତୁ |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tr">
        <f>IFERROR(__xludf.DUMMYFUNCTION("""COMPUTED_VALUE"""),"cancel")</f>
        <v>cancel</v>
      </c>
      <c r="B107" s="2" t="str">
        <f>IFERROR(__xludf.DUMMYFUNCTION("""COMPUTED_VALUE"""),"Cancel ")</f>
        <v>Cancel </v>
      </c>
      <c r="C107" s="2">
        <f>IFERROR(__xludf.DUMMYFUNCTION("""COMPUTED_VALUE"""),0.4)</f>
        <v>0.4</v>
      </c>
      <c r="D107" s="2" t="str">
        <f>IFERROR(__xludf.DUMMYFUNCTION("""COMPUTED_VALUE"""),"ବାତିଲ୍ କରନ୍ତୁ |")</f>
        <v>ବାତିଲ୍ କରନ୍ତୁ |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tr">
        <f>IFERROR(__xludf.DUMMYFUNCTION("""COMPUTED_VALUE"""),"PaymentPending")</f>
        <v>PaymentPending</v>
      </c>
      <c r="B108" s="2" t="str">
        <f>IFERROR(__xludf.DUMMYFUNCTION("""COMPUTED_VALUE"""),"Payment Pending")</f>
        <v>Payment Pending</v>
      </c>
      <c r="C108" s="2">
        <f>IFERROR(__xludf.DUMMYFUNCTION("""COMPUTED_VALUE"""),0.3)</f>
        <v>0.3</v>
      </c>
      <c r="D108" s="2" t="str">
        <f>IFERROR(__xludf.DUMMYFUNCTION("""COMPUTED_VALUE"""),"ବିଚାରାଧୀନ ଦେୟ")</f>
        <v>ବିଚାରାଧୀନ ଦେୟ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tr">
        <f>IFERROR(__xludf.DUMMYFUNCTION("""COMPUTED_VALUE"""),"support")</f>
        <v>support</v>
      </c>
      <c r="B109" s="2" t="str">
        <f>IFERROR(__xludf.DUMMYFUNCTION("""COMPUTED_VALUE"""),"Support")</f>
        <v>Support</v>
      </c>
      <c r="C109" s="2"/>
      <c r="D109" s="2" t="str">
        <f>IFERROR(__xludf.DUMMYFUNCTION("""COMPUTED_VALUE"""),"ସମର୍ଥନ")</f>
        <v>ସମର୍ଥନ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tr">
        <f>IFERROR(__xludf.DUMMYFUNCTION("""COMPUTED_VALUE"""),"payment")</f>
        <v>payment</v>
      </c>
      <c r="B110" s="2" t="str">
        <f>IFERROR(__xludf.DUMMYFUNCTION("""COMPUTED_VALUE"""),"Payment")</f>
        <v>Payment</v>
      </c>
      <c r="C110" s="2"/>
      <c r="D110" s="2" t="str">
        <f>IFERROR(__xludf.DUMMYFUNCTION("""COMPUTED_VALUE"""),"ଦେୟ")</f>
        <v>ଦେୟ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tr">
        <f>IFERROR(__xludf.DUMMYFUNCTION("""COMPUTED_VALUE"""),"orderTotal")</f>
        <v>orderTotal</v>
      </c>
      <c r="B111" s="2" t="str">
        <f>IFERROR(__xludf.DUMMYFUNCTION("""COMPUTED_VALUE"""),"Order Total")</f>
        <v>Order Total</v>
      </c>
      <c r="C111" s="2">
        <f>IFERROR(__xludf.DUMMYFUNCTION("""COMPUTED_VALUE"""),0.5)</f>
        <v>0.5</v>
      </c>
      <c r="D111" s="2" t="str">
        <f>IFERROR(__xludf.DUMMYFUNCTION("""COMPUTED_VALUE"""),"ସମୁଦାୟ ଅର୍ଡର କରନ୍ତୁ |")</f>
        <v>ସମୁଦାୟ ଅର୍ଡର କରନ୍ତୁ |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tr">
        <f>IFERROR(__xludf.DUMMYFUNCTION("""COMPUTED_VALUE"""),"orderPlaced")</f>
        <v>orderPlaced</v>
      </c>
      <c r="B112" s="2" t="str">
        <f>IFERROR(__xludf.DUMMYFUNCTION("""COMPUTED_VALUE"""),"Order Placed")</f>
        <v>Order Placed</v>
      </c>
      <c r="C112" s="2"/>
      <c r="D112" s="2" t="str">
        <f>IFERROR(__xludf.DUMMYFUNCTION("""COMPUTED_VALUE"""),"ଦିଆଯାଇଥିବା ଆଦେଶ")</f>
        <v>ଦିଆଯାଇଥିବା ଆଦେଶ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tr">
        <f>IFERROR(__xludf.DUMMYFUNCTION("""COMPUTED_VALUE"""),"orderAccepted")</f>
        <v>orderAccepted</v>
      </c>
      <c r="B113" s="2" t="str">
        <f>IFERROR(__xludf.DUMMYFUNCTION("""COMPUTED_VALUE"""),"Order Accepted")</f>
        <v>Order Accepted</v>
      </c>
      <c r="C113" s="2"/>
      <c r="D113" s="2" t="str">
        <f>IFERROR(__xludf.DUMMYFUNCTION("""COMPUTED_VALUE"""),"ଆଦେଶ ଗ୍ରହଣ")</f>
        <v>ଆଦେଶ ଗ୍ରହଣ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tr">
        <f>IFERROR(__xludf.DUMMYFUNCTION("""COMPUTED_VALUE"""),"processing")</f>
        <v>processing</v>
      </c>
      <c r="B114" s="2" t="str">
        <f>IFERROR(__xludf.DUMMYFUNCTION("""COMPUTED_VALUE"""),"Processing")</f>
        <v>Processing</v>
      </c>
      <c r="C114" s="2">
        <f>IFERROR(__xludf.DUMMYFUNCTION("""COMPUTED_VALUE"""),0.4)</f>
        <v>0.4</v>
      </c>
      <c r="D114" s="2" t="str">
        <f>IFERROR(__xludf.DUMMYFUNCTION("""COMPUTED_VALUE"""),"ପ୍ରକ୍ରିୟାକରଣ")</f>
        <v>ପ୍ରକ୍ରିୟାକରଣ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tr">
        <f>IFERROR(__xludf.DUMMYFUNCTION("""COMPUTED_VALUE"""),"ready")</f>
        <v>ready</v>
      </c>
      <c r="B115" s="2" t="str">
        <f>IFERROR(__xludf.DUMMYFUNCTION("""COMPUTED_VALUE"""),"Ready")</f>
        <v>Ready</v>
      </c>
      <c r="C115" s="2">
        <f>IFERROR(__xludf.DUMMYFUNCTION("""COMPUTED_VALUE"""),0.4)</f>
        <v>0.4</v>
      </c>
      <c r="D115" s="2" t="str">
        <f>IFERROR(__xludf.DUMMYFUNCTION("""COMPUTED_VALUE"""),"ପ୍ରସ୍ତୁତ")</f>
        <v>ପ୍ରସ୍ତୁତ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tr">
        <f>IFERROR(__xludf.DUMMYFUNCTION("""COMPUTED_VALUE"""),"dispatched")</f>
        <v>dispatched</v>
      </c>
      <c r="B116" s="2" t="str">
        <f>IFERROR(__xludf.DUMMYFUNCTION("""COMPUTED_VALUE"""),"Dispatched")</f>
        <v>Dispatched</v>
      </c>
      <c r="C116" s="2"/>
      <c r="D116" s="2" t="str">
        <f>IFERROR(__xludf.DUMMYFUNCTION("""COMPUTED_VALUE"""),"ପଠାଗଲା")</f>
        <v>ପଠାଗଲା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tr">
        <f>IFERROR(__xludf.DUMMYFUNCTION("""COMPUTED_VALUE"""),"contactSeller")</f>
        <v>contactSeller</v>
      </c>
      <c r="B117" s="2" t="str">
        <f>IFERROR(__xludf.DUMMYFUNCTION("""COMPUTED_VALUE"""),"Contact Seller")</f>
        <v>Contact Seller</v>
      </c>
      <c r="C117" s="2" t="str">
        <f>IFERROR(__xludf.DUMMYFUNCTION("""COMPUTED_VALUE"""),"0.4.1")</f>
        <v>0.4.1</v>
      </c>
      <c r="D117" s="2" t="str">
        <f>IFERROR(__xludf.DUMMYFUNCTION("""COMPUTED_VALUE"""),"ବିକ୍ରେତାଙ୍କ ସହିତ ଯୋଗାଯୋଗ କରନ୍ତୁ |")</f>
        <v>ବିକ୍ରେତାଙ୍କ ସହିତ ଯୋଗାଯୋଗ କରନ୍ତୁ |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tr">
        <f>IFERROR(__xludf.DUMMYFUNCTION("""COMPUTED_VALUE"""),"viewOrderSummary")</f>
        <v>viewOrderSummary</v>
      </c>
      <c r="B118" s="2" t="str">
        <f>IFERROR(__xludf.DUMMYFUNCTION("""COMPUTED_VALUE"""),"View Order Summary")</f>
        <v>View Order Summary</v>
      </c>
      <c r="C118" s="2"/>
      <c r="D118" s="2" t="str">
        <f>IFERROR(__xludf.DUMMYFUNCTION("""COMPUTED_VALUE"""),"ଅର୍ଡର ସାରାଂଶ ଦେଖନ୍ତୁ |")</f>
        <v>ଅର୍ଡର ସାରାଂଶ ଦେଖନ୍ତୁ |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tr">
        <f>IFERROR(__xludf.DUMMYFUNCTION("""COMPUTED_VALUE"""),"addInstructions")</f>
        <v>addInstructions</v>
      </c>
      <c r="B119" s="2" t="str">
        <f>IFERROR(__xludf.DUMMYFUNCTION("""COMPUTED_VALUE"""),"Add Instructions")</f>
        <v>Add Instructions</v>
      </c>
      <c r="C119" s="2"/>
      <c r="D119" s="2" t="str">
        <f>IFERROR(__xludf.DUMMYFUNCTION("""COMPUTED_VALUE"""),"ନିର୍ଦ୍ଦେଶାବଳୀ ଯୋଡନ୍ତୁ")</f>
        <v>ନିର୍ଦ୍ଦେଶାବଳୀ ଯୋଡନ୍ତୁ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tr">
        <f>IFERROR(__xludf.DUMMYFUNCTION("""COMPUTED_VALUE"""),"myAccount")</f>
        <v>myAccount</v>
      </c>
      <c r="B120" s="2" t="str">
        <f>IFERROR(__xludf.DUMMYFUNCTION("""COMPUTED_VALUE"""),"My Account ")</f>
        <v>My Account </v>
      </c>
      <c r="C120" s="2">
        <f>IFERROR(__xludf.DUMMYFUNCTION("""COMPUTED_VALUE"""),0.1)</f>
        <v>0.1</v>
      </c>
      <c r="D120" s="2" t="str">
        <f>IFERROR(__xludf.DUMMYFUNCTION("""COMPUTED_VALUE"""),"ମୋ ଖାତା")</f>
        <v>ମୋ ଖାତା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tr">
        <f>IFERROR(__xludf.DUMMYFUNCTION("""COMPUTED_VALUE"""),"favourite")</f>
        <v>favourite</v>
      </c>
      <c r="B121" s="2" t="str">
        <f>IFERROR(__xludf.DUMMYFUNCTION("""COMPUTED_VALUE"""),"Favourite")</f>
        <v>Favourite</v>
      </c>
      <c r="C121" s="2">
        <f>IFERROR(__xludf.DUMMYFUNCTION("""COMPUTED_VALUE"""),0.1)</f>
        <v>0.1</v>
      </c>
      <c r="D121" s="2" t="str">
        <f>IFERROR(__xludf.DUMMYFUNCTION("""COMPUTED_VALUE"""),"ପ୍ରିୟ")</f>
        <v>ପ୍ରିୟ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tr">
        <f>IFERROR(__xludf.DUMMYFUNCTION("""COMPUTED_VALUE"""),"settings")</f>
        <v>settings</v>
      </c>
      <c r="B122" s="2" t="str">
        <f>IFERROR(__xludf.DUMMYFUNCTION("""COMPUTED_VALUE"""),"Settings")</f>
        <v>Settings</v>
      </c>
      <c r="C122" s="2">
        <f>IFERROR(__xludf.DUMMYFUNCTION("""COMPUTED_VALUE"""),0.1)</f>
        <v>0.1</v>
      </c>
      <c r="D122" s="2" t="str">
        <f>IFERROR(__xludf.DUMMYFUNCTION("""COMPUTED_VALUE"""),"ସେଟିଂସମୂହ")</f>
        <v>ସେଟିଂସମୂହ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tr">
        <f>IFERROR(__xludf.DUMMYFUNCTION("""COMPUTED_VALUE"""),"myAddress")</f>
        <v>myAddress</v>
      </c>
      <c r="B123" s="2" t="str">
        <f>IFERROR(__xludf.DUMMYFUNCTION("""COMPUTED_VALUE"""),"My Address")</f>
        <v>My Address</v>
      </c>
      <c r="C123" s="2">
        <f>IFERROR(__xludf.DUMMYFUNCTION("""COMPUTED_VALUE"""),0.1)</f>
        <v>0.1</v>
      </c>
      <c r="D123" s="2" t="str">
        <f>IFERROR(__xludf.DUMMYFUNCTION("""COMPUTED_VALUE"""),"ମୋ ଠିକଣା")</f>
        <v>ମୋ ଠିକଣା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tr">
        <f>IFERROR(__xludf.DUMMYFUNCTION("""COMPUTED_VALUE"""),"myFamily")</f>
        <v>myFamily</v>
      </c>
      <c r="B124" s="2" t="str">
        <f>IFERROR(__xludf.DUMMYFUNCTION("""COMPUTED_VALUE"""),"My Family")</f>
        <v>My Family</v>
      </c>
      <c r="C124" s="2">
        <f>IFERROR(__xludf.DUMMYFUNCTION("""COMPUTED_VALUE"""),0.5)</f>
        <v>0.5</v>
      </c>
      <c r="D124" s="2" t="str">
        <f>IFERROR(__xludf.DUMMYFUNCTION("""COMPUTED_VALUE"""),"ମୋ ପରିବାର")</f>
        <v>ମୋ ପରିବାର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tr">
        <f>IFERROR(__xludf.DUMMYFUNCTION("""COMPUTED_VALUE"""),"refer")</f>
        <v>refer</v>
      </c>
      <c r="B125" s="2" t="str">
        <f>IFERROR(__xludf.DUMMYFUNCTION("""COMPUTED_VALUE"""),"Refer")</f>
        <v>Refer</v>
      </c>
      <c r="C125" s="2">
        <f>IFERROR(__xludf.DUMMYFUNCTION("""COMPUTED_VALUE"""),0.1)</f>
        <v>0.1</v>
      </c>
      <c r="D125" s="2" t="str">
        <f>IFERROR(__xludf.DUMMYFUNCTION("""COMPUTED_VALUE"""),"ଅନୁସରଣ କରନ୍ତୁ |")</f>
        <v>ଅନୁସରଣ କରନ୍ତୁ |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tr">
        <f>IFERROR(__xludf.DUMMYFUNCTION("""COMPUTED_VALUE"""),"consumer")</f>
        <v>consumer</v>
      </c>
      <c r="B126" s="2" t="str">
        <f>IFERROR(__xludf.DUMMYFUNCTION("""COMPUTED_VALUE"""),"Consumer")</f>
        <v>Consumer</v>
      </c>
      <c r="C126" s="2">
        <f>IFERROR(__xludf.DUMMYFUNCTION("""COMPUTED_VALUE"""),0.1)</f>
        <v>0.1</v>
      </c>
      <c r="D126" s="2" t="str">
        <f>IFERROR(__xludf.DUMMYFUNCTION("""COMPUTED_VALUE"""),"ଗ୍ରାହକ")</f>
        <v>ଗ୍ରାହକ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tr">
        <f>IFERROR(__xludf.DUMMYFUNCTION("""COMPUTED_VALUE"""),"business")</f>
        <v>business</v>
      </c>
      <c r="B127" s="2" t="str">
        <f>IFERROR(__xludf.DUMMYFUNCTION("""COMPUTED_VALUE"""),"Business")</f>
        <v>Business</v>
      </c>
      <c r="C127" s="2">
        <f>IFERROR(__xludf.DUMMYFUNCTION("""COMPUTED_VALUE"""),0.5)</f>
        <v>0.5</v>
      </c>
      <c r="D127" s="2" t="str">
        <f>IFERROR(__xludf.DUMMYFUNCTION("""COMPUTED_VALUE"""),"ବ୍ୟବସାୟ")</f>
        <v>ବ୍ୟବସାୟ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tr">
        <f>IFERROR(__xludf.DUMMYFUNCTION("""COMPUTED_VALUE"""),"postOrder")</f>
        <v>postOrder</v>
      </c>
      <c r="B128" s="2" t="str">
        <f>IFERROR(__xludf.DUMMYFUNCTION("""COMPUTED_VALUE"""),"Post Order")</f>
        <v>Post Order</v>
      </c>
      <c r="C128" s="2"/>
      <c r="D128" s="2" t="str">
        <f>IFERROR(__xludf.DUMMYFUNCTION("""COMPUTED_VALUE"""),"ପୋଷ୍ଟ କ୍ରମ")</f>
        <v>ପୋଷ୍ଟ କ୍ରମ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tr">
        <f>IFERROR(__xludf.DUMMYFUNCTION("""COMPUTED_VALUE"""),"logout")</f>
        <v>logout</v>
      </c>
      <c r="B129" s="2" t="str">
        <f>IFERROR(__xludf.DUMMYFUNCTION("""COMPUTED_VALUE"""),"Log Out")</f>
        <v>Log Out</v>
      </c>
      <c r="C129" s="2">
        <f>IFERROR(__xludf.DUMMYFUNCTION("""COMPUTED_VALUE"""),0.1)</f>
        <v>0.1</v>
      </c>
      <c r="D129" s="2" t="str">
        <f>IFERROR(__xludf.DUMMYFUNCTION("""COMPUTED_VALUE"""),"ପ୍ରସ୍ଥାନ କର")</f>
        <v>ପ୍ରସ୍ଥାନ କର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tr">
        <f>IFERROR(__xludf.DUMMYFUNCTION("""COMPUTED_VALUE"""),"me")</f>
        <v>me</v>
      </c>
      <c r="B130" s="2" t="str">
        <f>IFERROR(__xludf.DUMMYFUNCTION("""COMPUTED_VALUE"""),"Me")</f>
        <v>Me</v>
      </c>
      <c r="C130" s="2">
        <f>IFERROR(__xludf.DUMMYFUNCTION("""COMPUTED_VALUE"""),0.5)</f>
        <v>0.5</v>
      </c>
      <c r="D130" s="2" t="str">
        <f>IFERROR(__xludf.DUMMYFUNCTION("""COMPUTED_VALUE"""),"ମୁଁ")</f>
        <v>ମୁଁ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tr">
        <f>IFERROR(__xludf.DUMMYFUNCTION("""COMPUTED_VALUE"""),"contactNumber")</f>
        <v>contactNumber</v>
      </c>
      <c r="B131" s="2" t="str">
        <f>IFERROR(__xludf.DUMMYFUNCTION("""COMPUTED_VALUE"""),"Contact Number")</f>
        <v>Contact Number</v>
      </c>
      <c r="C131" s="2"/>
      <c r="D131" s="2" t="str">
        <f>IFERROR(__xludf.DUMMYFUNCTION("""COMPUTED_VALUE"""),"ଯୋଗାଯୋଗ ସଂଖ୍ୟା")</f>
        <v>ଯୋଗାଯୋଗ ସଂଖ୍ୟା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tr">
        <f>IFERROR(__xludf.DUMMYFUNCTION("""COMPUTED_VALUE"""),"relation")</f>
        <v>relation</v>
      </c>
      <c r="B132" s="2" t="str">
        <f>IFERROR(__xludf.DUMMYFUNCTION("""COMPUTED_VALUE"""),"Relation")</f>
        <v>Relation</v>
      </c>
      <c r="C132" s="2">
        <f>IFERROR(__xludf.DUMMYFUNCTION("""COMPUTED_VALUE"""),0.5)</f>
        <v>0.5</v>
      </c>
      <c r="D132" s="2" t="str">
        <f>IFERROR(__xludf.DUMMYFUNCTION("""COMPUTED_VALUE"""),"ସମ୍ପର୍କ")</f>
        <v>ସମ୍ପର୍କ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tr">
        <f>IFERROR(__xludf.DUMMYFUNCTION("""COMPUTED_VALUE"""),"getOtp")</f>
        <v>getOtp</v>
      </c>
      <c r="B133" s="2" t="str">
        <f>IFERROR(__xludf.DUMMYFUNCTION("""COMPUTED_VALUE"""),"Get OTP")</f>
        <v>Get OTP</v>
      </c>
      <c r="C133" s="2">
        <f>IFERROR(__xludf.DUMMYFUNCTION("""COMPUTED_VALUE"""),0.1)</f>
        <v>0.1</v>
      </c>
      <c r="D133" s="2" t="str">
        <f>IFERROR(__xludf.DUMMYFUNCTION("""COMPUTED_VALUE"""),"OTP ପାଆନ୍ତୁ |")</f>
        <v>OTP ପାଆନ୍ତୁ |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tr">
        <f>IFERROR(__xludf.DUMMYFUNCTION("""COMPUTED_VALUE"""),"enterOtp")</f>
        <v>enterOtp</v>
      </c>
      <c r="B134" s="2" t="str">
        <f>IFERROR(__xludf.DUMMYFUNCTION("""COMPUTED_VALUE"""),"Enter OTP")</f>
        <v>Enter OTP</v>
      </c>
      <c r="C134" s="2">
        <f>IFERROR(__xludf.DUMMYFUNCTION("""COMPUTED_VALUE"""),0.1)</f>
        <v>0.1</v>
      </c>
      <c r="D134" s="2" t="str">
        <f>IFERROR(__xludf.DUMMYFUNCTION("""COMPUTED_VALUE"""),"OTP ପ୍ରବେଶ କରନ୍ତୁ |")</f>
        <v>OTP ପ୍ରବେଶ କରନ୍ତୁ |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tr">
        <f>IFERROR(__xludf.DUMMYFUNCTION("""COMPUTED_VALUE"""),"mail")</f>
        <v>mail</v>
      </c>
      <c r="B135" s="2" t="str">
        <f>IFERROR(__xludf.DUMMYFUNCTION("""COMPUTED_VALUE"""),"Mail")</f>
        <v>Mail</v>
      </c>
      <c r="C135" s="2"/>
      <c r="D135" s="2" t="str">
        <f>IFERROR(__xludf.DUMMYFUNCTION("""COMPUTED_VALUE"""),"ମେଲ୍")</f>
        <v>ମେଲ୍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tr">
        <f>IFERROR(__xludf.DUMMYFUNCTION("""COMPUTED_VALUE"""),"facebook")</f>
        <v>facebook</v>
      </c>
      <c r="B136" s="2" t="str">
        <f>IFERROR(__xludf.DUMMYFUNCTION("""COMPUTED_VALUE"""),"Facebook")</f>
        <v>Facebook</v>
      </c>
      <c r="C136" s="2"/>
      <c r="D136" s="2" t="str">
        <f>IFERROR(__xludf.DUMMYFUNCTION("""COMPUTED_VALUE"""),"ଫେସବୁକ୍")</f>
        <v>ଫେସବୁକ୍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tr">
        <f>IFERROR(__xludf.DUMMYFUNCTION("""COMPUTED_VALUE"""),"newaddress")</f>
        <v>newaddress</v>
      </c>
      <c r="B137" s="2" t="str">
        <f>IFERROR(__xludf.DUMMYFUNCTION("""COMPUTED_VALUE"""),"New Address")</f>
        <v>New Address</v>
      </c>
      <c r="C137" s="2">
        <f>IFERROR(__xludf.DUMMYFUNCTION("""COMPUTED_VALUE"""),0.3)</f>
        <v>0.3</v>
      </c>
      <c r="D137" s="2" t="str">
        <f>IFERROR(__xludf.DUMMYFUNCTION("""COMPUTED_VALUE"""),"ନୂତନ ଠିକଣା")</f>
        <v>ନୂତନ ଠିକଣା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tr">
        <f>IFERROR(__xludf.DUMMYFUNCTION("""COMPUTED_VALUE"""),"reorder ")</f>
        <v>reorder </v>
      </c>
      <c r="B138" s="2" t="str">
        <f>IFERROR(__xludf.DUMMYFUNCTION("""COMPUTED_VALUE"""),"Reorder")</f>
        <v>Reorder</v>
      </c>
      <c r="C138" s="2">
        <f>IFERROR(__xludf.DUMMYFUNCTION("""COMPUTED_VALUE"""),0.5)</f>
        <v>0.5</v>
      </c>
      <c r="D138" s="2" t="str">
        <f>IFERROR(__xludf.DUMMYFUNCTION("""COMPUTED_VALUE"""),"ରେକର୍ଡ କର |")</f>
        <v>ରେକର୍ଡ କର |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tr">
        <f>IFERROR(__xludf.DUMMYFUNCTION("""COMPUTED_VALUE"""),"contact")</f>
        <v>contact</v>
      </c>
      <c r="B139" s="2" t="str">
        <f>IFERROR(__xludf.DUMMYFUNCTION("""COMPUTED_VALUE"""),"Contact ")</f>
        <v>Contact </v>
      </c>
      <c r="C139" s="2"/>
      <c r="D139" s="2" t="str">
        <f>IFERROR(__xludf.DUMMYFUNCTION("""COMPUTED_VALUE"""),"ଯୋଗାଯୋଗ କରନ୍ତୁ |")</f>
        <v>ଯୋଗାଯୋଗ କରନ୍ତୁ |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tr">
        <f>IFERROR(__xludf.DUMMYFUNCTION("""COMPUTED_VALUE"""),"update")</f>
        <v>update</v>
      </c>
      <c r="B140" s="2" t="str">
        <f>IFERROR(__xludf.DUMMYFUNCTION("""COMPUTED_VALUE"""),"Update ")</f>
        <v>Update </v>
      </c>
      <c r="C140" s="2">
        <f>IFERROR(__xludf.DUMMYFUNCTION("""COMPUTED_VALUE"""),0.2)</f>
        <v>0.2</v>
      </c>
      <c r="D140" s="2" t="str">
        <f>IFERROR(__xludf.DUMMYFUNCTION("""COMPUTED_VALUE"""),"ଅଦ୍ୟତନ କରନ୍ତୁ |")</f>
        <v>ଅଦ୍ୟତନ କରନ୍ତୁ |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tr">
        <f>IFERROR(__xludf.DUMMYFUNCTION("""COMPUTED_VALUE"""),"OrderNotification")</f>
        <v>OrderNotification</v>
      </c>
      <c r="B141" s="2" t="str">
        <f>IFERROR(__xludf.DUMMYFUNCTION("""COMPUTED_VALUE"""),"Order Notification")</f>
        <v>Order Notification</v>
      </c>
      <c r="C141" s="2">
        <f>IFERROR(__xludf.DUMMYFUNCTION("""COMPUTED_VALUE"""),0.3)</f>
        <v>0.3</v>
      </c>
      <c r="D141" s="2" t="str">
        <f>IFERROR(__xludf.DUMMYFUNCTION("""COMPUTED_VALUE"""),"ଅର୍ଡର ବିଜ୍ଞପ୍ତି |")</f>
        <v>ଅର୍ଡର ବିଜ୍ଞପ୍ତି |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tr">
        <f>IFERROR(__xludf.DUMMYFUNCTION("""COMPUTED_VALUE"""),"items")</f>
        <v>items</v>
      </c>
      <c r="B142" s="2" t="str">
        <f>IFERROR(__xludf.DUMMYFUNCTION("""COMPUTED_VALUE"""),"Items")</f>
        <v>Items</v>
      </c>
      <c r="C142" s="2"/>
      <c r="D142" s="2" t="str">
        <f>IFERROR(__xludf.DUMMYFUNCTION("""COMPUTED_VALUE"""),"ବସ୍ତୁଗୁଡ଼ିକ")</f>
        <v>ବସ୍ତୁଗୁଡ଼ିକ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tr">
        <f>IFERROR(__xludf.DUMMYFUNCTION("""COMPUTED_VALUE"""),"shops")</f>
        <v>shops</v>
      </c>
      <c r="B143" s="2" t="str">
        <f>IFERROR(__xludf.DUMMYFUNCTION("""COMPUTED_VALUE"""),"Shops")</f>
        <v>Shops</v>
      </c>
      <c r="C143" s="2"/>
      <c r="D143" s="2" t="str">
        <f>IFERROR(__xludf.DUMMYFUNCTION("""COMPUTED_VALUE"""),"ଦୋକାନଗୁଡିକ")</f>
        <v>ଦୋକାନଗୁଡିକ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tr">
        <f>IFERROR(__xludf.DUMMYFUNCTION("""COMPUTED_VALUE"""),"allowLocation")</f>
        <v>allowLocation</v>
      </c>
      <c r="B144" s="2" t="str">
        <f>IFERROR(__xludf.DUMMYFUNCTION("""COMPUTED_VALUE"""),"Allow Location")</f>
        <v>Allow Location</v>
      </c>
      <c r="C144" s="2"/>
      <c r="D144" s="2" t="str">
        <f>IFERROR(__xludf.DUMMYFUNCTION("""COMPUTED_VALUE"""),"ଅବସ୍ଥାନକୁ ଅନୁମତି ଦିଅନ୍ତୁ |")</f>
        <v>ଅବସ୍ଥାନକୁ ଅନୁମତି ଦିଅନ୍ତୁ |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tr">
        <f>IFERROR(__xludf.DUMMYFUNCTION("""COMPUTED_VALUE"""),"allowNotification")</f>
        <v>allowNotification</v>
      </c>
      <c r="B145" s="2" t="str">
        <f>IFERROR(__xludf.DUMMYFUNCTION("""COMPUTED_VALUE"""),"Allow Notification")</f>
        <v>Allow Notification</v>
      </c>
      <c r="C145" s="2"/>
      <c r="D145" s="2" t="str">
        <f>IFERROR(__xludf.DUMMYFUNCTION("""COMPUTED_VALUE"""),"ବିଜ୍ଞପ୍ତି ଅନୁମତି ଦିଅନ୍ତୁ |")</f>
        <v>ବିଜ୍ଞପ୍ତି ଅନୁମତି ଦିଅନ୍ତୁ |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tr">
        <f>IFERROR(__xludf.DUMMYFUNCTION("""COMPUTED_VALUE"""),"History")</f>
        <v>History</v>
      </c>
      <c r="B146" s="2" t="str">
        <f>IFERROR(__xludf.DUMMYFUNCTION("""COMPUTED_VALUE"""),"History")</f>
        <v>History</v>
      </c>
      <c r="C146" s="2">
        <f>IFERROR(__xludf.DUMMYFUNCTION("""COMPUTED_VALUE"""),0.3)</f>
        <v>0.3</v>
      </c>
      <c r="D146" s="2" t="str">
        <f>IFERROR(__xludf.DUMMYFUNCTION("""COMPUTED_VALUE"""),"ଇତିହାସ")</f>
        <v>ଇତିହାସ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tr">
        <f>IFERROR(__xludf.DUMMYFUNCTION("""COMPUTED_VALUE"""),"homeWork")</f>
        <v>homeWork</v>
      </c>
      <c r="B147" s="2" t="str">
        <f>IFERROR(__xludf.DUMMYFUNCTION("""COMPUTED_VALUE"""),"Home Work")</f>
        <v>Home Work</v>
      </c>
      <c r="C147" s="2"/>
      <c r="D147" s="2" t="str">
        <f>IFERROR(__xludf.DUMMYFUNCTION("""COMPUTED_VALUE"""),"ଗୃହ କାର୍ଯ୍ୟ")</f>
        <v>ଗୃହ କାର୍ଯ୍ୟ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 t="str">
        <f>IFERROR(__xludf.DUMMYFUNCTION("""COMPUTED_VALUE"""),"addNewAddress")</f>
        <v>addNewAddress</v>
      </c>
      <c r="B148" s="2" t="str">
        <f>IFERROR(__xludf.DUMMYFUNCTION("""COMPUTED_VALUE"""),"Add New Address")</f>
        <v>Add New Address</v>
      </c>
      <c r="C148" s="2">
        <f>IFERROR(__xludf.DUMMYFUNCTION("""COMPUTED_VALUE"""),0.5)</f>
        <v>0.5</v>
      </c>
      <c r="D148" s="2" t="str">
        <f>IFERROR(__xludf.DUMMYFUNCTION("""COMPUTED_VALUE"""),"ନୂତନ ଠିକଣା ଯୋଡନ୍ତୁ |")</f>
        <v>ନୂତନ ଠିକଣା ଯୋଡନ୍ତୁ |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tr">
        <f>IFERROR(__xludf.DUMMYFUNCTION("""COMPUTED_VALUE"""),"landMark")</f>
        <v>landMark</v>
      </c>
      <c r="B149" s="2" t="str">
        <f>IFERROR(__xludf.DUMMYFUNCTION("""COMPUTED_VALUE"""),"Landmark")</f>
        <v>Landmark</v>
      </c>
      <c r="C149" s="2"/>
      <c r="D149" s="2" t="str">
        <f>IFERROR(__xludf.DUMMYFUNCTION("""COMPUTED_VALUE"""),"ଚିହ୍ନ ଚିହ୍ନ")</f>
        <v>ଚିହ୍ନ ଚିହ୍ନ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tr">
        <f>IFERROR(__xludf.DUMMYFUNCTION("""COMPUTED_VALUE"""),"saveAndProceed")</f>
        <v>saveAndProceed</v>
      </c>
      <c r="B150" s="2" t="str">
        <f>IFERROR(__xludf.DUMMYFUNCTION("""COMPUTED_VALUE"""),"Save and Proceed")</f>
        <v>Save and Proceed</v>
      </c>
      <c r="C150" s="2">
        <f>IFERROR(__xludf.DUMMYFUNCTION("""COMPUTED_VALUE"""),0.3)</f>
        <v>0.3</v>
      </c>
      <c r="D150" s="2" t="str">
        <f>IFERROR(__xludf.DUMMYFUNCTION("""COMPUTED_VALUE"""),"ସଞ୍ଚୟ କର ଏବଂ ଅଗ୍ରଗତି କର |")</f>
        <v>ସଞ୍ଚୟ କର ଏବଂ ଅଗ୍ରଗତି କର |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tr">
        <f>IFERROR(__xludf.DUMMYFUNCTION("""COMPUTED_VALUE"""),"termsAndConditions")</f>
        <v>termsAndConditions</v>
      </c>
      <c r="B151" s="2" t="str">
        <f>IFERROR(__xludf.DUMMYFUNCTION("""COMPUTED_VALUE"""),"Terms and Conditions ")</f>
        <v>Terms and Conditions </v>
      </c>
      <c r="C151" s="2">
        <f>IFERROR(__xludf.DUMMYFUNCTION("""COMPUTED_VALUE"""),0.3)</f>
        <v>0.3</v>
      </c>
      <c r="D151" s="2" t="str">
        <f>IFERROR(__xludf.DUMMYFUNCTION("""COMPUTED_VALUE"""),"ସର୍ତ୍ତାବଳୀ")</f>
        <v>ସର୍ତ୍ତାବଳୀ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 t="str">
        <f>IFERROR(__xludf.DUMMYFUNCTION("""COMPUTED_VALUE"""),"faqs")</f>
        <v>faqs</v>
      </c>
      <c r="B152" s="2" t="str">
        <f>IFERROR(__xludf.DUMMYFUNCTION("""COMPUTED_VALUE"""),"FAQs")</f>
        <v>FAQs</v>
      </c>
      <c r="C152" s="2">
        <f>IFERROR(__xludf.DUMMYFUNCTION("""COMPUTED_VALUE"""),0.2)</f>
        <v>0.2</v>
      </c>
      <c r="D152" s="2" t="str">
        <f>IFERROR(__xludf.DUMMYFUNCTION("""COMPUTED_VALUE"""),"FAQs")</f>
        <v>FAQs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 t="str">
        <f>IFERROR(__xludf.DUMMYFUNCTION("""COMPUTED_VALUE"""),"privacyPolicy")</f>
        <v>privacyPolicy</v>
      </c>
      <c r="B153" s="2" t="str">
        <f>IFERROR(__xludf.DUMMYFUNCTION("""COMPUTED_VALUE"""),"Privacy Policy ")</f>
        <v>Privacy Policy </v>
      </c>
      <c r="C153" s="2">
        <f>IFERROR(__xludf.DUMMYFUNCTION("""COMPUTED_VALUE"""),0.3)</f>
        <v>0.3</v>
      </c>
      <c r="D153" s="2" t="str">
        <f>IFERROR(__xludf.DUMMYFUNCTION("""COMPUTED_VALUE"""),"ଗୋପନୀୟତା ନୀତି")</f>
        <v>ଗୋପନୀୟତା ନୀତି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tr">
        <f>IFERROR(__xludf.DUMMYFUNCTION("""COMPUTED_VALUE"""),"contactUs")</f>
        <v>contactUs</v>
      </c>
      <c r="B154" s="2" t="str">
        <f>IFERROR(__xludf.DUMMYFUNCTION("""COMPUTED_VALUE"""),"Contact Us")</f>
        <v>Contact Us</v>
      </c>
      <c r="C154" s="2"/>
      <c r="D154" s="2" t="str">
        <f>IFERROR(__xludf.DUMMYFUNCTION("""COMPUTED_VALUE"""),"ଆମ ସହିତ ଯୋଗାଯୋଗ କରନ୍ତୁ |")</f>
        <v>ଆମ ସହିତ ଯୋଗାଯୋଗ କରନ୍ତୁ |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 t="str">
        <f>IFERROR(__xludf.DUMMYFUNCTION("""COMPUTED_VALUE"""),"customerCare")</f>
        <v>customerCare</v>
      </c>
      <c r="B155" s="2" t="str">
        <f>IFERROR(__xludf.DUMMYFUNCTION("""COMPUTED_VALUE"""),"Customer Care")</f>
        <v>Customer Care</v>
      </c>
      <c r="C155" s="2"/>
      <c r="D155" s="2" t="str">
        <f>IFERROR(__xludf.DUMMYFUNCTION("""COMPUTED_VALUE"""),"ଗ୍ରାହକ ସେବା")</f>
        <v>ଗ୍ରାହକ ସେବା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 t="str">
        <f>IFERROR(__xludf.DUMMYFUNCTION("""COMPUTED_VALUE"""),"customerCareNumber")</f>
        <v>customerCareNumber</v>
      </c>
      <c r="B156" s="2" t="str">
        <f>IFERROR(__xludf.DUMMYFUNCTION("""COMPUTED_VALUE"""),"Customer Care Number ")</f>
        <v>Customer Care Number </v>
      </c>
      <c r="C156" s="2"/>
      <c r="D156" s="2" t="str">
        <f>IFERROR(__xludf.DUMMYFUNCTION("""COMPUTED_VALUE"""),"ଗ୍ରାହକ ସେବା ସଂଖ୍ୟା |")</f>
        <v>ଗ୍ରାହକ ସେବା ସଂଖ୍ୟା |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 t="str">
        <f>IFERROR(__xludf.DUMMYFUNCTION("""COMPUTED_VALUE"""),"yes")</f>
        <v>yes</v>
      </c>
      <c r="B157" s="2" t="str">
        <f>IFERROR(__xludf.DUMMYFUNCTION("""COMPUTED_VALUE"""),"Yes")</f>
        <v>Yes</v>
      </c>
      <c r="C157" s="2">
        <f>IFERROR(__xludf.DUMMYFUNCTION("""COMPUTED_VALUE"""),0.5)</f>
        <v>0.5</v>
      </c>
      <c r="D157" s="2" t="str">
        <f>IFERROR(__xludf.DUMMYFUNCTION("""COMPUTED_VALUE"""),"ହଁ")</f>
        <v>ହଁ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 t="str">
        <f>IFERROR(__xludf.DUMMYFUNCTION("""COMPUTED_VALUE"""),"no")</f>
        <v>no</v>
      </c>
      <c r="B158" s="2" t="str">
        <f>IFERROR(__xludf.DUMMYFUNCTION("""COMPUTED_VALUE"""),"No ")</f>
        <v>No </v>
      </c>
      <c r="C158" s="2">
        <f>IFERROR(__xludf.DUMMYFUNCTION("""COMPUTED_VALUE"""),0.1)</f>
        <v>0.1</v>
      </c>
      <c r="D158" s="2" t="str">
        <f>IFERROR(__xludf.DUMMYFUNCTION("""COMPUTED_VALUE"""),"ନା")</f>
        <v>ନା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 t="str">
        <f>IFERROR(__xludf.DUMMYFUNCTION("""COMPUTED_VALUE"""),"validateAgain")</f>
        <v>validateAgain</v>
      </c>
      <c r="B159" s="2" t="str">
        <f>IFERROR(__xludf.DUMMYFUNCTION("""COMPUTED_VALUE"""),"Validate Again")</f>
        <v>Validate Again</v>
      </c>
      <c r="C159" s="2"/>
      <c r="D159" s="2" t="str">
        <f>IFERROR(__xludf.DUMMYFUNCTION("""COMPUTED_VALUE"""),"ପୁନର୍ବାର ବ valid ଧ କରନ୍ତୁ |")</f>
        <v>ପୁନର୍ବାର ବ valid ଧ କରନ୍ତୁ |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 t="str">
        <f>IFERROR(__xludf.DUMMYFUNCTION("""COMPUTED_VALUE"""),"employee")</f>
        <v>employee</v>
      </c>
      <c r="B160" s="2" t="str">
        <f>IFERROR(__xludf.DUMMYFUNCTION("""COMPUTED_VALUE"""),"Employee ")</f>
        <v>Employee </v>
      </c>
      <c r="C160" s="2">
        <f>IFERROR(__xludf.DUMMYFUNCTION("""COMPUTED_VALUE"""),0.2)</f>
        <v>0.2</v>
      </c>
      <c r="D160" s="2" t="str">
        <f>IFERROR(__xludf.DUMMYFUNCTION("""COMPUTED_VALUE"""),"କର୍ମଚାରୀ")</f>
        <v>କର୍ମଚାରୀ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 t="str">
        <f>IFERROR(__xludf.DUMMYFUNCTION("""COMPUTED_VALUE"""),"ConfirmPayment")</f>
        <v>ConfirmPayment</v>
      </c>
      <c r="B161" s="2" t="str">
        <f>IFERROR(__xludf.DUMMYFUNCTION("""COMPUTED_VALUE"""),"Confirm Payment")</f>
        <v>Confirm Payment</v>
      </c>
      <c r="C161" s="2">
        <f>IFERROR(__xludf.DUMMYFUNCTION("""COMPUTED_VALUE"""),0.3)</f>
        <v>0.3</v>
      </c>
      <c r="D161" s="2" t="str">
        <f>IFERROR(__xludf.DUMMYFUNCTION("""COMPUTED_VALUE"""),"ଦେୟ ନିଶ୍ଚିତ କରନ୍ତୁ |")</f>
        <v>ଦେୟ ନିଶ୍ଚିତ କରନ୍ତୁ |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 t="str">
        <f>IFERROR(__xludf.DUMMYFUNCTION("""COMPUTED_VALUE"""),"rateorder")</f>
        <v>rateorder</v>
      </c>
      <c r="B162" s="2" t="str">
        <f>IFERROR(__xludf.DUMMYFUNCTION("""COMPUTED_VALUE"""),"Rate Order")</f>
        <v>Rate Order</v>
      </c>
      <c r="C162" s="2">
        <f>IFERROR(__xludf.DUMMYFUNCTION("""COMPUTED_VALUE"""),0.5)</f>
        <v>0.5</v>
      </c>
      <c r="D162" s="2" t="str">
        <f>IFERROR(__xludf.DUMMYFUNCTION("""COMPUTED_VALUE"""),"ମୂଲ୍ୟ କ୍ରମ")</f>
        <v>ମୂଲ୍ୟ କ୍ରମ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 t="str">
        <f>IFERROR(__xludf.DUMMYFUNCTION("""COMPUTED_VALUE"""),"onboard")</f>
        <v>onboard</v>
      </c>
      <c r="B163" s="2" t="str">
        <f>IFERROR(__xludf.DUMMYFUNCTION("""COMPUTED_VALUE"""),"Onboard ")</f>
        <v>Onboard </v>
      </c>
      <c r="C163" s="2">
        <f>IFERROR(__xludf.DUMMYFUNCTION("""COMPUTED_VALUE"""),0.5)</f>
        <v>0.5</v>
      </c>
      <c r="D163" s="2" t="str">
        <f>IFERROR(__xludf.DUMMYFUNCTION("""COMPUTED_VALUE"""),"ସବାର")</f>
        <v>ସବାର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 t="str">
        <f>IFERROR(__xludf.DUMMYFUNCTION("""COMPUTED_VALUE"""),"selfOnBoard")</f>
        <v>selfOnBoard</v>
      </c>
      <c r="B164" s="2" t="str">
        <f>IFERROR(__xludf.DUMMYFUNCTION("""COMPUTED_VALUE"""),"Self Onboard ")</f>
        <v>Self Onboard </v>
      </c>
      <c r="C164" s="2"/>
      <c r="D164" s="2" t="str">
        <f>IFERROR(__xludf.DUMMYFUNCTION("""COMPUTED_VALUE"""),"ସେଲ୍ଫ୍ ଅନ୍ବୋର୍ଡ |")</f>
        <v>ସେଲ୍ଫ୍ ଅନ୍ବୋର୍ଡ |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 t="str">
        <f>IFERROR(__xludf.DUMMYFUNCTION("""COMPUTED_VALUE"""),"onboardByBusiness")</f>
        <v>onboardByBusiness</v>
      </c>
      <c r="B165" s="2" t="str">
        <f>IFERROR(__xludf.DUMMYFUNCTION("""COMPUTED_VALUE"""),"Onboard by Business")</f>
        <v>Onboard by Business</v>
      </c>
      <c r="C165" s="2"/>
      <c r="D165" s="2" t="str">
        <f>IFERROR(__xludf.DUMMYFUNCTION("""COMPUTED_VALUE"""),"ବ୍ୟବସାୟ ଦ୍ୱାରା ଅନ୍ବୋର୍ଡ |")</f>
        <v>ବ୍ୟବସାୟ ଦ୍ୱାରା ଅନ୍ବୋର୍ଡ |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 t="str">
        <f>IFERROR(__xludf.DUMMYFUNCTION("""COMPUTED_VALUE"""),"retailer")</f>
        <v>retailer</v>
      </c>
      <c r="B166" s="2" t="str">
        <f>IFERROR(__xludf.DUMMYFUNCTION("""COMPUTED_VALUE"""),"Retailer")</f>
        <v>Retailer</v>
      </c>
      <c r="C166" s="2">
        <f>IFERROR(__xludf.DUMMYFUNCTION("""COMPUTED_VALUE"""),0.1)</f>
        <v>0.1</v>
      </c>
      <c r="D166" s="2" t="str">
        <f>IFERROR(__xludf.DUMMYFUNCTION("""COMPUTED_VALUE"""),"ଖୁଚୁରା ବ୍ୟବସାୟୀ")</f>
        <v>ଖୁଚୁରା ବ୍ୟବସାୟୀ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 t="str">
        <f>IFERROR(__xludf.DUMMYFUNCTION("""COMPUTED_VALUE"""),"middleMan")</f>
        <v>middleMan</v>
      </c>
      <c r="B167" s="2" t="str">
        <f>IFERROR(__xludf.DUMMYFUNCTION("""COMPUTED_VALUE"""),"Middleman")</f>
        <v>Middleman</v>
      </c>
      <c r="C167" s="2">
        <f>IFERROR(__xludf.DUMMYFUNCTION("""COMPUTED_VALUE"""),0.5)</f>
        <v>0.5</v>
      </c>
      <c r="D167" s="2" t="str">
        <f>IFERROR(__xludf.DUMMYFUNCTION("""COMPUTED_VALUE"""),"ମଧ୍ୟମ")</f>
        <v>ମଧ୍ୟମ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 t="str">
        <f>IFERROR(__xludf.DUMMYFUNCTION("""COMPUTED_VALUE"""),"farmer")</f>
        <v>farmer</v>
      </c>
      <c r="B168" s="2" t="str">
        <f>IFERROR(__xludf.DUMMYFUNCTION("""COMPUTED_VALUE"""),"Farmer")</f>
        <v>Farmer</v>
      </c>
      <c r="C168" s="2">
        <f>IFERROR(__xludf.DUMMYFUNCTION("""COMPUTED_VALUE"""),0.1)</f>
        <v>0.1</v>
      </c>
      <c r="D168" s="2" t="str">
        <f>IFERROR(__xludf.DUMMYFUNCTION("""COMPUTED_VALUE"""),"କୃଷକ")</f>
        <v>କୃଷକ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 t="str">
        <f>IFERROR(__xludf.DUMMYFUNCTION("""COMPUTED_VALUE"""),"phoneNumber")</f>
        <v>phoneNumber</v>
      </c>
      <c r="B169" s="2" t="str">
        <f>IFERROR(__xludf.DUMMYFUNCTION("""COMPUTED_VALUE"""),"Phone Number ")</f>
        <v>Phone Number </v>
      </c>
      <c r="C169" s="2">
        <f>IFERROR(__xludf.DUMMYFUNCTION("""COMPUTED_VALUE"""),0.5)</f>
        <v>0.5</v>
      </c>
      <c r="D169" s="2" t="str">
        <f>IFERROR(__xludf.DUMMYFUNCTION("""COMPUTED_VALUE"""),"ଫୋନ୍ ନମ୍ବର")</f>
        <v>ଫୋନ୍ ନମ୍ବର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 t="str">
        <f>IFERROR(__xludf.DUMMYFUNCTION("""COMPUTED_VALUE"""),"houseNo")</f>
        <v>houseNo</v>
      </c>
      <c r="B170" s="2" t="str">
        <f>IFERROR(__xludf.DUMMYFUNCTION("""COMPUTED_VALUE"""),"House No")</f>
        <v>House No</v>
      </c>
      <c r="C170" s="2">
        <f>IFERROR(__xludf.DUMMYFUNCTION("""COMPUTED_VALUE"""),0.5)</f>
        <v>0.5</v>
      </c>
      <c r="D170" s="2" t="str">
        <f>IFERROR(__xludf.DUMMYFUNCTION("""COMPUTED_VALUE"""),"ଘର ନା")</f>
        <v>ଘର ନା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 t="str">
        <f>IFERROR(__xludf.DUMMYFUNCTION("""COMPUTED_VALUE"""),"building")</f>
        <v>building</v>
      </c>
      <c r="B171" s="2" t="str">
        <f>IFERROR(__xludf.DUMMYFUNCTION("""COMPUTED_VALUE"""),"Building ")</f>
        <v>Building </v>
      </c>
      <c r="C171" s="2">
        <f>IFERROR(__xludf.DUMMYFUNCTION("""COMPUTED_VALUE"""),0.5)</f>
        <v>0.5</v>
      </c>
      <c r="D171" s="2" t="str">
        <f>IFERROR(__xludf.DUMMYFUNCTION("""COMPUTED_VALUE"""),"ନିର୍ମାଣ")</f>
        <v>ନିର୍ମାଣ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 t="str">
        <f>IFERROR(__xludf.DUMMYFUNCTION("""COMPUTED_VALUE"""),"streetno")</f>
        <v>streetno</v>
      </c>
      <c r="B172" s="2" t="str">
        <f>IFERROR(__xludf.DUMMYFUNCTION("""COMPUTED_VALUE"""),"Street no ")</f>
        <v>Street no </v>
      </c>
      <c r="C172" s="2">
        <f>IFERROR(__xludf.DUMMYFUNCTION("""COMPUTED_VALUE"""),0.1)</f>
        <v>0.1</v>
      </c>
      <c r="D172" s="2" t="str">
        <f>IFERROR(__xludf.DUMMYFUNCTION("""COMPUTED_VALUE"""),"ରାସ୍ତା ନଂ")</f>
        <v>ରାସ୍ତା ନଂ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 t="str">
        <f>IFERROR(__xludf.DUMMYFUNCTION("""COMPUTED_VALUE"""),"upi")</f>
        <v>upi</v>
      </c>
      <c r="B173" s="2" t="str">
        <f>IFERROR(__xludf.DUMMYFUNCTION("""COMPUTED_VALUE"""),"UPI")</f>
        <v>UPI</v>
      </c>
      <c r="C173" s="2">
        <f>IFERROR(__xludf.DUMMYFUNCTION("""COMPUTED_VALUE"""),0.3)</f>
        <v>0.3</v>
      </c>
      <c r="D173" s="2" t="str">
        <f>IFERROR(__xludf.DUMMYFUNCTION("""COMPUTED_VALUE"""),"ୟୁସି")</f>
        <v>ୟୁସି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 t="str">
        <f>IFERROR(__xludf.DUMMYFUNCTION("""COMPUTED_VALUE"""),"state")</f>
        <v>state</v>
      </c>
      <c r="B174" s="2" t="str">
        <f>IFERROR(__xludf.DUMMYFUNCTION("""COMPUTED_VALUE"""),"State")</f>
        <v>State</v>
      </c>
      <c r="C174" s="2">
        <f>IFERROR(__xludf.DUMMYFUNCTION("""COMPUTED_VALUE"""),0.1)</f>
        <v>0.1</v>
      </c>
      <c r="D174" s="2" t="str">
        <f>IFERROR(__xludf.DUMMYFUNCTION("""COMPUTED_VALUE"""),"ରାଜ୍ୟ")</f>
        <v>ରାଜ୍ୟ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 t="str">
        <f>IFERROR(__xludf.DUMMYFUNCTION("""COMPUTED_VALUE"""),"city")</f>
        <v>city</v>
      </c>
      <c r="B175" s="2" t="str">
        <f>IFERROR(__xludf.DUMMYFUNCTION("""COMPUTED_VALUE"""),"City ")</f>
        <v>City </v>
      </c>
      <c r="C175" s="2">
        <f>IFERROR(__xludf.DUMMYFUNCTION("""COMPUTED_VALUE"""),0.1)</f>
        <v>0.1</v>
      </c>
      <c r="D175" s="2" t="str">
        <f>IFERROR(__xludf.DUMMYFUNCTION("""COMPUTED_VALUE"""),"ସହର")</f>
        <v>ସହର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 t="str">
        <f>IFERROR(__xludf.DUMMYFUNCTION("""COMPUTED_VALUE"""),"pincode")</f>
        <v>pincode</v>
      </c>
      <c r="B176" s="2" t="str">
        <f>IFERROR(__xludf.DUMMYFUNCTION("""COMPUTED_VALUE"""),"Pin Code ")</f>
        <v>Pin Code </v>
      </c>
      <c r="C176" s="2"/>
      <c r="D176" s="2" t="str">
        <f>IFERROR(__xludf.DUMMYFUNCTION("""COMPUTED_VALUE"""),"ପିନ୍ କୋଡ୍")</f>
        <v>ପିନ୍ କୋଡ୍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 t="str">
        <f>IFERROR(__xludf.DUMMYFUNCTION("""COMPUTED_VALUE"""),"location")</f>
        <v>location</v>
      </c>
      <c r="B177" s="2" t="str">
        <f>IFERROR(__xludf.DUMMYFUNCTION("""COMPUTED_VALUE"""),"Location ")</f>
        <v>Location </v>
      </c>
      <c r="C177" s="2">
        <f>IFERROR(__xludf.DUMMYFUNCTION("""COMPUTED_VALUE"""),0.2)</f>
        <v>0.2</v>
      </c>
      <c r="D177" s="2" t="str">
        <f>IFERROR(__xludf.DUMMYFUNCTION("""COMPUTED_VALUE"""),"ଅବସ୍ଥାନ")</f>
        <v>ଅବସ୍ଥାନ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 t="str">
        <f>IFERROR(__xludf.DUMMYFUNCTION("""COMPUTED_VALUE"""),"submit")</f>
        <v>submit</v>
      </c>
      <c r="B178" s="2" t="str">
        <f>IFERROR(__xludf.DUMMYFUNCTION("""COMPUTED_VALUE"""),"Submit ")</f>
        <v>Submit </v>
      </c>
      <c r="C178" s="2">
        <f>IFERROR(__xludf.DUMMYFUNCTION("""COMPUTED_VALUE"""),0.3)</f>
        <v>0.3</v>
      </c>
      <c r="D178" s="2" t="str">
        <f>IFERROR(__xludf.DUMMYFUNCTION("""COMPUTED_VALUE"""),"ଦାଖଲ କର |")</f>
        <v>ଦାଖଲ କର |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 t="str">
        <f>IFERROR(__xludf.DUMMYFUNCTION("""COMPUTED_VALUE"""),"editAddress")</f>
        <v>editAddress</v>
      </c>
      <c r="B179" s="2" t="str">
        <f>IFERROR(__xludf.DUMMYFUNCTION("""COMPUTED_VALUE"""),"Edit Address")</f>
        <v>Edit Address</v>
      </c>
      <c r="C179" s="2">
        <f>IFERROR(__xludf.DUMMYFUNCTION("""COMPUTED_VALUE"""),0.3)</f>
        <v>0.3</v>
      </c>
      <c r="D179" s="2" t="str">
        <f>IFERROR(__xludf.DUMMYFUNCTION("""COMPUTED_VALUE"""),"ଠିକଣା ସଂପାଦନ କରନ୍ତୁ")</f>
        <v>ଠିକଣା ସଂପାଦନ କରନ୍ତୁ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 t="str">
        <f>IFERROR(__xludf.DUMMYFUNCTION("""COMPUTED_VALUE"""),"addMember")</f>
        <v>addMember</v>
      </c>
      <c r="B180" s="2" t="str">
        <f>IFERROR(__xludf.DUMMYFUNCTION("""COMPUTED_VALUE"""),"Add Member")</f>
        <v>Add Member</v>
      </c>
      <c r="C180" s="2">
        <f>IFERROR(__xludf.DUMMYFUNCTION("""COMPUTED_VALUE"""),0.5)</f>
        <v>0.5</v>
      </c>
      <c r="D180" s="2" t="str">
        <f>IFERROR(__xludf.DUMMYFUNCTION("""COMPUTED_VALUE"""),"ସଦସ୍ୟ ଯୋଡନ୍ତୁ |")</f>
        <v>ସଦସ୍ୟ ଯୋଡନ୍ତୁ |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 t="str">
        <f>IFERROR(__xludf.DUMMYFUNCTION("""COMPUTED_VALUE"""),"deliveryWithin")</f>
        <v>deliveryWithin</v>
      </c>
      <c r="B181" s="2" t="str">
        <f>IFERROR(__xludf.DUMMYFUNCTION("""COMPUTED_VALUE"""),"Delivery within")</f>
        <v>Delivery within</v>
      </c>
      <c r="C181" s="2"/>
      <c r="D181" s="2" t="str">
        <f>IFERROR(__xludf.DUMMYFUNCTION("""COMPUTED_VALUE"""),"ଭିତରେ ବିତରଣ |")</f>
        <v>ଭିତରେ ବିତରଣ |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 t="str">
        <f>IFERROR(__xludf.DUMMYFUNCTION("""COMPUTED_VALUE"""),"home")</f>
        <v>home</v>
      </c>
      <c r="B182" s="2" t="str">
        <f>IFERROR(__xludf.DUMMYFUNCTION("""COMPUTED_VALUE"""),"Home")</f>
        <v>Home</v>
      </c>
      <c r="C182" s="2">
        <f>IFERROR(__xludf.DUMMYFUNCTION("""COMPUTED_VALUE"""),0.1)</f>
        <v>0.1</v>
      </c>
      <c r="D182" s="2" t="str">
        <f>IFERROR(__xludf.DUMMYFUNCTION("""COMPUTED_VALUE"""),"ଘର")</f>
        <v>ଘର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 t="str">
        <f>IFERROR(__xludf.DUMMYFUNCTION("""COMPUTED_VALUE"""),"notification")</f>
        <v>notification</v>
      </c>
      <c r="B183" s="2" t="str">
        <f>IFERROR(__xludf.DUMMYFUNCTION("""COMPUTED_VALUE"""),"Notification")</f>
        <v>Notification</v>
      </c>
      <c r="C183" s="2"/>
      <c r="D183" s="2" t="str">
        <f>IFERROR(__xludf.DUMMYFUNCTION("""COMPUTED_VALUE"""),"ବିଜ୍ଞପ୍ତି")</f>
        <v>ବିଜ୍ଞପ୍ତି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 t="str">
        <f>IFERROR(__xludf.DUMMYFUNCTION("""COMPUTED_VALUE"""),"voice")</f>
        <v>voice</v>
      </c>
      <c r="B184" s="2" t="str">
        <f>IFERROR(__xludf.DUMMYFUNCTION("""COMPUTED_VALUE"""),"Voice")</f>
        <v>Voice</v>
      </c>
      <c r="C184" s="2"/>
      <c r="D184" s="2" t="str">
        <f>IFERROR(__xludf.DUMMYFUNCTION("""COMPUTED_VALUE"""),"ସ୍ୱର")</f>
        <v>ସ୍ୱର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 t="str">
        <f>IFERROR(__xludf.DUMMYFUNCTION("""COMPUTED_VALUE"""),"anotphasbeensentatyourregisteredmobilenumber")</f>
        <v>anotphasbeensentatyourregisteredmobilenumber</v>
      </c>
      <c r="B185" s="2" t="str">
        <f>IFERROR(__xludf.DUMMYFUNCTION("""COMPUTED_VALUE"""),"An OTP has been sent at your registered mobile number")</f>
        <v>An OTP has been sent at your registered mobile number</v>
      </c>
      <c r="C185" s="2">
        <f>IFERROR(__xludf.DUMMYFUNCTION("""COMPUTED_VALUE"""),0.5)</f>
        <v>0.5</v>
      </c>
      <c r="D185" s="2" t="str">
        <f>IFERROR(__xludf.DUMMYFUNCTION("""COMPUTED_VALUE"""),"ତୁମର ପଞ୍ଜୀକୃତ ମୋବାଇଲ୍ ନମ୍ବରରେ ଏକ OTP ପଠାଯାଇଛି |")</f>
        <v>ତୁମର ପଞ୍ଜୀକୃତ ମୋବାଇଲ୍ ନମ୍ବରରେ ଏକ OTP ପଠାଯାଇଛି |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 t="str">
        <f>IFERROR(__xludf.DUMMYFUNCTION("""COMPUTED_VALUE"""),"delivering")</f>
        <v>delivering</v>
      </c>
      <c r="B186" s="2" t="str">
        <f>IFERROR(__xludf.DUMMYFUNCTION("""COMPUTED_VALUE"""),"Delivering ")</f>
        <v>Delivering </v>
      </c>
      <c r="C186" s="2">
        <f>IFERROR(__xludf.DUMMYFUNCTION("""COMPUTED_VALUE"""),0.1)</f>
        <v>0.1</v>
      </c>
      <c r="D186" s="2" t="str">
        <f>IFERROR(__xludf.DUMMYFUNCTION("""COMPUTED_VALUE"""),"ବିତରଣ")</f>
        <v>ବିତରଣ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 t="str">
        <f>IFERROR(__xludf.DUMMYFUNCTION("""COMPUTED_VALUE"""),"notDelivering")</f>
        <v>notDelivering</v>
      </c>
      <c r="B187" s="2" t="str">
        <f>IFERROR(__xludf.DUMMYFUNCTION("""COMPUTED_VALUE"""),"Not delivering")</f>
        <v>Not delivering</v>
      </c>
      <c r="C187" s="2"/>
      <c r="D187" s="2" t="str">
        <f>IFERROR(__xludf.DUMMYFUNCTION("""COMPUTED_VALUE"""),"ବିତରଣ ନକରିବା")</f>
        <v>ବିତରଣ ନକରିବା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 t="str">
        <f>IFERROR(__xludf.DUMMYFUNCTION("""COMPUTED_VALUE"""),"sellerProfile")</f>
        <v>sellerProfile</v>
      </c>
      <c r="B188" s="2" t="str">
        <f>IFERROR(__xludf.DUMMYFUNCTION("""COMPUTED_VALUE"""),"Seller profile")</f>
        <v>Seller profile</v>
      </c>
      <c r="C188" s="2"/>
      <c r="D188" s="2" t="str">
        <f>IFERROR(__xludf.DUMMYFUNCTION("""COMPUTED_VALUE"""),"ବିକ୍ରେତା ପ୍ରୋଫାଇଲ୍ |")</f>
        <v>ବିକ୍ରେତା ପ୍ରୋଫାଇଲ୍ |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 t="str">
        <f>IFERROR(__xludf.DUMMYFUNCTION("""COMPUTED_VALUE"""),"fabulous")</f>
        <v>fabulous</v>
      </c>
      <c r="B189" s="2" t="str">
        <f>IFERROR(__xludf.DUMMYFUNCTION("""COMPUTED_VALUE"""),"Fabulous")</f>
        <v>Fabulous</v>
      </c>
      <c r="C189" s="2"/>
      <c r="D189" s="2" t="str">
        <f>IFERROR(__xludf.DUMMYFUNCTION("""COMPUTED_VALUE"""),"ଫାବୁଲସ୍ |")</f>
        <v>ଫାବୁଲସ୍ |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 t="str">
        <f>IFERROR(__xludf.DUMMYFUNCTION("""COMPUTED_VALUE"""),"customerRated")</f>
        <v>customerRated</v>
      </c>
      <c r="B190" s="2" t="str">
        <f>IFERROR(__xludf.DUMMYFUNCTION("""COMPUTED_VALUE"""),"Customer Rated")</f>
        <v>Customer Rated</v>
      </c>
      <c r="C190" s="2"/>
      <c r="D190" s="2" t="str">
        <f>IFERROR(__xludf.DUMMYFUNCTION("""COMPUTED_VALUE"""),"ଗ୍ରାହକ ମୂଲ୍ୟାୟନ")</f>
        <v>ଗ୍ରାହକ ମୂଲ୍ୟାୟନ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 t="str">
        <f>IFERROR(__xludf.DUMMYFUNCTION("""COMPUTED_VALUE"""),"searchlocation")</f>
        <v>searchlocation</v>
      </c>
      <c r="B191" s="2" t="str">
        <f>IFERROR(__xludf.DUMMYFUNCTION("""COMPUTED_VALUE"""),"Search Location")</f>
        <v>Search Location</v>
      </c>
      <c r="C191" s="2">
        <f>IFERROR(__xludf.DUMMYFUNCTION("""COMPUTED_VALUE"""),0.5)</f>
        <v>0.5</v>
      </c>
      <c r="D191" s="2" t="str">
        <f>IFERROR(__xludf.DUMMYFUNCTION("""COMPUTED_VALUE"""),"ସନ୍ଧାନ ସ୍ଥାନ")</f>
        <v>ସନ୍ଧାନ ସ୍ଥାନ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 t="str">
        <f>IFERROR(__xludf.DUMMYFUNCTION("""COMPUTED_VALUE"""),"shopByCategories")</f>
        <v>shopByCategories</v>
      </c>
      <c r="B192" s="2" t="str">
        <f>IFERROR(__xludf.DUMMYFUNCTION("""COMPUTED_VALUE"""),"Shop by Categories")</f>
        <v>Shop by Categories</v>
      </c>
      <c r="C192" s="2"/>
      <c r="D192" s="2" t="str">
        <f>IFERROR(__xludf.DUMMYFUNCTION("""COMPUTED_VALUE"""),"ବର୍ଗଗୁଡିକ ଦ୍ୱାରା କିଣନ୍ତୁ |")</f>
        <v>ବର୍ଗଗୁଡିକ ଦ୍ୱାରା କିଣନ୍ତୁ |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 t="str">
        <f>IFERROR(__xludf.DUMMYFUNCTION("""COMPUTED_VALUE"""),"next")</f>
        <v>next</v>
      </c>
      <c r="B193" s="2" t="str">
        <f>IFERROR(__xludf.DUMMYFUNCTION("""COMPUTED_VALUE"""),"Next")</f>
        <v>Next</v>
      </c>
      <c r="C193" s="2">
        <f>IFERROR(__xludf.DUMMYFUNCTION("""COMPUTED_VALUE"""),0.5)</f>
        <v>0.5</v>
      </c>
      <c r="D193" s="2" t="str">
        <f>IFERROR(__xludf.DUMMYFUNCTION("""COMPUTED_VALUE"""),"ପରବର୍ତ୍ତୀ")</f>
        <v>ପରବର୍ତ୍ତୀ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 t="str">
        <f>IFERROR(__xludf.DUMMYFUNCTION("""COMPUTED_VALUE"""),"taptorecordclosingnote")</f>
        <v>taptorecordclosingnote</v>
      </c>
      <c r="B194" s="2" t="str">
        <f>IFERROR(__xludf.DUMMYFUNCTION("""COMPUTED_VALUE"""),"Tap to record closing note")</f>
        <v>Tap to record closing note</v>
      </c>
      <c r="C194" s="2">
        <f>IFERROR(__xludf.DUMMYFUNCTION("""COMPUTED_VALUE"""),0.3)</f>
        <v>0.3</v>
      </c>
      <c r="D194" s="2" t="str">
        <f>IFERROR(__xludf.DUMMYFUNCTION("""COMPUTED_VALUE"""),"ବନ୍ଦ ନୋଟ୍ ରେକର୍ଡ କରିବାକୁ ଟ୍ୟାପ୍ କରନ୍ତୁ |")</f>
        <v>ବନ୍ଦ ନୋଟ୍ ରେକର୍ଡ କରିବାକୁ ଟ୍ୟାପ୍ କରନ୍ତୁ |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 t="str">
        <f>IFERROR(__xludf.DUMMYFUNCTION("""COMPUTED_VALUE"""),"shopInfo")</f>
        <v>shopInfo</v>
      </c>
      <c r="B195" s="2" t="str">
        <f>IFERROR(__xludf.DUMMYFUNCTION("""COMPUTED_VALUE"""),"Shop Info")</f>
        <v>Shop Info</v>
      </c>
      <c r="C195" s="2"/>
      <c r="D195" s="2" t="str">
        <f>IFERROR(__xludf.DUMMYFUNCTION("""COMPUTED_VALUE"""),"ଦୋକାନ ସୂଚନା")</f>
        <v>ଦୋକାନ ସୂଚନା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 t="str">
        <f>IFERROR(__xludf.DUMMYFUNCTION("""COMPUTED_VALUE"""),"enablelocation")</f>
        <v>enablelocation</v>
      </c>
      <c r="B196" s="2" t="str">
        <f>IFERROR(__xludf.DUMMYFUNCTION("""COMPUTED_VALUE"""),"Enable Location")</f>
        <v>Enable Location</v>
      </c>
      <c r="C196" s="2">
        <f>IFERROR(__xludf.DUMMYFUNCTION("""COMPUTED_VALUE"""),0.5)</f>
        <v>0.5</v>
      </c>
      <c r="D196" s="2" t="str">
        <f>IFERROR(__xludf.DUMMYFUNCTION("""COMPUTED_VALUE"""),"ଅବସ୍ଥାନ ସକ୍ଷମ କରନ୍ତୁ |")</f>
        <v>ଅବସ୍ଥାନ ସକ୍ଷମ କରନ୍ତୁ |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 t="str">
        <f>IFERROR(__xludf.DUMMYFUNCTION("""COMPUTED_VALUE"""),"vegatables")</f>
        <v>vegatables</v>
      </c>
      <c r="B197" s="2" t="str">
        <f>IFERROR(__xludf.DUMMYFUNCTION("""COMPUTED_VALUE"""),"Vegetables")</f>
        <v>Vegetables</v>
      </c>
      <c r="C197" s="2"/>
      <c r="D197" s="2" t="str">
        <f>IFERROR(__xludf.DUMMYFUNCTION("""COMPUTED_VALUE"""),"ପନିପରିବା |")</f>
        <v>ପନିପରିବା |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 t="str">
        <f>IFERROR(__xludf.DUMMYFUNCTION("""COMPUTED_VALUE"""),"enablenotification")</f>
        <v>enablenotification</v>
      </c>
      <c r="B198" s="2" t="str">
        <f>IFERROR(__xludf.DUMMYFUNCTION("""COMPUTED_VALUE"""),"Enable Notification")</f>
        <v>Enable Notification</v>
      </c>
      <c r="C198" s="2">
        <f>IFERROR(__xludf.DUMMYFUNCTION("""COMPUTED_VALUE"""),0.5)</f>
        <v>0.5</v>
      </c>
      <c r="D198" s="2" t="str">
        <f>IFERROR(__xludf.DUMMYFUNCTION("""COMPUTED_VALUE"""),"ବିଜ୍ଞପ୍ତି ସକ୍ଷମ କରନ୍ତୁ |")</f>
        <v>ବିଜ୍ଞପ୍ତି ସକ୍ଷମ କରନ୍ତୁ |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 t="str">
        <f>IFERROR(__xludf.DUMMYFUNCTION("""COMPUTED_VALUE"""),"changelanguage")</f>
        <v>changelanguage</v>
      </c>
      <c r="B199" s="2" t="str">
        <f>IFERROR(__xludf.DUMMYFUNCTION("""COMPUTED_VALUE"""),"Change Language")</f>
        <v>Change Language</v>
      </c>
      <c r="C199" s="2">
        <f>IFERROR(__xludf.DUMMYFUNCTION("""COMPUTED_VALUE"""),0.5)</f>
        <v>0.5</v>
      </c>
      <c r="D199" s="2" t="str">
        <f>IFERROR(__xludf.DUMMYFUNCTION("""COMPUTED_VALUE"""),"ଭାଷା ପରିବର୍ତ୍ତନ କରନ୍ତୁ |")</f>
        <v>ଭାଷା ପରିବର୍ତ୍ତନ କରନ୍ତୁ |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 t="str">
        <f>IFERROR(__xludf.DUMMYFUNCTION("""COMPUTED_VALUE"""),"confirm")</f>
        <v>confirm</v>
      </c>
      <c r="B200" s="2" t="str">
        <f>IFERROR(__xludf.DUMMYFUNCTION("""COMPUTED_VALUE"""),"Confirm")</f>
        <v>Confirm</v>
      </c>
      <c r="C200" s="2">
        <f>IFERROR(__xludf.DUMMYFUNCTION("""COMPUTED_VALUE"""),0.3)</f>
        <v>0.3</v>
      </c>
      <c r="D200" s="2" t="str">
        <f>IFERROR(__xludf.DUMMYFUNCTION("""COMPUTED_VALUE"""),"ନିଶ୍ଚିତ କର |")</f>
        <v>ନିଶ୍ଚିତ କର |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 t="str">
        <f>IFERROR(__xludf.DUMMYFUNCTION("""COMPUTED_VALUE"""),"byallowingthelocationyouwillgetallyournearbyrestaurants")</f>
        <v>byallowingthelocationyouwillgetallyournearbyrestaurants</v>
      </c>
      <c r="B201" s="2" t="str">
        <f>IFERROR(__xludf.DUMMYFUNCTION("""COMPUTED_VALUE"""),"By allowing the location you will get all your nearby restaurants")</f>
        <v>By allowing the location you will get all your nearby restaurants</v>
      </c>
      <c r="C201" s="2">
        <f>IFERROR(__xludf.DUMMYFUNCTION("""COMPUTED_VALUE"""),0.5)</f>
        <v>0.5</v>
      </c>
      <c r="D201" s="2" t="str">
        <f>IFERROR(__xludf.DUMMYFUNCTION("""COMPUTED_VALUE"""),"ଅବସ୍ଥାନକୁ ଅନୁମତି ଦେଇ ଆପଣ ଆପଣଙ୍କର ସମସ୍ତ ନିକଟସ୍ଥ ରେଷ୍ଟୁରାଣ୍ଟ ପାଇବେ |")</f>
        <v>ଅବସ୍ଥାନକୁ ଅନୁମତି ଦେଇ ଆପଣ ଆପଣଙ୍କର ସମସ୍ତ ନିକଟସ୍ଥ ରେଷ୍ଟୁରାଣ୍ଟ ପାଇବେ |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 t="str">
        <f>IFERROR(__xludf.DUMMYFUNCTION("""COMPUTED_VALUE"""),"byallowingthenotificationyouwillgetnotifiedbyyourfavouriterestaurants")</f>
        <v>byallowingthenotificationyouwillgetnotifiedbyyourfavouriterestaurants</v>
      </c>
      <c r="B202" s="2" t="str">
        <f>IFERROR(__xludf.DUMMYFUNCTION("""COMPUTED_VALUE"""),"By allowing the notification you will get notified by your favourite restaurants")</f>
        <v>By allowing the notification you will get notified by your favourite restaurants</v>
      </c>
      <c r="C202" s="2">
        <f>IFERROR(__xludf.DUMMYFUNCTION("""COMPUTED_VALUE"""),0.5)</f>
        <v>0.5</v>
      </c>
      <c r="D202" s="2" t="str">
        <f>IFERROR(__xludf.DUMMYFUNCTION("""COMPUTED_VALUE"""),"ବିଜ୍ଞପ୍ତିକୁ ଅନୁମତି ଦେଇ ଆପଣ ଆପଣଙ୍କର ପ୍ରିୟ ରେଷ୍ଟୁରାଣ୍ଟ ଦ୍ୱାରା ସୂଚିତ ହେବେ |")</f>
        <v>ବିଜ୍ଞପ୍ତିକୁ ଅନୁମତି ଦେଇ ଆପଣ ଆପଣଙ୍କର ପ୍ରିୟ ରେଷ୍ଟୁରାଣ୍ଟ ଦ୍ୱାରା ସୂଚିତ ହେବେ |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 t="str">
        <f>IFERROR(__xludf.DUMMYFUNCTION("""COMPUTED_VALUE"""),"nowyoucanchooseyoursuitablelanguage")</f>
        <v>nowyoucanchooseyoursuitablelanguage</v>
      </c>
      <c r="B203" s="2" t="str">
        <f>IFERROR(__xludf.DUMMYFUNCTION("""COMPUTED_VALUE"""),"Now you can choose your suitable language ")</f>
        <v>Now you can choose your suitable language </v>
      </c>
      <c r="C203" s="2">
        <f>IFERROR(__xludf.DUMMYFUNCTION("""COMPUTED_VALUE"""),0.5)</f>
        <v>0.5</v>
      </c>
      <c r="D203" s="2" t="str">
        <f>IFERROR(__xludf.DUMMYFUNCTION("""COMPUTED_VALUE"""),"ବର୍ତ୍ତମାନ ତୁମେ ତୁମର ଉପଯୁକ୍ତ ଭାଷା ବାଛି ପାରିବ |")</f>
        <v>ବର୍ତ୍ତମାନ ତୁମେ ତୁମର ଉପଯୁକ୍ତ ଭାଷା ବାଛି ପାରିବ |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 t="str">
        <f>IFERROR(__xludf.DUMMYFUNCTION("""COMPUTED_VALUE"""),"savethisaddressas")</f>
        <v>savethisaddressas</v>
      </c>
      <c r="B204" s="2" t="str">
        <f>IFERROR(__xludf.DUMMYFUNCTION("""COMPUTED_VALUE"""),"Save this address as")</f>
        <v>Save this address as</v>
      </c>
      <c r="C204" s="2">
        <f>IFERROR(__xludf.DUMMYFUNCTION("""COMPUTED_VALUE"""),0.5)</f>
        <v>0.5</v>
      </c>
      <c r="D204" s="2" t="str">
        <f>IFERROR(__xludf.DUMMYFUNCTION("""COMPUTED_VALUE"""),"ଏହି ଠିକଣାକୁ ସେଭ୍ କରନ୍ତୁ |")</f>
        <v>ଏହି ଠିକଣାକୁ ସେଭ୍ କରନ୍ତୁ |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 t="str">
        <f>IFERROR(__xludf.DUMMYFUNCTION("""COMPUTED_VALUE"""),"yourlocation")</f>
        <v>yourlocation</v>
      </c>
      <c r="B205" s="2" t="str">
        <f>IFERROR(__xludf.DUMMYFUNCTION("""COMPUTED_VALUE"""),"Your Location")</f>
        <v>Your Location</v>
      </c>
      <c r="C205" s="2">
        <f>IFERROR(__xludf.DUMMYFUNCTION("""COMPUTED_VALUE"""),0.5)</f>
        <v>0.5</v>
      </c>
      <c r="D205" s="2" t="str">
        <f>IFERROR(__xludf.DUMMYFUNCTION("""COMPUTED_VALUE"""),"ତୁମର ଅବସ୍ଥାନ")</f>
        <v>ତୁମର ଅବସ୍ଥାନ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 t="str">
        <f>IFERROR(__xludf.DUMMYFUNCTION("""COMPUTED_VALUE"""),"help")</f>
        <v>help</v>
      </c>
      <c r="B206" s="2" t="str">
        <f>IFERROR(__xludf.DUMMYFUNCTION("""COMPUTED_VALUE"""),"Help")</f>
        <v>Help</v>
      </c>
      <c r="C206" s="2">
        <f>IFERROR(__xludf.DUMMYFUNCTION("""COMPUTED_VALUE"""),0.2)</f>
        <v>0.2</v>
      </c>
      <c r="D206" s="2" t="str">
        <f>IFERROR(__xludf.DUMMYFUNCTION("""COMPUTED_VALUE"""),"ସାହାଯ୍ୟ")</f>
        <v>ସାହାଯ୍ୟ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 t="str">
        <f>IFERROR(__xludf.DUMMYFUNCTION("""COMPUTED_VALUE"""),"areyousureyouwanttologout")</f>
        <v>areyousureyouwanttologout</v>
      </c>
      <c r="B207" s="2" t="str">
        <f>IFERROR(__xludf.DUMMYFUNCTION("""COMPUTED_VALUE"""),"Are you sure you want to log out?")</f>
        <v>Are you sure you want to log out?</v>
      </c>
      <c r="C207" s="2">
        <f>IFERROR(__xludf.DUMMYFUNCTION("""COMPUTED_VALUE"""),0.5)</f>
        <v>0.5</v>
      </c>
      <c r="D207" s="2" t="str">
        <f>IFERROR(__xludf.DUMMYFUNCTION("""COMPUTED_VALUE"""),"ଆପଣ ନିଶ୍ଚିତ କି ଆପଣ ଲଗ୍ ଆଉଟ୍ କରିବାକୁ ଚାହୁଁଛନ୍ତି?")</f>
        <v>ଆପଣ ନିଶ୍ଚିତ କି ଆପଣ ଲଗ୍ ଆଉଟ୍ କରିବାକୁ ଚାହୁଁଛନ୍ତି?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 t="str">
        <f>IFERROR(__xludf.DUMMYFUNCTION("""COMPUTED_VALUE"""),"son")</f>
        <v>son</v>
      </c>
      <c r="B208" s="2" t="str">
        <f>IFERROR(__xludf.DUMMYFUNCTION("""COMPUTED_VALUE"""),"Son")</f>
        <v>Son</v>
      </c>
      <c r="C208" s="2">
        <f>IFERROR(__xludf.DUMMYFUNCTION("""COMPUTED_VALUE"""),0.5)</f>
        <v>0.5</v>
      </c>
      <c r="D208" s="2" t="str">
        <f>IFERROR(__xludf.DUMMYFUNCTION("""COMPUTED_VALUE"""),"ପୁଅ")</f>
        <v>ପୁଅ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 t="str">
        <f>IFERROR(__xludf.DUMMYFUNCTION("""COMPUTED_VALUE"""),"onboardbysales")</f>
        <v>onboardbysales</v>
      </c>
      <c r="B209" s="2" t="str">
        <f>IFERROR(__xludf.DUMMYFUNCTION("""COMPUTED_VALUE"""),"Onboard by Sales")</f>
        <v>Onboard by Sales</v>
      </c>
      <c r="C209" s="2">
        <f>IFERROR(__xludf.DUMMYFUNCTION("""COMPUTED_VALUE"""),0.5)</f>
        <v>0.5</v>
      </c>
      <c r="D209" s="2" t="str">
        <f>IFERROR(__xludf.DUMMYFUNCTION("""COMPUTED_VALUE"""),"ବିକ୍ରୟ ଦ୍ୱାରା ବାହାଘର |")</f>
        <v>ବିକ୍ରୟ ଦ୍ୱାରା ବାହାଘର |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 t="str">
        <f>IFERROR(__xludf.DUMMYFUNCTION("""COMPUTED_VALUE"""),"ratings")</f>
        <v>ratings</v>
      </c>
      <c r="B210" s="2" t="str">
        <f>IFERROR(__xludf.DUMMYFUNCTION("""COMPUTED_VALUE"""),"Ratings")</f>
        <v>Ratings</v>
      </c>
      <c r="C210" s="2">
        <f>IFERROR(__xludf.DUMMYFUNCTION("""COMPUTED_VALUE"""),0.5)</f>
        <v>0.5</v>
      </c>
      <c r="D210" s="2" t="str">
        <f>IFERROR(__xludf.DUMMYFUNCTION("""COMPUTED_VALUE"""),"ଗଡା")</f>
        <v>ଗଡା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 t="str">
        <f>IFERROR(__xludf.DUMMYFUNCTION("""COMPUTED_VALUE"""),"cancelOrder")</f>
        <v>cancelOrder</v>
      </c>
      <c r="B211" s="2" t="str">
        <f>IFERROR(__xludf.DUMMYFUNCTION("""COMPUTED_VALUE"""),"Cancel Order")</f>
        <v>Cancel Order</v>
      </c>
      <c r="C211" s="2"/>
      <c r="D211" s="2" t="str">
        <f>IFERROR(__xludf.DUMMYFUNCTION("""COMPUTED_VALUE"""),"କ୍ରମ ବାତିଲ୍ କରନ୍ତୁ |")</f>
        <v>କ୍ରମ ବାତିଲ୍ କରନ୍ତୁ |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 t="str">
        <f>IFERROR(__xludf.DUMMYFUNCTION("""COMPUTED_VALUE"""),"recommendedforyou")</f>
        <v>recommendedforyou</v>
      </c>
      <c r="B212" s="2" t="str">
        <f>IFERROR(__xludf.DUMMYFUNCTION("""COMPUTED_VALUE"""),"Recommended for You ")</f>
        <v>Recommended for You </v>
      </c>
      <c r="C212" s="2">
        <f>IFERROR(__xludf.DUMMYFUNCTION("""COMPUTED_VALUE"""),0.5)</f>
        <v>0.5</v>
      </c>
      <c r="D212" s="2" t="str">
        <f>IFERROR(__xludf.DUMMYFUNCTION("""COMPUTED_VALUE"""),"ଆପଣଙ୍କ ପାଇଁ ପରାମର୍ଶ ଦିଆଯାଇଛି |")</f>
        <v>ଆପଣଙ୍କ ପାଇଁ ପରାମର୍ଶ ଦିଆଯାଇଛି |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 t="str">
        <f>IFERROR(__xludf.DUMMYFUNCTION("""COMPUTED_VALUE"""),"remove")</f>
        <v>remove</v>
      </c>
      <c r="B213" s="2" t="str">
        <f>IFERROR(__xludf.DUMMYFUNCTION("""COMPUTED_VALUE"""),"Remove")</f>
        <v>Remove</v>
      </c>
      <c r="C213" s="2">
        <f>IFERROR(__xludf.DUMMYFUNCTION("""COMPUTED_VALUE"""),0.5)</f>
        <v>0.5</v>
      </c>
      <c r="D213" s="2" t="str">
        <f>IFERROR(__xludf.DUMMYFUNCTION("""COMPUTED_VALUE"""),"କା remove ାଳି ଦିଅ |")</f>
        <v>କା remove ାଳି ଦିଅ |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 t="str">
        <f>IFERROR(__xludf.DUMMYFUNCTION("""COMPUTED_VALUE"""),"adddetails")</f>
        <v>adddetails</v>
      </c>
      <c r="B214" s="2" t="str">
        <f>IFERROR(__xludf.DUMMYFUNCTION("""COMPUTED_VALUE"""),"Add Details")</f>
        <v>Add Details</v>
      </c>
      <c r="C214" s="2">
        <f>IFERROR(__xludf.DUMMYFUNCTION("""COMPUTED_VALUE"""),0.5)</f>
        <v>0.5</v>
      </c>
      <c r="D214" s="2" t="str">
        <f>IFERROR(__xludf.DUMMYFUNCTION("""COMPUTED_VALUE"""),"ବିବରଣୀ ଯୋଡନ୍ତୁ |")</f>
        <v>ବିବରଣୀ ଯୋଡନ୍ତୁ |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 t="str">
        <f>IFERROR(__xludf.DUMMYFUNCTION("""COMPUTED_VALUE"""),"updateuser")</f>
        <v>updateuser</v>
      </c>
      <c r="B215" s="2" t="str">
        <f>IFERROR(__xludf.DUMMYFUNCTION("""COMPUTED_VALUE"""),"Update User")</f>
        <v>Update User</v>
      </c>
      <c r="C215" s="2">
        <f>IFERROR(__xludf.DUMMYFUNCTION("""COMPUTED_VALUE"""),0.5)</f>
        <v>0.5</v>
      </c>
      <c r="D215" s="2" t="str">
        <f>IFERROR(__xludf.DUMMYFUNCTION("""COMPUTED_VALUE"""),"ଉପଯୋଗକର୍ତ୍ତା ଅଦ୍ୟତନ କରନ୍ତୁ |")</f>
        <v>ଉପଯୋଗକର୍ତ୍ତା ଅଦ୍ୟତନ କରନ୍ତୁ |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 t="str">
        <f>IFERROR(__xludf.DUMMYFUNCTION("""COMPUTED_VALUE"""),"nouserscreatedyet")</f>
        <v>nouserscreatedyet</v>
      </c>
      <c r="B216" s="2" t="str">
        <f>IFERROR(__xludf.DUMMYFUNCTION("""COMPUTED_VALUE"""),"No Users Created Yet")</f>
        <v>No Users Created Yet</v>
      </c>
      <c r="C216" s="2">
        <f>IFERROR(__xludf.DUMMYFUNCTION("""COMPUTED_VALUE"""),0.5)</f>
        <v>0.5</v>
      </c>
      <c r="D216" s="2" t="str">
        <f>IFERROR(__xludf.DUMMYFUNCTION("""COMPUTED_VALUE"""),"ଏପର୍ଯ୍ୟନ୍ତ କ used ଣସି ଉପଭୋକ୍ତା ସୃଷ୍ଟି କରନ୍ତି ନାହିଁ |")</f>
        <v>ଏପର୍ଯ୍ୟନ୍ତ କ used ଣସି ଉପଭୋକ୍ତା ସୃଷ୍ଟି କରନ୍ତି ନାହିଁ |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 t="str">
        <f>IFERROR(__xludf.DUMMYFUNCTION("""COMPUTED_VALUE"""),"advance")</f>
        <v>advance</v>
      </c>
      <c r="B217" s="2" t="str">
        <f>IFERROR(__xludf.DUMMYFUNCTION("""COMPUTED_VALUE"""),"Advance")</f>
        <v>Advance</v>
      </c>
      <c r="C217" s="2">
        <f>IFERROR(__xludf.DUMMYFUNCTION("""COMPUTED_VALUE"""),0.5)</f>
        <v>0.5</v>
      </c>
      <c r="D217" s="2" t="str">
        <f>IFERROR(__xludf.DUMMYFUNCTION("""COMPUTED_VALUE"""),"ଅଗ୍ରିମ")</f>
        <v>ଅଗ୍ରିମ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 t="str">
        <f>IFERROR(__xludf.DUMMYFUNCTION("""COMPUTED_VALUE"""),"pastOrders")</f>
        <v>pastOrders</v>
      </c>
      <c r="B218" s="2" t="str">
        <f>IFERROR(__xludf.DUMMYFUNCTION("""COMPUTED_VALUE"""),"Past Orders")</f>
        <v>Past Orders</v>
      </c>
      <c r="C218" s="2">
        <f>IFERROR(__xludf.DUMMYFUNCTION("""COMPUTED_VALUE"""),0.5)</f>
        <v>0.5</v>
      </c>
      <c r="D218" s="2" t="str">
        <f>IFERROR(__xludf.DUMMYFUNCTION("""COMPUTED_VALUE"""),"ଅତୀତର ଆଦେଶ")</f>
        <v>ଅତୀତର ଆଦେଶ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 t="str">
        <f>IFERROR(__xludf.DUMMYFUNCTION("""COMPUTED_VALUE"""),"viewMoreOrders")</f>
        <v>viewMoreOrders</v>
      </c>
      <c r="B219" s="2" t="str">
        <f>IFERROR(__xludf.DUMMYFUNCTION("""COMPUTED_VALUE"""),"View More Orders")</f>
        <v>View More Orders</v>
      </c>
      <c r="C219" s="2">
        <f>IFERROR(__xludf.DUMMYFUNCTION("""COMPUTED_VALUE"""),0.5)</f>
        <v>0.5</v>
      </c>
      <c r="D219" s="2" t="str">
        <f>IFERROR(__xludf.DUMMYFUNCTION("""COMPUTED_VALUE"""),"ଅଧିକ ଅର୍ଡର ଦେଖନ୍ତୁ |")</f>
        <v>ଅଧିକ ଅର୍ଡର ଦେଖନ୍ତୁ |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 t="str">
        <f>IFERROR(__xludf.DUMMYFUNCTION("""COMPUTED_VALUE"""),"ordermanger")</f>
        <v>ordermanger</v>
      </c>
      <c r="B220" s="2" t="str">
        <f>IFERROR(__xludf.DUMMYFUNCTION("""COMPUTED_VALUE"""),"Order Manager")</f>
        <v>Order Manager</v>
      </c>
      <c r="C220" s="2">
        <f>IFERROR(__xludf.DUMMYFUNCTION("""COMPUTED_VALUE"""),0.5)</f>
        <v>0.5</v>
      </c>
      <c r="D220" s="2" t="str">
        <f>IFERROR(__xludf.DUMMYFUNCTION("""COMPUTED_VALUE"""),"ଅର୍ଡର ପରିଚାଳକ")</f>
        <v>ଅର୍ଡର ପରିଚାଳକ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 t="str">
        <f>IFERROR(__xludf.DUMMYFUNCTION("""COMPUTED_VALUE"""),"name")</f>
        <v>name</v>
      </c>
      <c r="B221" s="2" t="str">
        <f>IFERROR(__xludf.DUMMYFUNCTION("""COMPUTED_VALUE"""),"Name")</f>
        <v>Name</v>
      </c>
      <c r="C221" s="2">
        <f>IFERROR(__xludf.DUMMYFUNCTION("""COMPUTED_VALUE"""),0.1)</f>
        <v>0.1</v>
      </c>
      <c r="D221" s="2" t="str">
        <f>IFERROR(__xludf.DUMMYFUNCTION("""COMPUTED_VALUE"""),"ନାମ")</f>
        <v>ନାମ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 t="str">
        <f>IFERROR(__xludf.DUMMYFUNCTION("""COMPUTED_VALUE"""),"mycomplaints")</f>
        <v>mycomplaints</v>
      </c>
      <c r="B222" s="2" t="str">
        <f>IFERROR(__xludf.DUMMYFUNCTION("""COMPUTED_VALUE"""),"My Complaints")</f>
        <v>My Complaints</v>
      </c>
      <c r="C222" s="2">
        <f>IFERROR(__xludf.DUMMYFUNCTION("""COMPUTED_VALUE"""),0.3)</f>
        <v>0.3</v>
      </c>
      <c r="D222" s="2" t="str">
        <f>IFERROR(__xludf.DUMMYFUNCTION("""COMPUTED_VALUE"""),"ମୋର ଅଭିଯୋଗ")</f>
        <v>ମୋର ଅଭିଯୋଗ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 t="str">
        <f>IFERROR(__xludf.DUMMYFUNCTION("""COMPUTED_VALUE"""),"complainid")</f>
        <v>complainid</v>
      </c>
      <c r="B223" s="2" t="str">
        <f>IFERROR(__xludf.DUMMYFUNCTION("""COMPUTED_VALUE"""),"Complain ID")</f>
        <v>Complain ID</v>
      </c>
      <c r="C223" s="2">
        <f>IFERROR(__xludf.DUMMYFUNCTION("""COMPUTED_VALUE"""),0.3)</f>
        <v>0.3</v>
      </c>
      <c r="D223" s="2" t="str">
        <f>IFERROR(__xludf.DUMMYFUNCTION("""COMPUTED_VALUE"""),"ଅଭିଯୋଗ ID")</f>
        <v>ଅଭିଯୋଗ ID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 t="str">
        <f>IFERROR(__xludf.DUMMYFUNCTION("""COMPUTED_VALUE"""),"assignedtoaccountmanager")</f>
        <v>assignedtoaccountmanager</v>
      </c>
      <c r="B224" s="2" t="str">
        <f>IFERROR(__xludf.DUMMYFUNCTION("""COMPUTED_VALUE"""),"Assigned to Account Manager")</f>
        <v>Assigned to Account Manager</v>
      </c>
      <c r="C224" s="2">
        <f>IFERROR(__xludf.DUMMYFUNCTION("""COMPUTED_VALUE"""),0.3)</f>
        <v>0.3</v>
      </c>
      <c r="D224" s="2" t="str">
        <f>IFERROR(__xludf.DUMMYFUNCTION("""COMPUTED_VALUE"""),"ଆକାଉଣ୍ଟ୍ ମ୍ୟାନେଜର୍ ପାଇଁ ନ୍ୟସ୍ତ |")</f>
        <v>ଆକାଉଣ୍ଟ୍ ମ୍ୟାନେଜର୍ ପାଇଁ ନ୍ୟସ୍ତ |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 t="str">
        <f>IFERROR(__xludf.DUMMYFUNCTION("""COMPUTED_VALUE"""),"complainraised")</f>
        <v>complainraised</v>
      </c>
      <c r="B225" s="2" t="str">
        <f>IFERROR(__xludf.DUMMYFUNCTION("""COMPUTED_VALUE"""),"Complaint Raised")</f>
        <v>Complaint Raised</v>
      </c>
      <c r="C225" s="2">
        <f>IFERROR(__xludf.DUMMYFUNCTION("""COMPUTED_VALUE"""),0.3)</f>
        <v>0.3</v>
      </c>
      <c r="D225" s="2" t="str">
        <f>IFERROR(__xludf.DUMMYFUNCTION("""COMPUTED_VALUE"""),"ଅଭିଯୋଗ ହୋଇଛି")</f>
        <v>ଅଭିଯୋଗ ହୋଇଛି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 t="str">
        <f>IFERROR(__xludf.DUMMYFUNCTION("""COMPUTED_VALUE"""),"verify")</f>
        <v>verify</v>
      </c>
      <c r="B226" s="2" t="str">
        <f>IFERROR(__xludf.DUMMYFUNCTION("""COMPUTED_VALUE"""),"Verify")</f>
        <v>Verify</v>
      </c>
      <c r="C226" s="2">
        <f>IFERROR(__xludf.DUMMYFUNCTION("""COMPUTED_VALUE"""),0.3)</f>
        <v>0.3</v>
      </c>
      <c r="D226" s="2" t="str">
        <f>IFERROR(__xludf.DUMMYFUNCTION("""COMPUTED_VALUE"""),"ଯାଞ୍ଚ କରନ୍ତୁ |")</f>
        <v>ଯାଞ୍ଚ କରନ୍ତୁ |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 t="str">
        <f>IFERROR(__xludf.DUMMYFUNCTION("""COMPUTED_VALUE"""),"yesterday")</f>
        <v>yesterday</v>
      </c>
      <c r="B227" s="2" t="str">
        <f>IFERROR(__xludf.DUMMYFUNCTION("""COMPUTED_VALUE"""),"Yesterday")</f>
        <v>Yesterday</v>
      </c>
      <c r="C227" s="2">
        <f>IFERROR(__xludf.DUMMYFUNCTION("""COMPUTED_VALUE"""),0.3)</f>
        <v>0.3</v>
      </c>
      <c r="D227" s="2" t="str">
        <f>IFERROR(__xludf.DUMMYFUNCTION("""COMPUTED_VALUE"""),"ଗତକାଲି")</f>
        <v>ଗତକାଲି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 t="str">
        <f>IFERROR(__xludf.DUMMYFUNCTION("""COMPUTED_VALUE"""),"referBy")</f>
        <v>referBy</v>
      </c>
      <c r="B228" s="2" t="str">
        <f>IFERROR(__xludf.DUMMYFUNCTION("""COMPUTED_VALUE"""),"Refer by")</f>
        <v>Refer by</v>
      </c>
      <c r="C228" s="2"/>
      <c r="D228" s="2" t="str">
        <f>IFERROR(__xludf.DUMMYFUNCTION("""COMPUTED_VALUE"""),"ଦ୍ୱାରା ଅନୁସରଣ କରନ୍ତୁ |")</f>
        <v>ଦ୍ୱାରା ଅନୁସରଣ କରନ୍ତୁ |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 t="str">
        <f>IFERROR(__xludf.DUMMYFUNCTION("""COMPUTED_VALUE"""),"email")</f>
        <v>email</v>
      </c>
      <c r="B229" s="2" t="str">
        <f>IFERROR(__xludf.DUMMYFUNCTION("""COMPUTED_VALUE"""),"Email")</f>
        <v>Email</v>
      </c>
      <c r="C229" s="2">
        <f>IFERROR(__xludf.DUMMYFUNCTION("""COMPUTED_VALUE"""),0.2)</f>
        <v>0.2</v>
      </c>
      <c r="D229" s="2" t="str">
        <f>IFERROR(__xludf.DUMMYFUNCTION("""COMPUTED_VALUE"""),"ଇମେଲ୍")</f>
        <v>ଇମେଲ୍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 t="str">
        <f>IFERROR(__xludf.DUMMYFUNCTION("""COMPUTED_VALUE"""),"escalatedtostatehead")</f>
        <v>escalatedtostatehead</v>
      </c>
      <c r="B230" s="2" t="str">
        <f>IFERROR(__xludf.DUMMYFUNCTION("""COMPUTED_VALUE"""),"Escalated to State Head")</f>
        <v>Escalated to State Head</v>
      </c>
      <c r="C230" s="2">
        <f>IFERROR(__xludf.DUMMYFUNCTION("""COMPUTED_VALUE"""),0.3)</f>
        <v>0.3</v>
      </c>
      <c r="D230" s="2" t="str">
        <f>IFERROR(__xludf.DUMMYFUNCTION("""COMPUTED_VALUE"""),"ରାଜ୍ୟ ମୁଣ୍ଡରେ ବୃଦ୍ଧି ପାଇଲା |")</f>
        <v>ରାଜ୍ୟ ମୁଣ୍ଡରେ ବୃଦ୍ଧି ପାଇଲା |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 t="str">
        <f>IFERROR(__xludf.DUMMYFUNCTION("""COMPUTED_VALUE"""),"escalated to city officer")</f>
        <v>escalated to city officer</v>
      </c>
      <c r="B231" s="2" t="str">
        <f>IFERROR(__xludf.DUMMYFUNCTION("""COMPUTED_VALUE"""),"Escalated to City Officer")</f>
        <v>Escalated to City Officer</v>
      </c>
      <c r="C231" s="2">
        <f>IFERROR(__xludf.DUMMYFUNCTION("""COMPUTED_VALUE"""),0.3)</f>
        <v>0.3</v>
      </c>
      <c r="D231" s="2" t="str">
        <f>IFERROR(__xludf.DUMMYFUNCTION("""COMPUTED_VALUE"""),"ସହରର ଅଧିକାରୀଙ୍କ ପାଇଁ ବୃଦ୍ଧି ପାଇଲା |")</f>
        <v>ସହରର ଅଧିକାରୀଙ୍କ ପାଇଁ ବୃଦ୍ଧି ପାଇଲା |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 t="str">
        <f>IFERROR(__xludf.DUMMYFUNCTION("""COMPUTED_VALUE"""),"message")</f>
        <v>message</v>
      </c>
      <c r="B232" s="2" t="str">
        <f>IFERROR(__xludf.DUMMYFUNCTION("""COMPUTED_VALUE"""),"Message")</f>
        <v>Message</v>
      </c>
      <c r="C232" s="2"/>
      <c r="D232" s="2" t="str">
        <f>IFERROR(__xludf.DUMMYFUNCTION("""COMPUTED_VALUE"""),"ବାର୍ତ୍ତା |")</f>
        <v>ବାର୍ତ୍ତା |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 t="str">
        <f>IFERROR(__xludf.DUMMYFUNCTION("""COMPUTED_VALUE"""),"editProfile")</f>
        <v>editProfile</v>
      </c>
      <c r="B233" s="2" t="str">
        <f>IFERROR(__xludf.DUMMYFUNCTION("""COMPUTED_VALUE"""),"Edit Profile")</f>
        <v>Edit Profile</v>
      </c>
      <c r="C233" s="2">
        <f>IFERROR(__xludf.DUMMYFUNCTION("""COMPUTED_VALUE"""),0.3)</f>
        <v>0.3</v>
      </c>
      <c r="D233" s="2" t="str">
        <f>IFERROR(__xludf.DUMMYFUNCTION("""COMPUTED_VALUE"""),"ପ୍ରୋଫାଇଲ୍ ଏଡ଼ିଟ୍ କରନ୍ତୁ")</f>
        <v>ପ୍ରୋଫାଇଲ୍ ଏଡ଼ିଟ୍ କରନ୍ତୁ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 t="str">
        <f>IFERROR(__xludf.DUMMYFUNCTION("""COMPUTED_VALUE"""),"orderdelivered")</f>
        <v>orderdelivered</v>
      </c>
      <c r="B234" s="2" t="str">
        <f>IFERROR(__xludf.DUMMYFUNCTION("""COMPUTED_VALUE"""),"Order Delivered")</f>
        <v>Order Delivered</v>
      </c>
      <c r="C234" s="2">
        <f>IFERROR(__xludf.DUMMYFUNCTION("""COMPUTED_VALUE"""),0.5)</f>
        <v>0.5</v>
      </c>
      <c r="D234" s="2" t="str">
        <f>IFERROR(__xludf.DUMMYFUNCTION("""COMPUTED_VALUE"""),"ଅର୍ଡର ବିତରଣ")</f>
        <v>ଅର୍ଡର ବିତରଣ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 t="str">
        <f>IFERROR(__xludf.DUMMYFUNCTION("""COMPUTED_VALUE"""),"favoruites")</f>
        <v>favoruites</v>
      </c>
      <c r="B235" s="2" t="str">
        <f>IFERROR(__xludf.DUMMYFUNCTION("""COMPUTED_VALUE"""),"Favourites")</f>
        <v>Favourites</v>
      </c>
      <c r="C235" s="2">
        <f>IFERROR(__xludf.DUMMYFUNCTION("""COMPUTED_VALUE"""),0.2)</f>
        <v>0.2</v>
      </c>
      <c r="D235" s="2" t="str">
        <f>IFERROR(__xludf.DUMMYFUNCTION("""COMPUTED_VALUE"""),"ପୂitesାକୁ ଭଲପାଇବା")</f>
        <v>ପୂitesାକୁ ଭଲପାଇବା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 t="str">
        <f>IFERROR(__xludf.DUMMYFUNCTION("""COMPUTED_VALUE"""),"shops")</f>
        <v>shops</v>
      </c>
      <c r="B236" s="2" t="str">
        <f>IFERROR(__xludf.DUMMYFUNCTION("""COMPUTED_VALUE"""),"Shops")</f>
        <v>Shops</v>
      </c>
      <c r="C236" s="2">
        <f>IFERROR(__xludf.DUMMYFUNCTION("""COMPUTED_VALUE"""),0.2)</f>
        <v>0.2</v>
      </c>
      <c r="D236" s="2" t="str">
        <f>IFERROR(__xludf.DUMMYFUNCTION("""COMPUTED_VALUE"""),"ଦୋକାନଗୁଡିକ")</f>
        <v>ଦୋକାନଗୁଡିକ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 t="str">
        <f>IFERROR(__xludf.DUMMYFUNCTION("""COMPUTED_VALUE"""),"savedAddress")</f>
        <v>savedAddress</v>
      </c>
      <c r="B237" s="2" t="str">
        <f>IFERROR(__xludf.DUMMYFUNCTION("""COMPUTED_VALUE"""),"Saved Address")</f>
        <v>Saved Address</v>
      </c>
      <c r="C237" s="2">
        <f>IFERROR(__xludf.DUMMYFUNCTION("""COMPUTED_VALUE"""),0.3)</f>
        <v>0.3</v>
      </c>
      <c r="D237" s="2" t="str">
        <f>IFERROR(__xludf.DUMMYFUNCTION("""COMPUTED_VALUE"""),"ସଞ୍ଚିତ ଠିକଣା")</f>
        <v>ସଞ୍ଚିତ ଠିକଣା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 t="str">
        <f>IFERROR(__xludf.DUMMYFUNCTION("""COMPUTED_VALUE"""),"yourorderhasbeendeliveredsuccessully")</f>
        <v>yourorderhasbeendeliveredsuccessully</v>
      </c>
      <c r="B238" s="2" t="str">
        <f>IFERROR(__xludf.DUMMYFUNCTION("""COMPUTED_VALUE"""),"Your order has been Delivered Successfully ")</f>
        <v>Your order has been Delivered Successfully </v>
      </c>
      <c r="C238" s="2">
        <f>IFERROR(__xludf.DUMMYFUNCTION("""COMPUTED_VALUE"""),0.5)</f>
        <v>0.5</v>
      </c>
      <c r="D238" s="2" t="str">
        <f>IFERROR(__xludf.DUMMYFUNCTION("""COMPUTED_VALUE"""),"ତୁମର ଅର୍ଡର ସଫଳତାର ସହିତ ବିତରଣ କରାଯାଇଛି |")</f>
        <v>ତୁମର ଅର୍ଡର ସଫଳତାର ସହିତ ବିତରଣ କରାଯାଇଛି |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 t="str">
        <f>IFERROR(__xludf.DUMMYFUNCTION("""COMPUTED_VALUE"""),"makepayment")</f>
        <v>makepayment</v>
      </c>
      <c r="B239" s="2" t="str">
        <f>IFERROR(__xludf.DUMMYFUNCTION("""COMPUTED_VALUE"""),"Make Payment")</f>
        <v>Make Payment</v>
      </c>
      <c r="C239" s="2">
        <f>IFERROR(__xludf.DUMMYFUNCTION("""COMPUTED_VALUE"""),0.5)</f>
        <v>0.5</v>
      </c>
      <c r="D239" s="2" t="str">
        <f>IFERROR(__xludf.DUMMYFUNCTION("""COMPUTED_VALUE"""),"ଦେୟ ଦିଅ")</f>
        <v>ଦେୟ ଦିଅ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 t="str">
        <f>IFERROR(__xludf.DUMMYFUNCTION("""COMPUTED_VALUE"""),"privacyPolicies")</f>
        <v>privacyPolicies</v>
      </c>
      <c r="B240" s="2" t="str">
        <f>IFERROR(__xludf.DUMMYFUNCTION("""COMPUTED_VALUE"""),"Privacy policies")</f>
        <v>Privacy policies</v>
      </c>
      <c r="C240" s="2">
        <f>IFERROR(__xludf.DUMMYFUNCTION("""COMPUTED_VALUE"""),0.2)</f>
        <v>0.2</v>
      </c>
      <c r="D240" s="2" t="str">
        <f>IFERROR(__xludf.DUMMYFUNCTION("""COMPUTED_VALUE"""),"ଗୋପନୀୟତା ନୀତି")</f>
        <v>ଗୋପନୀୟତା ନୀତି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 t="str">
        <f>IFERROR(__xludf.DUMMYFUNCTION("""COMPUTED_VALUE"""),"doyouwanttodelete")</f>
        <v>doyouwanttodelete</v>
      </c>
      <c r="B241" s="2" t="str">
        <f>IFERROR(__xludf.DUMMYFUNCTION("""COMPUTED_VALUE"""),"Do you want to delete?")</f>
        <v>Do you want to delete?</v>
      </c>
      <c r="C241" s="2">
        <f>IFERROR(__xludf.DUMMYFUNCTION("""COMPUTED_VALUE"""),0.5)</f>
        <v>0.5</v>
      </c>
      <c r="D241" s="2" t="str">
        <f>IFERROR(__xludf.DUMMYFUNCTION("""COMPUTED_VALUE"""),"ଆପଣ ବିଲୋପ କରିବାକୁ ଚାହୁଁଛନ୍ତି କି?")</f>
        <v>ଆପଣ ବିଲୋପ କରିବାକୁ ଚାହୁଁଛନ୍ତି କି?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 t="str">
        <f>IFERROR(__xludf.DUMMYFUNCTION("""COMPUTED_VALUE"""),"iddetails")</f>
        <v>iddetails</v>
      </c>
      <c r="B242" s="2" t="str">
        <f>IFERROR(__xludf.DUMMYFUNCTION("""COMPUTED_VALUE"""),"ID Details")</f>
        <v>ID Details</v>
      </c>
      <c r="C242" s="2">
        <f>IFERROR(__xludf.DUMMYFUNCTION("""COMPUTED_VALUE"""),0.3)</f>
        <v>0.3</v>
      </c>
      <c r="D242" s="2" t="str">
        <f>IFERROR(__xludf.DUMMYFUNCTION("""COMPUTED_VALUE"""),"ପରିଚର ବିବରଣୀ")</f>
        <v>ପରିଚର ବିବରଣୀ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 t="str">
        <f>IFERROR(__xludf.DUMMYFUNCTION("""COMPUTED_VALUE"""),"byClickingIaccepttheterms&amp;conditionsandprivacypolicy")</f>
        <v>byClickingIaccepttheterms&amp;conditionsandprivacypolicy</v>
      </c>
      <c r="B243" s="2" t="str">
        <f>IFERROR(__xludf.DUMMYFUNCTION("""COMPUTED_VALUE"""),"By clicking, I accept the Terms &amp; conditions and Privacy Policy")</f>
        <v>By clicking, I accept the Terms &amp; conditions and Privacy Policy</v>
      </c>
      <c r="C243" s="2">
        <f>IFERROR(__xludf.DUMMYFUNCTION("""COMPUTED_VALUE"""),0.1)</f>
        <v>0.1</v>
      </c>
      <c r="D243" s="2" t="str">
        <f>IFERROR(__xludf.DUMMYFUNCTION("""COMPUTED_VALUE"""),"କ୍ଲିକ୍ କରି, ମୁଁ ସର୍ତ୍ତାବଳୀ ଏବଂ ଚୁକ୍ତିନାମା ଏବଂ ଗୋପନୀୟତା ନୀତି ଗ୍ରହଣ କରେ |")</f>
        <v>କ୍ଲିକ୍ କରି, ମୁଁ ସର୍ତ୍ତାବଳୀ ଏବଂ ଚୁକ୍ତିନାମା ଏବଂ ଗୋପନୀୟତା ନୀତି ଗ୍ରହଣ କରେ |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 t="str">
        <f>IFERROR(__xludf.DUMMYFUNCTION("""COMPUTED_VALUE"""),"building/locality")</f>
        <v>building/locality</v>
      </c>
      <c r="B244" s="2" t="str">
        <f>IFERROR(__xludf.DUMMYFUNCTION("""COMPUTED_VALUE"""),"Building/Locality")</f>
        <v>Building/Locality</v>
      </c>
      <c r="C244" s="2">
        <f>IFERROR(__xludf.DUMMYFUNCTION("""COMPUTED_VALUE"""),0.2)</f>
        <v>0.2</v>
      </c>
      <c r="D244" s="2" t="str">
        <f>IFERROR(__xludf.DUMMYFUNCTION("""COMPUTED_VALUE"""),"ବିଲଡିଂ / ସ୍ଥାନୀୟତା |")</f>
        <v>ବିଲଡିଂ / ସ୍ଥାନୀୟତା |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 t="str">
        <f>IFERROR(__xludf.DUMMYFUNCTION("""COMPUTED_VALUE"""),"restaurant")</f>
        <v>restaurant</v>
      </c>
      <c r="B245" s="2" t="str">
        <f>IFERROR(__xludf.DUMMYFUNCTION("""COMPUTED_VALUE"""),"Restaurant")</f>
        <v>Restaurant</v>
      </c>
      <c r="C245" s="2">
        <f>IFERROR(__xludf.DUMMYFUNCTION("""COMPUTED_VALUE"""),0.3)</f>
        <v>0.3</v>
      </c>
      <c r="D245" s="2" t="str">
        <f>IFERROR(__xludf.DUMMYFUNCTION("""COMPUTED_VALUE"""),"ରେଷ୍ଟୁରାଣ୍ଟ |")</f>
        <v>ରେଷ୍ଟୁରାଣ୍ଟ |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 t="str">
        <f>IFERROR(__xludf.DUMMYFUNCTION("""COMPUTED_VALUE"""),"re-upload")</f>
        <v>re-upload</v>
      </c>
      <c r="B246" s="2" t="str">
        <f>IFERROR(__xludf.DUMMYFUNCTION("""COMPUTED_VALUE"""),"Re-upload ")</f>
        <v>Re-upload </v>
      </c>
      <c r="C246" s="2">
        <f>IFERROR(__xludf.DUMMYFUNCTION("""COMPUTED_VALUE"""),0.1)</f>
        <v>0.1</v>
      </c>
      <c r="D246" s="2" t="str">
        <f>IFERROR(__xludf.DUMMYFUNCTION("""COMPUTED_VALUE"""),"ପୁନ - ଅପଲୋଡ୍ କରନ୍ତୁ |")</f>
        <v>ପୁନ - ଅପଲୋଡ୍ କରନ୍ତୁ |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 t="str">
        <f>IFERROR(__xludf.DUMMYFUNCTION("""COMPUTED_VALUE"""),"individual")</f>
        <v>individual</v>
      </c>
      <c r="B247" s="2" t="str">
        <f>IFERROR(__xludf.DUMMYFUNCTION("""COMPUTED_VALUE"""),"Individual")</f>
        <v>Individual</v>
      </c>
      <c r="C247" s="2">
        <f>IFERROR(__xludf.DUMMYFUNCTION("""COMPUTED_VALUE"""),0.1)</f>
        <v>0.1</v>
      </c>
      <c r="D247" s="2" t="str">
        <f>IFERROR(__xludf.DUMMYFUNCTION("""COMPUTED_VALUE"""),"ବ୍ୟକ୍ତିଗତ")</f>
        <v>ବ୍ୟକ୍ତିଗତ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 t="str">
        <f>IFERROR(__xludf.DUMMYFUNCTION("""COMPUTED_VALUE"""),"didntReceivetheOTP")</f>
        <v>didntReceivetheOTP</v>
      </c>
      <c r="B248" s="2" t="str">
        <f>IFERROR(__xludf.DUMMYFUNCTION("""COMPUTED_VALUE"""),"Didnt receive the OTP?")</f>
        <v>Didnt receive the OTP?</v>
      </c>
      <c r="C248" s="2">
        <f>IFERROR(__xludf.DUMMYFUNCTION("""COMPUTED_VALUE"""),0.1)</f>
        <v>0.1</v>
      </c>
      <c r="D248" s="2" t="str">
        <f>IFERROR(__xludf.DUMMYFUNCTION("""COMPUTED_VALUE"""),"OTP ଗ୍ରହଣ କଲା କି?")</f>
        <v>OTP ଗ୍ରହଣ କଲା କି?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 t="str">
        <f>IFERROR(__xludf.DUMMYFUNCTION("""COMPUTED_VALUE"""),"verifyVia")</f>
        <v>verifyVia</v>
      </c>
      <c r="B249" s="2" t="str">
        <f>IFERROR(__xludf.DUMMYFUNCTION("""COMPUTED_VALUE"""),"Verify Via")</f>
        <v>Verify Via</v>
      </c>
      <c r="C249" s="2"/>
      <c r="D249" s="2" t="str">
        <f>IFERROR(__xludf.DUMMYFUNCTION("""COMPUTED_VALUE"""),"ମାଧ୍ୟମରେ ଯାଞ୍ଚ କରନ୍ତୁ |")</f>
        <v>ମାଧ୍ୟମରେ ଯାଞ୍ଚ କରନ୍ତୁ |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 t="str">
        <f>IFERROR(__xludf.DUMMYFUNCTION("""COMPUTED_VALUE"""),"howdoyoufeel")</f>
        <v>howdoyoufeel</v>
      </c>
      <c r="B250" s="2" t="str">
        <f>IFERROR(__xludf.DUMMYFUNCTION("""COMPUTED_VALUE"""),"How Do You Feel?")</f>
        <v>How Do You Feel?</v>
      </c>
      <c r="C250" s="2">
        <f>IFERROR(__xludf.DUMMYFUNCTION("""COMPUTED_VALUE"""),0.5)</f>
        <v>0.5</v>
      </c>
      <c r="D250" s="2" t="str">
        <f>IFERROR(__xludf.DUMMYFUNCTION("""COMPUTED_VALUE"""),"ତୁମେ କ 'ଣ ଅନୁଭବ କରୁଛ?")</f>
        <v>ତୁମେ କ 'ଣ ଅନୁଭବ କରୁଛ?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 t="str">
        <f>IFERROR(__xludf.DUMMYFUNCTION("""COMPUTED_VALUE"""),"uploadvoterid")</f>
        <v>uploadvoterid</v>
      </c>
      <c r="B251" s="2" t="str">
        <f>IFERROR(__xludf.DUMMYFUNCTION("""COMPUTED_VALUE"""),"Upload Voter ID")</f>
        <v>Upload Voter ID</v>
      </c>
      <c r="C251" s="2">
        <f>IFERROR(__xludf.DUMMYFUNCTION("""COMPUTED_VALUE"""),0.1)</f>
        <v>0.1</v>
      </c>
      <c r="D251" s="2" t="str">
        <f>IFERROR(__xludf.DUMMYFUNCTION("""COMPUTED_VALUE"""),"ଭୋଟର ID ଅପଲୋଡ୍ କରନ୍ତୁ |")</f>
        <v>ଭୋଟର ID ଅପଲୋଡ୍ କରନ୍ତୁ |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 t="str">
        <f>IFERROR(__xludf.DUMMYFUNCTION("""COMPUTED_VALUE"""),"pickupWithin")</f>
        <v>pickupWithin</v>
      </c>
      <c r="B252" s="2" t="str">
        <f>IFERROR(__xludf.DUMMYFUNCTION("""COMPUTED_VALUE"""),"Pickup within")</f>
        <v>Pickup within</v>
      </c>
      <c r="C252" s="2"/>
      <c r="D252" s="2" t="str">
        <f>IFERROR(__xludf.DUMMYFUNCTION("""COMPUTED_VALUE"""),"ଭିତରେ ପିକଅପ୍ |")</f>
        <v>ଭିତରେ ପିକଅପ୍ |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 t="str">
        <f>IFERROR(__xludf.DUMMYFUNCTION("""COMPUTED_VALUE"""),"addDebit")</f>
        <v>addDebit</v>
      </c>
      <c r="B253" s="2" t="str">
        <f>IFERROR(__xludf.DUMMYFUNCTION("""COMPUTED_VALUE"""),"Add Debit")</f>
        <v>Add Debit</v>
      </c>
      <c r="C253" s="2"/>
      <c r="D253" s="2" t="str">
        <f>IFERROR(__xludf.DUMMYFUNCTION("""COMPUTED_VALUE"""),"ଡେବିଟ୍ ଯୋଡନ୍ତୁ |")</f>
        <v>ଡେବିଟ୍ ଯୋଡନ୍ତୁ |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 t="str">
        <f>IFERROR(__xludf.DUMMYFUNCTION("""COMPUTED_VALUE"""),"creditCard")</f>
        <v>creditCard</v>
      </c>
      <c r="B254" s="2" t="str">
        <f>IFERROR(__xludf.DUMMYFUNCTION("""COMPUTED_VALUE"""),"Credit Card")</f>
        <v>Credit Card</v>
      </c>
      <c r="C254" s="2"/>
      <c r="D254" s="2" t="str">
        <f>IFERROR(__xludf.DUMMYFUNCTION("""COMPUTED_VALUE"""),"କ୍ରେଡିଟ୍ କାର୍ଡ଼")</f>
        <v>କ୍ରେଡିଟ୍ କାର୍ଡ଼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 t="str">
        <f>IFERROR(__xludf.DUMMYFUNCTION("""COMPUTED_VALUE"""),"yourOrder")</f>
        <v>yourOrder</v>
      </c>
      <c r="B255" s="2" t="str">
        <f>IFERROR(__xludf.DUMMYFUNCTION("""COMPUTED_VALUE"""),"Your Order")</f>
        <v>Your Order</v>
      </c>
      <c r="C255" s="2"/>
      <c r="D255" s="2" t="str">
        <f>IFERROR(__xludf.DUMMYFUNCTION("""COMPUTED_VALUE"""),"ତୁମ ଅର୍ଡ")</f>
        <v>ତୁମ ଅର୍ଡ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 t="str">
        <f>IFERROR(__xludf.DUMMYFUNCTION("""COMPUTED_VALUE"""),"willBe")</f>
        <v>willBe</v>
      </c>
      <c r="B256" s="2" t="str">
        <f>IFERROR(__xludf.DUMMYFUNCTION("""COMPUTED_VALUE"""),"Will Be")</f>
        <v>Will Be</v>
      </c>
      <c r="C256" s="2"/>
      <c r="D256" s="2" t="str">
        <f>IFERROR(__xludf.DUMMYFUNCTION("""COMPUTED_VALUE"""),"ହବ")</f>
        <v>ହବ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 t="str">
        <f>IFERROR(__xludf.DUMMYFUNCTION("""COMPUTED_VALUE"""),"15digitalphanumericnumber")</f>
        <v>15digitalphanumericnumber</v>
      </c>
      <c r="B257" s="2" t="str">
        <f>IFERROR(__xludf.DUMMYFUNCTION("""COMPUTED_VALUE"""),"15-digit Alpha Numeric Number")</f>
        <v>15-digit Alpha Numeric Number</v>
      </c>
      <c r="C257" s="2">
        <f>IFERROR(__xludf.DUMMYFUNCTION("""COMPUTED_VALUE"""),0.1)</f>
        <v>0.1</v>
      </c>
      <c r="D257" s="2" t="str">
        <f>IFERROR(__xludf.DUMMYFUNCTION("""COMPUTED_VALUE"""),"15-ଅଙ୍କ ବିଶିଷ୍ଟ ଆଲଫା ସାଂଖ୍ୟିକ ସଂଖ୍ୟା |")</f>
        <v>15-ଅଙ୍କ ବିଶିଷ୍ଟ ଆଲଫା ସାଂଖ୍ୟିକ ସଂଖ୍ୟା |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 t="str">
        <f>IFERROR(__xludf.DUMMYFUNCTION("""COMPUTED_VALUE"""),"deliver")</f>
        <v>deliver</v>
      </c>
      <c r="B258" s="2" t="str">
        <f>IFERROR(__xludf.DUMMYFUNCTION("""COMPUTED_VALUE"""),"Deliver")</f>
        <v>Deliver</v>
      </c>
      <c r="C258" s="2">
        <f>IFERROR(__xludf.DUMMYFUNCTION("""COMPUTED_VALUE"""),0.4)</f>
        <v>0.4</v>
      </c>
      <c r="D258" s="2" t="str">
        <f>IFERROR(__xludf.DUMMYFUNCTION("""COMPUTED_VALUE"""),"ବିତରଣ କର |")</f>
        <v>ବିତରଣ କର |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 t="str">
        <f>IFERROR(__xludf.DUMMYFUNCTION("""COMPUTED_VALUE"""),"pickupNoShow")</f>
        <v>pickupNoShow</v>
      </c>
      <c r="B259" s="2" t="str">
        <f>IFERROR(__xludf.DUMMYFUNCTION("""COMPUTED_VALUE"""),"Pickup No Show")</f>
        <v>Pickup No Show</v>
      </c>
      <c r="C259" s="2"/>
      <c r="D259" s="2" t="str">
        <f>IFERROR(__xludf.DUMMYFUNCTION("""COMPUTED_VALUE"""),"ପିକଅପ୍ କ show ଣସି ଶୋ ଦେଖାନ୍ତୁ ନାହିଁ |")</f>
        <v>ପିକଅପ୍ କ show ଣସି ଶୋ ଦେଖାନ୍ତୁ ନାହିଁ |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 t="str">
        <f>IFERROR(__xludf.DUMMYFUNCTION("""COMPUTED_VALUE"""),"house")</f>
        <v>house</v>
      </c>
      <c r="B260" s="2" t="str">
        <f>IFERROR(__xludf.DUMMYFUNCTION("""COMPUTED_VALUE"""),"House")</f>
        <v>House</v>
      </c>
      <c r="C260" s="2"/>
      <c r="D260" s="2" t="str">
        <f>IFERROR(__xludf.DUMMYFUNCTION("""COMPUTED_VALUE"""),"ଘର")</f>
        <v>ଘର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 t="str">
        <f>IFERROR(__xludf.DUMMYFUNCTION("""COMPUTED_VALUE"""),"flat")</f>
        <v>flat</v>
      </c>
      <c r="B261" s="2" t="str">
        <f>IFERROR(__xludf.DUMMYFUNCTION("""COMPUTED_VALUE"""),"Flat")</f>
        <v>Flat</v>
      </c>
      <c r="C261" s="2"/>
      <c r="D261" s="2" t="str">
        <f>IFERROR(__xludf.DUMMYFUNCTION("""COMPUTED_VALUE"""),"ଫ୍ଲାଟ")</f>
        <v>ଫ୍ଲାଟ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 t="str">
        <f>IFERROR(__xludf.DUMMYFUNCTION("""COMPUTED_VALUE"""),"block")</f>
        <v>block</v>
      </c>
      <c r="B262" s="2" t="str">
        <f>IFERROR(__xludf.DUMMYFUNCTION("""COMPUTED_VALUE"""),"Block")</f>
        <v>Block</v>
      </c>
      <c r="C262" s="2"/>
      <c r="D262" s="2" t="str">
        <f>IFERROR(__xludf.DUMMYFUNCTION("""COMPUTED_VALUE"""),"ବ୍ଲକ")</f>
        <v>ବ୍ଲକ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 t="str">
        <f>IFERROR(__xludf.DUMMYFUNCTION("""COMPUTED_VALUE"""),"blockNumber")</f>
        <v>blockNumber</v>
      </c>
      <c r="B263" s="2" t="str">
        <f>IFERROR(__xludf.DUMMYFUNCTION("""COMPUTED_VALUE"""),"Block Number")</f>
        <v>Block Number</v>
      </c>
      <c r="C263" s="2"/>
      <c r="D263" s="2" t="str">
        <f>IFERROR(__xludf.DUMMYFUNCTION("""COMPUTED_VALUE"""),"ବ୍ଲକ ନମ୍ବର")</f>
        <v>ବ୍ଲକ ନମ୍ବର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 t="str">
        <f>IFERROR(__xludf.DUMMYFUNCTION("""COMPUTED_VALUE"""),"appartment")</f>
        <v>appartment</v>
      </c>
      <c r="B264" s="2" t="str">
        <f>IFERROR(__xludf.DUMMYFUNCTION("""COMPUTED_VALUE"""),"Apartment")</f>
        <v>Apartment</v>
      </c>
      <c r="C264" s="2"/>
      <c r="D264" s="2" t="str">
        <f>IFERROR(__xludf.DUMMYFUNCTION("""COMPUTED_VALUE"""),"ଆପାର୍ଟମେଣ୍ଟ")</f>
        <v>ଆପାର୍ଟମେଣ୍ଟ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 t="str">
        <f>IFERROR(__xludf.DUMMYFUNCTION("""COMPUTED_VALUE"""),"road")</f>
        <v>road</v>
      </c>
      <c r="B265" s="2" t="str">
        <f>IFERROR(__xludf.DUMMYFUNCTION("""COMPUTED_VALUE"""),"Road")</f>
        <v>Road</v>
      </c>
      <c r="C265" s="2"/>
      <c r="D265" s="2" t="str">
        <f>IFERROR(__xludf.DUMMYFUNCTION("""COMPUTED_VALUE"""),"ରାସ୍ତା")</f>
        <v>ରାସ୍ତା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 t="str">
        <f>IFERROR(__xludf.DUMMYFUNCTION("""COMPUTED_VALUE"""),"area")</f>
        <v>area</v>
      </c>
      <c r="B266" s="2" t="str">
        <f>IFERROR(__xludf.DUMMYFUNCTION("""COMPUTED_VALUE"""),"Area")</f>
        <v>Area</v>
      </c>
      <c r="C266" s="2"/>
      <c r="D266" s="2" t="str">
        <f>IFERROR(__xludf.DUMMYFUNCTION("""COMPUTED_VALUE"""),"କ୍ଷେତ୍ର")</f>
        <v>କ୍ଷେତ୍ର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 t="str">
        <f>IFERROR(__xludf.DUMMYFUNCTION("""COMPUTED_VALUE"""),"saveThis")</f>
        <v>saveThis</v>
      </c>
      <c r="B267" s="2" t="str">
        <f>IFERROR(__xludf.DUMMYFUNCTION("""COMPUTED_VALUE"""),"Save this ")</f>
        <v>Save this </v>
      </c>
      <c r="C267" s="2"/>
      <c r="D267" s="2" t="str">
        <f>IFERROR(__xludf.DUMMYFUNCTION("""COMPUTED_VALUE"""),"ଏହାକୁ ସଞ୍ଚୟ କର |")</f>
        <v>ଏହାକୁ ସଞ୍ଚୟ କର |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 t="str">
        <f>IFERROR(__xludf.DUMMYFUNCTION("""COMPUTED_VALUE"""),"addressAs")</f>
        <v>addressAs</v>
      </c>
      <c r="B268" s="2" t="str">
        <f>IFERROR(__xludf.DUMMYFUNCTION("""COMPUTED_VALUE"""),"Address as")</f>
        <v>Address as</v>
      </c>
      <c r="C268" s="2"/>
      <c r="D268" s="2" t="str">
        <f>IFERROR(__xludf.DUMMYFUNCTION("""COMPUTED_VALUE"""),"ଯେପରି ଠିକଣା")</f>
        <v>ଯେପରି ଠିକଣା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 t="str">
        <f>IFERROR(__xludf.DUMMYFUNCTION("""COMPUTED_VALUE"""),"areYou")</f>
        <v>areYou</v>
      </c>
      <c r="B269" s="2" t="str">
        <f>IFERROR(__xludf.DUMMYFUNCTION("""COMPUTED_VALUE"""),"Are you")</f>
        <v>Are you</v>
      </c>
      <c r="C269" s="2"/>
      <c r="D269" s="2" t="str">
        <f>IFERROR(__xludf.DUMMYFUNCTION("""COMPUTED_VALUE"""),"ତୁମେ କି")</f>
        <v>ତୁମେ କି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 t="str">
        <f>IFERROR(__xludf.DUMMYFUNCTION("""COMPUTED_VALUE"""),"sureYou")</f>
        <v>sureYou</v>
      </c>
      <c r="B270" s="2" t="str">
        <f>IFERROR(__xludf.DUMMYFUNCTION("""COMPUTED_VALUE"""),"sure you ")</f>
        <v>sure you </v>
      </c>
      <c r="C270" s="2"/>
      <c r="D270" s="2" t="str">
        <f>IFERROR(__xludf.DUMMYFUNCTION("""COMPUTED_VALUE"""),"ନିଶ୍ଚିତ ତୁମେ")</f>
        <v>ନିଶ୍ଚିତ ତୁମେ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 t="str">
        <f>IFERROR(__xludf.DUMMYFUNCTION("""COMPUTED_VALUE"""),"wantTo")</f>
        <v>wantTo</v>
      </c>
      <c r="B271" s="2" t="str">
        <f>IFERROR(__xludf.DUMMYFUNCTION("""COMPUTED_VALUE"""),"want to")</f>
        <v>want to</v>
      </c>
      <c r="C271" s="2"/>
      <c r="D271" s="2" t="str">
        <f>IFERROR(__xludf.DUMMYFUNCTION("""COMPUTED_VALUE"""),"ଚାହେଁ")</f>
        <v>ଚାହେଁ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 t="str">
        <f>IFERROR(__xludf.DUMMYFUNCTION("""COMPUTED_VALUE"""),"logOut")</f>
        <v>logOut</v>
      </c>
      <c r="B272" s="2" t="str">
        <f>IFERROR(__xludf.DUMMYFUNCTION("""COMPUTED_VALUE"""),"LOGOUT")</f>
        <v>LOGOUT</v>
      </c>
      <c r="C272" s="2">
        <f>IFERROR(__xludf.DUMMYFUNCTION("""COMPUTED_VALUE"""),0.5)</f>
        <v>0.5</v>
      </c>
      <c r="D272" s="2" t="str">
        <f>IFERROR(__xludf.DUMMYFUNCTION("""COMPUTED_VALUE"""),"ପ୍ରସ୍ଥାନ କର")</f>
        <v>ପ୍ରସ୍ଥାନ କର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 t="str">
        <f>IFERROR(__xludf.DUMMYFUNCTION("""COMPUTED_VALUE"""),"smsSent")</f>
        <v>smsSent</v>
      </c>
      <c r="B273" s="2" t="str">
        <f>IFERROR(__xludf.DUMMYFUNCTION("""COMPUTED_VALUE"""),"SMS sent")</f>
        <v>SMS sent</v>
      </c>
      <c r="C273" s="2"/>
      <c r="D273" s="2" t="str">
        <f>IFERROR(__xludf.DUMMYFUNCTION("""COMPUTED_VALUE"""),"SMS ପଠାଯାଇଛି |")</f>
        <v>SMS ପଠାଯାଇଛି |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 t="str">
        <f>IFERROR(__xludf.DUMMYFUNCTION("""COMPUTED_VALUE"""),"successfully")</f>
        <v>successfully</v>
      </c>
      <c r="B274" s="2" t="str">
        <f>IFERROR(__xludf.DUMMYFUNCTION("""COMPUTED_VALUE"""),"Successfully")</f>
        <v>Successfully</v>
      </c>
      <c r="C274" s="2"/>
      <c r="D274" s="2" t="str">
        <f>IFERROR(__xludf.DUMMYFUNCTION("""COMPUTED_VALUE"""),"ସଫଳତାର ସହିତ |")</f>
        <v>ସଫଳତାର ସହିତ |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 t="str">
        <f>IFERROR(__xludf.DUMMYFUNCTION("""COMPUTED_VALUE"""),"deliverymanager")</f>
        <v>deliverymanager</v>
      </c>
      <c r="B275" s="2" t="str">
        <f>IFERROR(__xludf.DUMMYFUNCTION("""COMPUTED_VALUE"""),"Delivery Manager")</f>
        <v>Delivery Manager</v>
      </c>
      <c r="C275" s="2">
        <f>IFERROR(__xludf.DUMMYFUNCTION("""COMPUTED_VALUE"""),0.5)</f>
        <v>0.5</v>
      </c>
      <c r="D275" s="2" t="str">
        <f>IFERROR(__xludf.DUMMYFUNCTION("""COMPUTED_VALUE"""),"ବିତରଣ ପରିଚାଳକ")</f>
        <v>ବିତରଣ ପରିଚାଳକ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 t="str">
        <f>IFERROR(__xludf.DUMMYFUNCTION("""COMPUTED_VALUE"""),"hasBeen")</f>
        <v>hasBeen</v>
      </c>
      <c r="B276" s="2" t="str">
        <f>IFERROR(__xludf.DUMMYFUNCTION("""COMPUTED_VALUE"""),"has been")</f>
        <v>has been</v>
      </c>
      <c r="C276" s="2"/>
      <c r="D276" s="2" t="str">
        <f>IFERROR(__xludf.DUMMYFUNCTION("""COMPUTED_VALUE"""),"ହେଇ ଯାଇଛି")</f>
        <v>ହେଇ ଯାଇଛି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 t="str">
        <f>IFERROR(__xludf.DUMMYFUNCTION("""COMPUTED_VALUE"""),"sentAt")</f>
        <v>sentAt</v>
      </c>
      <c r="B277" s="2" t="str">
        <f>IFERROR(__xludf.DUMMYFUNCTION("""COMPUTED_VALUE"""),"sent at")</f>
        <v>sent at</v>
      </c>
      <c r="C277" s="2"/>
      <c r="D277" s="2" t="str">
        <f>IFERROR(__xludf.DUMMYFUNCTION("""COMPUTED_VALUE"""),"କୁ ପଠାଇଲେ")</f>
        <v>କୁ ପଠାଇଲେ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 t="str">
        <f>IFERROR(__xludf.DUMMYFUNCTION("""COMPUTED_VALUE"""),"yourRegistered")</f>
        <v>yourRegistered</v>
      </c>
      <c r="B278" s="2" t="str">
        <f>IFERROR(__xludf.DUMMYFUNCTION("""COMPUTED_VALUE"""),"your registered")</f>
        <v>your registered</v>
      </c>
      <c r="C278" s="2"/>
      <c r="D278" s="2" t="str">
        <f>IFERROR(__xludf.DUMMYFUNCTION("""COMPUTED_VALUE"""),"ତୁମର ପଞ୍ଜିକୃତ")</f>
        <v>ତୁମର ପଞ୍ଜିକୃତ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 t="str">
        <f>IFERROR(__xludf.DUMMYFUNCTION("""COMPUTED_VALUE"""),"House/Flat/Blockno.")</f>
        <v>House/Flat/Blockno.</v>
      </c>
      <c r="B279" s="2" t="str">
        <f>IFERROR(__xludf.DUMMYFUNCTION("""COMPUTED_VALUE"""),"House/Flat/Block no.")</f>
        <v>House/Flat/Block no.</v>
      </c>
      <c r="C279" s="2">
        <f>IFERROR(__xludf.DUMMYFUNCTION("""COMPUTED_VALUE"""),0.3)</f>
        <v>0.3</v>
      </c>
      <c r="D279" s="2" t="str">
        <f>IFERROR(__xludf.DUMMYFUNCTION("""COMPUTED_VALUE"""),"ଘର / ଫ୍ଲାଟ / ବ୍ଲକ୍ ନଂ।")</f>
        <v>ଘର / ଫ୍ଲାଟ / ବ୍ଲକ୍ ନଂ।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 t="str">
        <f>IFERROR(__xludf.DUMMYFUNCTION("""COMPUTED_VALUE"""),"Apartment/Road/Area")</f>
        <v>Apartment/Road/Area</v>
      </c>
      <c r="B280" s="2" t="str">
        <f>IFERROR(__xludf.DUMMYFUNCTION("""COMPUTED_VALUE"""),"Apartment/Road/Area")</f>
        <v>Apartment/Road/Area</v>
      </c>
      <c r="C280" s="2">
        <f>IFERROR(__xludf.DUMMYFUNCTION("""COMPUTED_VALUE"""),0.3)</f>
        <v>0.3</v>
      </c>
      <c r="D280" s="2" t="str">
        <f>IFERROR(__xludf.DUMMYFUNCTION("""COMPUTED_VALUE"""),"ଆପାର୍ଟମେଣ୍ଟ / ରୋଡ୍ / କ୍ଷେତ୍ର |")</f>
        <v>ଆପାର୍ଟମେଣ୍ଟ / ରୋଡ୍ / କ୍ଷେତ୍ର |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 t="str">
        <f>IFERROR(__xludf.DUMMYFUNCTION("""COMPUTED_VALUE"""),"OrderSubmitted")</f>
        <v>OrderSubmitted</v>
      </c>
      <c r="B281" s="2" t="str">
        <f>IFERROR(__xludf.DUMMYFUNCTION("""COMPUTED_VALUE"""),"Order Submitted")</f>
        <v>Order Submitted</v>
      </c>
      <c r="C281" s="2">
        <f>IFERROR(__xludf.DUMMYFUNCTION("""COMPUTED_VALUE"""),0.3)</f>
        <v>0.3</v>
      </c>
      <c r="D281" s="2" t="str">
        <f>IFERROR(__xludf.DUMMYFUNCTION("""COMPUTED_VALUE"""),"ଦାଖଲ ଦାଖଲ |")</f>
        <v>ଦାଖଲ ଦାଖଲ |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 t="str">
        <f>IFERROR(__xludf.DUMMYFUNCTION("""COMPUTED_VALUE"""),"saveas")</f>
        <v>saveas</v>
      </c>
      <c r="B282" s="2" t="str">
        <f>IFERROR(__xludf.DUMMYFUNCTION("""COMPUTED_VALUE"""),"Save as")</f>
        <v>Save as</v>
      </c>
      <c r="C282" s="2">
        <f>IFERROR(__xludf.DUMMYFUNCTION("""COMPUTED_VALUE"""),0.3)</f>
        <v>0.3</v>
      </c>
      <c r="D282" s="2" t="str">
        <f>IFERROR(__xludf.DUMMYFUNCTION("""COMPUTED_VALUE"""),"ଯେପରି ସଞ୍ଚୟ କର |")</f>
        <v>ଯେପରି ସଞ୍ଚୟ କର |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 t="str">
        <f>IFERROR(__xludf.DUMMYFUNCTION("""COMPUTED_VALUE"""),"sendTo")</f>
        <v>sendTo</v>
      </c>
      <c r="B283" s="2" t="str">
        <f>IFERROR(__xludf.DUMMYFUNCTION("""COMPUTED_VALUE"""),"Send To")</f>
        <v>Send To</v>
      </c>
      <c r="C283" s="2">
        <f>IFERROR(__xludf.DUMMYFUNCTION("""COMPUTED_VALUE"""),0.1)</f>
        <v>0.1</v>
      </c>
      <c r="D283" s="2" t="str">
        <f>IFERROR(__xludf.DUMMYFUNCTION("""COMPUTED_VALUE"""),"କୁ ପଠାନ୍ତୁ")</f>
        <v>କୁ ପଠାନ୍ତୁ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 t="str">
        <f>IFERROR(__xludf.DUMMYFUNCTION("""COMPUTED_VALUE"""),"managereferral")</f>
        <v>managereferral</v>
      </c>
      <c r="B284" s="2" t="str">
        <f>IFERROR(__xludf.DUMMYFUNCTION("""COMPUTED_VALUE"""),"Manage Referral")</f>
        <v>Manage Referral</v>
      </c>
      <c r="C284" s="2">
        <f>IFERROR(__xludf.DUMMYFUNCTION("""COMPUTED_VALUE"""),0.1)</f>
        <v>0.1</v>
      </c>
      <c r="D284" s="2" t="str">
        <f>IFERROR(__xludf.DUMMYFUNCTION("""COMPUTED_VALUE"""),"ରେଫରାଲ୍ ପରିଚାଳନା କରନ୍ତୁ |")</f>
        <v>ରେଫରାଲ୍ ପରିଚାଳନା କରନ୍ତୁ |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 t="str">
        <f>IFERROR(__xludf.DUMMYFUNCTION("""COMPUTED_VALUE"""),"in00.30Secs")</f>
        <v>in00.30Secs</v>
      </c>
      <c r="B285" s="2" t="str">
        <f>IFERROR(__xludf.DUMMYFUNCTION("""COMPUTED_VALUE"""),"in 00.30 secs")</f>
        <v>in 00.30 secs</v>
      </c>
      <c r="C285" s="2"/>
      <c r="D285" s="2" t="str">
        <f>IFERROR(__xludf.DUMMYFUNCTION("""COMPUTED_VALUE"""),"00.30 ସେକେଣ୍ଡରେ |")</f>
        <v>00.30 ସେକେଣ୍ଡରେ |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 t="str">
        <f>IFERROR(__xludf.DUMMYFUNCTION("""COMPUTED_VALUE"""),"fristOrder")</f>
        <v>fristOrder</v>
      </c>
      <c r="B286" s="2" t="str">
        <f>IFERROR(__xludf.DUMMYFUNCTION("""COMPUTED_VALUE"""),"First Order")</f>
        <v>First Order</v>
      </c>
      <c r="C286" s="2">
        <f>IFERROR(__xludf.DUMMYFUNCTION("""COMPUTED_VALUE"""),0.1)</f>
        <v>0.1</v>
      </c>
      <c r="D286" s="2" t="str">
        <f>IFERROR(__xludf.DUMMYFUNCTION("""COMPUTED_VALUE"""),"ପ୍ରଥମ କ୍ରମ")</f>
        <v>ପ୍ରଥମ କ୍ରମ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 t="str">
        <f>IFERROR(__xludf.DUMMYFUNCTION("""COMPUTED_VALUE"""),"entermobilenumberforotpverification")</f>
        <v>entermobilenumberforotpverification</v>
      </c>
      <c r="B287" s="2" t="str">
        <f>IFERROR(__xludf.DUMMYFUNCTION("""COMPUTED_VALUE"""),"Enter Mobile number for OTP Verification")</f>
        <v>Enter Mobile number for OTP Verification</v>
      </c>
      <c r="C287" s="2">
        <f>IFERROR(__xludf.DUMMYFUNCTION("""COMPUTED_VALUE"""),0.2)</f>
        <v>0.2</v>
      </c>
      <c r="D287" s="2" t="str">
        <f>IFERROR(__xludf.DUMMYFUNCTION("""COMPUTED_VALUE"""),"OTP ଯାଞ୍ଚ ପାଇଁ ମୋବାଇଲ୍ ନମ୍ବର ପ୍ରବେଶ କରନ୍ତୁ |")</f>
        <v>OTP ଯାଞ୍ଚ ପାଇଁ ମୋବାଇଲ୍ ନମ୍ବର ପ୍ରବେଶ କରନ୍ତୁ |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 t="str">
        <f>IFERROR(__xludf.DUMMYFUNCTION("""COMPUTED_VALUE"""),"welcome")</f>
        <v>welcome</v>
      </c>
      <c r="B288" s="2" t="str">
        <f>IFERROR(__xludf.DUMMYFUNCTION("""COMPUTED_VALUE"""),"Welcome ")</f>
        <v>Welcome </v>
      </c>
      <c r="C288" s="2">
        <f>IFERROR(__xludf.DUMMYFUNCTION("""COMPUTED_VALUE"""),0.1)</f>
        <v>0.1</v>
      </c>
      <c r="D288" s="2" t="str">
        <f>IFERROR(__xludf.DUMMYFUNCTION("""COMPUTED_VALUE"""),"ସ୍ୱାଗତ")</f>
        <v>ସ୍ୱାଗତ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 t="str">
        <f>IFERROR(__xludf.DUMMYFUNCTION("""COMPUTED_VALUE"""),"toSarvmai")</f>
        <v>toSarvmai</v>
      </c>
      <c r="B289" s="2" t="str">
        <f>IFERROR(__xludf.DUMMYFUNCTION("""COMPUTED_VALUE"""),"to SarVM.ai")</f>
        <v>to SarVM.ai</v>
      </c>
      <c r="C289" s="2">
        <f>IFERROR(__xludf.DUMMYFUNCTION("""COMPUTED_VALUE"""),0.1)</f>
        <v>0.1</v>
      </c>
      <c r="D289" s="2" t="str">
        <f>IFERROR(__xludf.DUMMYFUNCTION("""COMPUTED_VALUE"""),"to sarvm.ai କୁ |")</f>
        <v>to sarvm.ai କୁ |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 t="str">
        <f>IFERROR(__xludf.DUMMYFUNCTION("""COMPUTED_VALUE"""),"selectYourLanguage")</f>
        <v>selectYourLanguage</v>
      </c>
      <c r="B290" s="2" t="str">
        <f>IFERROR(__xludf.DUMMYFUNCTION("""COMPUTED_VALUE"""),"Select Your Language")</f>
        <v>Select Your Language</v>
      </c>
      <c r="C290" s="2">
        <f>IFERROR(__xludf.DUMMYFUNCTION("""COMPUTED_VALUE"""),0.1)</f>
        <v>0.1</v>
      </c>
      <c r="D290" s="2" t="str">
        <f>IFERROR(__xludf.DUMMYFUNCTION("""COMPUTED_VALUE"""),"ଆପଣଙ୍କର ଭାଷା ଚୟନ କରନ୍ତୁ |")</f>
        <v>ଆପଣଙ୍କର ଭାଷା ଚୟନ କରନ୍ତୁ |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 t="str">
        <f>IFERROR(__xludf.DUMMYFUNCTION("""COMPUTED_VALUE"""),"gstincluded")</f>
        <v>gstincluded</v>
      </c>
      <c r="B291" s="2" t="str">
        <f>IFERROR(__xludf.DUMMYFUNCTION("""COMPUTED_VALUE"""),"GST included")</f>
        <v>GST included</v>
      </c>
      <c r="C291" s="2">
        <f>IFERROR(__xludf.DUMMYFUNCTION("""COMPUTED_VALUE"""),0.2)</f>
        <v>0.2</v>
      </c>
      <c r="D291" s="2" t="str">
        <f>IFERROR(__xludf.DUMMYFUNCTION("""COMPUTED_VALUE"""),"ଜିଏସ୍ଟି ଅନ୍ତର୍ଭୁକ୍ତ |")</f>
        <v>ଜିଏସ୍ଟି ଅନ୍ତର୍ଭୁକ୍ତ |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 t="str">
        <f>IFERROR(__xludf.DUMMYFUNCTION("""COMPUTED_VALUE"""),"limitedoffer")</f>
        <v>limitedoffer</v>
      </c>
      <c r="B292" s="2" t="str">
        <f>IFERROR(__xludf.DUMMYFUNCTION("""COMPUTED_VALUE"""),"Limited Offer")</f>
        <v>Limited Offer</v>
      </c>
      <c r="C292" s="2">
        <f>IFERROR(__xludf.DUMMYFUNCTION("""COMPUTED_VALUE"""),0.2)</f>
        <v>0.2</v>
      </c>
      <c r="D292" s="2" t="str">
        <f>IFERROR(__xludf.DUMMYFUNCTION("""COMPUTED_VALUE"""),"ସୀମିତ ଅଫର୍ |")</f>
        <v>ସୀମିତ ଅଫର୍ |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 t="str">
        <f>IFERROR(__xludf.DUMMYFUNCTION("""COMPUTED_VALUE"""),"entityname")</f>
        <v>entityname</v>
      </c>
      <c r="B293" s="2" t="str">
        <f>IFERROR(__xludf.DUMMYFUNCTION("""COMPUTED_VALUE"""),"Entity Name")</f>
        <v>Entity Name</v>
      </c>
      <c r="C293" s="2">
        <f>IFERROR(__xludf.DUMMYFUNCTION("""COMPUTED_VALUE"""),0.2)</f>
        <v>0.2</v>
      </c>
      <c r="D293" s="2" t="str">
        <f>IFERROR(__xludf.DUMMYFUNCTION("""COMPUTED_VALUE"""),"ସଂସ୍ଥା ନାମ")</f>
        <v>ସଂସ୍ଥା ନାମ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 t="str">
        <f>IFERROR(__xludf.DUMMYFUNCTION("""COMPUTED_VALUE"""),"verificationCode")</f>
        <v>verificationCode</v>
      </c>
      <c r="B294" s="2" t="str">
        <f>IFERROR(__xludf.DUMMYFUNCTION("""COMPUTED_VALUE"""),"Verification Code")</f>
        <v>Verification Code</v>
      </c>
      <c r="C294" s="2">
        <f>IFERROR(__xludf.DUMMYFUNCTION("""COMPUTED_VALUE"""),0.1)</f>
        <v>0.1</v>
      </c>
      <c r="D294" s="2" t="str">
        <f>IFERROR(__xludf.DUMMYFUNCTION("""COMPUTED_VALUE"""),"ପ୍ରମାଣ ସଂକେତ")</f>
        <v>ପ୍ରମାଣ ସଂକେତ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 t="str">
        <f>IFERROR(__xludf.DUMMYFUNCTION("""COMPUTED_VALUE"""),"back")</f>
        <v>back</v>
      </c>
      <c r="B295" s="2" t="str">
        <f>IFERROR(__xludf.DUMMYFUNCTION("""COMPUTED_VALUE"""),"Back")</f>
        <v>Back</v>
      </c>
      <c r="C295" s="2">
        <f>IFERROR(__xludf.DUMMYFUNCTION("""COMPUTED_VALUE"""),0.2)</f>
        <v>0.2</v>
      </c>
      <c r="D295" s="2" t="str">
        <f>IFERROR(__xludf.DUMMYFUNCTION("""COMPUTED_VALUE"""),"ପଛକୁ")</f>
        <v>ପଛକୁ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 t="str">
        <f>IFERROR(__xludf.DUMMYFUNCTION("""COMPUTED_VALUE"""),"resendOtp")</f>
        <v>resendOtp</v>
      </c>
      <c r="B296" s="2" t="str">
        <f>IFERROR(__xludf.DUMMYFUNCTION("""COMPUTED_VALUE"""),"Resend OTP")</f>
        <v>Resend OTP</v>
      </c>
      <c r="C296" s="2">
        <f>IFERROR(__xludf.DUMMYFUNCTION("""COMPUTED_VALUE"""),0.1)</f>
        <v>0.1</v>
      </c>
      <c r="D296" s="2" t="str">
        <f>IFERROR(__xludf.DUMMYFUNCTION("""COMPUTED_VALUE"""),"OTP କୁ ପୁନ endendendende ପଠାନ୍ତୁ |")</f>
        <v>OTP କୁ ପୁନ endendendende ପଠାନ୍ତୁ |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 t="str">
        <f>IFERROR(__xludf.DUMMYFUNCTION("""COMPUTED_VALUE"""),"reorder ")</f>
        <v>reorder </v>
      </c>
      <c r="B297" s="2" t="str">
        <f>IFERROR(__xludf.DUMMYFUNCTION("""COMPUTED_VALUE"""),"Re Order")</f>
        <v>Re Order</v>
      </c>
      <c r="C297" s="2" t="str">
        <f>IFERROR(__xludf.DUMMYFUNCTION("""COMPUTED_VALUE"""),"0.4.1")</f>
        <v>0.4.1</v>
      </c>
      <c r="D297" s="2" t="str">
        <f>IFERROR(__xludf.DUMMYFUNCTION("""COMPUTED_VALUE"""),"ପୁନ order୍ର୍ଡ")</f>
        <v>ପୁନ order୍ର୍ଡ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 t="str">
        <f>IFERROR(__xludf.DUMMYFUNCTION("""COMPUTED_VALUE"""),"shopAddress")</f>
        <v>shopAddress</v>
      </c>
      <c r="B298" s="2" t="str">
        <f>IFERROR(__xludf.DUMMYFUNCTION("""COMPUTED_VALUE"""),"Shop Address")</f>
        <v>Shop Address</v>
      </c>
      <c r="C298" s="2">
        <f>IFERROR(__xludf.DUMMYFUNCTION("""COMPUTED_VALUE"""),0.1)</f>
        <v>0.1</v>
      </c>
      <c r="D298" s="2" t="str">
        <f>IFERROR(__xludf.DUMMYFUNCTION("""COMPUTED_VALUE"""),"ଦୋକାନ ଠିକଣା")</f>
        <v>ଦୋକାନ ଠିକଣା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 t="str">
        <f>IFERROR(__xludf.DUMMYFUNCTION("""COMPUTED_VALUE"""),"searchYourAddress")</f>
        <v>searchYourAddress</v>
      </c>
      <c r="B299" s="2" t="str">
        <f>IFERROR(__xludf.DUMMYFUNCTION("""COMPUTED_VALUE"""),"Search your Address")</f>
        <v>Search your Address</v>
      </c>
      <c r="C299" s="2">
        <f>IFERROR(__xludf.DUMMYFUNCTION("""COMPUTED_VALUE"""),0.1)</f>
        <v>0.1</v>
      </c>
      <c r="D299" s="2" t="str">
        <f>IFERROR(__xludf.DUMMYFUNCTION("""COMPUTED_VALUE"""),"ତୁମର ଠିକଣା ଖୋଜ |")</f>
        <v>ତୁମର ଠିକଣା ଖୋଜ |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 t="str">
        <f>IFERROR(__xludf.DUMMYFUNCTION("""COMPUTED_VALUE"""),"enterDetails")</f>
        <v>enterDetails</v>
      </c>
      <c r="B300" s="2" t="str">
        <f>IFERROR(__xludf.DUMMYFUNCTION("""COMPUTED_VALUE"""),"Enter Details   ")</f>
        <v>Enter Details   </v>
      </c>
      <c r="C300" s="2">
        <f>IFERROR(__xludf.DUMMYFUNCTION("""COMPUTED_VALUE"""),0.1)</f>
        <v>0.1</v>
      </c>
      <c r="D300" s="2" t="str">
        <f>IFERROR(__xludf.DUMMYFUNCTION("""COMPUTED_VALUE"""),"ବିବରଣୀ ପ୍ରବେଶ କରନ୍ତୁ |")</f>
        <v>ବିବରଣୀ ପ୍ରବେଶ କରନ୍ତୁ |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 t="str">
        <f>IFERROR(__xludf.DUMMYFUNCTION("""COMPUTED_VALUE"""),"businessName")</f>
        <v>businessName</v>
      </c>
      <c r="B301" s="2" t="str">
        <f>IFERROR(__xludf.DUMMYFUNCTION("""COMPUTED_VALUE"""),"Business Name")</f>
        <v>Business Name</v>
      </c>
      <c r="C301" s="2">
        <f>IFERROR(__xludf.DUMMYFUNCTION("""COMPUTED_VALUE"""),0.1)</f>
        <v>0.1</v>
      </c>
      <c r="D301" s="2" t="str">
        <f>IFERROR(__xludf.DUMMYFUNCTION("""COMPUTED_VALUE"""),"ବ୍ୟବସାୟ ନାମ")</f>
        <v>ବ୍ୟବସାୟ ନାମ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 t="str">
        <f>IFERROR(__xludf.DUMMYFUNCTION("""COMPUTED_VALUE"""),"shopno./building")</f>
        <v>shopno./building</v>
      </c>
      <c r="B302" s="2" t="str">
        <f>IFERROR(__xludf.DUMMYFUNCTION("""COMPUTED_VALUE"""),"Shop no./Building ")</f>
        <v>Shop no./Building </v>
      </c>
      <c r="C302" s="2">
        <f>IFERROR(__xludf.DUMMYFUNCTION("""COMPUTED_VALUE"""),0.1)</f>
        <v>0.1</v>
      </c>
      <c r="D302" s="2" t="str">
        <f>IFERROR(__xludf.DUMMYFUNCTION("""COMPUTED_VALUE"""),"ଦୋକାନ ନମ୍ବର / ବିଲଡିଂ |")</f>
        <v>ଦୋକାନ ନମ୍ବର / ବିଲଡିଂ |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 t="str">
        <f>IFERROR(__xludf.DUMMYFUNCTION("""COMPUTED_VALUE"""),"locality/area")</f>
        <v>locality/area</v>
      </c>
      <c r="B303" s="2" t="str">
        <f>IFERROR(__xludf.DUMMYFUNCTION("""COMPUTED_VALUE"""),"Locality/Area")</f>
        <v>Locality/Area</v>
      </c>
      <c r="C303" s="2">
        <f>IFERROR(__xludf.DUMMYFUNCTION("""COMPUTED_VALUE"""),0.1)</f>
        <v>0.1</v>
      </c>
      <c r="D303" s="2" t="str">
        <f>IFERROR(__xludf.DUMMYFUNCTION("""COMPUTED_VALUE"""),"ସ୍ଥାନ / କ୍ଷେତ୍ର")</f>
        <v>ସ୍ଥାନ / କ୍ଷେତ୍ର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 t="str">
        <f>IFERROR(__xludf.DUMMYFUNCTION("""COMPUTED_VALUE"""),"once+9101234xxxxxorder")</f>
        <v>once+9101234xxxxxorder</v>
      </c>
      <c r="B304" s="2" t="str">
        <f>IFERROR(__xludf.DUMMYFUNCTION("""COMPUTED_VALUE"""),"Once +91 01234xxxxx Order")</f>
        <v>Once +91 01234xxxxx Order</v>
      </c>
      <c r="C304" s="2">
        <f>IFERROR(__xludf.DUMMYFUNCTION("""COMPUTED_VALUE"""),0.1)</f>
        <v>0.1</v>
      </c>
      <c r="D304" s="2" t="str">
        <f>IFERROR(__xludf.DUMMYFUNCTION("""COMPUTED_VALUE"""),"ଥରେ +91 01234xxxxx କ୍ରମ |")</f>
        <v>ଥରେ +91 01234xxxxx କ୍ରମ |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 t="str">
        <f>IFERROR(__xludf.DUMMYFUNCTION("""COMPUTED_VALUE"""),"GST Number")</f>
        <v>GST Number</v>
      </c>
      <c r="B305" s="2" t="str">
        <f>IFERROR(__xludf.DUMMYFUNCTION("""COMPUTED_VALUE"""),"GST Number")</f>
        <v>GST Number</v>
      </c>
      <c r="C305" s="2">
        <f>IFERROR(__xludf.DUMMYFUNCTION("""COMPUTED_VALUE"""),0.3)</f>
        <v>0.3</v>
      </c>
      <c r="D305" s="2" t="str">
        <f>IFERROR(__xludf.DUMMYFUNCTION("""COMPUTED_VALUE"""),"ଜିଏସ୍ଟି ନମ୍ବର |")</f>
        <v>ଜିଏସ୍ଟି ନମ୍ବର |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 t="str">
        <f>IFERROR(__xludf.DUMMYFUNCTION("""COMPUTED_VALUE"""),"city/state")</f>
        <v>city/state</v>
      </c>
      <c r="B306" s="2" t="str">
        <f>IFERROR(__xludf.DUMMYFUNCTION("""COMPUTED_VALUE"""),"City/state")</f>
        <v>City/state</v>
      </c>
      <c r="C306" s="2">
        <f>IFERROR(__xludf.DUMMYFUNCTION("""COMPUTED_VALUE"""),0.1)</f>
        <v>0.1</v>
      </c>
      <c r="D306" s="2" t="str">
        <f>IFERROR(__xludf.DUMMYFUNCTION("""COMPUTED_VALUE"""),"ସହର / ରାଜ୍ୟ")</f>
        <v>ସହର / ରାଜ୍ୟ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 t="str">
        <f>IFERROR(__xludf.DUMMYFUNCTION("""COMPUTED_VALUE"""),"pincode")</f>
        <v>pincode</v>
      </c>
      <c r="B307" s="2" t="str">
        <f>IFERROR(__xludf.DUMMYFUNCTION("""COMPUTED_VALUE"""),"Pincode")</f>
        <v>Pincode</v>
      </c>
      <c r="C307" s="2">
        <f>IFERROR(__xludf.DUMMYFUNCTION("""COMPUTED_VALUE"""),0.1)</f>
        <v>0.1</v>
      </c>
      <c r="D307" s="2" t="str">
        <f>IFERROR(__xludf.DUMMYFUNCTION("""COMPUTED_VALUE"""),"ପିନକୋଡ୍ |")</f>
        <v>ପିନକୋଡ୍ |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 t="str">
        <f>IFERROR(__xludf.DUMMYFUNCTION("""COMPUTED_VALUE"""),"saveAndContinue")</f>
        <v>saveAndContinue</v>
      </c>
      <c r="B308" s="2" t="str">
        <f>IFERROR(__xludf.DUMMYFUNCTION("""COMPUTED_VALUE"""),"Save and Continue")</f>
        <v>Save and Continue</v>
      </c>
      <c r="C308" s="2">
        <f>IFERROR(__xludf.DUMMYFUNCTION("""COMPUTED_VALUE"""),0.2)</f>
        <v>0.2</v>
      </c>
      <c r="D308" s="2" t="str">
        <f>IFERROR(__xludf.DUMMYFUNCTION("""COMPUTED_VALUE"""),"ସଞ୍ଚୟ ଏବଂ ଜାରି ରଖ |")</f>
        <v>ସଞ୍ଚୟ ଏବଂ ଜାରି ରଖ |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 t="str">
        <f>IFERROR(__xludf.DUMMYFUNCTION("""COMPUTED_VALUE"""),"specifyWorkingTime")</f>
        <v>specifyWorkingTime</v>
      </c>
      <c r="B309" s="2" t="str">
        <f>IFERROR(__xludf.DUMMYFUNCTION("""COMPUTED_VALUE"""),"Specify Working Time")</f>
        <v>Specify Working Time</v>
      </c>
      <c r="C309" s="2"/>
      <c r="D309" s="2" t="str">
        <f>IFERROR(__xludf.DUMMYFUNCTION("""COMPUTED_VALUE"""),"କାର୍ଯ୍ୟ ସମୟ ନିର୍ଦ୍ଦିଷ୍ଟ କରନ୍ତୁ |")</f>
        <v>କାର୍ଯ୍ୟ ସମୟ ନିର୍ଦ୍ଦିଷ୍ଟ କରନ୍ତୁ |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 t="str">
        <f>IFERROR(__xludf.DUMMYFUNCTION("""COMPUTED_VALUE"""),"sameForEveryDay")</f>
        <v>sameForEveryDay</v>
      </c>
      <c r="B310" s="2" t="str">
        <f>IFERROR(__xludf.DUMMYFUNCTION("""COMPUTED_VALUE"""),"Same for Every Day")</f>
        <v>Same for Every Day</v>
      </c>
      <c r="C310" s="2"/>
      <c r="D310" s="2" t="str">
        <f>IFERROR(__xludf.DUMMYFUNCTION("""COMPUTED_VALUE"""),"ପ୍ରତ୍ୟେକ ଦିନ ସମାନ |")</f>
        <v>ପ୍ରତ୍ୟେକ ଦିନ ସମାନ |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 t="str">
        <f>IFERROR(__xludf.DUMMYFUNCTION("""COMPUTED_VALUE"""),"skip")</f>
        <v>skip</v>
      </c>
      <c r="B311" s="2" t="str">
        <f>IFERROR(__xludf.DUMMYFUNCTION("""COMPUTED_VALUE"""),"Skip")</f>
        <v>Skip</v>
      </c>
      <c r="C311" s="2">
        <f>IFERROR(__xludf.DUMMYFUNCTION("""COMPUTED_VALUE"""),0.1)</f>
        <v>0.1</v>
      </c>
      <c r="D311" s="2" t="str">
        <f>IFERROR(__xludf.DUMMYFUNCTION("""COMPUTED_VALUE"""),"ଛାଡିଦିଅ |")</f>
        <v>ଛାଡିଦିଅ |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 t="str">
        <f>IFERROR(__xludf.DUMMYFUNCTION("""COMPUTED_VALUE"""),"save&amp;Continue")</f>
        <v>save&amp;Continue</v>
      </c>
      <c r="B312" s="2" t="str">
        <f>IFERROR(__xludf.DUMMYFUNCTION("""COMPUTED_VALUE"""),"Save &amp; Continue")</f>
        <v>Save &amp; Continue</v>
      </c>
      <c r="C312" s="2">
        <f>IFERROR(__xludf.DUMMYFUNCTION("""COMPUTED_VALUE"""),0.1)</f>
        <v>0.1</v>
      </c>
      <c r="D312" s="2" t="str">
        <f>IFERROR(__xludf.DUMMYFUNCTION("""COMPUTED_VALUE"""),"ସଞ୍ଚୟ କରନ୍ତୁ ଏବଂ ଜାରି ରଖନ୍ତୁ |")</f>
        <v>ସଞ୍ଚୟ କରନ୍ତୁ ଏବଂ ଜାରି ରଖନ୍ତୁ |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 t="str">
        <f>IFERROR(__xludf.DUMMYFUNCTION("""COMPUTED_VALUE"""),"sendreferralinvite")</f>
        <v>sendreferralinvite</v>
      </c>
      <c r="B313" s="2" t="str">
        <f>IFERROR(__xludf.DUMMYFUNCTION("""COMPUTED_VALUE"""),"Send Referral Invite")</f>
        <v>Send Referral Invite</v>
      </c>
      <c r="C313" s="2">
        <f>IFERROR(__xludf.DUMMYFUNCTION("""COMPUTED_VALUE"""),0.2)</f>
        <v>0.2</v>
      </c>
      <c r="D313" s="2" t="str">
        <f>IFERROR(__xludf.DUMMYFUNCTION("""COMPUTED_VALUE"""),"ରେଫରାଲ୍ ନିମନ୍ତ୍ରଣ ପଠାନ୍ତୁ |")</f>
        <v>ରେଫରାଲ୍ ନିମନ୍ତ୍ରଣ ପଠାନ୍ତୁ |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 t="str">
        <f>IFERROR(__xludf.DUMMYFUNCTION("""COMPUTED_VALUE"""),"track")</f>
        <v>track</v>
      </c>
      <c r="B314" s="2" t="str">
        <f>IFERROR(__xludf.DUMMYFUNCTION("""COMPUTED_VALUE"""),"Track")</f>
        <v>Track</v>
      </c>
      <c r="C314" s="2" t="str">
        <f>IFERROR(__xludf.DUMMYFUNCTION("""COMPUTED_VALUE"""),"0.4.1")</f>
        <v>0.4.1</v>
      </c>
      <c r="D314" s="2" t="str">
        <f>IFERROR(__xludf.DUMMYFUNCTION("""COMPUTED_VALUE"""),"ଟ୍ରାକ୍")</f>
        <v>ଟ୍ରାକ୍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 t="str">
        <f>IFERROR(__xludf.DUMMYFUNCTION("""COMPUTED_VALUE"""),"done")</f>
        <v>done</v>
      </c>
      <c r="B315" s="2" t="str">
        <f>IFERROR(__xludf.DUMMYFUNCTION("""COMPUTED_VALUE"""),"Done")</f>
        <v>Done</v>
      </c>
      <c r="C315" s="2">
        <f>IFERROR(__xludf.DUMMYFUNCTION("""COMPUTED_VALUE"""),0.2)</f>
        <v>0.2</v>
      </c>
      <c r="D315" s="2" t="str">
        <f>IFERROR(__xludf.DUMMYFUNCTION("""COMPUTED_VALUE"""),"ସମ୍ପନ୍ନ")</f>
        <v>ସମ୍ପନ୍ନ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 t="str">
        <f>IFERROR(__xludf.DUMMYFUNCTION("""COMPUTED_VALUE"""),"Kyc")</f>
        <v>Kyc</v>
      </c>
      <c r="B316" s="2" t="str">
        <f>IFERROR(__xludf.DUMMYFUNCTION("""COMPUTED_VALUE"""),"KYC")</f>
        <v>KYC</v>
      </c>
      <c r="C316" s="2">
        <f>IFERROR(__xludf.DUMMYFUNCTION("""COMPUTED_VALUE"""),0.1)</f>
        <v>0.1</v>
      </c>
      <c r="D316" s="2" t="str">
        <f>IFERROR(__xludf.DUMMYFUNCTION("""COMPUTED_VALUE"""),"କାଳ")</f>
        <v>କାଳ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 t="str">
        <f>IFERROR(__xludf.DUMMYFUNCTION("""COMPUTED_VALUE"""),"fathersName")</f>
        <v>fathersName</v>
      </c>
      <c r="B317" s="2" t="str">
        <f>IFERROR(__xludf.DUMMYFUNCTION("""COMPUTED_VALUE"""),"Father’s Name")</f>
        <v>Father’s Name</v>
      </c>
      <c r="C317" s="2">
        <f>IFERROR(__xludf.DUMMYFUNCTION("""COMPUTED_VALUE"""),0.1)</f>
        <v>0.1</v>
      </c>
      <c r="D317" s="2" t="str">
        <f>IFERROR(__xludf.DUMMYFUNCTION("""COMPUTED_VALUE"""),"ପିତାଙ୍କ ନାମ")</f>
        <v>ପିତାଙ୍କ ନାମ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 t="str">
        <f>IFERROR(__xludf.DUMMYFUNCTION("""COMPUTED_VALUE"""),"dob")</f>
        <v>dob</v>
      </c>
      <c r="B318" s="2" t="str">
        <f>IFERROR(__xludf.DUMMYFUNCTION("""COMPUTED_VALUE"""),"DOB")</f>
        <v>DOB</v>
      </c>
      <c r="C318" s="2">
        <f>IFERROR(__xludf.DUMMYFUNCTION("""COMPUTED_VALUE"""),0.1)</f>
        <v>0.1</v>
      </c>
      <c r="D318" s="2" t="str">
        <f>IFERROR(__xludf.DUMMYFUNCTION("""COMPUTED_VALUE"""),"ଡବ୍")</f>
        <v>ଡବ୍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 t="str">
        <f>IFERROR(__xludf.DUMMYFUNCTION("""COMPUTED_VALUE"""),"uploadProofIdentity")</f>
        <v>uploadProofIdentity</v>
      </c>
      <c r="B319" s="2" t="str">
        <f>IFERROR(__xludf.DUMMYFUNCTION("""COMPUTED_VALUE"""),"Upload Proof identity")</f>
        <v>Upload Proof identity</v>
      </c>
      <c r="C319" s="2">
        <f>IFERROR(__xludf.DUMMYFUNCTION("""COMPUTED_VALUE"""),0.1)</f>
        <v>0.1</v>
      </c>
      <c r="D319" s="2" t="str">
        <f>IFERROR(__xludf.DUMMYFUNCTION("""COMPUTED_VALUE"""),"ପ୍ରୁଫ୍ ପରିଚୟ |")</f>
        <v>ପ୍ରୁଫ୍ ପରିଚୟ |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 t="str">
        <f>IFERROR(__xludf.DUMMYFUNCTION("""COMPUTED_VALUE"""),"AadharCard")</f>
        <v>AadharCard</v>
      </c>
      <c r="B320" s="2" t="str">
        <f>IFERROR(__xludf.DUMMYFUNCTION("""COMPUTED_VALUE"""),"Aadhar Card")</f>
        <v>Aadhar Card</v>
      </c>
      <c r="C320" s="2">
        <f>IFERROR(__xludf.DUMMYFUNCTION("""COMPUTED_VALUE"""),0.1)</f>
        <v>0.1</v>
      </c>
      <c r="D320" s="2" t="str">
        <f>IFERROR(__xludf.DUMMYFUNCTION("""COMPUTED_VALUE"""),"ଅଲହର କାର୍ଡ |")</f>
        <v>ଅଲହର କାର୍ଡ |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 t="str">
        <f>IFERROR(__xludf.DUMMYFUNCTION("""COMPUTED_VALUE"""),"idCardNo.")</f>
        <v>idCardNo.</v>
      </c>
      <c r="B321" s="2" t="str">
        <f>IFERROR(__xludf.DUMMYFUNCTION("""COMPUTED_VALUE"""),"ID Card No.")</f>
        <v>ID Card No.</v>
      </c>
      <c r="C321" s="2">
        <f>IFERROR(__xludf.DUMMYFUNCTION("""COMPUTED_VALUE"""),0.1)</f>
        <v>0.1</v>
      </c>
      <c r="D321" s="2" t="str">
        <f>IFERROR(__xludf.DUMMYFUNCTION("""COMPUTED_VALUE"""),"Id କାର୍ଡ ନମ୍ବର")</f>
        <v>Id କାର୍ଡ ନମ୍ବର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 t="str">
        <f>IFERROR(__xludf.DUMMYFUNCTION("""COMPUTED_VALUE"""),"uploadPanCard")</f>
        <v>uploadPanCard</v>
      </c>
      <c r="B322" s="2" t="str">
        <f>IFERROR(__xludf.DUMMYFUNCTION("""COMPUTED_VALUE"""),"Upload PAN Card")</f>
        <v>Upload PAN Card</v>
      </c>
      <c r="C322" s="2">
        <f>IFERROR(__xludf.DUMMYFUNCTION("""COMPUTED_VALUE"""),0.1)</f>
        <v>0.1</v>
      </c>
      <c r="D322" s="2" t="str">
        <f>IFERROR(__xludf.DUMMYFUNCTION("""COMPUTED_VALUE"""),"ପ୍ୟାନ କାର୍ଡ ଅପଲୋଡ୍ କରନ୍ତୁ |")</f>
        <v>ପ୍ୟାନ କାର୍ଡ ଅପଲୋଡ୍ କରନ୍ତୁ |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 t="str">
        <f>IFERROR(__xludf.DUMMYFUNCTION("""COMPUTED_VALUE"""),"panCardNo")</f>
        <v>panCardNo</v>
      </c>
      <c r="B323" s="2" t="str">
        <f>IFERROR(__xludf.DUMMYFUNCTION("""COMPUTED_VALUE"""),"PAN Card No.")</f>
        <v>PAN Card No.</v>
      </c>
      <c r="C323" s="2">
        <f>IFERROR(__xludf.DUMMYFUNCTION("""COMPUTED_VALUE"""),0.1)</f>
        <v>0.1</v>
      </c>
      <c r="D323" s="2" t="str">
        <f>IFERROR(__xludf.DUMMYFUNCTION("""COMPUTED_VALUE"""),"ପାନ୍ କାର୍ଡ ନମ୍ବର")</f>
        <v>ପାନ୍ କାର୍ଡ ନମ୍ବର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 t="str">
        <f>IFERROR(__xludf.DUMMYFUNCTION("""COMPUTED_VALUE"""),"uploadFileForm")</f>
        <v>uploadFileForm</v>
      </c>
      <c r="B324" s="2" t="str">
        <f>IFERROR(__xludf.DUMMYFUNCTION("""COMPUTED_VALUE"""),"Upload file from")</f>
        <v>Upload file from</v>
      </c>
      <c r="C324" s="2">
        <f>IFERROR(__xludf.DUMMYFUNCTION("""COMPUTED_VALUE"""),0.1)</f>
        <v>0.1</v>
      </c>
      <c r="D324" s="2" t="str">
        <f>IFERROR(__xludf.DUMMYFUNCTION("""COMPUTED_VALUE"""),"ଏଥିରୁ ଫାଇଲ୍ ଅପଲୋଡ୍ କରନ୍ତୁ |")</f>
        <v>ଏଥିରୁ ଫାଇଲ୍ ଅପଲୋଡ୍ କରନ୍ତୁ |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 t="str">
        <f>IFERROR(__xludf.DUMMYFUNCTION("""COMPUTED_VALUE"""),"bankDetails")</f>
        <v>bankDetails</v>
      </c>
      <c r="B325" s="2" t="str">
        <f>IFERROR(__xludf.DUMMYFUNCTION("""COMPUTED_VALUE"""),"Bank Details")</f>
        <v>Bank Details</v>
      </c>
      <c r="C325" s="2">
        <f>IFERROR(__xludf.DUMMYFUNCTION("""COMPUTED_VALUE"""),0.1)</f>
        <v>0.1</v>
      </c>
      <c r="D325" s="2" t="str">
        <f>IFERROR(__xludf.DUMMYFUNCTION("""COMPUTED_VALUE"""),"ବ୍ୟାଙ୍କ ବିବରଣୀ")</f>
        <v>ବ୍ୟାଙ୍କ ବିବରଣୀ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 t="str">
        <f>IFERROR(__xludf.DUMMYFUNCTION("""COMPUTED_VALUE"""),"BeneficiaryName")</f>
        <v>BeneficiaryName</v>
      </c>
      <c r="B326" s="2" t="str">
        <f>IFERROR(__xludf.DUMMYFUNCTION("""COMPUTED_VALUE"""),"Beneficiary Name")</f>
        <v>Beneficiary Name</v>
      </c>
      <c r="C326" s="2">
        <f>IFERROR(__xludf.DUMMYFUNCTION("""COMPUTED_VALUE"""),0.2)</f>
        <v>0.2</v>
      </c>
      <c r="D326" s="2" t="str">
        <f>IFERROR(__xludf.DUMMYFUNCTION("""COMPUTED_VALUE"""),"ହିତାଧିକାରୀ ନାମ")</f>
        <v>ହିତାଧିକାରୀ ନାମ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 t="str">
        <f>IFERROR(__xludf.DUMMYFUNCTION("""COMPUTED_VALUE"""),"bankName")</f>
        <v>bankName</v>
      </c>
      <c r="B327" s="2" t="str">
        <f>IFERROR(__xludf.DUMMYFUNCTION("""COMPUTED_VALUE"""),"Bank Name")</f>
        <v>Bank Name</v>
      </c>
      <c r="C327" s="2">
        <f>IFERROR(__xludf.DUMMYFUNCTION("""COMPUTED_VALUE"""),0.2)</f>
        <v>0.2</v>
      </c>
      <c r="D327" s="2" t="str">
        <f>IFERROR(__xludf.DUMMYFUNCTION("""COMPUTED_VALUE"""),"ବ୍ୟାଙ୍କ ନାମ")</f>
        <v>ବ୍ୟାଙ୍କ ନାମ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 t="str">
        <f>IFERROR(__xludf.DUMMYFUNCTION("""COMPUTED_VALUE"""),"accountNo")</f>
        <v>accountNo</v>
      </c>
      <c r="B328" s="2" t="str">
        <f>IFERROR(__xludf.DUMMYFUNCTION("""COMPUTED_VALUE"""),"Account No.")</f>
        <v>Account No.</v>
      </c>
      <c r="C328" s="2"/>
      <c r="D328" s="2" t="str">
        <f>IFERROR(__xludf.DUMMYFUNCTION("""COMPUTED_VALUE"""),"ଖାତା ନମ୍ବର")</f>
        <v>ଖାତା ନମ୍ବର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 t="str">
        <f>IFERROR(__xludf.DUMMYFUNCTION("""COMPUTED_VALUE"""),"ifsc")</f>
        <v>ifsc</v>
      </c>
      <c r="B329" s="2" t="str">
        <f>IFERROR(__xludf.DUMMYFUNCTION("""COMPUTED_VALUE"""),"IFSC")</f>
        <v>IFSC</v>
      </c>
      <c r="C329" s="2"/>
      <c r="D329" s="2" t="str">
        <f>IFERROR(__xludf.DUMMYFUNCTION("""COMPUTED_VALUE"""),"Ifsc")</f>
        <v>Ifsc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 t="str">
        <f>IFERROR(__xludf.DUMMYFUNCTION("""COMPUTED_VALUE"""),"uploadPassbookPhoto")</f>
        <v>uploadPassbookPhoto</v>
      </c>
      <c r="B330" s="2" t="str">
        <f>IFERROR(__xludf.DUMMYFUNCTION("""COMPUTED_VALUE"""),"Upload Passbook photo")</f>
        <v>Upload Passbook photo</v>
      </c>
      <c r="C330" s="2"/>
      <c r="D330" s="2" t="str">
        <f>IFERROR(__xludf.DUMMYFUNCTION("""COMPUTED_VALUE"""),"ପାସବୁକ୍ ଫଟୋ ଅପଲୋଡ୍ କରନ୍ତୁ |")</f>
        <v>ପାସବୁକ୍ ଫଟୋ ଅପଲୋଡ୍ କରନ୍ତୁ |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 t="str">
        <f>IFERROR(__xludf.DUMMYFUNCTION("""COMPUTED_VALUE"""),"passbookphoto")</f>
        <v>passbookphoto</v>
      </c>
      <c r="B331" s="2" t="str">
        <f>IFERROR(__xludf.DUMMYFUNCTION("""COMPUTED_VALUE"""),"Passbook Photo")</f>
        <v>Passbook Photo</v>
      </c>
      <c r="C331" s="2">
        <f>IFERROR(__xludf.DUMMYFUNCTION("""COMPUTED_VALUE"""),0.2)</f>
        <v>0.2</v>
      </c>
      <c r="D331" s="2" t="str">
        <f>IFERROR(__xludf.DUMMYFUNCTION("""COMPUTED_VALUE"""),"ପାସ୍ ବୁକ୍ ଫଟୋ |")</f>
        <v>ପାସ୍ ବୁକ୍ ଫଟୋ |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 t="str">
        <f>IFERROR(__xludf.DUMMYFUNCTION("""COMPUTED_VALUE"""),"pendingOrders")</f>
        <v>pendingOrders</v>
      </c>
      <c r="B332" s="2" t="str">
        <f>IFERROR(__xludf.DUMMYFUNCTION("""COMPUTED_VALUE"""),"Pending Orders")</f>
        <v>Pending Orders</v>
      </c>
      <c r="C332" s="2"/>
      <c r="D332" s="2" t="str">
        <f>IFERROR(__xludf.DUMMYFUNCTION("""COMPUTED_VALUE"""),"ପଣ୍ଡାଳନା ଆଦେଶ |")</f>
        <v>ପଣ୍ଡାଳନା ଆଦେଶ |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 t="str">
        <f>IFERROR(__xludf.DUMMYFUNCTION("""COMPUTED_VALUE"""),"details")</f>
        <v>details</v>
      </c>
      <c r="B333" s="2" t="str">
        <f>IFERROR(__xludf.DUMMYFUNCTION("""COMPUTED_VALUE"""),"Details")</f>
        <v>Details</v>
      </c>
      <c r="C333" s="2">
        <f>IFERROR(__xludf.DUMMYFUNCTION("""COMPUTED_VALUE"""),0.1)</f>
        <v>0.1</v>
      </c>
      <c r="D333" s="2" t="str">
        <f>IFERROR(__xludf.DUMMYFUNCTION("""COMPUTED_VALUE"""),"ବିବରଣୀ")</f>
        <v>ବିବରଣୀ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 t="str">
        <f>IFERROR(__xludf.DUMMYFUNCTION("""COMPUTED_VALUE"""),"reEnterAccountNo")</f>
        <v>reEnterAccountNo</v>
      </c>
      <c r="B334" s="2" t="str">
        <f>IFERROR(__xludf.DUMMYFUNCTION("""COMPUTED_VALUE"""),"Re-enter Account No.")</f>
        <v>Re-enter Account No.</v>
      </c>
      <c r="C334" s="2">
        <f>IFERROR(__xludf.DUMMYFUNCTION("""COMPUTED_VALUE"""),0.2)</f>
        <v>0.2</v>
      </c>
      <c r="D334" s="2" t="str">
        <f>IFERROR(__xludf.DUMMYFUNCTION("""COMPUTED_VALUE"""),"ଖାତା ନମ୍ବର ପୁନ - ପ୍ରବେଶ କରନ୍ତୁ |")</f>
        <v>ଖାତା ନମ୍ବର ପୁନ - ପ୍ରବେଶ କରନ୍ତୁ |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 t="str">
        <f>IFERROR(__xludf.DUMMYFUNCTION("""COMPUTED_VALUE"""),"reenteraccountnumber")</f>
        <v>reenteraccountnumber</v>
      </c>
      <c r="B335" s="2" t="str">
        <f>IFERROR(__xludf.DUMMYFUNCTION("""COMPUTED_VALUE"""),"Re-enter Account Number ")</f>
        <v>Re-enter Account Number </v>
      </c>
      <c r="C335" s="2">
        <f>IFERROR(__xludf.DUMMYFUNCTION("""COMPUTED_VALUE"""),0.2)</f>
        <v>0.2</v>
      </c>
      <c r="D335" s="2" t="str">
        <f>IFERROR(__xludf.DUMMYFUNCTION("""COMPUTED_VALUE"""),"ଖାତା ନମ୍ବର ପୁନ - ପ୍ରବେଶ କରନ୍ତୁ |")</f>
        <v>ଖାତା ନମ୍ବର ପୁନ - ପ୍ରବେଶ କରନ୍ତୁ |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 t="str">
        <f>IFERROR(__xludf.DUMMYFUNCTION("""COMPUTED_VALUE"""),"accountNumber")</f>
        <v>accountNumber</v>
      </c>
      <c r="B336" s="2" t="str">
        <f>IFERROR(__xludf.DUMMYFUNCTION("""COMPUTED_VALUE"""),"Account Number")</f>
        <v>Account Number</v>
      </c>
      <c r="C336" s="2">
        <f>IFERROR(__xludf.DUMMYFUNCTION("""COMPUTED_VALUE"""),0.2)</f>
        <v>0.2</v>
      </c>
      <c r="D336" s="2" t="str">
        <f>IFERROR(__xludf.DUMMYFUNCTION("""COMPUTED_VALUE"""),"ଖାତା ସଂଖ୍ୟା")</f>
        <v>ଖାତା ସଂଖ୍ୟା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 t="str">
        <f>IFERROR(__xludf.DUMMYFUNCTION("""COMPUTED_VALUE"""),"ifsccode")</f>
        <v>ifsccode</v>
      </c>
      <c r="B337" s="2" t="str">
        <f>IFERROR(__xludf.DUMMYFUNCTION("""COMPUTED_VALUE"""),"IFSC Code")</f>
        <v>IFSC Code</v>
      </c>
      <c r="C337" s="2">
        <f>IFERROR(__xludf.DUMMYFUNCTION("""COMPUTED_VALUE"""),0.2)</f>
        <v>0.2</v>
      </c>
      <c r="D337" s="2" t="str">
        <f>IFERROR(__xludf.DUMMYFUNCTION("""COMPUTED_VALUE"""),"Ifsc କୋଡ୍ |")</f>
        <v>Ifsc କୋଡ୍ |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 t="str">
        <f>IFERROR(__xludf.DUMMYFUNCTION("""COMPUTED_VALUE"""),"pannumber")</f>
        <v>pannumber</v>
      </c>
      <c r="B338" s="2" t="str">
        <f>IFERROR(__xludf.DUMMYFUNCTION("""COMPUTED_VALUE"""),"PAN Number ")</f>
        <v>PAN Number </v>
      </c>
      <c r="C338" s="2">
        <f>IFERROR(__xludf.DUMMYFUNCTION("""COMPUTED_VALUE"""),0.2)</f>
        <v>0.2</v>
      </c>
      <c r="D338" s="2" t="str">
        <f>IFERROR(__xludf.DUMMYFUNCTION("""COMPUTED_VALUE"""),"ପାନ୍ ନମ୍ବର |")</f>
        <v>ପାନ୍ ନମ୍ବର |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 t="str">
        <f>IFERROR(__xludf.DUMMYFUNCTION("""COMPUTED_VALUE"""),"selling")</f>
        <v>selling</v>
      </c>
      <c r="B339" s="2" t="str">
        <f>IFERROR(__xludf.DUMMYFUNCTION("""COMPUTED_VALUE"""),"Selling")</f>
        <v>Selling</v>
      </c>
      <c r="C339" s="2">
        <f>IFERROR(__xludf.DUMMYFUNCTION("""COMPUTED_VALUE"""),0.2)</f>
        <v>0.2</v>
      </c>
      <c r="D339" s="2" t="str">
        <f>IFERROR(__xludf.DUMMYFUNCTION("""COMPUTED_VALUE"""),"ବିକ୍ରି")</f>
        <v>ବିକ୍ରି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 t="str">
        <f>IFERROR(__xludf.DUMMYFUNCTION("""COMPUTED_VALUE"""),"areyoysure?youwanttosendreferralinvitetothisnumber?")</f>
        <v>areyoysure?youwanttosendreferralinvitetothisnumber?</v>
      </c>
      <c r="B340" s="2" t="str">
        <f>IFERROR(__xludf.DUMMYFUNCTION("""COMPUTED_VALUE"""),"Are you sure? You want to send referral invite to this number?")</f>
        <v>Are you sure? You want to send referral invite to this number?</v>
      </c>
      <c r="C340" s="2">
        <f>IFERROR(__xludf.DUMMYFUNCTION("""COMPUTED_VALUE"""),0.2)</f>
        <v>0.2</v>
      </c>
      <c r="D340" s="2" t="str">
        <f>IFERROR(__xludf.DUMMYFUNCTION("""COMPUTED_VALUE"""),"ତମେ ନିଶ୍ଚିତ କି? ଆପଣ ଏହି ନମ୍ବରକୁ ରେଫରାଲ୍ ନିମନ୍ତ୍ରଣ ପଠାଇବାକୁ ଚାହୁଁଛନ୍ତି କି?")</f>
        <v>ତମେ ନିଶ୍ଚିତ କି? ଆପଣ ଏହି ନମ୍ବରକୁ ରେଫରାଲ୍ ନିମନ୍ତ୍ରଣ ପଠାଇବାକୁ ଚାହୁଁଛନ୍ତି କି?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 t="str">
        <f>IFERROR(__xludf.DUMMYFUNCTION("""COMPUTED_VALUE"""),"addproductdetails")</f>
        <v>addproductdetails</v>
      </c>
      <c r="B341" s="2" t="str">
        <f>IFERROR(__xludf.DUMMYFUNCTION("""COMPUTED_VALUE"""),"Add Product Details")</f>
        <v>Add Product Details</v>
      </c>
      <c r="C341" s="2">
        <f>IFERROR(__xludf.DUMMYFUNCTION("""COMPUTED_VALUE"""),0.3)</f>
        <v>0.3</v>
      </c>
      <c r="D341" s="2" t="str">
        <f>IFERROR(__xludf.DUMMYFUNCTION("""COMPUTED_VALUE"""),"ଉତ୍ପାଦ ବିବରଣୀ ଯୋଡନ୍ତୁ |")</f>
        <v>ଉତ୍ପାଦ ବିବରଣୀ ଯୋଡନ୍ତୁ |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 t="str">
        <f>IFERROR(__xludf.DUMMYFUNCTION("""COMPUTED_VALUE"""),"expenses")</f>
        <v>expenses</v>
      </c>
      <c r="B342" s="2" t="str">
        <f>IFERROR(__xludf.DUMMYFUNCTION("""COMPUTED_VALUE"""),"Expenses")</f>
        <v>Expenses</v>
      </c>
      <c r="C342" s="2">
        <f>IFERROR(__xludf.DUMMYFUNCTION("""COMPUTED_VALUE"""),0.1)</f>
        <v>0.1</v>
      </c>
      <c r="D342" s="2" t="str">
        <f>IFERROR(__xludf.DUMMYFUNCTION("""COMPUTED_VALUE"""),"ଖର୍ଚ୍ଚ")</f>
        <v>ଖର୍ଚ୍ଚ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 t="str">
        <f>IFERROR(__xludf.DUMMYFUNCTION("""COMPUTED_VALUE"""),"orderhistory")</f>
        <v>orderhistory</v>
      </c>
      <c r="B343" s="2" t="str">
        <f>IFERROR(__xludf.DUMMYFUNCTION("""COMPUTED_VALUE"""),"Order History")</f>
        <v>Order History</v>
      </c>
      <c r="C343" s="2">
        <f>IFERROR(__xludf.DUMMYFUNCTION("""COMPUTED_VALUE"""),0.4)</f>
        <v>0.4</v>
      </c>
      <c r="D343" s="2" t="str">
        <f>IFERROR(__xludf.DUMMYFUNCTION("""COMPUTED_VALUE"""),"ଅର୍ଡର ଇତିହାସ")</f>
        <v>ଅର୍ଡର ଇତିହାସ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 t="str">
        <f>IFERROR(__xludf.DUMMYFUNCTION("""COMPUTED_VALUE"""),"crm")</f>
        <v>crm</v>
      </c>
      <c r="B344" s="2" t="str">
        <f>IFERROR(__xludf.DUMMYFUNCTION("""COMPUTED_VALUE"""),"CRM")</f>
        <v>CRM</v>
      </c>
      <c r="C344" s="2">
        <f>IFERROR(__xludf.DUMMYFUNCTION("""COMPUTED_VALUE"""),0.1)</f>
        <v>0.1</v>
      </c>
      <c r="D344" s="2" t="str">
        <f>IFERROR(__xludf.DUMMYFUNCTION("""COMPUTED_VALUE"""),"CRM")</f>
        <v>CRM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 t="str">
        <f>IFERROR(__xludf.DUMMYFUNCTION("""COMPUTED_VALUE"""),"customer")</f>
        <v>customer</v>
      </c>
      <c r="B345" s="2" t="str">
        <f>IFERROR(__xludf.DUMMYFUNCTION("""COMPUTED_VALUE"""),"Customer")</f>
        <v>Customer</v>
      </c>
      <c r="C345" s="2">
        <f>IFERROR(__xludf.DUMMYFUNCTION("""COMPUTED_VALUE"""),0.1)</f>
        <v>0.1</v>
      </c>
      <c r="D345" s="2" t="str">
        <f>IFERROR(__xludf.DUMMYFUNCTION("""COMPUTED_VALUE"""),"ଗ୍ରାହକ")</f>
        <v>ଗ୍ରାହକ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 t="str">
        <f>IFERROR(__xludf.DUMMYFUNCTION("""COMPUTED_VALUE"""),"service")</f>
        <v>service</v>
      </c>
      <c r="B346" s="2" t="str">
        <f>IFERROR(__xludf.DUMMYFUNCTION("""COMPUTED_VALUE"""),"Service")</f>
        <v>Service</v>
      </c>
      <c r="C346" s="2">
        <f>IFERROR(__xludf.DUMMYFUNCTION("""COMPUTED_VALUE"""),0.1)</f>
        <v>0.1</v>
      </c>
      <c r="D346" s="2" t="str">
        <f>IFERROR(__xludf.DUMMYFUNCTION("""COMPUTED_VALUE"""),"ସେବା")</f>
        <v>ସେବା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 t="str">
        <f>IFERROR(__xludf.DUMMYFUNCTION("""COMPUTED_VALUE"""),"b2bBuy")</f>
        <v>b2bBuy</v>
      </c>
      <c r="B347" s="2" t="str">
        <f>IFERROR(__xludf.DUMMYFUNCTION("""COMPUTED_VALUE"""),"B2B Buy")</f>
        <v>B2B Buy</v>
      </c>
      <c r="C347" s="2">
        <f>IFERROR(__xludf.DUMMYFUNCTION("""COMPUTED_VALUE"""),0.1)</f>
        <v>0.1</v>
      </c>
      <c r="D347" s="2" t="str">
        <f>IFERROR(__xludf.DUMMYFUNCTION("""COMPUTED_VALUE"""),"B2B କିଣ |")</f>
        <v>B2B କିଣ |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 t="str">
        <f>IFERROR(__xludf.DUMMYFUNCTION("""COMPUTED_VALUE"""),"promote")</f>
        <v>promote</v>
      </c>
      <c r="B348" s="2" t="str">
        <f>IFERROR(__xludf.DUMMYFUNCTION("""COMPUTED_VALUE"""),"Promote")</f>
        <v>Promote</v>
      </c>
      <c r="C348" s="2">
        <f>IFERROR(__xludf.DUMMYFUNCTION("""COMPUTED_VALUE"""),0.1)</f>
        <v>0.1</v>
      </c>
      <c r="D348" s="2" t="str">
        <f>IFERROR(__xludf.DUMMYFUNCTION("""COMPUTED_VALUE"""),"ପ୍ରୋତ୍ସାହନ ଦିଅ |")</f>
        <v>ପ୍ରୋତ୍ସାହନ ଦିଅ |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 t="str">
        <f>IFERROR(__xludf.DUMMYFUNCTION("""COMPUTED_VALUE"""),"usermanagement")</f>
        <v>usermanagement</v>
      </c>
      <c r="B349" s="2" t="str">
        <f>IFERROR(__xludf.DUMMYFUNCTION("""COMPUTED_VALUE"""),"User Management ")</f>
        <v>User Management </v>
      </c>
      <c r="C349" s="2">
        <f>IFERROR(__xludf.DUMMYFUNCTION("""COMPUTED_VALUE"""),0.1)</f>
        <v>0.1</v>
      </c>
      <c r="D349" s="2" t="str">
        <f>IFERROR(__xludf.DUMMYFUNCTION("""COMPUTED_VALUE"""),"ବ୍ୟବହାରକାରୀ Enterರ್")</f>
        <v>ବ୍ୟବହାରକାରୀ Enterರ್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 t="str">
        <f>IFERROR(__xludf.DUMMYFUNCTION("""COMPUTED_VALUE"""),"referralmanagement")</f>
        <v>referralmanagement</v>
      </c>
      <c r="B350" s="2" t="str">
        <f>IFERROR(__xludf.DUMMYFUNCTION("""COMPUTED_VALUE"""),"Referral Management")</f>
        <v>Referral Management</v>
      </c>
      <c r="C350" s="2">
        <f>IFERROR(__xludf.DUMMYFUNCTION("""COMPUTED_VALUE"""),0.1)</f>
        <v>0.1</v>
      </c>
      <c r="D350" s="2" t="str">
        <f>IFERROR(__xludf.DUMMYFUNCTION("""COMPUTED_VALUE"""),"ରେଫରାଲ୍ ମ୍ୟାନେଜମେଣ୍ଟ |")</f>
        <v>ରେଫରାଲ୍ ମ୍ୟାନେଜମେଣ୍ଟ |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 t="str">
        <f>IFERROR(__xludf.DUMMYFUNCTION("""COMPUTED_VALUE"""),"P&amp;L")</f>
        <v>P&amp;L</v>
      </c>
      <c r="B351" s="2" t="str">
        <f>IFERROR(__xludf.DUMMYFUNCTION("""COMPUTED_VALUE"""),"P &amp; L")</f>
        <v>P &amp; L</v>
      </c>
      <c r="C351" s="2">
        <f>IFERROR(__xludf.DUMMYFUNCTION("""COMPUTED_VALUE"""),0.1)</f>
        <v>0.1</v>
      </c>
      <c r="D351" s="2" t="str">
        <f>IFERROR(__xludf.DUMMYFUNCTION("""COMPUTED_VALUE"""),"P &amp; L")</f>
        <v>P &amp; L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 t="str">
        <f>IFERROR(__xludf.DUMMYFUNCTION("""COMPUTED_VALUE"""),"subscription")</f>
        <v>subscription</v>
      </c>
      <c r="B352" s="2" t="str">
        <f>IFERROR(__xludf.DUMMYFUNCTION("""COMPUTED_VALUE"""),"Subscription")</f>
        <v>Subscription</v>
      </c>
      <c r="C352" s="2">
        <f>IFERROR(__xludf.DUMMYFUNCTION("""COMPUTED_VALUE"""),0.1)</f>
        <v>0.1</v>
      </c>
      <c r="D352" s="2" t="str">
        <f>IFERROR(__xludf.DUMMYFUNCTION("""COMPUTED_VALUE"""),"ସଦସ୍ୟତା")</f>
        <v>ସଦସ୍ୟତା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 t="str">
        <f>IFERROR(__xludf.DUMMYFUNCTION("""COMPUTED_VALUE"""),"catalog")</f>
        <v>catalog</v>
      </c>
      <c r="B353" s="2" t="str">
        <f>IFERROR(__xludf.DUMMYFUNCTION("""COMPUTED_VALUE"""),"Catalog")</f>
        <v>Catalog</v>
      </c>
      <c r="C353" s="2">
        <f>IFERROR(__xludf.DUMMYFUNCTION("""COMPUTED_VALUE"""),0.1)</f>
        <v>0.1</v>
      </c>
      <c r="D353" s="2" t="str">
        <f>IFERROR(__xludf.DUMMYFUNCTION("""COMPUTED_VALUE"""),"କାଟାଲଗ୍ |")</f>
        <v>କାଟାଲଗ୍ |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 t="str">
        <f>IFERROR(__xludf.DUMMYFUNCTION("""COMPUTED_VALUE"""),"financemanager")</f>
        <v>financemanager</v>
      </c>
      <c r="B354" s="2" t="str">
        <f>IFERROR(__xludf.DUMMYFUNCTION("""COMPUTED_VALUE"""),"Finance Manager")</f>
        <v>Finance Manager</v>
      </c>
      <c r="C354" s="2">
        <f>IFERROR(__xludf.DUMMYFUNCTION("""COMPUTED_VALUE"""),0.5)</f>
        <v>0.5</v>
      </c>
      <c r="D354" s="2" t="str">
        <f>IFERROR(__xludf.DUMMYFUNCTION("""COMPUTED_VALUE"""),"ଫାଇନାନ୍ସ ମ୍ୟାନେଜର୍ |")</f>
        <v>ଫାଇନାନ୍ସ ମ୍ୟାନେଜର୍ |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 t="str">
        <f>IFERROR(__xludf.DUMMYFUNCTION("""COMPUTED_VALUE"""),"posexecutive")</f>
        <v>posexecutive</v>
      </c>
      <c r="B355" s="2" t="str">
        <f>IFERROR(__xludf.DUMMYFUNCTION("""COMPUTED_VALUE"""),"PoS Executive")</f>
        <v>PoS Executive</v>
      </c>
      <c r="C355" s="2">
        <f>IFERROR(__xludf.DUMMYFUNCTION("""COMPUTED_VALUE"""),0.5)</f>
        <v>0.5</v>
      </c>
      <c r="D355" s="2" t="str">
        <f>IFERROR(__xludf.DUMMYFUNCTION("""COMPUTED_VALUE"""),"ପପ୍ ଏକଜେକ୍ୟୁଟାଇଭ୍")</f>
        <v>ପପ୍ ଏକଜେକ୍ୟୁଟାଇଭ୍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 t="str">
        <f>IFERROR(__xludf.DUMMYFUNCTION("""COMPUTED_VALUE"""),"add")</f>
        <v>add</v>
      </c>
      <c r="B356" s="2" t="str">
        <f>IFERROR(__xludf.DUMMYFUNCTION("""COMPUTED_VALUE"""),"Add")</f>
        <v>Add</v>
      </c>
      <c r="C356" s="2">
        <f>IFERROR(__xludf.DUMMYFUNCTION("""COMPUTED_VALUE"""),0.5)</f>
        <v>0.5</v>
      </c>
      <c r="D356" s="2" t="str">
        <f>IFERROR(__xludf.DUMMYFUNCTION("""COMPUTED_VALUE"""),"ଯୋଡନ୍ତୁ |")</f>
        <v>ଯୋଡନ୍ତୁ |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 t="str">
        <f>IFERROR(__xludf.DUMMYFUNCTION("""COMPUTED_VALUE"""),"storemanager")</f>
        <v>storemanager</v>
      </c>
      <c r="B357" s="2" t="str">
        <f>IFERROR(__xludf.DUMMYFUNCTION("""COMPUTED_VALUE"""),"Store Manager")</f>
        <v>Store Manager</v>
      </c>
      <c r="C357" s="2">
        <f>IFERROR(__xludf.DUMMYFUNCTION("""COMPUTED_VALUE"""),0.5)</f>
        <v>0.5</v>
      </c>
      <c r="D357" s="2" t="str">
        <f>IFERROR(__xludf.DUMMYFUNCTION("""COMPUTED_VALUE"""),"ଷ୍ଟୋର୍ ମ୍ୟାନେଜର୍")</f>
        <v>ଷ୍ଟୋର୍ ମ୍ୟାନେଜର୍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 t="str">
        <f>IFERROR(__xludf.DUMMYFUNCTION("""COMPUTED_VALUE"""),"order")</f>
        <v>order</v>
      </c>
      <c r="B358" s="2" t="str">
        <f>IFERROR(__xludf.DUMMYFUNCTION("""COMPUTED_VALUE"""),"Order")</f>
        <v>Order</v>
      </c>
      <c r="C358" s="2">
        <f>IFERROR(__xludf.DUMMYFUNCTION("""COMPUTED_VALUE"""),0.1)</f>
        <v>0.1</v>
      </c>
      <c r="D358" s="2" t="str">
        <f>IFERROR(__xludf.DUMMYFUNCTION("""COMPUTED_VALUE"""),"କ୍ରମ")</f>
        <v>କ୍ରମ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 t="str">
        <f>IFERROR(__xludf.DUMMYFUNCTION("""COMPUTED_VALUE"""),"dispatchedintransit")</f>
        <v>dispatchedintransit</v>
      </c>
      <c r="B359" s="2" t="str">
        <f>IFERROR(__xludf.DUMMYFUNCTION("""COMPUTED_VALUE"""),"Dispatched(In Transit)")</f>
        <v>Dispatched(In Transit)</v>
      </c>
      <c r="C359" s="2" t="str">
        <f>IFERROR(__xludf.DUMMYFUNCTION("""COMPUTED_VALUE"""),"0.4.1")</f>
        <v>0.4.1</v>
      </c>
      <c r="D359" s="2" t="str">
        <f>IFERROR(__xludf.DUMMYFUNCTION("""COMPUTED_VALUE"""),"ପଠାଯାଇଛି (ଗମନାଗମନ ସମୟରେ)")</f>
        <v>ପଠାଯାଇଛି (ଗମନାଗମନ ସମୟରେ)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 t="str">
        <f>IFERROR(__xludf.DUMMYFUNCTION("""COMPUTED_VALUE"""),"YourOrderWillBeDelivered")</f>
        <v>YourOrderWillBeDelivered</v>
      </c>
      <c r="B360" s="2" t="str">
        <f>IFERROR(__xludf.DUMMYFUNCTION("""COMPUTED_VALUE"""),"Your Order Will Be Delivered")</f>
        <v>Your Order Will Be Delivered</v>
      </c>
      <c r="C360" s="2"/>
      <c r="D360" s="2" t="str">
        <f>IFERROR(__xludf.DUMMYFUNCTION("""COMPUTED_VALUE"""),"ତୁମର ଅର୍ଡର ବିତରଣ ହେବ |")</f>
        <v>ତୁମର ଅର୍ଡର ବିତରଣ ହେବ |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 t="str">
        <f>IFERROR(__xludf.DUMMYFUNCTION("""COMPUTED_VALUE"""),"search")</f>
        <v>search</v>
      </c>
      <c r="B361" s="2" t="str">
        <f>IFERROR(__xludf.DUMMYFUNCTION("""COMPUTED_VALUE"""),"Search")</f>
        <v>Search</v>
      </c>
      <c r="C361" s="2">
        <f>IFERROR(__xludf.DUMMYFUNCTION("""COMPUTED_VALUE"""),0.2)</f>
        <v>0.2</v>
      </c>
      <c r="D361" s="2" t="str">
        <f>IFERROR(__xludf.DUMMYFUNCTION("""COMPUTED_VALUE"""),"ସନ୍ଧାନ କର |")</f>
        <v>ସନ୍ଧାନ କର |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 t="str">
        <f>IFERROR(__xludf.DUMMYFUNCTION("""COMPUTED_VALUE"""),"addUser")</f>
        <v>addUser</v>
      </c>
      <c r="B362" s="2" t="str">
        <f>IFERROR(__xludf.DUMMYFUNCTION("""COMPUTED_VALUE"""),"Add User")</f>
        <v>Add User</v>
      </c>
      <c r="C362" s="2"/>
      <c r="D362" s="2" t="str">
        <f>IFERROR(__xludf.DUMMYFUNCTION("""COMPUTED_VALUE"""),"ଉପଯୋଗକର୍ତ୍ତା ଯୋଡନ୍ତୁ |")</f>
        <v>ଉପଯୋଗକର୍ତ୍ତା ଯୋଡନ୍ତୁ |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 t="str">
        <f>IFERROR(__xludf.DUMMYFUNCTION("""COMPUTED_VALUE"""),"reset")</f>
        <v>reset</v>
      </c>
      <c r="B363" s="2" t="str">
        <f>IFERROR(__xludf.DUMMYFUNCTION("""COMPUTED_VALUE"""),"Reset ")</f>
        <v>Reset </v>
      </c>
      <c r="C363" s="2">
        <f>IFERROR(__xludf.DUMMYFUNCTION("""COMPUTED_VALUE"""),0.2)</f>
        <v>0.2</v>
      </c>
      <c r="D363" s="2" t="str">
        <f>IFERROR(__xludf.DUMMYFUNCTION("""COMPUTED_VALUE"""),"ପୁନ et ସେଟ୍ କରନ୍ତୁ |")</f>
        <v>ପୁନ et ସେଟ୍ କରନ୍ତୁ |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 t="str">
        <f>IFERROR(__xludf.DUMMYFUNCTION("""COMPUTED_VALUE"""),"personal")</f>
        <v>personal</v>
      </c>
      <c r="B364" s="2" t="str">
        <f>IFERROR(__xludf.DUMMYFUNCTION("""COMPUTED_VALUE"""),"Personal")</f>
        <v>Personal</v>
      </c>
      <c r="C364" s="2"/>
      <c r="D364" s="2" t="str">
        <f>IFERROR(__xludf.DUMMYFUNCTION("""COMPUTED_VALUE"""),"ବ୍ୟକ୍ତିଗତ")</f>
        <v>ବ୍ୟକ୍ତିଗତ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 t="str">
        <f>IFERROR(__xludf.DUMMYFUNCTION("""COMPUTED_VALUE"""),"identity")</f>
        <v>identity</v>
      </c>
      <c r="B365" s="2" t="str">
        <f>IFERROR(__xludf.DUMMYFUNCTION("""COMPUTED_VALUE"""),"Identity")</f>
        <v>Identity</v>
      </c>
      <c r="C365" s="2"/>
      <c r="D365" s="2" t="str">
        <f>IFERROR(__xludf.DUMMYFUNCTION("""COMPUTED_VALUE"""),"ପରିଚୟ")</f>
        <v>ପରିଚୟ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 t="str">
        <f>IFERROR(__xludf.DUMMYFUNCTION("""COMPUTED_VALUE"""),"description")</f>
        <v>description</v>
      </c>
      <c r="B366" s="2" t="str">
        <f>IFERROR(__xludf.DUMMYFUNCTION("""COMPUTED_VALUE"""),"Description")</f>
        <v>Description</v>
      </c>
      <c r="C366" s="2">
        <f>IFERROR(__xludf.DUMMYFUNCTION("""COMPUTED_VALUE"""),0.3)</f>
        <v>0.3</v>
      </c>
      <c r="D366" s="2" t="str">
        <f>IFERROR(__xludf.DUMMYFUNCTION("""COMPUTED_VALUE"""),"ବର୍ଣ୍ଣନା")</f>
        <v>ବର୍ଣ୍ଣନା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 t="str">
        <f>IFERROR(__xludf.DUMMYFUNCTION("""COMPUTED_VALUE"""),"employeeId")</f>
        <v>employeeId</v>
      </c>
      <c r="B367" s="2" t="str">
        <f>IFERROR(__xludf.DUMMYFUNCTION("""COMPUTED_VALUE"""),"Employee ID")</f>
        <v>Employee ID</v>
      </c>
      <c r="C367" s="2">
        <f>IFERROR(__xludf.DUMMYFUNCTION("""COMPUTED_VALUE"""),0.2)</f>
        <v>0.2</v>
      </c>
      <c r="D367" s="2" t="str">
        <f>IFERROR(__xludf.DUMMYFUNCTION("""COMPUTED_VALUE"""),"କର୍ମଚାରୀ ID")</f>
        <v>କର୍ମଚାରୀ ID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 t="str">
        <f>IFERROR(__xludf.DUMMYFUNCTION("""COMPUTED_VALUE"""),"fullName")</f>
        <v>fullName</v>
      </c>
      <c r="B368" s="2" t="str">
        <f>IFERROR(__xludf.DUMMYFUNCTION("""COMPUTED_VALUE"""),"Full Name")</f>
        <v>Full Name</v>
      </c>
      <c r="C368" s="2">
        <f>IFERROR(__xludf.DUMMYFUNCTION("""COMPUTED_VALUE"""),0.2)</f>
        <v>0.2</v>
      </c>
      <c r="D368" s="2" t="str">
        <f>IFERROR(__xludf.DUMMYFUNCTION("""COMPUTED_VALUE"""),"ପୁରା ନାମ")</f>
        <v>ପୁରା ନାମ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 t="str">
        <f>IFERROR(__xludf.DUMMYFUNCTION("""COMPUTED_VALUE"""),"assignRoles")</f>
        <v>assignRoles</v>
      </c>
      <c r="B369" s="2" t="str">
        <f>IFERROR(__xludf.DUMMYFUNCTION("""COMPUTED_VALUE"""),"Assign Roles")</f>
        <v>Assign Roles</v>
      </c>
      <c r="C369" s="2">
        <f>IFERROR(__xludf.DUMMYFUNCTION("""COMPUTED_VALUE"""),0.2)</f>
        <v>0.2</v>
      </c>
      <c r="D369" s="2" t="str">
        <f>IFERROR(__xludf.DUMMYFUNCTION("""COMPUTED_VALUE"""),"ଭୂମିକା ନ୍ୟସ୍ତ କରନ୍ତୁ |")</f>
        <v>ଭୂମିକା ନ୍ୟସ୍ତ କରନ୍ତୁ |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 t="str">
        <f>IFERROR(__xludf.DUMMYFUNCTION("""COMPUTED_VALUE"""),"emailAddress*")</f>
        <v>emailAddress*</v>
      </c>
      <c r="B370" s="2" t="str">
        <f>IFERROR(__xludf.DUMMYFUNCTION("""COMPUTED_VALUE"""),"Email Address")</f>
        <v>Email Address</v>
      </c>
      <c r="C370" s="2">
        <f>IFERROR(__xludf.DUMMYFUNCTION("""COMPUTED_VALUE"""),0.5)</f>
        <v>0.5</v>
      </c>
      <c r="D370" s="2" t="str">
        <f>IFERROR(__xludf.DUMMYFUNCTION("""COMPUTED_VALUE"""),"ଈମୈଲ ଠିକଣା")</f>
        <v>ଈମୈଲ ଠିକଣା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 t="str">
        <f>IFERROR(__xludf.DUMMYFUNCTION("""COMPUTED_VALUE"""),"drupefruit10")</f>
        <v>drupefruit10</v>
      </c>
      <c r="B371" s="2" t="str">
        <f>IFERROR(__xludf.DUMMYFUNCTION("""COMPUTED_VALUE"""),"Drupe Fruit (10)")</f>
        <v>Drupe Fruit (10)</v>
      </c>
      <c r="C371" s="2">
        <f>IFERROR(__xludf.DUMMYFUNCTION("""COMPUTED_VALUE"""),0.3)</f>
        <v>0.3</v>
      </c>
      <c r="D371" s="2" t="str">
        <f>IFERROR(__xludf.DUMMYFUNCTION("""COMPUTED_VALUE"""),"ଡ୍ରୁପ୍ ଫଳ (10)")</f>
        <v>ଡ୍ରୁପ୍ ଫଳ (10)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 t="str">
        <f>IFERROR(__xludf.DUMMYFUNCTION("""COMPUTED_VALUE"""),"education")</f>
        <v>education</v>
      </c>
      <c r="B372" s="2" t="str">
        <f>IFERROR(__xludf.DUMMYFUNCTION("""COMPUTED_VALUE"""),"Education")</f>
        <v>Education</v>
      </c>
      <c r="C372" s="2">
        <f>IFERROR(__xludf.DUMMYFUNCTION("""COMPUTED_VALUE"""),0.5)</f>
        <v>0.5</v>
      </c>
      <c r="D372" s="2" t="str">
        <f>IFERROR(__xludf.DUMMYFUNCTION("""COMPUTED_VALUE"""),"ଶିକ୍ଷା")</f>
        <v>ଶିକ୍ଷା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 t="str">
        <f>IFERROR(__xludf.DUMMYFUNCTION("""COMPUTED_VALUE"""),"AddressLine")</f>
        <v>AddressLine</v>
      </c>
      <c r="B373" s="2" t="str">
        <f>IFERROR(__xludf.DUMMYFUNCTION("""COMPUTED_VALUE"""),"Address line ")</f>
        <v>Address line </v>
      </c>
      <c r="C373" s="2">
        <f>IFERROR(__xludf.DUMMYFUNCTION("""COMPUTED_VALUE"""),0.5)</f>
        <v>0.5</v>
      </c>
      <c r="D373" s="2" t="str">
        <f>IFERROR(__xludf.DUMMYFUNCTION("""COMPUTED_VALUE"""),"ଠିକଣା ରେଖା")</f>
        <v>ଠିକଣା ରେଖା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 t="str">
        <f>IFERROR(__xludf.DUMMYFUNCTION("""COMPUTED_VALUE"""),"initiatepayment")</f>
        <v>initiatepayment</v>
      </c>
      <c r="B374" s="2" t="str">
        <f>IFERROR(__xludf.DUMMYFUNCTION("""COMPUTED_VALUE"""),"Initiate Payment")</f>
        <v>Initiate Payment</v>
      </c>
      <c r="C374" s="2">
        <f>IFERROR(__xludf.DUMMYFUNCTION("""COMPUTED_VALUE"""),0.4)</f>
        <v>0.4</v>
      </c>
      <c r="D374" s="2" t="str">
        <f>IFERROR(__xludf.DUMMYFUNCTION("""COMPUTED_VALUE"""),"ଦେୟ ଆରମ୍ଭ କର |")</f>
        <v>ଦେୟ ଆରମ୍ଭ କର |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 t="str">
        <f>IFERROR(__xludf.DUMMYFUNCTION("""COMPUTED_VALUE"""),"roles")</f>
        <v>roles</v>
      </c>
      <c r="B375" s="2" t="str">
        <f>IFERROR(__xludf.DUMMYFUNCTION("""COMPUTED_VALUE"""),"Roles")</f>
        <v>Roles</v>
      </c>
      <c r="C375" s="2">
        <f>IFERROR(__xludf.DUMMYFUNCTION("""COMPUTED_VALUE"""),0.1)</f>
        <v>0.1</v>
      </c>
      <c r="D375" s="2" t="str">
        <f>IFERROR(__xludf.DUMMYFUNCTION("""COMPUTED_VALUE"""),"ଭୂମିକା")</f>
        <v>ଭୂମିକା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 t="str">
        <f>IFERROR(__xludf.DUMMYFUNCTION("""COMPUTED_VALUE"""),"distancekm")</f>
        <v>distancekm</v>
      </c>
      <c r="B376" s="2" t="str">
        <f>IFERROR(__xludf.DUMMYFUNCTION("""COMPUTED_VALUE"""),"Distance(km)")</f>
        <v>Distance(km)</v>
      </c>
      <c r="C376" s="2">
        <f>IFERROR(__xludf.DUMMYFUNCTION("""COMPUTED_VALUE"""),0.3)</f>
        <v>0.3</v>
      </c>
      <c r="D376" s="2" t="str">
        <f>IFERROR(__xludf.DUMMYFUNCTION("""COMPUTED_VALUE"""),"ଦୂରତା (କିମି)")</f>
        <v>ଦୂରତା (କିମି)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 t="str">
        <f>IFERROR(__xludf.DUMMYFUNCTION("""COMPUTED_VALUE"""),"mandatoryitem")</f>
        <v>mandatoryitem</v>
      </c>
      <c r="B377" s="2" t="str">
        <f>IFERROR(__xludf.DUMMYFUNCTION("""COMPUTED_VALUE"""),"Mandatory Item")</f>
        <v>Mandatory Item</v>
      </c>
      <c r="C377" s="2">
        <f>IFERROR(__xludf.DUMMYFUNCTION("""COMPUTED_VALUE"""),0.4)</f>
        <v>0.4</v>
      </c>
      <c r="D377" s="2" t="str">
        <f>IFERROR(__xludf.DUMMYFUNCTION("""COMPUTED_VALUE"""),"ବାଧ୍ୟତାମୂଳକ ଆଇଟମ୍ |")</f>
        <v>ବାଧ୍ୟତାମୂଳକ ଆଇଟମ୍ |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 t="str">
        <f>IFERROR(__xludf.DUMMYFUNCTION("""COMPUTED_VALUE"""),"emergencyContact")</f>
        <v>emergencyContact</v>
      </c>
      <c r="B378" s="2" t="str">
        <f>IFERROR(__xludf.DUMMYFUNCTION("""COMPUTED_VALUE"""),"Emergency Contact")</f>
        <v>Emergency Contact</v>
      </c>
      <c r="C378" s="2"/>
      <c r="D378" s="2" t="str">
        <f>IFERROR(__xludf.DUMMYFUNCTION("""COMPUTED_VALUE"""),"ଜରୁରୀକାଳୀନ ଯୋଗାଯୋଗ |")</f>
        <v>ଜରୁରୀକାଳୀନ ଯୋଗାଯୋଗ |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 t="str">
        <f>IFERROR(__xludf.DUMMYFUNCTION("""COMPUTED_VALUE"""),"uploadAdhaarCard")</f>
        <v>uploadAdhaarCard</v>
      </c>
      <c r="B379" s="2" t="str">
        <f>IFERROR(__xludf.DUMMYFUNCTION("""COMPUTED_VALUE"""),"Upload Adhaar Card")</f>
        <v>Upload Adhaar Card</v>
      </c>
      <c r="C379" s="2">
        <f>IFERROR(__xludf.DUMMYFUNCTION("""COMPUTED_VALUE"""),0.1)</f>
        <v>0.1</v>
      </c>
      <c r="D379" s="2" t="str">
        <f>IFERROR(__xludf.DUMMYFUNCTION("""COMPUTED_VALUE"""),"ଆଡହର କାର୍ଡ ଅପଲୋଡ୍ କରନ୍ତୁ |")</f>
        <v>ଆଡହର କାର୍ଡ ଅପଲୋଡ୍ କରନ୍ତୁ |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 t="str">
        <f>IFERROR(__xludf.DUMMYFUNCTION("""COMPUTED_VALUE"""),"PayOnDelivery")</f>
        <v>PayOnDelivery</v>
      </c>
      <c r="B380" s="2" t="str">
        <f>IFERROR(__xludf.DUMMYFUNCTION("""COMPUTED_VALUE"""),"Pay On Delivery")</f>
        <v>Pay On Delivery</v>
      </c>
      <c r="C380" s="2" t="str">
        <f>IFERROR(__xludf.DUMMYFUNCTION("""COMPUTED_VALUE"""),"0.4.1")</f>
        <v>0.4.1</v>
      </c>
      <c r="D380" s="2" t="str">
        <f>IFERROR(__xludf.DUMMYFUNCTION("""COMPUTED_VALUE"""),"ବିତରଣରେ ଦେୟ ଦିଅ |")</f>
        <v>ବିତରଣରେ ଦେୟ ଦିଅ |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 t="str">
        <f>IFERROR(__xludf.DUMMYFUNCTION("""COMPUTED_VALUE"""),"profilePhoto")</f>
        <v>profilePhoto</v>
      </c>
      <c r="B381" s="2" t="str">
        <f>IFERROR(__xludf.DUMMYFUNCTION("""COMPUTED_VALUE"""),"Profile Photo")</f>
        <v>Profile Photo</v>
      </c>
      <c r="C381" s="2">
        <f>IFERROR(__xludf.DUMMYFUNCTION("""COMPUTED_VALUE"""),0.3)</f>
        <v>0.3</v>
      </c>
      <c r="D381" s="2" t="str">
        <f>IFERROR(__xludf.DUMMYFUNCTION("""COMPUTED_VALUE"""),"ପ୍ରୋଫାଇଲ୍ ଫଟୋ")</f>
        <v>ପ୍ରୋଫାଇଲ୍ ଫଟୋ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 t="str">
        <f>IFERROR(__xludf.DUMMYFUNCTION("""COMPUTED_VALUE"""),"DeliveryPickup Within")</f>
        <v>DeliveryPickup Within</v>
      </c>
      <c r="B382" s="2" t="str">
        <f>IFERROR(__xludf.DUMMYFUNCTION("""COMPUTED_VALUE"""),"Delivery/Pickup Within")</f>
        <v>Delivery/Pickup Within</v>
      </c>
      <c r="C382" s="2">
        <f>IFERROR(__xludf.DUMMYFUNCTION("""COMPUTED_VALUE"""),0.3)</f>
        <v>0.3</v>
      </c>
      <c r="D382" s="2" t="str">
        <f>IFERROR(__xludf.DUMMYFUNCTION("""COMPUTED_VALUE"""),"ଭିତରେ ବିତରଣ / ପିକଅପ୍ |")</f>
        <v>ଭିତରେ ବିତରଣ / ପିକଅପ୍ |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 t="str">
        <f>IFERROR(__xludf.DUMMYFUNCTION("""COMPUTED_VALUE"""),"previous")</f>
        <v>previous</v>
      </c>
      <c r="B383" s="2" t="str">
        <f>IFERROR(__xludf.DUMMYFUNCTION("""COMPUTED_VALUE"""),"Previous")</f>
        <v>Previous</v>
      </c>
      <c r="C383" s="2">
        <f>IFERROR(__xludf.DUMMYFUNCTION("""COMPUTED_VALUE"""),0.5)</f>
        <v>0.5</v>
      </c>
      <c r="D383" s="2" t="str">
        <f>IFERROR(__xludf.DUMMYFUNCTION("""COMPUTED_VALUE"""),"ପୂର୍ବ")</f>
        <v>ପୂର୍ବ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 t="str">
        <f>IFERROR(__xludf.DUMMYFUNCTION("""COMPUTED_VALUE"""),"EmergencyContactNumber*")</f>
        <v>EmergencyContactNumber*</v>
      </c>
      <c r="B384" s="2" t="str">
        <f>IFERROR(__xludf.DUMMYFUNCTION("""COMPUTED_VALUE"""),"Emergency Contact Number *")</f>
        <v>Emergency Contact Number *</v>
      </c>
      <c r="C384" s="2">
        <f>IFERROR(__xludf.DUMMYFUNCTION("""COMPUTED_VALUE"""),0.5)</f>
        <v>0.5</v>
      </c>
      <c r="D384" s="2" t="str">
        <f>IFERROR(__xludf.DUMMYFUNCTION("""COMPUTED_VALUE"""),"ଜରୁରୀକାଳୀନ ଯୋଗାଯୋଗ ନମ୍ବର *")</f>
        <v>ଜରୁରୀକାଳୀନ ଯୋଗାଯୋଗ ନମ୍ବର *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 t="str">
        <f>IFERROR(__xludf.DUMMYFUNCTION("""COMPUTED_VALUE"""),"contactName*")</f>
        <v>contactName*</v>
      </c>
      <c r="B385" s="2" t="str">
        <f>IFERROR(__xludf.DUMMYFUNCTION("""COMPUTED_VALUE"""),"Contact Name *")</f>
        <v>Contact Name *</v>
      </c>
      <c r="C385" s="2">
        <f>IFERROR(__xludf.DUMMYFUNCTION("""COMPUTED_VALUE"""),0.5)</f>
        <v>0.5</v>
      </c>
      <c r="D385" s="2" t="str">
        <f>IFERROR(__xludf.DUMMYFUNCTION("""COMPUTED_VALUE"""),"ଯୋଗାଯୋଗ ନାମ *")</f>
        <v>ଯୋଗାଯୋଗ ନାମ *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 t="str">
        <f>IFERROR(__xludf.DUMMYFUNCTION("""COMPUTED_VALUE"""),"relationship")</f>
        <v>relationship</v>
      </c>
      <c r="B386" s="2" t="str">
        <f>IFERROR(__xludf.DUMMYFUNCTION("""COMPUTED_VALUE"""),"Relationship")</f>
        <v>Relationship</v>
      </c>
      <c r="C386" s="2">
        <f>IFERROR(__xludf.DUMMYFUNCTION("""COMPUTED_VALUE"""),0.5)</f>
        <v>0.5</v>
      </c>
      <c r="D386" s="2" t="str">
        <f>IFERROR(__xludf.DUMMYFUNCTION("""COMPUTED_VALUE"""),"ସମ୍ପର୍କ")</f>
        <v>ସମ୍ପର୍କ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 t="str">
        <f>IFERROR(__xludf.DUMMYFUNCTION("""COMPUTED_VALUE"""),"userCreatedSuccessfullyyay!")</f>
        <v>userCreatedSuccessfullyyay!</v>
      </c>
      <c r="B387" s="2" t="str">
        <f>IFERROR(__xludf.DUMMYFUNCTION("""COMPUTED_VALUE"""),"User Created Successfully  Yay!")</f>
        <v>User Created Successfully  Yay!</v>
      </c>
      <c r="C387" s="2">
        <f>IFERROR(__xludf.DUMMYFUNCTION("""COMPUTED_VALUE"""),0.5)</f>
        <v>0.5</v>
      </c>
      <c r="D387" s="2" t="str">
        <f>IFERROR(__xludf.DUMMYFUNCTION("""COMPUTED_VALUE"""),"ଉପଯୋଗକର୍ତ୍ତା ସଫଳତାର ସହିତ ସୃଷ୍ଟି କରିଛନ୍ତି!")</f>
        <v>ଉପଯୋଗକର୍ତ୍ତା ସଫଳତାର ସହିତ ସୃଷ୍ଟି କରିଛନ୍ତି!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 t="str">
        <f>IFERROR(__xludf.DUMMYFUNCTION("""COMPUTED_VALUE"""),"yay!")</f>
        <v>yay!</v>
      </c>
      <c r="B388" s="2" t="str">
        <f>IFERROR(__xludf.DUMMYFUNCTION("""COMPUTED_VALUE"""),"YAY!")</f>
        <v>YAY!</v>
      </c>
      <c r="C388" s="2">
        <f>IFERROR(__xludf.DUMMYFUNCTION("""COMPUTED_VALUE"""),0.2)</f>
        <v>0.2</v>
      </c>
      <c r="D388" s="2" t="str">
        <f>IFERROR(__xludf.DUMMYFUNCTION("""COMPUTED_VALUE"""),"ବାଃ!")</f>
        <v>ବାଃ!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 t="str">
        <f>IFERROR(__xludf.DUMMYFUNCTION("""COMPUTED_VALUE"""),"DateofJoining ")</f>
        <v>DateofJoining </v>
      </c>
      <c r="B389" s="2" t="str">
        <f>IFERROR(__xludf.DUMMYFUNCTION("""COMPUTED_VALUE"""),"Date of Joining ")</f>
        <v>Date of Joining </v>
      </c>
      <c r="C389" s="2">
        <f>IFERROR(__xludf.DUMMYFUNCTION("""COMPUTED_VALUE"""),0.5)</f>
        <v>0.5</v>
      </c>
      <c r="D389" s="2" t="str">
        <f>IFERROR(__xludf.DUMMYFUNCTION("""COMPUTED_VALUE"""),"ଯୋଗଦାନର ତାରିଖ")</f>
        <v>ଯୋଗଦାନର ତାରିଖ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 t="str">
        <f>IFERROR(__xludf.DUMMYFUNCTION("""COMPUTED_VALUE"""),"selecteditems")</f>
        <v>selecteditems</v>
      </c>
      <c r="B390" s="2" t="str">
        <f>IFERROR(__xludf.DUMMYFUNCTION("""COMPUTED_VALUE"""),"Selected Items")</f>
        <v>Selected Items</v>
      </c>
      <c r="C390" s="2">
        <f>IFERROR(__xludf.DUMMYFUNCTION("""COMPUTED_VALUE"""),0.3)</f>
        <v>0.3</v>
      </c>
      <c r="D390" s="2" t="str">
        <f>IFERROR(__xludf.DUMMYFUNCTION("""COMPUTED_VALUE"""),"ମନୋନୀତ ଆଇଟମ୍ |")</f>
        <v>ମନୋନୀତ ଆଇଟମ୍ |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 t="str">
        <f>IFERROR(__xludf.DUMMYFUNCTION("""COMPUTED_VALUE"""),"inventoryManager")</f>
        <v>inventoryManager</v>
      </c>
      <c r="B391" s="2" t="str">
        <f>IFERROR(__xludf.DUMMYFUNCTION("""COMPUTED_VALUE"""),"Inventory Manager")</f>
        <v>Inventory Manager</v>
      </c>
      <c r="C391" s="2">
        <f>IFERROR(__xludf.DUMMYFUNCTION("""COMPUTED_VALUE"""),0.5)</f>
        <v>0.5</v>
      </c>
      <c r="D391" s="2" t="str">
        <f>IFERROR(__xludf.DUMMYFUNCTION("""COMPUTED_VALUE"""),"ଭଣ୍ଡାର ପରିଚାଳକ")</f>
        <v>ଭଣ୍ଡାର ପରିଚାଳକ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 t="str">
        <f>IFERROR(__xludf.DUMMYFUNCTION("""COMPUTED_VALUE"""),"empId")</f>
        <v>empId</v>
      </c>
      <c r="B392" s="2" t="str">
        <f>IFERROR(__xludf.DUMMYFUNCTION("""COMPUTED_VALUE"""),"Emp ID ")</f>
        <v>Emp ID </v>
      </c>
      <c r="C392" s="2">
        <f>IFERROR(__xludf.DUMMYFUNCTION("""COMPUTED_VALUE"""),0.2)</f>
        <v>0.2</v>
      </c>
      <c r="D392" s="2" t="str">
        <f>IFERROR(__xludf.DUMMYFUNCTION("""COMPUTED_VALUE"""),"Agex id")</f>
        <v>Agex id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 t="str">
        <f>IFERROR(__xludf.DUMMYFUNCTION("""COMPUTED_VALUE"""),"activate")</f>
        <v>activate</v>
      </c>
      <c r="B393" s="2" t="str">
        <f>IFERROR(__xludf.DUMMYFUNCTION("""COMPUTED_VALUE"""),"Activate")</f>
        <v>Activate</v>
      </c>
      <c r="C393" s="2">
        <f>IFERROR(__xludf.DUMMYFUNCTION("""COMPUTED_VALUE"""),0.2)</f>
        <v>0.2</v>
      </c>
      <c r="D393" s="2" t="str">
        <f>IFERROR(__xludf.DUMMYFUNCTION("""COMPUTED_VALUE"""),"ସକ୍ରିୟ କରନ୍ତୁ |")</f>
        <v>ସକ୍ରିୟ କରନ୍ତୁ |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 t="str">
        <f>IFERROR(__xludf.DUMMYFUNCTION("""COMPUTED_VALUE"""),"deactivate")</f>
        <v>deactivate</v>
      </c>
      <c r="B394" s="2" t="str">
        <f>IFERROR(__xludf.DUMMYFUNCTION("""COMPUTED_VALUE"""),"Deactivate")</f>
        <v>Deactivate</v>
      </c>
      <c r="C394" s="2">
        <f>IFERROR(__xludf.DUMMYFUNCTION("""COMPUTED_VALUE"""),0.2)</f>
        <v>0.2</v>
      </c>
      <c r="D394" s="2" t="str">
        <f>IFERROR(__xludf.DUMMYFUNCTION("""COMPUTED_VALUE"""),"ନିଷ୍କ୍ରିୟ କରନ୍ତୁ |")</f>
        <v>ନିଷ୍କ୍ରିୟ କରନ୍ତୁ |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 t="str">
        <f>IFERROR(__xludf.DUMMYFUNCTION("""COMPUTED_VALUE"""),"phone")</f>
        <v>phone</v>
      </c>
      <c r="B395" s="2" t="str">
        <f>IFERROR(__xludf.DUMMYFUNCTION("""COMPUTED_VALUE"""),"Phone")</f>
        <v>Phone</v>
      </c>
      <c r="C395" s="2">
        <f>IFERROR(__xludf.DUMMYFUNCTION("""COMPUTED_VALUE"""),0.2)</f>
        <v>0.2</v>
      </c>
      <c r="D395" s="2" t="str">
        <f>IFERROR(__xludf.DUMMYFUNCTION("""COMPUTED_VALUE"""),"ଫୋନ୍")</f>
        <v>ଫୋନ୍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 t="str">
        <f>IFERROR(__xludf.DUMMYFUNCTION("""COMPUTED_VALUE"""),"published")</f>
        <v>published</v>
      </c>
      <c r="B396" s="2" t="str">
        <f>IFERROR(__xludf.DUMMYFUNCTION("""COMPUTED_VALUE"""),"Published")</f>
        <v>Published</v>
      </c>
      <c r="C396" s="2">
        <f>IFERROR(__xludf.DUMMYFUNCTION("""COMPUTED_VALUE"""),0.3)</f>
        <v>0.3</v>
      </c>
      <c r="D396" s="2" t="str">
        <f>IFERROR(__xludf.DUMMYFUNCTION("""COMPUTED_VALUE"""),"ପ୍ରକାଶନ")</f>
        <v>ପ୍ରକାଶନ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 t="str">
        <f>IFERROR(__xludf.DUMMYFUNCTION("""COMPUTED_VALUE"""),"aadharcard/voterid/bplid/drivinglicense")</f>
        <v>aadharcard/voterid/bplid/drivinglicense</v>
      </c>
      <c r="B397" s="2" t="str">
        <f>IFERROR(__xludf.DUMMYFUNCTION("""COMPUTED_VALUE"""),"Aadhar Card/ Voter ID/BPL ID/Driving License")</f>
        <v>Aadhar Card/ Voter ID/BPL ID/Driving License</v>
      </c>
      <c r="C397" s="2">
        <f>IFERROR(__xludf.DUMMYFUNCTION("""COMPUTED_VALUE"""),0.2)</f>
        <v>0.2</v>
      </c>
      <c r="D397" s="2" t="str">
        <f>IFERROR(__xludf.DUMMYFUNCTION("""COMPUTED_VALUE"""),"ଆଧାର କାର୍ଡ / ଭୋଟର ID / BPL ID / ଡ୍ରାଇଭିଂ ଲାଇସେନ୍ସ |")</f>
        <v>ଆଧାର କାର୍ଡ / ଭୋଟର ID / BPL ID / ଡ୍ରାଇଭିଂ ଲାଇସେନ୍ସ |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 t="str">
        <f>IFERROR(__xludf.DUMMYFUNCTION("""COMPUTED_VALUE"""),"voterId")</f>
        <v>voterId</v>
      </c>
      <c r="B398" s="2" t="str">
        <f>IFERROR(__xludf.DUMMYFUNCTION("""COMPUTED_VALUE"""),"Voter ID")</f>
        <v>Voter ID</v>
      </c>
      <c r="C398" s="2"/>
      <c r="D398" s="2" t="str">
        <f>IFERROR(__xludf.DUMMYFUNCTION("""COMPUTED_VALUE"""),"ଭୋଟର ID")</f>
        <v>ଭୋଟର ID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 t="str">
        <f>IFERROR(__xludf.DUMMYFUNCTION("""COMPUTED_VALUE"""),"drivingLicense")</f>
        <v>drivingLicense</v>
      </c>
      <c r="B399" s="2" t="str">
        <f>IFERROR(__xludf.DUMMYFUNCTION("""COMPUTED_VALUE"""),"Driving License")</f>
        <v>Driving License</v>
      </c>
      <c r="C399" s="2"/>
      <c r="D399" s="2" t="str">
        <f>IFERROR(__xludf.DUMMYFUNCTION("""COMPUTED_VALUE"""),"ଡ୍ରାଇଭିଂ ଲାଇସେନ୍ସ |")</f>
        <v>ଡ୍ରାଇଭିଂ ଲାଇସେନ୍ସ |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 t="str">
        <f>IFERROR(__xludf.DUMMYFUNCTION("""COMPUTED_VALUE"""),"updateChanges")</f>
        <v>updateChanges</v>
      </c>
      <c r="B400" s="2" t="str">
        <f>IFERROR(__xludf.DUMMYFUNCTION("""COMPUTED_VALUE"""),"Update Changes")</f>
        <v>Update Changes</v>
      </c>
      <c r="C400" s="2">
        <f>IFERROR(__xludf.DUMMYFUNCTION("""COMPUTED_VALUE"""),0.5)</f>
        <v>0.5</v>
      </c>
      <c r="D400" s="2" t="str">
        <f>IFERROR(__xludf.DUMMYFUNCTION("""COMPUTED_VALUE"""),"ପରିବର୍ତ୍ତନ ପରିବର୍ତ୍ତନ ଅଦ୍ୟତନ କରନ୍ତୁ |")</f>
        <v>ପରିବର୍ତ୍ତନ ପରିବର୍ତ୍ତନ ଅଦ୍ୟତନ କରନ୍ତୁ |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 t="str">
        <f>IFERROR(__xludf.DUMMYFUNCTION("""COMPUTED_VALUE"""),"basicSalaryPerMonth")</f>
        <v>basicSalaryPerMonth</v>
      </c>
      <c r="B401" s="2" t="str">
        <f>IFERROR(__xludf.DUMMYFUNCTION("""COMPUTED_VALUE"""),"Basic Salary per month")</f>
        <v>Basic Salary per month</v>
      </c>
      <c r="C401" s="2"/>
      <c r="D401" s="2" t="str">
        <f>IFERROR(__xludf.DUMMYFUNCTION("""COMPUTED_VALUE"""),"ପ୍ରତି ମାସରେ ମ basic ଳିକ ଦରମା |")</f>
        <v>ପ୍ରତି ମାସରେ ମ basic ଳିକ ଦରମା |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 t="str">
        <f>IFERROR(__xludf.DUMMYFUNCTION("""COMPUTED_VALUE"""),"youcannotdeleteactiveuser")</f>
        <v>youcannotdeleteactiveuser</v>
      </c>
      <c r="B402" s="2" t="str">
        <f>IFERROR(__xludf.DUMMYFUNCTION("""COMPUTED_VALUE"""),"You cannot delete Active User!")</f>
        <v>You cannot delete Active User!</v>
      </c>
      <c r="C402" s="2">
        <f>IFERROR(__xludf.DUMMYFUNCTION("""COMPUTED_VALUE"""),0.5)</f>
        <v>0.5</v>
      </c>
      <c r="D402" s="2" t="str">
        <f>IFERROR(__xludf.DUMMYFUNCTION("""COMPUTED_VALUE"""),"ଆପଣ ସକ୍ରିୟ ଉପଭୋକ୍ତା ବିଲୋପ କରିପାରିବେ ନାହିଁ!")</f>
        <v>ଆପଣ ସକ୍ରିୟ ଉପଭୋକ୍ତା ବିଲୋପ କରିପାରିବେ ନାହିଁ!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 t="str">
        <f>IFERROR(__xludf.DUMMYFUNCTION("""COMPUTED_VALUE"""),"deactiveToDelete")</f>
        <v>deactiveToDelete</v>
      </c>
      <c r="B403" s="2" t="str">
        <f>IFERROR(__xludf.DUMMYFUNCTION("""COMPUTED_VALUE"""),"Deactive to Delete")</f>
        <v>Deactive to Delete</v>
      </c>
      <c r="C403" s="2">
        <f>IFERROR(__xludf.DUMMYFUNCTION("""COMPUTED_VALUE"""),0.5)</f>
        <v>0.5</v>
      </c>
      <c r="D403" s="2" t="str">
        <f>IFERROR(__xludf.DUMMYFUNCTION("""COMPUTED_VALUE"""),"ବିଲୋପ କରିବାକୁ ନିଷ୍କ୍ରିୟ |")</f>
        <v>ବିଲୋପ କରିବାକୁ ନିଷ୍କ୍ରିୟ |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 t="str">
        <f>IFERROR(__xludf.DUMMYFUNCTION("""COMPUTED_VALUE"""),"fruits")</f>
        <v>fruits</v>
      </c>
      <c r="B404" s="2" t="str">
        <f>IFERROR(__xludf.DUMMYFUNCTION("""COMPUTED_VALUE"""),"Fruits")</f>
        <v>Fruits</v>
      </c>
      <c r="C404" s="2">
        <f>IFERROR(__xludf.DUMMYFUNCTION("""COMPUTED_VALUE"""),0.1)</f>
        <v>0.1</v>
      </c>
      <c r="D404" s="2" t="str">
        <f>IFERROR(__xludf.DUMMYFUNCTION("""COMPUTED_VALUE"""),"ଫଳଗୁଡିକ")</f>
        <v>ଫଳଗୁଡିକ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 t="str">
        <f>IFERROR(__xludf.DUMMYFUNCTION("""COMPUTED_VALUE"""),"vegetables")</f>
        <v>vegetables</v>
      </c>
      <c r="B405" s="2" t="str">
        <f>IFERROR(__xludf.DUMMYFUNCTION("""COMPUTED_VALUE"""),"Vegetables")</f>
        <v>Vegetables</v>
      </c>
      <c r="C405" s="2">
        <f>IFERROR(__xludf.DUMMYFUNCTION("""COMPUTED_VALUE"""),0.1)</f>
        <v>0.1</v>
      </c>
      <c r="D405" s="2" t="str">
        <f>IFERROR(__xludf.DUMMYFUNCTION("""COMPUTED_VALUE"""),"ପନିପରିବା |")</f>
        <v>ପନିପରିବା |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 t="str">
        <f>IFERROR(__xludf.DUMMYFUNCTION("""COMPUTED_VALUE"""),"groceries")</f>
        <v>groceries</v>
      </c>
      <c r="B406" s="2" t="str">
        <f>IFERROR(__xludf.DUMMYFUNCTION("""COMPUTED_VALUE"""),"Groceries")</f>
        <v>Groceries</v>
      </c>
      <c r="C406" s="2">
        <f>IFERROR(__xludf.DUMMYFUNCTION("""COMPUTED_VALUE"""),0.1)</f>
        <v>0.1</v>
      </c>
      <c r="D406" s="2" t="str">
        <f>IFERROR(__xludf.DUMMYFUNCTION("""COMPUTED_VALUE"""),"ଖାଦ୍ୟ ସାମଗ୍ରୀ")</f>
        <v>ଖାଦ୍ୟ ସାମଗ୍ରୀ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 t="str">
        <f>IFERROR(__xludf.DUMMYFUNCTION("""COMPUTED_VALUE"""),"fishes")</f>
        <v>fishes</v>
      </c>
      <c r="B407" s="2" t="str">
        <f>IFERROR(__xludf.DUMMYFUNCTION("""COMPUTED_VALUE"""),"Fishes")</f>
        <v>Fishes</v>
      </c>
      <c r="C407" s="2">
        <f>IFERROR(__xludf.DUMMYFUNCTION("""COMPUTED_VALUE"""),0.1)</f>
        <v>0.1</v>
      </c>
      <c r="D407" s="2" t="str">
        <f>IFERROR(__xludf.DUMMYFUNCTION("""COMPUTED_VALUE"""),"ମାଛଗୁଡିକ")</f>
        <v>ମାଛଗୁଡିକ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 t="str">
        <f>IFERROR(__xludf.DUMMYFUNCTION("""COMPUTED_VALUE"""),"meat")</f>
        <v>meat</v>
      </c>
      <c r="B408" s="2" t="str">
        <f>IFERROR(__xludf.DUMMYFUNCTION("""COMPUTED_VALUE"""),"Meat")</f>
        <v>Meat</v>
      </c>
      <c r="C408" s="2">
        <f>IFERROR(__xludf.DUMMYFUNCTION("""COMPUTED_VALUE"""),0.1)</f>
        <v>0.1</v>
      </c>
      <c r="D408" s="2" t="str">
        <f>IFERROR(__xludf.DUMMYFUNCTION("""COMPUTED_VALUE"""),"ମାଂସ")</f>
        <v>ମାଂସ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 t="str">
        <f>IFERROR(__xludf.DUMMYFUNCTION("""COMPUTED_VALUE"""),"dairy")</f>
        <v>dairy</v>
      </c>
      <c r="B409" s="2" t="str">
        <f>IFERROR(__xludf.DUMMYFUNCTION("""COMPUTED_VALUE"""),"Dairy")</f>
        <v>Dairy</v>
      </c>
      <c r="C409" s="2">
        <f>IFERROR(__xludf.DUMMYFUNCTION("""COMPUTED_VALUE"""),0.1)</f>
        <v>0.1</v>
      </c>
      <c r="D409" s="2" t="str">
        <f>IFERROR(__xludf.DUMMYFUNCTION("""COMPUTED_VALUE"""),"ଦୁଗ୍ଧ")</f>
        <v>ଦୁଗ୍ଧ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 t="str">
        <f>IFERROR(__xludf.DUMMYFUNCTION("""COMPUTED_VALUE"""),"uploadBPLcard")</f>
        <v>uploadBPLcard</v>
      </c>
      <c r="B410" s="2" t="str">
        <f>IFERROR(__xludf.DUMMYFUNCTION("""COMPUTED_VALUE"""),"Upload BPL card")</f>
        <v>Upload BPL card</v>
      </c>
      <c r="C410" s="2">
        <f>IFERROR(__xludf.DUMMYFUNCTION("""COMPUTED_VALUE"""),0.1)</f>
        <v>0.1</v>
      </c>
      <c r="D410" s="2" t="str">
        <f>IFERROR(__xludf.DUMMYFUNCTION("""COMPUTED_VALUE"""),"BPL କାର୍ଡ ଅପଲୋଡ୍ କରନ୍ତୁ |")</f>
        <v>BPL କାର୍ଡ ଅପଲୋଡ୍ କରନ୍ତୁ |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 t="str">
        <f>IFERROR(__xludf.DUMMYFUNCTION("""COMPUTED_VALUE"""),"uploaddrivinglicence")</f>
        <v>uploaddrivinglicence</v>
      </c>
      <c r="B411" s="2" t="str">
        <f>IFERROR(__xludf.DUMMYFUNCTION("""COMPUTED_VALUE"""),"Upload Driving Licence")</f>
        <v>Upload Driving Licence</v>
      </c>
      <c r="C411" s="2">
        <f>IFERROR(__xludf.DUMMYFUNCTION("""COMPUTED_VALUE"""),0.1)</f>
        <v>0.1</v>
      </c>
      <c r="D411" s="2" t="str">
        <f>IFERROR(__xludf.DUMMYFUNCTION("""COMPUTED_VALUE"""),"ଡ୍ରାଇଭିଂ ଲାଇସେନ୍ସ ଅପଲୋଡ୍ କରନ୍ତୁ |")</f>
        <v>ଡ୍ରାଇଭିଂ ଲାଇସେନ୍ସ ଅପଲୋଡ୍ କରନ୍ତୁ |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 t="str">
        <f>IFERROR(__xludf.DUMMYFUNCTION("""COMPUTED_VALUE"""),"shopno")</f>
        <v>shopno</v>
      </c>
      <c r="B412" s="2" t="str">
        <f>IFERROR(__xludf.DUMMYFUNCTION("""COMPUTED_VALUE"""),"Shop no")</f>
        <v>Shop no</v>
      </c>
      <c r="C412" s="2">
        <f>IFERROR(__xludf.DUMMYFUNCTION("""COMPUTED_VALUE"""),0.2)</f>
        <v>0.2</v>
      </c>
      <c r="D412" s="2" t="str">
        <f>IFERROR(__xludf.DUMMYFUNCTION("""COMPUTED_VALUE"""),"ଦୋକାନ ନଂ")</f>
        <v>ଦୋକାନ ନଂ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 t="str">
        <f>IFERROR(__xludf.DUMMYFUNCTION("""COMPUTED_VALUE"""),"pleaseprovidealltherequiredvalue")</f>
        <v>pleaseprovidealltherequiredvalue</v>
      </c>
      <c r="B413" s="2" t="str">
        <f>IFERROR(__xludf.DUMMYFUNCTION("""COMPUTED_VALUE"""),"Please provide all the required value")</f>
        <v>Please provide all the required value</v>
      </c>
      <c r="C413" s="2">
        <f>IFERROR(__xludf.DUMMYFUNCTION("""COMPUTED_VALUE"""),0.2)</f>
        <v>0.2</v>
      </c>
      <c r="D413" s="2" t="str">
        <f>IFERROR(__xludf.DUMMYFUNCTION("""COMPUTED_VALUE"""),"ଦୟାକରି ସମସ୍ତ ଆବଶ୍ୟକୀୟ ମୂଲ୍ୟ ପ୍ରଦାନ କରନ୍ତୁ |")</f>
        <v>ଦୟାକରି ସମସ୍ତ ଆବଶ୍ୟକୀୟ ମୂଲ୍ୟ ପ୍ରଦାନ କରନ୍ତୁ |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 t="str">
        <f>IFERROR(__xludf.DUMMYFUNCTION("""COMPUTED_VALUE"""),"unpublish")</f>
        <v>unpublish</v>
      </c>
      <c r="B414" s="2" t="str">
        <f>IFERROR(__xludf.DUMMYFUNCTION("""COMPUTED_VALUE"""),"Unpublish")</f>
        <v>Unpublish</v>
      </c>
      <c r="C414" s="2">
        <f>IFERROR(__xludf.DUMMYFUNCTION("""COMPUTED_VALUE"""),0.3)</f>
        <v>0.3</v>
      </c>
      <c r="D414" s="2" t="str">
        <f>IFERROR(__xludf.DUMMYFUNCTION("""COMPUTED_VALUE"""),"ଖୋଲିବା")</f>
        <v>ଖୋଲିବା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 t="str">
        <f>IFERROR(__xludf.DUMMYFUNCTION("""COMPUTED_VALUE"""),"publish")</f>
        <v>publish</v>
      </c>
      <c r="B415" s="2" t="str">
        <f>IFERROR(__xludf.DUMMYFUNCTION("""COMPUTED_VALUE"""),"Publish")</f>
        <v>Publish</v>
      </c>
      <c r="C415" s="2">
        <f>IFERROR(__xludf.DUMMYFUNCTION("""COMPUTED_VALUE"""),0.3)</f>
        <v>0.3</v>
      </c>
      <c r="D415" s="2" t="str">
        <f>IFERROR(__xludf.DUMMYFUNCTION("""COMPUTED_VALUE"""),"ପ୍ରକାଶନ କର |")</f>
        <v>ପ୍ରକାଶନ କର |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 t="str">
        <f>IFERROR(__xludf.DUMMYFUNCTION("""COMPUTED_VALUE"""),"orders")</f>
        <v>orders</v>
      </c>
      <c r="B416" s="2" t="str">
        <f>IFERROR(__xludf.DUMMYFUNCTION("""COMPUTED_VALUE"""),"Orders")</f>
        <v>Orders</v>
      </c>
      <c r="C416" s="2">
        <f>IFERROR(__xludf.DUMMYFUNCTION("""COMPUTED_VALUE"""),0.4)</f>
        <v>0.4</v>
      </c>
      <c r="D416" s="2" t="str">
        <f>IFERROR(__xludf.DUMMYFUNCTION("""COMPUTED_VALUE"""),"ଆଦେଶ")</f>
        <v>ଆଦେଶ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 t="str">
        <f>IFERROR(__xludf.DUMMYFUNCTION("""COMPUTED_VALUE"""),"others")</f>
        <v>others</v>
      </c>
      <c r="B417" s="2" t="str">
        <f>IFERROR(__xludf.DUMMYFUNCTION("""COMPUTED_VALUE"""),"Others")</f>
        <v>Others</v>
      </c>
      <c r="C417" s="2">
        <f>IFERROR(__xludf.DUMMYFUNCTION("""COMPUTED_VALUE"""),0.1)</f>
        <v>0.1</v>
      </c>
      <c r="D417" s="2" t="str">
        <f>IFERROR(__xludf.DUMMYFUNCTION("""COMPUTED_VALUE"""),"ଅନ୍ୟମାନେ")</f>
        <v>ଅନ୍ୟମାନେ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 t="str">
        <f>IFERROR(__xludf.DUMMYFUNCTION("""COMPUTED_VALUE"""),"bakery")</f>
        <v>bakery</v>
      </c>
      <c r="B418" s="2" t="str">
        <f>IFERROR(__xludf.DUMMYFUNCTION("""COMPUTED_VALUE"""),"Bakery")</f>
        <v>Bakery</v>
      </c>
      <c r="C418" s="2">
        <f>IFERROR(__xludf.DUMMYFUNCTION("""COMPUTED_VALUE"""),0.1)</f>
        <v>0.1</v>
      </c>
      <c r="D418" s="2" t="str">
        <f>IFERROR(__xludf.DUMMYFUNCTION("""COMPUTED_VALUE"""),"ବେକେରୀ")</f>
        <v>ବେକେରୀ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 t="str">
        <f>IFERROR(__xludf.DUMMYFUNCTION("""COMPUTED_VALUE"""),"flowers")</f>
        <v>flowers</v>
      </c>
      <c r="B419" s="2" t="str">
        <f>IFERROR(__xludf.DUMMYFUNCTION("""COMPUTED_VALUE"""),"Flowers")</f>
        <v>Flowers</v>
      </c>
      <c r="C419" s="2">
        <f>IFERROR(__xludf.DUMMYFUNCTION("""COMPUTED_VALUE"""),0.2)</f>
        <v>0.2</v>
      </c>
      <c r="D419" s="2" t="str">
        <f>IFERROR(__xludf.DUMMYFUNCTION("""COMPUTED_VALUE"""),"ଫୁଲ")</f>
        <v>ଫୁଲ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 t="str">
        <f>IFERROR(__xludf.DUMMYFUNCTION("""COMPUTED_VALUE"""),"appversion:")</f>
        <v>appversion:</v>
      </c>
      <c r="B420" s="2" t="str">
        <f>IFERROR(__xludf.DUMMYFUNCTION("""COMPUTED_VALUE"""),"App Version:")</f>
        <v>App Version:</v>
      </c>
      <c r="C420" s="2">
        <f>IFERROR(__xludf.DUMMYFUNCTION("""COMPUTED_VALUE"""),0.4)</f>
        <v>0.4</v>
      </c>
      <c r="D420" s="2" t="str">
        <f>IFERROR(__xludf.DUMMYFUNCTION("""COMPUTED_VALUE"""),"ଆପ୍ ସଂସ୍କରଣ:")</f>
        <v>ଆପ୍ ସଂସ୍କରଣ: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 t="str">
        <f>IFERROR(__xludf.DUMMYFUNCTION("""COMPUTED_VALUE"""),"Deliveryat")</f>
        <v>Deliveryat</v>
      </c>
      <c r="B421" s="2" t="str">
        <f>IFERROR(__xludf.DUMMYFUNCTION("""COMPUTED_VALUE"""),"Delivery at")</f>
        <v>Delivery at</v>
      </c>
      <c r="C421" s="2">
        <f>IFERROR(__xludf.DUMMYFUNCTION("""COMPUTED_VALUE"""),0.3)</f>
        <v>0.3</v>
      </c>
      <c r="D421" s="2" t="str">
        <f>IFERROR(__xludf.DUMMYFUNCTION("""COMPUTED_VALUE"""),"ବିତରଣ")</f>
        <v>ବିତରଣ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 t="str">
        <f>IFERROR(__xludf.DUMMYFUNCTION("""COMPUTED_VALUE"""),"capsules")</f>
        <v>capsules</v>
      </c>
      <c r="B422" s="2" t="str">
        <f>IFERROR(__xludf.DUMMYFUNCTION("""COMPUTED_VALUE"""),"Capsules")</f>
        <v>Capsules</v>
      </c>
      <c r="C422" s="2"/>
      <c r="D422" s="2" t="str">
        <f>IFERROR(__xludf.DUMMYFUNCTION("""COMPUTED_VALUE"""),"କ୍ୟାପସୁଲ |")</f>
        <v>କ୍ୟାପସୁଲ |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 t="str">
        <f>IFERROR(__xludf.DUMMYFUNCTION("""COMPUTED_VALUE"""),"invalidmanagerid")</f>
        <v>invalidmanagerid</v>
      </c>
      <c r="B423" s="2" t="str">
        <f>IFERROR(__xludf.DUMMYFUNCTION("""COMPUTED_VALUE"""),"Invalid Manager id")</f>
        <v>Invalid Manager id</v>
      </c>
      <c r="C423" s="2">
        <f>IFERROR(__xludf.DUMMYFUNCTION("""COMPUTED_VALUE"""),0.4)</f>
        <v>0.4</v>
      </c>
      <c r="D423" s="2" t="str">
        <f>IFERROR(__xludf.DUMMYFUNCTION("""COMPUTED_VALUE"""),"ଅବ val ଧ ପରିଚାଳକ ID |")</f>
        <v>ଅବ val ଧ ପରିଚାଳକ ID |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 t="str">
        <f>IFERROR(__xludf.DUMMYFUNCTION("""COMPUTED_VALUE"""),"invalidmobilenumber")</f>
        <v>invalidmobilenumber</v>
      </c>
      <c r="B424" s="2" t="str">
        <f>IFERROR(__xludf.DUMMYFUNCTION("""COMPUTED_VALUE"""),"Invalid Mobile Number")</f>
        <v>Invalid Mobile Number</v>
      </c>
      <c r="C424" s="2">
        <f>IFERROR(__xludf.DUMMYFUNCTION("""COMPUTED_VALUE"""),0.4)</f>
        <v>0.4</v>
      </c>
      <c r="D424" s="2" t="str">
        <f>IFERROR(__xludf.DUMMYFUNCTION("""COMPUTED_VALUE"""),"ଅବ val ଧ ମୋବାଇଲ୍ ନମ୍ବର |")</f>
        <v>ଅବ val ଧ ମୋବାଇଲ୍ ନମ୍ବର |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 t="str">
        <f>IFERROR(__xludf.DUMMYFUNCTION("""COMPUTED_VALUE"""),"update")</f>
        <v>update</v>
      </c>
      <c r="B425" s="2" t="str">
        <f>IFERROR(__xludf.DUMMYFUNCTION("""COMPUTED_VALUE"""),"Update")</f>
        <v>Update</v>
      </c>
      <c r="C425" s="2">
        <f>IFERROR(__xludf.DUMMYFUNCTION("""COMPUTED_VALUE"""),0.1)</f>
        <v>0.1</v>
      </c>
      <c r="D425" s="2" t="str">
        <f>IFERROR(__xludf.DUMMYFUNCTION("""COMPUTED_VALUE"""),"ଅଦ୍ୟତନ କରନ୍ତୁ |")</f>
        <v>ଅଦ୍ୟତନ କରନ୍ତୁ |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 t="str">
        <f>IFERROR(__xludf.DUMMYFUNCTION("""COMPUTED_VALUE"""),"product")</f>
        <v>product</v>
      </c>
      <c r="B426" s="2" t="str">
        <f>IFERROR(__xludf.DUMMYFUNCTION("""COMPUTED_VALUE"""),"Product")</f>
        <v>Product</v>
      </c>
      <c r="C426" s="2"/>
      <c r="D426" s="2" t="str">
        <f>IFERROR(__xludf.DUMMYFUNCTION("""COMPUTED_VALUE"""),"ଉତ୍ପାଦ")</f>
        <v>ଉତ୍ପାଦ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 t="str">
        <f>IFERROR(__xludf.DUMMYFUNCTION("""COMPUTED_VALUE"""),"updateExisting")</f>
        <v>updateExisting</v>
      </c>
      <c r="B427" s="2" t="str">
        <f>IFERROR(__xludf.DUMMYFUNCTION("""COMPUTED_VALUE"""),"Update Existing")</f>
        <v>Update Existing</v>
      </c>
      <c r="C427" s="2"/>
      <c r="D427" s="2" t="str">
        <f>IFERROR(__xludf.DUMMYFUNCTION("""COMPUTED_VALUE"""),"ବିଦ୍ୟମାନ ଅଦ୍ୟତନ କରନ୍ତୁ |")</f>
        <v>ବିଦ୍ୟମାନ ଅଦ୍ୟତନ କରନ୍ତୁ |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 t="str">
        <f>IFERROR(__xludf.DUMMYFUNCTION("""COMPUTED_VALUE"""),"continue")</f>
        <v>continue</v>
      </c>
      <c r="B428" s="2" t="str">
        <f>IFERROR(__xludf.DUMMYFUNCTION("""COMPUTED_VALUE"""),"Continue")</f>
        <v>Continue</v>
      </c>
      <c r="C428" s="2">
        <f>IFERROR(__xludf.DUMMYFUNCTION("""COMPUTED_VALUE"""),0.1)</f>
        <v>0.1</v>
      </c>
      <c r="D428" s="2" t="str">
        <f>IFERROR(__xludf.DUMMYFUNCTION("""COMPUTED_VALUE"""),"ଜାରି ରଖ |")</f>
        <v>ଜାରି ରଖ |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 t="str">
        <f>IFERROR(__xludf.DUMMYFUNCTION("""COMPUTED_VALUE"""),"showAll")</f>
        <v>showAll</v>
      </c>
      <c r="B429" s="2" t="str">
        <f>IFERROR(__xludf.DUMMYFUNCTION("""COMPUTED_VALUE"""),"Show all")</f>
        <v>Show all</v>
      </c>
      <c r="C429" s="2"/>
      <c r="D429" s="2" t="str">
        <f>IFERROR(__xludf.DUMMYFUNCTION("""COMPUTED_VALUE"""),"ସମସ୍ତ ଦର୍ଶାନ୍ତୁ")</f>
        <v>ସମସ୍ତ ଦର୍ଶାନ୍ତୁ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 t="str">
        <f>IFERROR(__xludf.DUMMYFUNCTION("""COMPUTED_VALUE"""),"procurementmanager")</f>
        <v>procurementmanager</v>
      </c>
      <c r="B430" s="2" t="str">
        <f>IFERROR(__xludf.DUMMYFUNCTION("""COMPUTED_VALUE"""),"Procurement Manager")</f>
        <v>Procurement Manager</v>
      </c>
      <c r="C430" s="2">
        <f>IFERROR(__xludf.DUMMYFUNCTION("""COMPUTED_VALUE"""),0.5)</f>
        <v>0.5</v>
      </c>
      <c r="D430" s="2" t="str">
        <f>IFERROR(__xludf.DUMMYFUNCTION("""COMPUTED_VALUE"""),"ପ୍ରକାଶନ ପରିଚାଳକ")</f>
        <v>ପ୍ରକାଶନ ପରିଚାଳକ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 t="str">
        <f>IFERROR(__xludf.DUMMYFUNCTION("""COMPUTED_VALUE"""),"to")</f>
        <v>to</v>
      </c>
      <c r="B431" s="2" t="str">
        <f>IFERROR(__xludf.DUMMYFUNCTION("""COMPUTED_VALUE"""),"To")</f>
        <v>To</v>
      </c>
      <c r="C431" s="2"/>
      <c r="D431" s="2" t="str">
        <f>IFERROR(__xludf.DUMMYFUNCTION("""COMPUTED_VALUE"""),"କୁ")</f>
        <v>କୁ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 t="str">
        <f>IFERROR(__xludf.DUMMYFUNCTION("""COMPUTED_VALUE"""),"inr")</f>
        <v>inr</v>
      </c>
      <c r="B432" s="2" t="str">
        <f>IFERROR(__xludf.DUMMYFUNCTION("""COMPUTED_VALUE"""),"INR")</f>
        <v>INR</v>
      </c>
      <c r="C432" s="2">
        <f>IFERROR(__xludf.DUMMYFUNCTION("""COMPUTED_VALUE"""),0.3)</f>
        <v>0.3</v>
      </c>
      <c r="D432" s="2" t="str">
        <f>IFERROR(__xludf.DUMMYFUNCTION("""COMPUTED_VALUE"""),"ଇତ୍ୟାଦି")</f>
        <v>ଇତ୍ୟାଦି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 t="str">
        <f>IFERROR(__xludf.DUMMYFUNCTION("""COMPUTED_VALUE"""),"filter")</f>
        <v>filter</v>
      </c>
      <c r="B433" s="2" t="str">
        <f>IFERROR(__xludf.DUMMYFUNCTION("""COMPUTED_VALUE"""),"Filter")</f>
        <v>Filter</v>
      </c>
      <c r="C433" s="2">
        <f>IFERROR(__xludf.DUMMYFUNCTION("""COMPUTED_VALUE"""),0.4)</f>
        <v>0.4</v>
      </c>
      <c r="D433" s="2" t="str">
        <f>IFERROR(__xludf.DUMMYFUNCTION("""COMPUTED_VALUE"""),"ଫିଲ୍ଟର୍")</f>
        <v>ଫିଲ୍ଟର୍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 t="str">
        <f>IFERROR(__xludf.DUMMYFUNCTION("""COMPUTED_VALUE"""),"invalidrole")</f>
        <v>invalidrole</v>
      </c>
      <c r="B434" s="2" t="str">
        <f>IFERROR(__xludf.DUMMYFUNCTION("""COMPUTED_VALUE"""),"Invalid Role")</f>
        <v>Invalid Role</v>
      </c>
      <c r="C434" s="2">
        <f>IFERROR(__xludf.DUMMYFUNCTION("""COMPUTED_VALUE"""),0.4)</f>
        <v>0.4</v>
      </c>
      <c r="D434" s="2" t="str">
        <f>IFERROR(__xludf.DUMMYFUNCTION("""COMPUTED_VALUE"""),"ଅବ val ଧ ଭୂମିକା |")</f>
        <v>ଅବ val ଧ ଭୂମିକା |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 t="str">
        <f>IFERROR(__xludf.DUMMYFUNCTION("""COMPUTED_VALUE"""),"select")</f>
        <v>select</v>
      </c>
      <c r="B435" s="2" t="str">
        <f>IFERROR(__xludf.DUMMYFUNCTION("""COMPUTED_VALUE"""),"Select ")</f>
        <v>Select </v>
      </c>
      <c r="C435" s="2"/>
      <c r="D435" s="2" t="str">
        <f>IFERROR(__xludf.DUMMYFUNCTION("""COMPUTED_VALUE"""),"ଚୟନ କରନ୍ତୁ |")</f>
        <v>ଚୟନ କରନ୍ତୁ |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 t="str">
        <f>IFERROR(__xludf.DUMMYFUNCTION("""COMPUTED_VALUE"""),"New")</f>
        <v>New</v>
      </c>
      <c r="B436" s="2" t="str">
        <f>IFERROR(__xludf.DUMMYFUNCTION("""COMPUTED_VALUE"""),"New")</f>
        <v>New</v>
      </c>
      <c r="C436" s="2">
        <f>IFERROR(__xludf.DUMMYFUNCTION("""COMPUTED_VALUE"""),0.4)</f>
        <v>0.4</v>
      </c>
      <c r="D436" s="2" t="str">
        <f>IFERROR(__xludf.DUMMYFUNCTION("""COMPUTED_VALUE"""),"ନୂତନ")</f>
        <v>ନୂତନ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 t="str">
        <f>IFERROR(__xludf.DUMMYFUNCTION("""COMPUTED_VALUE"""),"accept ")</f>
        <v>accept </v>
      </c>
      <c r="B437" s="2" t="str">
        <f>IFERROR(__xludf.DUMMYFUNCTION("""COMPUTED_VALUE"""),"Accept ")</f>
        <v>Accept </v>
      </c>
      <c r="C437" s="2">
        <f>IFERROR(__xludf.DUMMYFUNCTION("""COMPUTED_VALUE"""),0.4)</f>
        <v>0.4</v>
      </c>
      <c r="D437" s="2" t="str">
        <f>IFERROR(__xludf.DUMMYFUNCTION("""COMPUTED_VALUE"""),"ଗ୍ରହଣ କର")</f>
        <v>ଗ୍ରହଣ କର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 t="str">
        <f>IFERROR(__xludf.DUMMYFUNCTION("""COMPUTED_VALUE"""),"Accepted ")</f>
        <v>Accepted </v>
      </c>
      <c r="B438" s="2" t="str">
        <f>IFERROR(__xludf.DUMMYFUNCTION("""COMPUTED_VALUE"""),"Accepted")</f>
        <v>Accepted</v>
      </c>
      <c r="C438" s="2">
        <f>IFERROR(__xludf.DUMMYFUNCTION("""COMPUTED_VALUE"""),0.4)</f>
        <v>0.4</v>
      </c>
      <c r="D438" s="2" t="str">
        <f>IFERROR(__xludf.DUMMYFUNCTION("""COMPUTED_VALUE"""),"ଗ୍ରହଣୀୟ")</f>
        <v>ଗ୍ରହଣୀୟ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 t="str">
        <f>IFERROR(__xludf.DUMMYFUNCTION("""COMPUTED_VALUE"""),"Dispatch")</f>
        <v>Dispatch</v>
      </c>
      <c r="B439" s="2" t="str">
        <f>IFERROR(__xludf.DUMMYFUNCTION("""COMPUTED_VALUE"""),"Dispatch")</f>
        <v>Dispatch</v>
      </c>
      <c r="C439" s="2">
        <f>IFERROR(__xludf.DUMMYFUNCTION("""COMPUTED_VALUE"""),0.4)</f>
        <v>0.4</v>
      </c>
      <c r="D439" s="2" t="str">
        <f>IFERROR(__xludf.DUMMYFUNCTION("""COMPUTED_VALUE"""),"ପଠନ")</f>
        <v>ପଠନ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 t="str">
        <f>IFERROR(__xludf.DUMMYFUNCTION("""COMPUTED_VALUE"""),"Reject")</f>
        <v>Reject</v>
      </c>
      <c r="B440" s="2" t="str">
        <f>IFERROR(__xludf.DUMMYFUNCTION("""COMPUTED_VALUE"""),"Reject")</f>
        <v>Reject</v>
      </c>
      <c r="C440" s="2">
        <f>IFERROR(__xludf.DUMMYFUNCTION("""COMPUTED_VALUE"""),0.4)</f>
        <v>0.4</v>
      </c>
      <c r="D440" s="2" t="str">
        <f>IFERROR(__xludf.DUMMYFUNCTION("""COMPUTED_VALUE"""),"ପ୍ରତ୍ୟାଖ୍ୟାନ କର |")</f>
        <v>ପ୍ରତ୍ୟାଖ୍ୟାନ କର |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 t="str">
        <f>IFERROR(__xludf.DUMMYFUNCTION("""COMPUTED_VALUE"""),"DoyouwanttoRejecttheorder")</f>
        <v>DoyouwanttoRejecttheorder</v>
      </c>
      <c r="B441" s="2" t="str">
        <f>IFERROR(__xludf.DUMMYFUNCTION("""COMPUTED_VALUE"""),"Do You Want to Reject the order")</f>
        <v>Do You Want to Reject the order</v>
      </c>
      <c r="C441" s="2">
        <f>IFERROR(__xludf.DUMMYFUNCTION("""COMPUTED_VALUE"""),0.4)</f>
        <v>0.4</v>
      </c>
      <c r="D441" s="2" t="str">
        <f>IFERROR(__xludf.DUMMYFUNCTION("""COMPUTED_VALUE"""),"ଆପଣ କ୍ରମକୁ ପ୍ରତ୍ୟାଖ୍ୟାନ କରିବାକୁ ଚାହୁଁଛନ୍ତି କି?")</f>
        <v>ଆପଣ କ୍ରମକୁ ପ୍ରତ୍ୟାଖ୍ୟାନ କରିବାକୁ ଚାହୁଁଛନ୍ତି କି?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 t="str">
        <f>IFERROR(__xludf.DUMMYFUNCTION("""COMPUTED_VALUE"""),"Neworder")</f>
        <v>Neworder</v>
      </c>
      <c r="B442" s="2" t="str">
        <f>IFERROR(__xludf.DUMMYFUNCTION("""COMPUTED_VALUE"""),"New Order")</f>
        <v>New Order</v>
      </c>
      <c r="C442" s="2">
        <f>IFERROR(__xludf.DUMMYFUNCTION("""COMPUTED_VALUE"""),0.4)</f>
        <v>0.4</v>
      </c>
      <c r="D442" s="2" t="str">
        <f>IFERROR(__xludf.DUMMYFUNCTION("""COMPUTED_VALUE"""),"ନୂତନ ଆଦେଶ")</f>
        <v>ନୂତନ ଆଦେଶ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 t="str">
        <f>IFERROR(__xludf.DUMMYFUNCTION("""COMPUTED_VALUE"""),"avaliable")</f>
        <v>avaliable</v>
      </c>
      <c r="B443" s="2" t="str">
        <f>IFERROR(__xludf.DUMMYFUNCTION("""COMPUTED_VALUE"""),"Available")</f>
        <v>Available</v>
      </c>
      <c r="C443" s="2">
        <f>IFERROR(__xludf.DUMMYFUNCTION("""COMPUTED_VALUE"""),0.4)</f>
        <v>0.4</v>
      </c>
      <c r="D443" s="2" t="str">
        <f>IFERROR(__xludf.DUMMYFUNCTION("""COMPUTED_VALUE"""),"ଉପଲବ୍ଧ |")</f>
        <v>ଉପଲବ୍ଧ |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 t="str">
        <f>IFERROR(__xludf.DUMMYFUNCTION("""COMPUTED_VALUE"""),"blockward")</f>
        <v>blockward</v>
      </c>
      <c r="B444" s="2" t="str">
        <f>IFERROR(__xludf.DUMMYFUNCTION("""COMPUTED_VALUE"""),"Block/Ward")</f>
        <v>Block/Ward</v>
      </c>
      <c r="C444" s="2">
        <f>IFERROR(__xludf.DUMMYFUNCTION("""COMPUTED_VALUE"""),0.4)</f>
        <v>0.4</v>
      </c>
      <c r="D444" s="2" t="str">
        <f>IFERROR(__xludf.DUMMYFUNCTION("""COMPUTED_VALUE"""),"ବ୍ଲକ / ୱାର୍ଡ |")</f>
        <v>ବ୍ଲକ / ୱାର୍ଡ |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 t="str">
        <f>IFERROR(__xludf.DUMMYFUNCTION("""COMPUTED_VALUE"""),"acceptorder")</f>
        <v>acceptorder</v>
      </c>
      <c r="B445" s="2" t="str">
        <f>IFERROR(__xludf.DUMMYFUNCTION("""COMPUTED_VALUE"""),"Accept Order")</f>
        <v>Accept Order</v>
      </c>
      <c r="C445" s="2">
        <f>IFERROR(__xludf.DUMMYFUNCTION("""COMPUTED_VALUE"""),0.4)</f>
        <v>0.4</v>
      </c>
      <c r="D445" s="2" t="str">
        <f>IFERROR(__xludf.DUMMYFUNCTION("""COMPUTED_VALUE"""),"ଅର୍ଡର ଗ୍ରହଣ କରନ୍ତୁ |")</f>
        <v>ଅର୍ଡର ଗ୍ରହଣ କରନ୍ତୁ |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 t="str">
        <f>IFERROR(__xludf.DUMMYFUNCTION("""COMPUTED_VALUE"""),"Process")</f>
        <v>Process</v>
      </c>
      <c r="B446" s="2" t="str">
        <f>IFERROR(__xludf.DUMMYFUNCTION("""COMPUTED_VALUE"""),"Process")</f>
        <v>Process</v>
      </c>
      <c r="C446" s="2">
        <f>IFERROR(__xludf.DUMMYFUNCTION("""COMPUTED_VALUE"""),0.4)</f>
        <v>0.4</v>
      </c>
      <c r="D446" s="2" t="str">
        <f>IFERROR(__xludf.DUMMYFUNCTION("""COMPUTED_VALUE"""),"ପ୍ରକ୍ରିୟା")</f>
        <v>ପ୍ରକ୍ରିୟା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 t="str">
        <f>IFERROR(__xludf.DUMMYFUNCTION("""COMPUTED_VALUE"""),"Doyouwanttocanceltheorder")</f>
        <v>Doyouwanttocanceltheorder</v>
      </c>
      <c r="B447" s="2" t="str">
        <f>IFERROR(__xludf.DUMMYFUNCTION("""COMPUTED_VALUE"""),"Do you want to Cancel the Order?")</f>
        <v>Do you want to Cancel the Order?</v>
      </c>
      <c r="C447" s="2">
        <f>IFERROR(__xludf.DUMMYFUNCTION("""COMPUTED_VALUE"""),0.4)</f>
        <v>0.4</v>
      </c>
      <c r="D447" s="2" t="str">
        <f>IFERROR(__xludf.DUMMYFUNCTION("""COMPUTED_VALUE"""),"ଆପଣ ଅର୍ଡର ବାତିଲ କରିବାକୁ ଚାହୁଁଛନ୍ତି କି?")</f>
        <v>ଆପଣ ଅର୍ଡର ବାତିଲ କରିବାକୁ ଚାହୁଁଛନ୍ତି କି?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 t="str">
        <f>IFERROR(__xludf.DUMMYFUNCTION("""COMPUTED_VALUE"""),"noshow")</f>
        <v>noshow</v>
      </c>
      <c r="B448" s="2" t="str">
        <f>IFERROR(__xludf.DUMMYFUNCTION("""COMPUTED_VALUE"""),"No Show")</f>
        <v>No Show</v>
      </c>
      <c r="C448" s="2">
        <f>IFERROR(__xludf.DUMMYFUNCTION("""COMPUTED_VALUE"""),0.4)</f>
        <v>0.4</v>
      </c>
      <c r="D448" s="2" t="str">
        <f>IFERROR(__xludf.DUMMYFUNCTION("""COMPUTED_VALUE"""),"କ show ଣସି ଶୋ ନାହିଁ |")</f>
        <v>କ show ଣସି ଶୋ ନାହିଁ |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 t="str">
        <f>IFERROR(__xludf.DUMMYFUNCTION("""COMPUTED_VALUE"""),"intransit")</f>
        <v>intransit</v>
      </c>
      <c r="B449" s="2" t="str">
        <f>IFERROR(__xludf.DUMMYFUNCTION("""COMPUTED_VALUE"""),"In Transit")</f>
        <v>In Transit</v>
      </c>
      <c r="C449" s="2">
        <f>IFERROR(__xludf.DUMMYFUNCTION("""COMPUTED_VALUE"""),0.4)</f>
        <v>0.4</v>
      </c>
      <c r="D449" s="2" t="str">
        <f>IFERROR(__xludf.DUMMYFUNCTION("""COMPUTED_VALUE"""),"ଗମନାଗମନରେ")</f>
        <v>ଗମନାଗମନରେ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 t="str">
        <f>IFERROR(__xludf.DUMMYFUNCTION("""COMPUTED_VALUE"""),"Cancelled")</f>
        <v>Cancelled</v>
      </c>
      <c r="B450" s="2" t="str">
        <f>IFERROR(__xludf.DUMMYFUNCTION("""COMPUTED_VALUE"""),"Cancelled")</f>
        <v>Cancelled</v>
      </c>
      <c r="C450" s="2">
        <f>IFERROR(__xludf.DUMMYFUNCTION("""COMPUTED_VALUE"""),0.4)</f>
        <v>0.4</v>
      </c>
      <c r="D450" s="2" t="str">
        <f>IFERROR(__xludf.DUMMYFUNCTION("""COMPUTED_VALUE"""),"ବାତିଲ")</f>
        <v>ବାତିଲ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 t="str">
        <f>IFERROR(__xludf.DUMMYFUNCTION("""COMPUTED_VALUE"""),"InStorePickup")</f>
        <v>InStorePickup</v>
      </c>
      <c r="B451" s="2" t="str">
        <f>IFERROR(__xludf.DUMMYFUNCTION("""COMPUTED_VALUE"""),"In Store Pickup")</f>
        <v>In Store Pickup</v>
      </c>
      <c r="C451" s="2">
        <f>IFERROR(__xludf.DUMMYFUNCTION("""COMPUTED_VALUE"""),0.4)</f>
        <v>0.4</v>
      </c>
      <c r="D451" s="2" t="str">
        <f>IFERROR(__xludf.DUMMYFUNCTION("""COMPUTED_VALUE"""),"ଷ୍ଟୋର ପିକଅପ୍ ରେ |")</f>
        <v>ଷ୍ଟୋର ପିକଅପ୍ ରେ |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 t="str">
        <f>IFERROR(__xludf.DUMMYFUNCTION("""COMPUTED_VALUE"""),"HomeDelivery")</f>
        <v>HomeDelivery</v>
      </c>
      <c r="B452" s="2" t="str">
        <f>IFERROR(__xludf.DUMMYFUNCTION("""COMPUTED_VALUE"""),"Home Delivery")</f>
        <v>Home Delivery</v>
      </c>
      <c r="C452" s="2">
        <f>IFERROR(__xludf.DUMMYFUNCTION("""COMPUTED_VALUE"""),0.4)</f>
        <v>0.4</v>
      </c>
      <c r="D452" s="2" t="str">
        <f>IFERROR(__xludf.DUMMYFUNCTION("""COMPUTED_VALUE"""),"ଗୃହ ବିତରଣ |")</f>
        <v>ଗୃହ ବିତରଣ |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 t="str">
        <f>IFERROR(__xludf.DUMMYFUNCTION("""COMPUTED_VALUE"""),"Pickedupat")</f>
        <v>Pickedupat</v>
      </c>
      <c r="B453" s="2" t="str">
        <f>IFERROR(__xludf.DUMMYFUNCTION("""COMPUTED_VALUE"""),"Picked up at")</f>
        <v>Picked up at</v>
      </c>
      <c r="C453" s="2">
        <f>IFERROR(__xludf.DUMMYFUNCTION("""COMPUTED_VALUE"""),0.4)</f>
        <v>0.4</v>
      </c>
      <c r="D453" s="2" t="str">
        <f>IFERROR(__xludf.DUMMYFUNCTION("""COMPUTED_VALUE"""),"ଭିତରକୁ ଉଠିଛି")</f>
        <v>ଭିତରକୁ ଉଠିଛି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 t="str">
        <f>IFERROR(__xludf.DUMMYFUNCTION("""COMPUTED_VALUE"""),"Deliveredat")</f>
        <v>Deliveredat</v>
      </c>
      <c r="B454" s="2" t="str">
        <f>IFERROR(__xludf.DUMMYFUNCTION("""COMPUTED_VALUE"""),"Delivered at")</f>
        <v>Delivered at</v>
      </c>
      <c r="C454" s="2">
        <f>IFERROR(__xludf.DUMMYFUNCTION("""COMPUTED_VALUE"""),0.4)</f>
        <v>0.4</v>
      </c>
      <c r="D454" s="2" t="str">
        <f>IFERROR(__xludf.DUMMYFUNCTION("""COMPUTED_VALUE"""),"ରେ ବିତରଣ")</f>
        <v>ରେ ବିତରଣ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 t="str">
        <f>IFERROR(__xludf.DUMMYFUNCTION("""COMPUTED_VALUE"""),"Rejectedat")</f>
        <v>Rejectedat</v>
      </c>
      <c r="B455" s="2" t="str">
        <f>IFERROR(__xludf.DUMMYFUNCTION("""COMPUTED_VALUE"""),"Rejected at")</f>
        <v>Rejected at</v>
      </c>
      <c r="C455" s="2">
        <f>IFERROR(__xludf.DUMMYFUNCTION("""COMPUTED_VALUE"""),0.4)</f>
        <v>0.4</v>
      </c>
      <c r="D455" s="2" t="str">
        <f>IFERROR(__xludf.DUMMYFUNCTION("""COMPUTED_VALUE"""),"ପ୍ରତ୍ୟାଖ୍ୟାନ")</f>
        <v>ପ୍ରତ୍ୟାଖ୍ୟାନ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 t="str">
        <f>IFERROR(__xludf.DUMMYFUNCTION("""COMPUTED_VALUE"""),"Timeslot ")</f>
        <v>Timeslot </v>
      </c>
      <c r="B456" s="2" t="str">
        <f>IFERROR(__xludf.DUMMYFUNCTION("""COMPUTED_VALUE"""),"Time slot ")</f>
        <v>Time slot </v>
      </c>
      <c r="C456" s="2">
        <f>IFERROR(__xludf.DUMMYFUNCTION("""COMPUTED_VALUE"""),0.4)</f>
        <v>0.4</v>
      </c>
      <c r="D456" s="2" t="str">
        <f>IFERROR(__xludf.DUMMYFUNCTION("""COMPUTED_VALUE"""),"ସମୟ ସ୍ଲଟ୍")</f>
        <v>ସମୟ ସ୍ଲଟ୍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 t="str">
        <f>IFERROR(__xludf.DUMMYFUNCTION("""COMPUTED_VALUE"""),"Notavailable")</f>
        <v>Notavailable</v>
      </c>
      <c r="B457" s="2" t="str">
        <f>IFERROR(__xludf.DUMMYFUNCTION("""COMPUTED_VALUE"""),"Not available")</f>
        <v>Not available</v>
      </c>
      <c r="C457" s="2">
        <f>IFERROR(__xludf.DUMMYFUNCTION("""COMPUTED_VALUE"""),0.4)</f>
        <v>0.4</v>
      </c>
      <c r="D457" s="2" t="str">
        <f>IFERROR(__xludf.DUMMYFUNCTION("""COMPUTED_VALUE"""),"ଉପଲବ୍ଧ ନୁହେଁ")</f>
        <v>ଉପଲବ୍ଧ ନୁହେଁ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 t="str">
        <f>IFERROR(__xludf.DUMMYFUNCTION("""COMPUTED_VALUE"""),"PaymentSuccessful")</f>
        <v>PaymentSuccessful</v>
      </c>
      <c r="B458" s="2" t="str">
        <f>IFERROR(__xludf.DUMMYFUNCTION("""COMPUTED_VALUE"""),"Payment Successful")</f>
        <v>Payment Successful</v>
      </c>
      <c r="C458" s="2">
        <f>IFERROR(__xludf.DUMMYFUNCTION("""COMPUTED_VALUE"""),0.4)</f>
        <v>0.4</v>
      </c>
      <c r="D458" s="2" t="str">
        <f>IFERROR(__xludf.DUMMYFUNCTION("""COMPUTED_VALUE"""),"ଦେୟ ସଫଳ")</f>
        <v>ଦେୟ ସଫଳ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 t="str">
        <f>IFERROR(__xludf.DUMMYFUNCTION("""COMPUTED_VALUE"""),"CashReceived")</f>
        <v>CashReceived</v>
      </c>
      <c r="B459" s="2" t="str">
        <f>IFERROR(__xludf.DUMMYFUNCTION("""COMPUTED_VALUE"""),"Cash Received")</f>
        <v>Cash Received</v>
      </c>
      <c r="C459" s="2">
        <f>IFERROR(__xludf.DUMMYFUNCTION("""COMPUTED_VALUE"""),0.4)</f>
        <v>0.4</v>
      </c>
      <c r="D459" s="2" t="str">
        <f>IFERROR(__xludf.DUMMYFUNCTION("""COMPUTED_VALUE"""),"ନଗଦ ପ୍ରାପ୍ତ ହେଲା |")</f>
        <v>ନଗଦ ପ୍ରାପ୍ତ ହେଲା |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 t="str">
        <f>IFERROR(__xludf.DUMMYFUNCTION("""COMPUTED_VALUE"""),"Return")</f>
        <v>Return</v>
      </c>
      <c r="B460" s="2" t="str">
        <f>IFERROR(__xludf.DUMMYFUNCTION("""COMPUTED_VALUE"""),"Return")</f>
        <v>Return</v>
      </c>
      <c r="C460" s="2">
        <f>IFERROR(__xludf.DUMMYFUNCTION("""COMPUTED_VALUE"""),0.4)</f>
        <v>0.4</v>
      </c>
      <c r="D460" s="2" t="str">
        <f>IFERROR(__xludf.DUMMYFUNCTION("""COMPUTED_VALUE"""),"ଫେରନ୍ତୁ")</f>
        <v>ଫେରନ୍ତୁ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 t="str">
        <f>IFERROR(__xludf.DUMMYFUNCTION("""COMPUTED_VALUE"""),"ItemStatus")</f>
        <v>ItemStatus</v>
      </c>
      <c r="B461" s="2" t="str">
        <f>IFERROR(__xludf.DUMMYFUNCTION("""COMPUTED_VALUE"""),"Item Status")</f>
        <v>Item Status</v>
      </c>
      <c r="C461" s="2">
        <f>IFERROR(__xludf.DUMMYFUNCTION("""COMPUTED_VALUE"""),0.4)</f>
        <v>0.4</v>
      </c>
      <c r="D461" s="2" t="str">
        <f>IFERROR(__xludf.DUMMYFUNCTION("""COMPUTED_VALUE"""),"ବସ୍ତୁ ସ୍ଥିତି")</f>
        <v>ବସ୍ତୁ ସ୍ଥିତି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 t="str">
        <f>IFERROR(__xludf.DUMMYFUNCTION("""COMPUTED_VALUE"""),"noReturn")</f>
        <v>noReturn</v>
      </c>
      <c r="B462" s="2" t="str">
        <f>IFERROR(__xludf.DUMMYFUNCTION("""COMPUTED_VALUE"""),"No Return")</f>
        <v>No Return</v>
      </c>
      <c r="C462" s="2">
        <f>IFERROR(__xludf.DUMMYFUNCTION("""COMPUTED_VALUE"""),0.3)</f>
        <v>0.3</v>
      </c>
      <c r="D462" s="2" t="str">
        <f>IFERROR(__xludf.DUMMYFUNCTION("""COMPUTED_VALUE"""),"କ return ଣସି ପ୍ରତ୍ୟାବର୍ତ୍ତନ ନାହିଁ")</f>
        <v>କ return ଣସି ପ୍ରତ୍ୟାବର୍ତ୍ତନ ନାହିଁ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 t="str">
        <f>IFERROR(__xludf.DUMMYFUNCTION("""COMPUTED_VALUE"""),"sameDay")</f>
        <v>sameDay</v>
      </c>
      <c r="B463" s="2" t="str">
        <f>IFERROR(__xludf.DUMMYFUNCTION("""COMPUTED_VALUE"""),"Same Day")</f>
        <v>Same Day</v>
      </c>
      <c r="C463" s="2">
        <f>IFERROR(__xludf.DUMMYFUNCTION("""COMPUTED_VALUE"""),0.3)</f>
        <v>0.3</v>
      </c>
      <c r="D463" s="2" t="str">
        <f>IFERROR(__xludf.DUMMYFUNCTION("""COMPUTED_VALUE"""),"ଯେଉଁ ଦିନ")</f>
        <v>ଯେଉଁ ଦିନ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 t="str">
        <f>IFERROR(__xludf.DUMMYFUNCTION("""COMPUTED_VALUE"""),"nextDay")</f>
        <v>nextDay</v>
      </c>
      <c r="B464" s="2" t="str">
        <f>IFERROR(__xludf.DUMMYFUNCTION("""COMPUTED_VALUE"""),"Next Day")</f>
        <v>Next Day</v>
      </c>
      <c r="C464" s="2">
        <f>IFERROR(__xludf.DUMMYFUNCTION("""COMPUTED_VALUE"""),0.3)</f>
        <v>0.3</v>
      </c>
      <c r="D464" s="2" t="str">
        <f>IFERROR(__xludf.DUMMYFUNCTION("""COMPUTED_VALUE"""),"ପରଦିନ")</f>
        <v>ପରଦିନ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 t="str">
        <f>IFERROR(__xludf.DUMMYFUNCTION("""COMPUTED_VALUE"""),"Delivered ")</f>
        <v>Delivered </v>
      </c>
      <c r="B465" s="2" t="str">
        <f>IFERROR(__xludf.DUMMYFUNCTION("""COMPUTED_VALUE"""),"Delivered ")</f>
        <v>Delivered </v>
      </c>
      <c r="C465" s="2">
        <f>IFERROR(__xludf.DUMMYFUNCTION("""COMPUTED_VALUE"""),0.4)</f>
        <v>0.4</v>
      </c>
      <c r="D465" s="2" t="str">
        <f>IFERROR(__xludf.DUMMYFUNCTION("""COMPUTED_VALUE"""),"ବିତରଣ")</f>
        <v>ବିତରଣ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 t="str">
        <f>IFERROR(__xludf.DUMMYFUNCTION("""COMPUTED_VALUE"""),"Hrs")</f>
        <v>Hrs</v>
      </c>
      <c r="B466" s="2" t="str">
        <f>IFERROR(__xludf.DUMMYFUNCTION("""COMPUTED_VALUE"""),"Hrs")</f>
        <v>Hrs</v>
      </c>
      <c r="C466" s="2">
        <f>IFERROR(__xludf.DUMMYFUNCTION("""COMPUTED_VALUE"""),0.3)</f>
        <v>0.3</v>
      </c>
      <c r="D466" s="2" t="str">
        <f>IFERROR(__xludf.DUMMYFUNCTION("""COMPUTED_VALUE"""),"00")</f>
        <v>00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 t="str">
        <f>IFERROR(__xludf.DUMMYFUNCTION("""COMPUTED_VALUE"""),"kg")</f>
        <v>kg</v>
      </c>
      <c r="B467" s="2" t="str">
        <f>IFERROR(__xludf.DUMMYFUNCTION("""COMPUTED_VALUE"""),"kg")</f>
        <v>kg</v>
      </c>
      <c r="C467" s="2">
        <f>IFERROR(__xludf.DUMMYFUNCTION("""COMPUTED_VALUE"""),0.3)</f>
        <v>0.3</v>
      </c>
      <c r="D467" s="2" t="str">
        <f>IFERROR(__xludf.DUMMYFUNCTION("""COMPUTED_VALUE"""),"କିଲୋଗ୍ରାମ୍")</f>
        <v>କିଲୋଗ୍ରାମ୍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 t="str">
        <f>IFERROR(__xludf.DUMMYFUNCTION("""COMPUTED_VALUE"""),"returnWithin")</f>
        <v>returnWithin</v>
      </c>
      <c r="B468" s="2" t="str">
        <f>IFERROR(__xludf.DUMMYFUNCTION("""COMPUTED_VALUE"""),"Return Within")</f>
        <v>Return Within</v>
      </c>
      <c r="C468" s="2">
        <f>IFERROR(__xludf.DUMMYFUNCTION("""COMPUTED_VALUE"""),0.3)</f>
        <v>0.3</v>
      </c>
      <c r="D468" s="2" t="str">
        <f>IFERROR(__xludf.DUMMYFUNCTION("""COMPUTED_VALUE"""),"ଭିତରେ ଫେରନ୍ତୁ |")</f>
        <v>ଭିତରେ ଫେରନ୍ତୁ |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 t="str">
        <f>IFERROR(__xludf.DUMMYFUNCTION("""COMPUTED_VALUE"""),"maxQtyPerOrder")</f>
        <v>maxQtyPerOrder</v>
      </c>
      <c r="B469" s="2" t="str">
        <f>IFERROR(__xludf.DUMMYFUNCTION("""COMPUTED_VALUE"""),"Max. qty per Order")</f>
        <v>Max. qty per Order</v>
      </c>
      <c r="C469" s="2"/>
      <c r="D469" s="2" t="str">
        <f>IFERROR(__xludf.DUMMYFUNCTION("""COMPUTED_VALUE"""),"ସର୍ବାଧିକ qty କ୍ରମ")</f>
        <v>ସର୍ବାଧିକ qty କ୍ରମ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 t="str">
        <f>IFERROR(__xludf.DUMMYFUNCTION("""COMPUTED_VALUE"""),"salarypermonth")</f>
        <v>salarypermonth</v>
      </c>
      <c r="B470" s="2" t="str">
        <f>IFERROR(__xludf.DUMMYFUNCTION("""COMPUTED_VALUE"""),"Salary Per Month")</f>
        <v>Salary Per Month</v>
      </c>
      <c r="C470" s="2">
        <f>IFERROR(__xludf.DUMMYFUNCTION("""COMPUTED_VALUE"""),0.5)</f>
        <v>0.5</v>
      </c>
      <c r="D470" s="2" t="str">
        <f>IFERROR(__xludf.DUMMYFUNCTION("""COMPUTED_VALUE"""),"ମାସକୁ ଦରମା |")</f>
        <v>ମାସକୁ ଦରମା |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 t="str">
        <f>IFERROR(__xludf.DUMMYFUNCTION("""COMPUTED_VALUE"""),"sales&amp;serviceofficer")</f>
        <v>sales&amp;serviceofficer</v>
      </c>
      <c r="B471" s="2" t="str">
        <f>IFERROR(__xludf.DUMMYFUNCTION("""COMPUTED_VALUE"""),"Sales &amp; Service Officer")</f>
        <v>Sales &amp; Service Officer</v>
      </c>
      <c r="C471" s="2">
        <f>IFERROR(__xludf.DUMMYFUNCTION("""COMPUTED_VALUE"""),0.4)</f>
        <v>0.4</v>
      </c>
      <c r="D471" s="2" t="str">
        <f>IFERROR(__xludf.DUMMYFUNCTION("""COMPUTED_VALUE"""),"ବିକ୍ରୟ ଏବଂ ସେବା ଅଧିକାରୀ |")</f>
        <v>ବିକ୍ରୟ ଏବଂ ସେବା ଅଧିକାରୀ |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 t="str">
        <f>IFERROR(__xludf.DUMMYFUNCTION("""COMPUTED_VALUE"""),"inStock")</f>
        <v>inStock</v>
      </c>
      <c r="B472" s="2" t="str">
        <f>IFERROR(__xludf.DUMMYFUNCTION("""COMPUTED_VALUE"""),"In Stock")</f>
        <v>In Stock</v>
      </c>
      <c r="C472" s="2">
        <f>IFERROR(__xludf.DUMMYFUNCTION("""COMPUTED_VALUE"""),0.3)</f>
        <v>0.3</v>
      </c>
      <c r="D472" s="2" t="str">
        <f>IFERROR(__xludf.DUMMYFUNCTION("""COMPUTED_VALUE"""),"ମହଜୁଦ ଅଛି")</f>
        <v>ମହଜୁଦ ଅଛି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 t="str">
        <f>IFERROR(__xludf.DUMMYFUNCTION("""COMPUTED_VALUE"""),"outOfStock")</f>
        <v>outOfStock</v>
      </c>
      <c r="B473" s="2" t="str">
        <f>IFERROR(__xludf.DUMMYFUNCTION("""COMPUTED_VALUE"""),"Out of Stock")</f>
        <v>Out of Stock</v>
      </c>
      <c r="C473" s="2">
        <f>IFERROR(__xludf.DUMMYFUNCTION("""COMPUTED_VALUE"""),0.3)</f>
        <v>0.3</v>
      </c>
      <c r="D473" s="2" t="str">
        <f>IFERROR(__xludf.DUMMYFUNCTION("""COMPUTED_VALUE"""),"ଷ୍ଟକ୍ ସେଶ")</f>
        <v>ଷ୍ଟକ୍ ସେଶ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 t="str">
        <f>IFERROR(__xludf.DUMMYFUNCTION("""COMPUTED_VALUE"""),"received")</f>
        <v>received</v>
      </c>
      <c r="B474" s="2" t="str">
        <f>IFERROR(__xludf.DUMMYFUNCTION("""COMPUTED_VALUE"""),"Received")</f>
        <v>Received</v>
      </c>
      <c r="C474" s="2" t="str">
        <f>IFERROR(__xludf.DUMMYFUNCTION("""COMPUTED_VALUE"""),"0.4.1")</f>
        <v>0.4.1</v>
      </c>
      <c r="D474" s="2" t="str">
        <f>IFERROR(__xludf.DUMMYFUNCTION("""COMPUTED_VALUE"""),"ଗ୍ରହଣ କରାଯାଇଛି")</f>
        <v>ଗ୍ରହଣ କରାଯାଇଛି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 t="str">
        <f>IFERROR(__xludf.DUMMYFUNCTION("""COMPUTED_VALUE"""),"selectedproductpreview")</f>
        <v>selectedproductpreview</v>
      </c>
      <c r="B475" s="2" t="str">
        <f>IFERROR(__xludf.DUMMYFUNCTION("""COMPUTED_VALUE"""),"Selected Product Preview")</f>
        <v>Selected Product Preview</v>
      </c>
      <c r="C475" s="2">
        <f>IFERROR(__xludf.DUMMYFUNCTION("""COMPUTED_VALUE"""),0.3)</f>
        <v>0.3</v>
      </c>
      <c r="D475" s="2" t="str">
        <f>IFERROR(__xludf.DUMMYFUNCTION("""COMPUTED_VALUE"""),"ମନୋନୀତ ଉତ୍ପାଦ ପୂର୍ବାବଲୋକନ |")</f>
        <v>ମନୋନୀତ ଉତ୍ପାଦ ପୂର୍ବାବଲୋକନ |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 t="str">
        <f>IFERROR(__xludf.DUMMYFUNCTION("""COMPUTED_VALUE"""),"Invaliddoj")</f>
        <v>Invaliddoj</v>
      </c>
      <c r="B476" s="2" t="str">
        <f>IFERROR(__xludf.DUMMYFUNCTION("""COMPUTED_VALUE"""),"Invalid DOJ")</f>
        <v>Invalid DOJ</v>
      </c>
      <c r="C476" s="2">
        <f>IFERROR(__xludf.DUMMYFUNCTION("""COMPUTED_VALUE"""),0.4)</f>
        <v>0.4</v>
      </c>
      <c r="D476" s="2" t="str">
        <f>IFERROR(__xludf.DUMMYFUNCTION("""COMPUTED_VALUE"""),"ଅବ val ଧ ଡୋଜ |")</f>
        <v>ଅବ val ଧ ଡୋଜ |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 t="str">
        <f>IFERROR(__xludf.DUMMYFUNCTION("""COMPUTED_VALUE"""),"saveProduct")</f>
        <v>saveProduct</v>
      </c>
      <c r="B477" s="2" t="str">
        <f>IFERROR(__xludf.DUMMYFUNCTION("""COMPUTED_VALUE"""),"Save Product ")</f>
        <v>Save Product </v>
      </c>
      <c r="C477" s="2"/>
      <c r="D477" s="2" t="str">
        <f>IFERROR(__xludf.DUMMYFUNCTION("""COMPUTED_VALUE"""),"ଉତ୍ପାଦ ସଞ୍ଚୟ କରନ୍ତୁ |")</f>
        <v>ଉତ୍ପାଦ ସଞ୍ଚୟ କରନ୍ତୁ |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 t="str">
        <f>IFERROR(__xludf.DUMMYFUNCTION("""COMPUTED_VALUE"""),"pendingpayment")</f>
        <v>pendingpayment</v>
      </c>
      <c r="B478" s="2" t="str">
        <f>IFERROR(__xludf.DUMMYFUNCTION("""COMPUTED_VALUE"""),"Pending Payment")</f>
        <v>Pending Payment</v>
      </c>
      <c r="C478" s="2">
        <f>IFERROR(__xludf.DUMMYFUNCTION("""COMPUTED_VALUE"""),0.3)</f>
        <v>0.3</v>
      </c>
      <c r="D478" s="2" t="str">
        <f>IFERROR(__xludf.DUMMYFUNCTION("""COMPUTED_VALUE"""),"ଦେୟ ବିଚାରାଧୀନ |")</f>
        <v>ଦେୟ ବିଚାରାଧୀନ |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 t="str">
        <f>IFERROR(__xludf.DUMMYFUNCTION("""COMPUTED_VALUE"""),"Date Of Delivery")</f>
        <v>Date Of Delivery</v>
      </c>
      <c r="B479" s="2" t="str">
        <f>IFERROR(__xludf.DUMMYFUNCTION("""COMPUTED_VALUE"""),"Date Of Delivery")</f>
        <v>Date Of Delivery</v>
      </c>
      <c r="C479" s="2">
        <f>IFERROR(__xludf.DUMMYFUNCTION("""COMPUTED_VALUE"""),0.3)</f>
        <v>0.3</v>
      </c>
      <c r="D479" s="2" t="str">
        <f>IFERROR(__xludf.DUMMYFUNCTION("""COMPUTED_VALUE"""),"ବିତରଣର ତାରିଖ")</f>
        <v>ବିତରଣର ତାରିଖ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 t="str">
        <f>IFERROR(__xludf.DUMMYFUNCTION("""COMPUTED_VALUE"""),"productAddedSuccessfully")</f>
        <v>productAddedSuccessfully</v>
      </c>
      <c r="B480" s="2" t="str">
        <f>IFERROR(__xludf.DUMMYFUNCTION("""COMPUTED_VALUE"""),"Product Added Successfully")</f>
        <v>Product Added Successfully</v>
      </c>
      <c r="C480" s="2"/>
      <c r="D480" s="2" t="str">
        <f>IFERROR(__xludf.DUMMYFUNCTION("""COMPUTED_VALUE"""),"ଉତ୍ପାଦ ସଫଳତାର ସହିତ ଯୋଡି ହେଲା |")</f>
        <v>ଉତ୍ପାଦ ସଫଳତାର ସହିତ ଯୋଡି ହେଲା |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 t="str">
        <f>IFERROR(__xludf.DUMMYFUNCTION("""COMPUTED_VALUE"""),"addPhoto")</f>
        <v>addPhoto</v>
      </c>
      <c r="B481" s="2" t="str">
        <f>IFERROR(__xludf.DUMMYFUNCTION("""COMPUTED_VALUE"""),"Add Photo")</f>
        <v>Add Photo</v>
      </c>
      <c r="C481" s="2"/>
      <c r="D481" s="2" t="str">
        <f>IFERROR(__xludf.DUMMYFUNCTION("""COMPUTED_VALUE"""),"ଫଟୋ ଯୋଡନ୍ତୁ |")</f>
        <v>ଫଟୋ ଯୋଡନ୍ତୁ |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 t="str">
        <f>IFERROR(__xludf.DUMMYFUNCTION("""COMPUTED_VALUE"""),"productListedSuccessfully")</f>
        <v>productListedSuccessfully</v>
      </c>
      <c r="B482" s="2" t="str">
        <f>IFERROR(__xludf.DUMMYFUNCTION("""COMPUTED_VALUE"""),"Product Listed Successfully")</f>
        <v>Product Listed Successfully</v>
      </c>
      <c r="C482" s="2"/>
      <c r="D482" s="2" t="str">
        <f>IFERROR(__xludf.DUMMYFUNCTION("""COMPUTED_VALUE"""),"ଉତ୍ପାଦ ସଫଳତାର ସହିତ ତାଲିକାଭୁକ୍ତ |")</f>
        <v>ଉତ୍ପାଦ ସଫଳତାର ସହିତ ତାଲିକାଭୁକ୍ତ |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 t="str">
        <f>IFERROR(__xludf.DUMMYFUNCTION("""COMPUTED_VALUE"""),"deletedSuccessfully!")</f>
        <v>deletedSuccessfully!</v>
      </c>
      <c r="B483" s="2" t="str">
        <f>IFERROR(__xludf.DUMMYFUNCTION("""COMPUTED_VALUE"""),"Deleted Successfully!")</f>
        <v>Deleted Successfully!</v>
      </c>
      <c r="C483" s="2">
        <f>IFERROR(__xludf.DUMMYFUNCTION("""COMPUTED_VALUE"""),0.5)</f>
        <v>0.5</v>
      </c>
      <c r="D483" s="2" t="str">
        <f>IFERROR(__xludf.DUMMYFUNCTION("""COMPUTED_VALUE"""),"ସଫଳତାର ସହିତ ବିଲୋପ ହେଲା!")</f>
        <v>ସଫଳତାର ସହିତ ବିଲୋପ ହେଲା!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 t="str">
        <f>IFERROR(__xludf.DUMMYFUNCTION("""COMPUTED_VALUE"""),"invalidfullname")</f>
        <v>invalidfullname</v>
      </c>
      <c r="B484" s="2" t="str">
        <f>IFERROR(__xludf.DUMMYFUNCTION("""COMPUTED_VALUE"""),"Invalid Full Name")</f>
        <v>Invalid Full Name</v>
      </c>
      <c r="C484" s="2">
        <f>IFERROR(__xludf.DUMMYFUNCTION("""COMPUTED_VALUE"""),0.4)</f>
        <v>0.4</v>
      </c>
      <c r="D484" s="2" t="str">
        <f>IFERROR(__xludf.DUMMYFUNCTION("""COMPUTED_VALUE"""),"ଅବ val ଧ ପୂର୍ଣ୍ଣ ନାମ |")</f>
        <v>ଅବ val ଧ ପୂର୍ଣ୍ଣ ନାମ |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 t="str">
        <f>IFERROR(__xludf.DUMMYFUNCTION("""COMPUTED_VALUE"""),"pendingDetails")</f>
        <v>pendingDetails</v>
      </c>
      <c r="B485" s="2" t="str">
        <f>IFERROR(__xludf.DUMMYFUNCTION("""COMPUTED_VALUE"""),"Pending Details")</f>
        <v>Pending Details</v>
      </c>
      <c r="C485" s="2">
        <f>IFERROR(__xludf.DUMMYFUNCTION("""COMPUTED_VALUE"""),0.2)</f>
        <v>0.2</v>
      </c>
      <c r="D485" s="2" t="str">
        <f>IFERROR(__xludf.DUMMYFUNCTION("""COMPUTED_VALUE"""),"ସବିଶେଷ ବିବରଣୀ")</f>
        <v>ସବିଶେଷ ବିବରଣୀ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 t="str">
        <f>IFERROR(__xludf.DUMMYFUNCTION("""COMPUTED_VALUE"""),"yourproductisunderreview")</f>
        <v>yourproductisunderreview</v>
      </c>
      <c r="B486" s="2" t="str">
        <f>IFERROR(__xludf.DUMMYFUNCTION("""COMPUTED_VALUE"""),"Your product is Under Review")</f>
        <v>Your product is Under Review</v>
      </c>
      <c r="C486" s="2">
        <f>IFERROR(__xludf.DUMMYFUNCTION("""COMPUTED_VALUE"""),0.3)</f>
        <v>0.3</v>
      </c>
      <c r="D486" s="2" t="str">
        <f>IFERROR(__xludf.DUMMYFUNCTION("""COMPUTED_VALUE"""),"ତୁମର ଉତ୍ପାଦ ସମୀକ୍ଷା ଅଧୀନରେ ଅଛି |")</f>
        <v>ତୁମର ଉତ୍ପାଦ ସମୀକ୍ଷା ଅଧୀନରେ ଅଛି |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 t="str">
        <f>IFERROR(__xludf.DUMMYFUNCTION("""COMPUTED_VALUE"""),"willupdateyousoon")</f>
        <v>willupdateyousoon</v>
      </c>
      <c r="B487" s="2" t="str">
        <f>IFERROR(__xludf.DUMMYFUNCTION("""COMPUTED_VALUE"""),"Will Update you soon ")</f>
        <v>Will Update you soon </v>
      </c>
      <c r="C487" s="2">
        <f>IFERROR(__xludf.DUMMYFUNCTION("""COMPUTED_VALUE"""),0.3)</f>
        <v>0.3</v>
      </c>
      <c r="D487" s="2" t="str">
        <f>IFERROR(__xludf.DUMMYFUNCTION("""COMPUTED_VALUE"""),"ତୁମକୁ ଶୀଘ୍ର ଅପଡେଟ୍ କରିବ |")</f>
        <v>ତୁମକୁ ଶୀଘ୍ର ଅପଡେଟ୍ କରିବ |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 t="str">
        <f>IFERROR(__xludf.DUMMYFUNCTION("""COMPUTED_VALUE"""),"ok")</f>
        <v>ok</v>
      </c>
      <c r="B488" s="2" t="str">
        <f>IFERROR(__xludf.DUMMYFUNCTION("""COMPUTED_VALUE"""),"Ok")</f>
        <v>Ok</v>
      </c>
      <c r="C488" s="2">
        <f>IFERROR(__xludf.DUMMYFUNCTION("""COMPUTED_VALUE"""),0.3)</f>
        <v>0.3</v>
      </c>
      <c r="D488" s="2" t="str">
        <f>IFERROR(__xludf.DUMMYFUNCTION("""COMPUTED_VALUE"""),"ଠିକ୍ ଅଛି")</f>
        <v>ଠିକ୍ ଅଛି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 t="str">
        <f>IFERROR(__xludf.DUMMYFUNCTION("""COMPUTED_VALUE"""),"gst18")</f>
        <v>gst18</v>
      </c>
      <c r="B489" s="2" t="str">
        <f>IFERROR(__xludf.DUMMYFUNCTION("""COMPUTED_VALUE"""),"GST (18%)")</f>
        <v>GST (18%)</v>
      </c>
      <c r="C489" s="2">
        <f>IFERROR(__xludf.DUMMYFUNCTION("""COMPUTED_VALUE"""),0.2)</f>
        <v>0.2</v>
      </c>
      <c r="D489" s="2" t="str">
        <f>IFERROR(__xludf.DUMMYFUNCTION("""COMPUTED_VALUE"""),"GST (18%)")</f>
        <v>GST (18%)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 t="str">
        <f>IFERROR(__xludf.DUMMYFUNCTION("""COMPUTED_VALUE"""),"pending")</f>
        <v>pending</v>
      </c>
      <c r="B490" s="2" t="str">
        <f>IFERROR(__xludf.DUMMYFUNCTION("""COMPUTED_VALUE"""),"Pending ")</f>
        <v>Pending </v>
      </c>
      <c r="C490" s="2">
        <f>IFERROR(__xludf.DUMMYFUNCTION("""COMPUTED_VALUE"""),0.3)</f>
        <v>0.3</v>
      </c>
      <c r="D490" s="2" t="str">
        <f>IFERROR(__xludf.DUMMYFUNCTION("""COMPUTED_VALUE"""),"ବିଚାରାଧୀନ ଅଛି")</f>
        <v>ବିଚାରାଧୀନ ଅଛି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 t="str">
        <f>IFERROR(__xludf.DUMMYFUNCTION("""COMPUTED_VALUE"""),"selectyourpreference ")</f>
        <v>selectyourpreference </v>
      </c>
      <c r="B491" s="2" t="str">
        <f>IFERROR(__xludf.DUMMYFUNCTION("""COMPUTED_VALUE"""),"Select Your Preference")</f>
        <v>Select Your Preference</v>
      </c>
      <c r="C491" s="2">
        <f>IFERROR(__xludf.DUMMYFUNCTION("""COMPUTED_VALUE"""),0.4)</f>
        <v>0.4</v>
      </c>
      <c r="D491" s="2" t="str">
        <f>IFERROR(__xludf.DUMMYFUNCTION("""COMPUTED_VALUE"""),"ଆପଣଙ୍କର ପସନ୍ଦ ଚୟନ କରନ୍ତୁ |")</f>
        <v>ଆପଣଙ୍କର ପସନ୍ଦ ଚୟନ କରନ୍ତୁ |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 t="str">
        <f>IFERROR(__xludf.DUMMYFUNCTION("""COMPUTED_VALUE"""),"pricelist")</f>
        <v>pricelist</v>
      </c>
      <c r="B492" s="2" t="str">
        <f>IFERROR(__xludf.DUMMYFUNCTION("""COMPUTED_VALUE"""),"Price List")</f>
        <v>Price List</v>
      </c>
      <c r="C492" s="2">
        <f>IFERROR(__xludf.DUMMYFUNCTION("""COMPUTED_VALUE"""),0.3)</f>
        <v>0.3</v>
      </c>
      <c r="D492" s="2" t="str">
        <f>IFERROR(__xludf.DUMMYFUNCTION("""COMPUTED_VALUE"""),"ମୁଲ୍ୟ ସୂଚୀ")</f>
        <v>ମୁଲ୍ୟ ସୂଚୀ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 t="str">
        <f>IFERROR(__xludf.DUMMYFUNCTION("""COMPUTED_VALUE"""),"viewall")</f>
        <v>viewall</v>
      </c>
      <c r="B493" s="2" t="str">
        <f>IFERROR(__xludf.DUMMYFUNCTION("""COMPUTED_VALUE"""),"View All")</f>
        <v>View All</v>
      </c>
      <c r="C493" s="2"/>
      <c r="D493" s="2" t="str">
        <f>IFERROR(__xludf.DUMMYFUNCTION("""COMPUTED_VALUE"""),"ସମସ୍ତ ଦେଖନ୍ତୁ |")</f>
        <v>ସମସ୍ତ ଦେଖନ୍ତୁ |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 t="str">
        <f>IFERROR(__xludf.DUMMYFUNCTION("""COMPUTED_VALUE"""),"youhavegotthereward")</f>
        <v>youhavegotthereward</v>
      </c>
      <c r="B494" s="2" t="str">
        <f>IFERROR(__xludf.DUMMYFUNCTION("""COMPUTED_VALUE"""),"You have got the Reward")</f>
        <v>You have got the Reward</v>
      </c>
      <c r="C494" s="2">
        <f>IFERROR(__xludf.DUMMYFUNCTION("""COMPUTED_VALUE"""),0.1)</f>
        <v>0.1</v>
      </c>
      <c r="D494" s="2" t="str">
        <f>IFERROR(__xludf.DUMMYFUNCTION("""COMPUTED_VALUE"""),"ତୁମେ ପୁରସ୍କାର ପାଇଛ")</f>
        <v>ତୁମେ ପୁରସ୍କାର ପାଇଛ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 t="str">
        <f>IFERROR(__xludf.DUMMYFUNCTION("""COMPUTED_VALUE"""),"addDetail")</f>
        <v>addDetail</v>
      </c>
      <c r="B495" s="2" t="str">
        <f>IFERROR(__xludf.DUMMYFUNCTION("""COMPUTED_VALUE"""),"Add Detail")</f>
        <v>Add Detail</v>
      </c>
      <c r="C495" s="2">
        <f>IFERROR(__xludf.DUMMYFUNCTION("""COMPUTED_VALUE"""),0.3)</f>
        <v>0.3</v>
      </c>
      <c r="D495" s="2" t="str">
        <f>IFERROR(__xludf.DUMMYFUNCTION("""COMPUTED_VALUE"""),"ସବିଶେଷ ତଥ୍ୟ ଯୋଡନ୍ତୁ |")</f>
        <v>ସବିଶେଷ ତଥ୍ୟ ଯୋଡନ୍ତୁ |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 t="str">
        <f>IFERROR(__xludf.DUMMYFUNCTION("""COMPUTED_VALUE"""),"Preorderdiscount")</f>
        <v>Preorderdiscount</v>
      </c>
      <c r="B496" s="2" t="str">
        <f>IFERROR(__xludf.DUMMYFUNCTION("""COMPUTED_VALUE"""),"Pre-Order Discount")</f>
        <v>Pre-Order Discount</v>
      </c>
      <c r="C496" s="2">
        <f>IFERROR(__xludf.DUMMYFUNCTION("""COMPUTED_VALUE"""),0.3)</f>
        <v>0.3</v>
      </c>
      <c r="D496" s="2" t="str">
        <f>IFERROR(__xludf.DUMMYFUNCTION("""COMPUTED_VALUE"""),"ପୂର୍ବ-ଅର୍ଡର ରିହାତି |")</f>
        <v>ପୂର୍ବ-ଅର୍ଡର ରିହାତି |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 t="str">
        <f>IFERROR(__xludf.DUMMYFUNCTION("""COMPUTED_VALUE"""),"addmore")</f>
        <v>addmore</v>
      </c>
      <c r="B497" s="2" t="str">
        <f>IFERROR(__xludf.DUMMYFUNCTION("""COMPUTED_VALUE"""),"Add More")</f>
        <v>Add More</v>
      </c>
      <c r="C497" s="2">
        <f>IFERROR(__xludf.DUMMYFUNCTION("""COMPUTED_VALUE"""),0.3)</f>
        <v>0.3</v>
      </c>
      <c r="D497" s="2" t="str">
        <f>IFERROR(__xludf.DUMMYFUNCTION("""COMPUTED_VALUE"""),"ଅଧିକ ଯୋଗ କରନ୍ତୁ")</f>
        <v>ଅଧିକ ଯୋଗ କରନ୍ତୁ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 t="str">
        <f>IFERROR(__xludf.DUMMYFUNCTION("""COMPUTED_VALUE"""),"masalas")</f>
        <v>masalas</v>
      </c>
      <c r="B498" s="2" t="str">
        <f>IFERROR(__xludf.DUMMYFUNCTION("""COMPUTED_VALUE"""),"Masalas")</f>
        <v>Masalas</v>
      </c>
      <c r="C498" s="2">
        <f>IFERROR(__xludf.DUMMYFUNCTION("""COMPUTED_VALUE"""),0.3)</f>
        <v>0.3</v>
      </c>
      <c r="D498" s="2" t="str">
        <f>IFERROR(__xludf.DUMMYFUNCTION("""COMPUTED_VALUE"""),"ମାସ୍ଲାସ୍ |")</f>
        <v>ମାସ୍ଲାସ୍ |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 t="str">
        <f>IFERROR(__xludf.DUMMYFUNCTION("""COMPUTED_VALUE"""),"oil")</f>
        <v>oil</v>
      </c>
      <c r="B499" s="2" t="str">
        <f>IFERROR(__xludf.DUMMYFUNCTION("""COMPUTED_VALUE"""),"Oil")</f>
        <v>Oil</v>
      </c>
      <c r="C499" s="2">
        <f>IFERROR(__xludf.DUMMYFUNCTION("""COMPUTED_VALUE"""),0.3)</f>
        <v>0.3</v>
      </c>
      <c r="D499" s="2" t="str">
        <f>IFERROR(__xludf.DUMMYFUNCTION("""COMPUTED_VALUE"""),"ତେଲ")</f>
        <v>ତେଲ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 t="str">
        <f>IFERROR(__xludf.DUMMYFUNCTION("""COMPUTED_VALUE"""),"staples ")</f>
        <v>staples </v>
      </c>
      <c r="B500" s="2" t="str">
        <f>IFERROR(__xludf.DUMMYFUNCTION("""COMPUTED_VALUE"""),"Staples")</f>
        <v>Staples</v>
      </c>
      <c r="C500" s="2">
        <f>IFERROR(__xludf.DUMMYFUNCTION("""COMPUTED_VALUE"""),0.3)</f>
        <v>0.3</v>
      </c>
      <c r="D500" s="2" t="str">
        <f>IFERROR(__xludf.DUMMYFUNCTION("""COMPUTED_VALUE"""),"ଷ୍ଟାପଲ୍ସ")</f>
        <v>ଷ୍ଟାପଲ୍ସ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 t="str">
        <f>IFERROR(__xludf.DUMMYFUNCTION("""COMPUTED_VALUE"""),"Drinks &amp; Beverages ")</f>
        <v>Drinks &amp; Beverages </v>
      </c>
      <c r="B501" s="2" t="str">
        <f>IFERROR(__xludf.DUMMYFUNCTION("""COMPUTED_VALUE"""),"Drinks &amp; Beverages ")</f>
        <v>Drinks &amp; Beverages </v>
      </c>
      <c r="C501" s="2">
        <f>IFERROR(__xludf.DUMMYFUNCTION("""COMPUTED_VALUE"""),0.3)</f>
        <v>0.3</v>
      </c>
      <c r="D501" s="2" t="str">
        <f>IFERROR(__xludf.DUMMYFUNCTION("""COMPUTED_VALUE"""),"ପାନୀୟ ଏବଂ ପାନୀୟ |")</f>
        <v>ପାନୀୟ ଏବଂ ପାନୀୟ |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 t="str">
        <f>IFERROR(__xludf.DUMMYFUNCTION("""COMPUTED_VALUE"""),"taptorecordyourcomplain")</f>
        <v>taptorecordyourcomplain</v>
      </c>
      <c r="B502" s="2" t="str">
        <f>IFERROR(__xludf.DUMMYFUNCTION("""COMPUTED_VALUE"""),"Tap to record your complain")</f>
        <v>Tap to record your complain</v>
      </c>
      <c r="C502" s="2">
        <f>IFERROR(__xludf.DUMMYFUNCTION("""COMPUTED_VALUE"""),0.3)</f>
        <v>0.3</v>
      </c>
      <c r="D502" s="2" t="str">
        <f>IFERROR(__xludf.DUMMYFUNCTION("""COMPUTED_VALUE"""),"ଆପଣଙ୍କର ଅଭିଯୋଗ ରେକର୍ଡ କରିବାକୁ ଟ୍ୟାପ୍ କରନ୍ତୁ |")</f>
        <v>ଆପଣଙ୍କର ଅଭିଯୋଗ ରେକର୍ଡ କରିବାକୁ ଟ୍ୟାପ୍ କରନ୍ତୁ |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 t="str">
        <f>IFERROR(__xludf.DUMMYFUNCTION("""COMPUTED_VALUE"""),"rerecord")</f>
        <v>rerecord</v>
      </c>
      <c r="B503" s="2" t="str">
        <f>IFERROR(__xludf.DUMMYFUNCTION("""COMPUTED_VALUE"""),"Re-record")</f>
        <v>Re-record</v>
      </c>
      <c r="C503" s="2">
        <f>IFERROR(__xludf.DUMMYFUNCTION("""COMPUTED_VALUE"""),0.3)</f>
        <v>0.3</v>
      </c>
      <c r="D503" s="2" t="str">
        <f>IFERROR(__xludf.DUMMYFUNCTION("""COMPUTED_VALUE"""),"ପୁନ-ରେକର୍ଡ")</f>
        <v>ପୁନ-ରେକର୍ଡ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 t="str">
        <f>IFERROR(__xludf.DUMMYFUNCTION("""COMPUTED_VALUE"""),"Successful")</f>
        <v>Successful</v>
      </c>
      <c r="B504" s="2" t="str">
        <f>IFERROR(__xludf.DUMMYFUNCTION("""COMPUTED_VALUE"""),"Successful")</f>
        <v>Successful</v>
      </c>
      <c r="C504" s="2">
        <f>IFERROR(__xludf.DUMMYFUNCTION("""COMPUTED_VALUE"""),0.3)</f>
        <v>0.3</v>
      </c>
      <c r="D504" s="2" t="str">
        <f>IFERROR(__xludf.DUMMYFUNCTION("""COMPUTED_VALUE"""),"ସଫଳ")</f>
        <v>ସଫଳ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 t="str">
        <f>IFERROR(__xludf.DUMMYFUNCTION("""COMPUTED_VALUE"""),"areyousure.youwanttowithdrawcomplaint")</f>
        <v>areyousure.youwanttowithdrawcomplaint</v>
      </c>
      <c r="B505" s="2" t="str">
        <f>IFERROR(__xludf.DUMMYFUNCTION("""COMPUTED_VALUE"""),"Are you sure you want to withdraw complaint?")</f>
        <v>Are you sure you want to withdraw complaint?</v>
      </c>
      <c r="C505" s="2">
        <f>IFERROR(__xludf.DUMMYFUNCTION("""COMPUTED_VALUE"""),0.3)</f>
        <v>0.3</v>
      </c>
      <c r="D505" s="2" t="str">
        <f>IFERROR(__xludf.DUMMYFUNCTION("""COMPUTED_VALUE"""),"ଆପଣ ନିଶ୍ଚିତ କି ଆପଣ ଅଭିଯୋଗ ପ୍ରତ୍ୟାହାର କରିବାକୁ ଚାହୁଁଛନ୍ତି?")</f>
        <v>ଆପଣ ନିଶ୍ଚିତ କି ଆପଣ ଅଭିଯୋଗ ପ୍ରତ୍ୟାହାର କରିବାକୁ ଚାହୁଁଛନ୍ତି?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 t="str">
        <f>IFERROR(__xludf.DUMMYFUNCTION("""COMPUTED_VALUE"""),"Status")</f>
        <v>Status</v>
      </c>
      <c r="B506" s="2" t="str">
        <f>IFERROR(__xludf.DUMMYFUNCTION("""COMPUTED_VALUE"""),"Status ")</f>
        <v>Status </v>
      </c>
      <c r="C506" s="2">
        <f>IFERROR(__xludf.DUMMYFUNCTION("""COMPUTED_VALUE"""),0.3)</f>
        <v>0.3</v>
      </c>
      <c r="D506" s="2" t="str">
        <f>IFERROR(__xludf.DUMMYFUNCTION("""COMPUTED_VALUE"""),"ସ୍ଥିତି")</f>
        <v>ସ୍ଥିତି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 t="str">
        <f>IFERROR(__xludf.DUMMYFUNCTION("""COMPUTED_VALUE"""),"reopen")</f>
        <v>reopen</v>
      </c>
      <c r="B507" s="2" t="str">
        <f>IFERROR(__xludf.DUMMYFUNCTION("""COMPUTED_VALUE"""),"Reopen")</f>
        <v>Reopen</v>
      </c>
      <c r="C507" s="2">
        <f>IFERROR(__xludf.DUMMYFUNCTION("""COMPUTED_VALUE"""),0.3)</f>
        <v>0.3</v>
      </c>
      <c r="D507" s="2" t="str">
        <f>IFERROR(__xludf.DUMMYFUNCTION("""COMPUTED_VALUE"""),"ଖୋଲିବା")</f>
        <v>ଖୋଲିବା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 t="str">
        <f>IFERROR(__xludf.DUMMYFUNCTION("""COMPUTED_VALUE"""),"otpsenttoregisteredmobilenumber")</f>
        <v>otpsenttoregisteredmobilenumber</v>
      </c>
      <c r="B508" s="2" t="str">
        <f>IFERROR(__xludf.DUMMYFUNCTION("""COMPUTED_VALUE"""),"OTP sent to registered mobile number")</f>
        <v>OTP sent to registered mobile number</v>
      </c>
      <c r="C508" s="2">
        <f>IFERROR(__xludf.DUMMYFUNCTION("""COMPUTED_VALUE"""),0.3)</f>
        <v>0.3</v>
      </c>
      <c r="D508" s="2" t="str">
        <f>IFERROR(__xludf.DUMMYFUNCTION("""COMPUTED_VALUE"""),"ପଞ୍ଜୀକୃତ ମୋବାଇଲ୍ ନମ୍ବରକୁ OTP ପଠାଯାଇଛି |")</f>
        <v>ପଞ୍ଜୀକୃତ ମୋବାଇଲ୍ ନମ୍ବରକୁ OTP ପଠାଯାଇଛି |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 t="str">
        <f>IFERROR(__xludf.DUMMYFUNCTION("""COMPUTED_VALUE"""),"doyouhaveGSTINnumber?")</f>
        <v>doyouhaveGSTINnumber?</v>
      </c>
      <c r="B509" s="2" t="str">
        <f>IFERROR(__xludf.DUMMYFUNCTION("""COMPUTED_VALUE"""),"Do You Have GSTIN Number?")</f>
        <v>Do You Have GSTIN Number?</v>
      </c>
      <c r="C509" s="2">
        <f>IFERROR(__xludf.DUMMYFUNCTION("""COMPUTED_VALUE"""),0.1)</f>
        <v>0.1</v>
      </c>
      <c r="D509" s="2" t="str">
        <f>IFERROR(__xludf.DUMMYFUNCTION("""COMPUTED_VALUE"""),"ଆପଣଙ୍କର gstonin ନମ୍ବର ଅଛି କି?")</f>
        <v>ଆପଣଙ୍କର gstonin ନମ୍ବର ଅଛି କି?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 t="str">
        <f>IFERROR(__xludf.DUMMYFUNCTION("""COMPUTED_VALUE"""),"PickedUp")</f>
        <v>PickedUp</v>
      </c>
      <c r="B510" s="2" t="str">
        <f>IFERROR(__xludf.DUMMYFUNCTION("""COMPUTED_VALUE"""),"Picked Up")</f>
        <v>Picked Up</v>
      </c>
      <c r="C510" s="2">
        <f>IFERROR(__xludf.DUMMYFUNCTION("""COMPUTED_VALUE"""),0.3)</f>
        <v>0.3</v>
      </c>
      <c r="D510" s="2" t="str">
        <f>IFERROR(__xludf.DUMMYFUNCTION("""COMPUTED_VALUE"""),"ଉଠେଇବା")</f>
        <v>ଉଠେଇବା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 t="str">
        <f>IFERROR(__xludf.DUMMYFUNCTION("""COMPUTED_VALUE"""),"mini.PricePerOrder")</f>
        <v>mini.PricePerOrder</v>
      </c>
      <c r="B511" s="2" t="str">
        <f>IFERROR(__xludf.DUMMYFUNCTION("""COMPUTED_VALUE"""),"Mini. price per order")</f>
        <v>Mini. price per order</v>
      </c>
      <c r="C511" s="2">
        <f>IFERROR(__xludf.DUMMYFUNCTION("""COMPUTED_VALUE"""),0.3)</f>
        <v>0.3</v>
      </c>
      <c r="D511" s="2" t="str">
        <f>IFERROR(__xludf.DUMMYFUNCTION("""COMPUTED_VALUE"""),"ମିନି କ୍ରମର ମୂଲ୍ୟ")</f>
        <v>ମିନି କ୍ରମର ମୂଲ୍ୟ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 t="str">
        <f>IFERROR(__xludf.DUMMYFUNCTION("""COMPUTED_VALUE"""),"passbookphotoisrequired")</f>
        <v>passbookphotoisrequired</v>
      </c>
      <c r="B512" s="2" t="str">
        <f>IFERROR(__xludf.DUMMYFUNCTION("""COMPUTED_VALUE"""),"Passbook Photo is required.")</f>
        <v>Passbook Photo is required.</v>
      </c>
      <c r="C512" s="2">
        <f>IFERROR(__xludf.DUMMYFUNCTION("""COMPUTED_VALUE"""),0.2)</f>
        <v>0.2</v>
      </c>
      <c r="D512" s="2" t="str">
        <f>IFERROR(__xludf.DUMMYFUNCTION("""COMPUTED_VALUE"""),"ପାସ୍ ବୁକ୍ ଫଟୋ ଆବଶ୍ୟକ |")</f>
        <v>ପାସ୍ ବୁକ୍ ଫଟୋ ଆବଶ୍ୟକ |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 t="str">
        <f>IFERROR(__xludf.DUMMYFUNCTION("""COMPUTED_VALUE"""),"beneficiarynameisrequired")</f>
        <v>beneficiarynameisrequired</v>
      </c>
      <c r="B513" s="2" t="str">
        <f>IFERROR(__xludf.DUMMYFUNCTION("""COMPUTED_VALUE"""),"Beneficiary Name is required.")</f>
        <v>Beneficiary Name is required.</v>
      </c>
      <c r="C513" s="2">
        <f>IFERROR(__xludf.DUMMYFUNCTION("""COMPUTED_VALUE"""),0.2)</f>
        <v>0.2</v>
      </c>
      <c r="D513" s="2" t="str">
        <f>IFERROR(__xludf.DUMMYFUNCTION("""COMPUTED_VALUE"""),"ହିତାଧିକାରୀ ନାମ ଆବଶ୍ୟକ |")</f>
        <v>ହିତାଧିକାରୀ ନାମ ଆବଶ୍ୟକ |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 t="str">
        <f>IFERROR(__xludf.DUMMYFUNCTION("""COMPUTED_VALUE"""),"banknameisrequired")</f>
        <v>banknameisrequired</v>
      </c>
      <c r="B514" s="2" t="str">
        <f>IFERROR(__xludf.DUMMYFUNCTION("""COMPUTED_VALUE"""),"Bank Name is required.")</f>
        <v>Bank Name is required.</v>
      </c>
      <c r="C514" s="2">
        <f>IFERROR(__xludf.DUMMYFUNCTION("""COMPUTED_VALUE"""),0.2)</f>
        <v>0.2</v>
      </c>
      <c r="D514" s="2" t="str">
        <f>IFERROR(__xludf.DUMMYFUNCTION("""COMPUTED_VALUE"""),"ବ୍ୟାଙ୍କ ନାମ ଆବଶ୍ୟକ |")</f>
        <v>ବ୍ୟାଙ୍କ ନାମ ଆବଶ୍ୟକ |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 t="str">
        <f>IFERROR(__xludf.DUMMYFUNCTION("""COMPUTED_VALUE"""),"accountnumberisrequired")</f>
        <v>accountnumberisrequired</v>
      </c>
      <c r="B515" s="2" t="str">
        <f>IFERROR(__xludf.DUMMYFUNCTION("""COMPUTED_VALUE"""),"Account Number is required.")</f>
        <v>Account Number is required.</v>
      </c>
      <c r="C515" s="2">
        <f>IFERROR(__xludf.DUMMYFUNCTION("""COMPUTED_VALUE"""),0.2)</f>
        <v>0.2</v>
      </c>
      <c r="D515" s="2" t="str">
        <f>IFERROR(__xludf.DUMMYFUNCTION("""COMPUTED_VALUE"""),"ଆକାଉଣ୍ଟ୍ ନମ୍ବର ଆବଶ୍ୟକ |")</f>
        <v>ଆକାଉଣ୍ଟ୍ ନମ୍ବର ଆବଶ୍ୟକ |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 t="str">
        <f>IFERROR(__xludf.DUMMYFUNCTION("""COMPUTED_VALUE"""),"re-enteraccountnumberisrequired")</f>
        <v>re-enteraccountnumberisrequired</v>
      </c>
      <c r="B516" s="2" t="str">
        <f>IFERROR(__xludf.DUMMYFUNCTION("""COMPUTED_VALUE"""),"Re-enter Account Number is required.")</f>
        <v>Re-enter Account Number is required.</v>
      </c>
      <c r="C516" s="2">
        <f>IFERROR(__xludf.DUMMYFUNCTION("""COMPUTED_VALUE"""),0.2)</f>
        <v>0.2</v>
      </c>
      <c r="D516" s="2" t="str">
        <f>IFERROR(__xludf.DUMMYFUNCTION("""COMPUTED_VALUE"""),"ଆକାଉଣ୍ଟ୍ ନମ୍ବର ପୁନ - ପ୍ରବେଶ ଆବଶ୍ୟକ |")</f>
        <v>ଆକାଉଣ୍ଟ୍ ନମ୍ବର ପୁନ - ପ୍ରବେଶ ଆବଶ୍ୟକ |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 t="str">
        <f>IFERROR(__xludf.DUMMYFUNCTION("""COMPUTED_VALUE"""),"accountnumberandre-accountnumberfieldsshouldmatch")</f>
        <v>accountnumberandre-accountnumberfieldsshouldmatch</v>
      </c>
      <c r="B517" s="2" t="str">
        <f>IFERROR(__xludf.DUMMYFUNCTION("""COMPUTED_VALUE"""),"Account number and Re-account number fields should match")</f>
        <v>Account number and Re-account number fields should match</v>
      </c>
      <c r="C517" s="2">
        <f>IFERROR(__xludf.DUMMYFUNCTION("""COMPUTED_VALUE"""),0.2)</f>
        <v>0.2</v>
      </c>
      <c r="D517" s="2" t="str">
        <f>IFERROR(__xludf.DUMMYFUNCTION("""COMPUTED_VALUE"""),"ଆକାଉଣ୍ଟ୍ ନମ୍ବର ଏବଂ ପୁନ-ଆକାଉଣ୍ଟ ନମ୍ବର ଫିଲ୍ଡ ସହିତ ମେଳ ହେବା ଉଚିତ୍ |")</f>
        <v>ଆକାଉଣ୍ଟ୍ ନମ୍ବର ଏବଂ ପୁନ-ଆକାଉଣ୍ଟ ନମ୍ବର ଫିଲ୍ଡ ସହିତ ମେଳ ହେବା ଉଚିତ୍ |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 t="str">
        <f>IFERROR(__xludf.DUMMYFUNCTION("""COMPUTED_VALUE"""),"selectimagesource")</f>
        <v>selectimagesource</v>
      </c>
      <c r="B518" s="2" t="str">
        <f>IFERROR(__xludf.DUMMYFUNCTION("""COMPUTED_VALUE"""),"Select Image Source")</f>
        <v>Select Image Source</v>
      </c>
      <c r="C518" s="2">
        <f>IFERROR(__xludf.DUMMYFUNCTION("""COMPUTED_VALUE"""),0.2)</f>
        <v>0.2</v>
      </c>
      <c r="D518" s="2" t="str">
        <f>IFERROR(__xludf.DUMMYFUNCTION("""COMPUTED_VALUE"""),"ପ୍ରତିଛବି ଉତ୍ସ ଚୟନ କରନ୍ତୁ |")</f>
        <v>ପ୍ରତିଛବି ଉତ୍ସ ଚୟନ କରନ୍ତୁ |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 t="str">
        <f>IFERROR(__xludf.DUMMYFUNCTION("""COMPUTED_VALUE"""),"loadfromgallery")</f>
        <v>loadfromgallery</v>
      </c>
      <c r="B519" s="2" t="str">
        <f>IFERROR(__xludf.DUMMYFUNCTION("""COMPUTED_VALUE"""),"Load From Gallery")</f>
        <v>Load From Gallery</v>
      </c>
      <c r="C519" s="2">
        <f>IFERROR(__xludf.DUMMYFUNCTION("""COMPUTED_VALUE"""),0.2)</f>
        <v>0.2</v>
      </c>
      <c r="D519" s="2" t="str">
        <f>IFERROR(__xludf.DUMMYFUNCTION("""COMPUTED_VALUE"""),"ଗ୍ୟାଲେରୀରୁ ଲୋଡ୍ |")</f>
        <v>ଗ୍ୟାଲେରୀରୁ ଲୋଡ୍ |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 t="str">
        <f>IFERROR(__xludf.DUMMYFUNCTION("""COMPUTED_VALUE"""),"usecamera")</f>
        <v>usecamera</v>
      </c>
      <c r="B520" s="2" t="str">
        <f>IFERROR(__xludf.DUMMYFUNCTION("""COMPUTED_VALUE"""),"Use Camera")</f>
        <v>Use Camera</v>
      </c>
      <c r="C520" s="2">
        <f>IFERROR(__xludf.DUMMYFUNCTION("""COMPUTED_VALUE"""),0.2)</f>
        <v>0.2</v>
      </c>
      <c r="D520" s="2" t="str">
        <f>IFERROR(__xludf.DUMMYFUNCTION("""COMPUTED_VALUE"""),"କ୍ୟାମେରା ବ୍ୟବହାର କରନ୍ତୁ |")</f>
        <v>କ୍ୟାମେରା ବ୍ୟବହାର କରନ୍ତୁ |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 t="str">
        <f>IFERROR(__xludf.DUMMYFUNCTION("""COMPUTED_VALUE"""),"ItemwillBeRemovedFromtheCart")</f>
        <v>ItemwillBeRemovedFromtheCart</v>
      </c>
      <c r="B521" s="2" t="str">
        <f>IFERROR(__xludf.DUMMYFUNCTION("""COMPUTED_VALUE"""),"Item will Be Removed From the Cart")</f>
        <v>Item will Be Removed From the Cart</v>
      </c>
      <c r="C521" s="2">
        <f>IFERROR(__xludf.DUMMYFUNCTION("""COMPUTED_VALUE"""),0.3)</f>
        <v>0.3</v>
      </c>
      <c r="D521" s="2" t="str">
        <f>IFERROR(__xludf.DUMMYFUNCTION("""COMPUTED_VALUE"""),"ଆଇଟମ୍ କାର୍ଟରୁ ଅପସାରିତ ହେବ |")</f>
        <v>ଆଇଟମ୍ କାର୍ଟରୁ ଅପସାରିତ ହେବ |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 t="str">
        <f>IFERROR(__xludf.DUMMYFUNCTION("""COMPUTED_VALUE"""),"rewards")</f>
        <v>rewards</v>
      </c>
      <c r="B522" s="2" t="str">
        <f>IFERROR(__xludf.DUMMYFUNCTION("""COMPUTED_VALUE"""),"Rewards")</f>
        <v>Rewards</v>
      </c>
      <c r="C522" s="2">
        <f>IFERROR(__xludf.DUMMYFUNCTION("""COMPUTED_VALUE"""),0.2)</f>
        <v>0.2</v>
      </c>
      <c r="D522" s="2" t="str">
        <f>IFERROR(__xludf.DUMMYFUNCTION("""COMPUTED_VALUE"""),"ପୁରସ୍କାର")</f>
        <v>ପୁରସ୍କାର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 t="str">
        <f>IFERROR(__xludf.DUMMYFUNCTION("""COMPUTED_VALUE"""),"tropicalfruit7")</f>
        <v>tropicalfruit7</v>
      </c>
      <c r="B523" s="2" t="str">
        <f>IFERROR(__xludf.DUMMYFUNCTION("""COMPUTED_VALUE"""),"Tropical Fruit (7)")</f>
        <v>Tropical Fruit (7)</v>
      </c>
      <c r="C523" s="2">
        <f>IFERROR(__xludf.DUMMYFUNCTION("""COMPUTED_VALUE"""),0.3)</f>
        <v>0.3</v>
      </c>
      <c r="D523" s="2" t="str">
        <f>IFERROR(__xludf.DUMMYFUNCTION("""COMPUTED_VALUE"""),"ଟ୍ରପିକାଲ୍ ଫଳ (7)")</f>
        <v>ଟ୍ରପିକାଲ୍ ଫଳ (7)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 t="str">
        <f>IFERROR(__xludf.DUMMYFUNCTION("""COMPUTED_VALUE"""),"deliverySlot")</f>
        <v>deliverySlot</v>
      </c>
      <c r="B524" s="2" t="str">
        <f>IFERROR(__xludf.DUMMYFUNCTION("""COMPUTED_VALUE"""),"Delivery Slot")</f>
        <v>Delivery Slot</v>
      </c>
      <c r="C524" s="2" t="str">
        <f>IFERROR(__xludf.DUMMYFUNCTION("""COMPUTED_VALUE"""),"0.4.1")</f>
        <v>0.4.1</v>
      </c>
      <c r="D524" s="2" t="str">
        <f>IFERROR(__xludf.DUMMYFUNCTION("""COMPUTED_VALUE"""),"ବିତରଣ ସ୍ଲଟ୍ |")</f>
        <v>ବିତରଣ ସ୍ଲଟ୍ |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 t="str">
        <f>IFERROR(__xludf.DUMMYFUNCTION("""COMPUTED_VALUE"""),"tropicalfruit")</f>
        <v>tropicalfruit</v>
      </c>
      <c r="B525" s="2" t="str">
        <f>IFERROR(__xludf.DUMMYFUNCTION("""COMPUTED_VALUE"""),"Tropical Fruit")</f>
        <v>Tropical Fruit</v>
      </c>
      <c r="C525" s="2">
        <f>IFERROR(__xludf.DUMMYFUNCTION("""COMPUTED_VALUE"""),0.3)</f>
        <v>0.3</v>
      </c>
      <c r="D525" s="2" t="str">
        <f>IFERROR(__xludf.DUMMYFUNCTION("""COMPUTED_VALUE"""),"ଟ୍ରପିକାଲ୍ ଫଳ |")</f>
        <v>ଟ୍ରପିକାଲ୍ ଫଳ |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 t="str">
        <f>IFERROR(__xludf.DUMMYFUNCTION("""COMPUTED_VALUE"""),"viewedit")</f>
        <v>viewedit</v>
      </c>
      <c r="B526" s="2" t="str">
        <f>IFERROR(__xludf.DUMMYFUNCTION("""COMPUTED_VALUE"""),"View/Edit")</f>
        <v>View/Edit</v>
      </c>
      <c r="C526" s="2">
        <f>IFERROR(__xludf.DUMMYFUNCTION("""COMPUTED_VALUE"""),0.3)</f>
        <v>0.3</v>
      </c>
      <c r="D526" s="2" t="str">
        <f>IFERROR(__xludf.DUMMYFUNCTION("""COMPUTED_VALUE"""),"ଦର୍ଶନ / ସଂପାଦନ କରନ୍ତୁ |")</f>
        <v>ଦର୍ଶନ / ସଂପାଦନ କରନ୍ତୁ |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 t="str">
        <f>IFERROR(__xludf.DUMMYFUNCTION("""COMPUTED_VALUE"""),"Km")</f>
        <v>Km</v>
      </c>
      <c r="B527" s="2" t="str">
        <f>IFERROR(__xludf.DUMMYFUNCTION("""COMPUTED_VALUE"""),"Km")</f>
        <v>Km</v>
      </c>
      <c r="C527" s="2">
        <f>IFERROR(__xludf.DUMMYFUNCTION("""COMPUTED_VALUE"""),0.3)</f>
        <v>0.3</v>
      </c>
      <c r="D527" s="2" t="str">
        <f>IFERROR(__xludf.DUMMYFUNCTION("""COMPUTED_VALUE"""),"କିଲୋମିଟର")</f>
        <v>କିଲୋମିଟର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 t="str">
        <f>IFERROR(__xludf.DUMMYFUNCTION("""COMPUTED_VALUE"""),"totalrewardsearned")</f>
        <v>totalrewardsearned</v>
      </c>
      <c r="B528" s="2" t="str">
        <f>IFERROR(__xludf.DUMMYFUNCTION("""COMPUTED_VALUE"""),"Total Rewards Earned")</f>
        <v>Total Rewards Earned</v>
      </c>
      <c r="C528" s="2">
        <f>IFERROR(__xludf.DUMMYFUNCTION("""COMPUTED_VALUE"""),0.4)</f>
        <v>0.4</v>
      </c>
      <c r="D528" s="2" t="str">
        <f>IFERROR(__xludf.DUMMYFUNCTION("""COMPUTED_VALUE"""),"ସମୁଦାୟ ପୁରସ୍କାର ଅର୍ଜିତ |")</f>
        <v>ସମୁଦାୟ ପୁରସ୍କାର ଅର୍ଜିତ |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 t="str">
        <f>IFERROR(__xludf.DUMMYFUNCTION("""COMPUTED_VALUE"""),"useGps")</f>
        <v>useGps</v>
      </c>
      <c r="B529" s="2" t="str">
        <f>IFERROR(__xludf.DUMMYFUNCTION("""COMPUTED_VALUE"""),"use gps")</f>
        <v>use gps</v>
      </c>
      <c r="C529" s="2">
        <f>IFERROR(__xludf.DUMMYFUNCTION("""COMPUTED_VALUE"""),0.4)</f>
        <v>0.4</v>
      </c>
      <c r="D529" s="2" t="str">
        <f>IFERROR(__xludf.DUMMYFUNCTION("""COMPUTED_VALUE"""),"ଜିପିଏସ୍ ବ୍ୟବହାର କରନ୍ତୁ |")</f>
        <v>ଜିପିଏସ୍ ବ୍ୟବହାର କରନ୍ତୁ |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 t="str">
        <f>IFERROR(__xludf.DUMMYFUNCTION("""COMPUTED_VALUE"""),"onOrdersMore")</f>
        <v>onOrdersMore</v>
      </c>
      <c r="B530" s="2" t="str">
        <f>IFERROR(__xludf.DUMMYFUNCTION("""COMPUTED_VALUE"""),"on Orders more")</f>
        <v>on Orders more</v>
      </c>
      <c r="C530" s="2"/>
      <c r="D530" s="2" t="str">
        <f>IFERROR(__xludf.DUMMYFUNCTION("""COMPUTED_VALUE"""),"ଅଧିକ ଅର୍ଡର ଉପରେ |")</f>
        <v>ଅଧିକ ଅର୍ଡର ଉପରେ |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 t="str">
        <f>IFERROR(__xludf.DUMMYFUNCTION("""COMPUTED_VALUE"""),"than")</f>
        <v>than</v>
      </c>
      <c r="B531" s="2" t="str">
        <f>IFERROR(__xludf.DUMMYFUNCTION("""COMPUTED_VALUE"""),"than")</f>
        <v>than</v>
      </c>
      <c r="C531" s="2"/>
      <c r="D531" s="2" t="str">
        <f>IFERROR(__xludf.DUMMYFUNCTION("""COMPUTED_VALUE"""),"ଅପେକ୍ଷା")</f>
        <v>ଅପେକ୍ଷା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 t="str">
        <f>IFERROR(__xludf.DUMMYFUNCTION("""COMPUTED_VALUE"""),"enableFreeShipping")</f>
        <v>enableFreeShipping</v>
      </c>
      <c r="B532" s="2" t="str">
        <f>IFERROR(__xludf.DUMMYFUNCTION("""COMPUTED_VALUE"""),"Enable free Shipping")</f>
        <v>Enable free Shipping</v>
      </c>
      <c r="C532" s="2"/>
      <c r="D532" s="2" t="str">
        <f>IFERROR(__xludf.DUMMYFUNCTION("""COMPUTED_VALUE"""),"ମାଗଣା ସିପିଂ ସକ୍ଷମ କରନ୍ତୁ |")</f>
        <v>ମାଗଣା ସିପିଂ ସକ୍ଷମ କରନ୍ତୁ |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 t="str">
        <f>IFERROR(__xludf.DUMMYFUNCTION("""COMPUTED_VALUE"""),"OTPResentSuccessful")</f>
        <v>OTPResentSuccessful</v>
      </c>
      <c r="B533" s="2" t="str">
        <f>IFERROR(__xludf.DUMMYFUNCTION("""COMPUTED_VALUE"""),"OTP Resent Successful")</f>
        <v>OTP Resent Successful</v>
      </c>
      <c r="C533" s="2">
        <f>IFERROR(__xludf.DUMMYFUNCTION("""COMPUTED_VALUE"""),0.3)</f>
        <v>0.3</v>
      </c>
      <c r="D533" s="2" t="str">
        <f>IFERROR(__xludf.DUMMYFUNCTION("""COMPUTED_VALUE"""),"OTP ରେଜେଣ୍ଟ ସଫଳ |")</f>
        <v>OTP ରେଜେଣ୍ଟ ସଫଳ |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 t="str">
        <f>IFERROR(__xludf.DUMMYFUNCTION("""COMPUTED_VALUE"""),"didyourecivethepayment")</f>
        <v>didyourecivethepayment</v>
      </c>
      <c r="B534" s="2" t="str">
        <f>IFERROR(__xludf.DUMMYFUNCTION("""COMPUTED_VALUE"""),"did you receive the payment")</f>
        <v>did you receive the payment</v>
      </c>
      <c r="C534" s="2"/>
      <c r="D534" s="2" t="str">
        <f>IFERROR(__xludf.DUMMYFUNCTION("""COMPUTED_VALUE"""),"ଆପଣ ଦେୟ ଗ୍ରହଣ କରିଛନ୍ତି କି?")</f>
        <v>ଆପଣ ଦେୟ ଗ୍ରହଣ କରିଛନ୍ତି କି?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 t="str">
        <f>IFERROR(__xludf.DUMMYFUNCTION("""COMPUTED_VALUE"""),"InvoiceNumberGSTINNumber ")</f>
        <v>InvoiceNumberGSTINNumber </v>
      </c>
      <c r="B535" s="2" t="str">
        <f>IFERROR(__xludf.DUMMYFUNCTION("""COMPUTED_VALUE"""),"Invoice Number GSTIN Number")</f>
        <v>Invoice Number GSTIN Number</v>
      </c>
      <c r="C535" s="2">
        <f>IFERROR(__xludf.DUMMYFUNCTION("""COMPUTED_VALUE"""),0.3)</f>
        <v>0.3</v>
      </c>
      <c r="D535" s="2" t="str">
        <f>IFERROR(__xludf.DUMMYFUNCTION("""COMPUTED_VALUE"""),"ଇନଭଏସ୍ ନମ୍ବର ଜିଏସିନ୍ ନମ୍ବର |")</f>
        <v>ଇନଭଏସ୍ ନମ୍ବର ଜିଏସିନ୍ ନମ୍ବର |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 t="str">
        <f>IFERROR(__xludf.DUMMYFUNCTION("""COMPUTED_VALUE"""),"enterMobilenumber")</f>
        <v>enterMobilenumber</v>
      </c>
      <c r="B536" s="2" t="str">
        <f>IFERROR(__xludf.DUMMYFUNCTION("""COMPUTED_VALUE"""),"Enter Mobile Number")</f>
        <v>Enter Mobile Number</v>
      </c>
      <c r="C536" s="2">
        <f>IFERROR(__xludf.DUMMYFUNCTION("""COMPUTED_VALUE"""),0.1)</f>
        <v>0.1</v>
      </c>
      <c r="D536" s="2" t="str">
        <f>IFERROR(__xludf.DUMMYFUNCTION("""COMPUTED_VALUE"""),"ମୋବାଇଲ୍ ନମ୍ବର ପ୍ରବେଶ କରନ୍ତୁ |")</f>
        <v>ମୋବାଇଲ୍ ନମ୍ବର ପ୍ରବେଶ କରନ୍ତୁ |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 t="str">
        <f>IFERROR(__xludf.DUMMYFUNCTION("""COMPUTED_VALUE"""),"numberFor")</f>
        <v>numberFor</v>
      </c>
      <c r="B537" s="2" t="str">
        <f>IFERROR(__xludf.DUMMYFUNCTION("""COMPUTED_VALUE"""),"Number for")</f>
        <v>Number for</v>
      </c>
      <c r="C537" s="2"/>
      <c r="D537" s="2" t="str">
        <f>IFERROR(__xludf.DUMMYFUNCTION("""COMPUTED_VALUE"""),"ସଂଖ୍ୟା ପାଇଁ ସଂଖ୍ୟା")</f>
        <v>ସଂଖ୍ୟା ପାଇଁ ସଂଖ୍ୟା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 t="str">
        <f>IFERROR(__xludf.DUMMYFUNCTION("""COMPUTED_VALUE"""),"otpVerification")</f>
        <v>otpVerification</v>
      </c>
      <c r="B538" s="2" t="str">
        <f>IFERROR(__xludf.DUMMYFUNCTION("""COMPUTED_VALUE"""),"OTP Verification")</f>
        <v>OTP Verification</v>
      </c>
      <c r="C538" s="2"/>
      <c r="D538" s="2" t="str">
        <f>IFERROR(__xludf.DUMMYFUNCTION("""COMPUTED_VALUE"""),"OTP ଯାଞ୍ଚ |")</f>
        <v>OTP ଯାଞ୍ଚ |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 t="str">
        <f>IFERROR(__xludf.DUMMYFUNCTION("""COMPUTED_VALUE"""),"terms&amp;Conditions")</f>
        <v>terms&amp;Conditions</v>
      </c>
      <c r="B539" s="2" t="str">
        <f>IFERROR(__xludf.DUMMYFUNCTION("""COMPUTED_VALUE"""),"Terms &amp; Conditions")</f>
        <v>Terms &amp; Conditions</v>
      </c>
      <c r="C539" s="2">
        <f>IFERROR(__xludf.DUMMYFUNCTION("""COMPUTED_VALUE"""),0.2)</f>
        <v>0.2</v>
      </c>
      <c r="D539" s="2" t="str">
        <f>IFERROR(__xludf.DUMMYFUNCTION("""COMPUTED_VALUE"""),"ସର୍ତ୍ତାବଳୀ ଏବଂ ସର୍ତ୍ତଗୁଡିକ")</f>
        <v>ସର୍ତ୍ତାବଳୀ ଏବଂ ସର୍ତ୍ତଗୁଡିକ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 t="str">
        <f>IFERROR(__xludf.DUMMYFUNCTION("""COMPUTED_VALUE"""),"andPrivacyPolicy")</f>
        <v>andPrivacyPolicy</v>
      </c>
      <c r="B540" s="2" t="str">
        <f>IFERROR(__xludf.DUMMYFUNCTION("""COMPUTED_VALUE"""),"and Privacy Policy")</f>
        <v>and Privacy Policy</v>
      </c>
      <c r="C540" s="2"/>
      <c r="D540" s="2" t="str">
        <f>IFERROR(__xludf.DUMMYFUNCTION("""COMPUTED_VALUE"""),"ଏବଂ ଗୋପନୀୟତା ନୀତି |")</f>
        <v>ଏବଂ ଗୋପନୀୟତା ନୀତି |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 t="str">
        <f>IFERROR(__xludf.DUMMYFUNCTION("""COMPUTED_VALUE"""),"pleaseEnterThe")</f>
        <v>pleaseEnterThe</v>
      </c>
      <c r="B541" s="2" t="str">
        <f>IFERROR(__xludf.DUMMYFUNCTION("""COMPUTED_VALUE"""),"Please enter the")</f>
        <v>Please enter the</v>
      </c>
      <c r="C541" s="2">
        <f>IFERROR(__xludf.DUMMYFUNCTION("""COMPUTED_VALUE"""),0.1)</f>
        <v>0.1</v>
      </c>
      <c r="D541" s="2" t="str">
        <f>IFERROR(__xludf.DUMMYFUNCTION("""COMPUTED_VALUE"""),"ଦୟାକରି ପ୍ରବେଶ କରନ୍ତୁ |")</f>
        <v>ଦୟାକରି ପ୍ରବେଶ କରନ୍ତୁ |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 t="str">
        <f>IFERROR(__xludf.DUMMYFUNCTION("""COMPUTED_VALUE"""),"ReadyForPickup")</f>
        <v>ReadyForPickup</v>
      </c>
      <c r="B542" s="2" t="str">
        <f>IFERROR(__xludf.DUMMYFUNCTION("""COMPUTED_VALUE"""),"Ready For Pickup")</f>
        <v>Ready For Pickup</v>
      </c>
      <c r="C542" s="2">
        <f>IFERROR(__xludf.DUMMYFUNCTION("""COMPUTED_VALUE"""),0.3)</f>
        <v>0.3</v>
      </c>
      <c r="D542" s="2" t="str">
        <f>IFERROR(__xludf.DUMMYFUNCTION("""COMPUTED_VALUE"""),"ପିକଅପ୍ ପାଇଁ ପ୍ରସ୍ତୁତ |")</f>
        <v>ପିକଅପ୍ ପାଇଁ ପ୍ରସ୍ତୁତ |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 t="str">
        <f>IFERROR(__xludf.DUMMYFUNCTION("""COMPUTED_VALUE"""),"otpsentto")</f>
        <v>otpsentto</v>
      </c>
      <c r="B543" s="2" t="str">
        <f>IFERROR(__xludf.DUMMYFUNCTION("""COMPUTED_VALUE"""),"OTP Sent to")</f>
        <v>OTP Sent to</v>
      </c>
      <c r="C543" s="2">
        <f>IFERROR(__xludf.DUMMYFUNCTION("""COMPUTED_VALUE"""),0.1)</f>
        <v>0.1</v>
      </c>
      <c r="D543" s="2" t="str">
        <f>IFERROR(__xludf.DUMMYFUNCTION("""COMPUTED_VALUE"""),"OTP ପଠାଯାଇଛି |")</f>
        <v>OTP ପଠାଯାଇଛି |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 t="str">
        <f>IFERROR(__xludf.DUMMYFUNCTION("""COMPUTED_VALUE"""),"didntreceivetheotp?")</f>
        <v>didntreceivetheotp?</v>
      </c>
      <c r="B544" s="2" t="str">
        <f>IFERROR(__xludf.DUMMYFUNCTION("""COMPUTED_VALUE"""),"Didnt receive the OTP?")</f>
        <v>Didnt receive the OTP?</v>
      </c>
      <c r="C544" s="2">
        <f>IFERROR(__xludf.DUMMYFUNCTION("""COMPUTED_VALUE"""),0.1)</f>
        <v>0.1</v>
      </c>
      <c r="D544" s="2" t="str">
        <f>IFERROR(__xludf.DUMMYFUNCTION("""COMPUTED_VALUE"""),"OTP ଗ୍ରହଣ କଲା କି?")</f>
        <v>OTP ଗ୍ରହଣ କଲା କି?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 t="str">
        <f>IFERROR(__xludf.DUMMYFUNCTION("""COMPUTED_VALUE"""),"currentaddress")</f>
        <v>currentaddress</v>
      </c>
      <c r="B545" s="2" t="str">
        <f>IFERROR(__xludf.DUMMYFUNCTION("""COMPUTED_VALUE"""),"Current Address")</f>
        <v>Current Address</v>
      </c>
      <c r="C545" s="2"/>
      <c r="D545" s="2" t="str">
        <f>IFERROR(__xludf.DUMMYFUNCTION("""COMPUTED_VALUE"""),"ସାମ୍ପ୍ରତିକ ଠିକଣା")</f>
        <v>ସାମ୍ପ୍ରତିକ ଠିକଣା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 t="str">
        <f>IFERROR(__xludf.DUMMYFUNCTION("""COMPUTED_VALUE"""),"yourShop")</f>
        <v>yourShop</v>
      </c>
      <c r="B546" s="2" t="str">
        <f>IFERROR(__xludf.DUMMYFUNCTION("""COMPUTED_VALUE"""),"Your Shop")</f>
        <v>Your Shop</v>
      </c>
      <c r="C546" s="2"/>
      <c r="D546" s="2" t="str">
        <f>IFERROR(__xludf.DUMMYFUNCTION("""COMPUTED_VALUE"""),"ତୁମ ଦୋକାନ")</f>
        <v>ତୁମ ଦୋକାନ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 t="str">
        <f>IFERROR(__xludf.DUMMYFUNCTION("""COMPUTED_VALUE"""),"workingHours")</f>
        <v>workingHours</v>
      </c>
      <c r="B547" s="2" t="str">
        <f>IFERROR(__xludf.DUMMYFUNCTION("""COMPUTED_VALUE"""),"Working hours")</f>
        <v>Working hours</v>
      </c>
      <c r="C547" s="2">
        <f>IFERROR(__xludf.DUMMYFUNCTION("""COMPUTED_VALUE"""),0.4)</f>
        <v>0.4</v>
      </c>
      <c r="D547" s="2" t="str">
        <f>IFERROR(__xludf.DUMMYFUNCTION("""COMPUTED_VALUE"""),"କାର୍ଯ୍ୟ ସମୟ")</f>
        <v>କାର୍ଯ୍ୟ ସମୟ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 t="str">
        <f>IFERROR(__xludf.DUMMYFUNCTION("""COMPUTED_VALUE"""),"nameAsPerPancard")</f>
        <v>nameAsPerPancard</v>
      </c>
      <c r="B548" s="2" t="str">
        <f>IFERROR(__xludf.DUMMYFUNCTION("""COMPUTED_VALUE"""),"Name as per PAN card")</f>
        <v>Name as per PAN card</v>
      </c>
      <c r="C548" s="2">
        <f>IFERROR(__xludf.DUMMYFUNCTION("""COMPUTED_VALUE"""),0.1)</f>
        <v>0.1</v>
      </c>
      <c r="D548" s="2" t="str">
        <f>IFERROR(__xludf.DUMMYFUNCTION("""COMPUTED_VALUE"""),"ପାନ୍ କାର୍ଡ ଅନୁଯାୟୀ ନାମ |")</f>
        <v>ପାନ୍ କାର୍ଡ ଅନୁଯାୟୀ ନାମ |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 t="str">
        <f>IFERROR(__xludf.DUMMYFUNCTION("""COMPUTED_VALUE"""),"PanCard")</f>
        <v>PanCard</v>
      </c>
      <c r="B549" s="2" t="str">
        <f>IFERROR(__xludf.DUMMYFUNCTION("""COMPUTED_VALUE"""),"PAN Card")</f>
        <v>PAN Card</v>
      </c>
      <c r="C549" s="2">
        <f>IFERROR(__xludf.DUMMYFUNCTION("""COMPUTED_VALUE"""),0.1)</f>
        <v>0.1</v>
      </c>
      <c r="D549" s="2" t="str">
        <f>IFERROR(__xludf.DUMMYFUNCTION("""COMPUTED_VALUE"""),"ପାନ୍ କାର୍ଡ |")</f>
        <v>ପାନ୍ କାର୍ଡ |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 t="str">
        <f>IFERROR(__xludf.DUMMYFUNCTION("""COMPUTED_VALUE"""),"re-enter")</f>
        <v>re-enter</v>
      </c>
      <c r="B550" s="2" t="str">
        <f>IFERROR(__xludf.DUMMYFUNCTION("""COMPUTED_VALUE"""),"Re-enter")</f>
        <v>Re-enter</v>
      </c>
      <c r="C550" s="2"/>
      <c r="D550" s="2" t="str">
        <f>IFERROR(__xludf.DUMMYFUNCTION("""COMPUTED_VALUE"""),"ପୁନ enter- ପ୍ରବେଶ କର |")</f>
        <v>ପୁନ enter- ପ୍ରବେଶ କର |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 t="str">
        <f>IFERROR(__xludf.DUMMYFUNCTION("""COMPUTED_VALUE"""),"LocationPermission")</f>
        <v>LocationPermission</v>
      </c>
      <c r="B551" s="2" t="str">
        <f>IFERROR(__xludf.DUMMYFUNCTION("""COMPUTED_VALUE"""),"Location Permission")</f>
        <v>Location Permission</v>
      </c>
      <c r="C551" s="2">
        <f>IFERROR(__xludf.DUMMYFUNCTION("""COMPUTED_VALUE"""),0.3)</f>
        <v>0.3</v>
      </c>
      <c r="D551" s="2" t="str">
        <f>IFERROR(__xludf.DUMMYFUNCTION("""COMPUTED_VALUE"""),"ସ୍ଥାନ")</f>
        <v>ସ୍ଥାନ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 t="str">
        <f>IFERROR(__xludf.DUMMYFUNCTION("""COMPUTED_VALUE"""),"notdelivery")</f>
        <v>notdelivery</v>
      </c>
      <c r="B552" s="2" t="str">
        <f>IFERROR(__xludf.DUMMYFUNCTION("""COMPUTED_VALUE"""),"Not Delivery ")</f>
        <v>Not Delivery </v>
      </c>
      <c r="C552" s="2">
        <f>IFERROR(__xludf.DUMMYFUNCTION("""COMPUTED_VALUE"""),0.4)</f>
        <v>0.4</v>
      </c>
      <c r="D552" s="2" t="str">
        <f>IFERROR(__xludf.DUMMYFUNCTION("""COMPUTED_VALUE"""),"ବିତରଣ ନୁହେଁ |")</f>
        <v>ବିତରଣ ନୁହେଁ |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 t="str">
        <f>IFERROR(__xludf.DUMMYFUNCTION("""COMPUTED_VALUE"""),"wholesaler")</f>
        <v>wholesaler</v>
      </c>
      <c r="B553" s="2" t="str">
        <f>IFERROR(__xludf.DUMMYFUNCTION("""COMPUTED_VALUE"""),"Wholesaler")</f>
        <v>Wholesaler</v>
      </c>
      <c r="C553" s="2">
        <f>IFERROR(__xludf.DUMMYFUNCTION("""COMPUTED_VALUE"""),0.4)</f>
        <v>0.4</v>
      </c>
      <c r="D553" s="2" t="str">
        <f>IFERROR(__xludf.DUMMYFUNCTION("""COMPUTED_VALUE"""),"Hoolsalealer")</f>
        <v>Hoolsalealer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 t="str">
        <f>IFERROR(__xludf.DUMMYFUNCTION("""COMPUTED_VALUE"""),"toDelete?")</f>
        <v>toDelete?</v>
      </c>
      <c r="B554" s="2" t="str">
        <f>IFERROR(__xludf.DUMMYFUNCTION("""COMPUTED_VALUE"""),"to delete?")</f>
        <v>to delete?</v>
      </c>
      <c r="C554" s="2"/>
      <c r="D554" s="2" t="str">
        <f>IFERROR(__xludf.DUMMYFUNCTION("""COMPUTED_VALUE"""),"ବିଲୋପ କରିବାକୁ?")</f>
        <v>ବିଲୋପ କରିବାକୁ?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 t="str">
        <f>IFERROR(__xludf.DUMMYFUNCTION("""COMPUTED_VALUE"""),"youCannotDelete")</f>
        <v>youCannotDelete</v>
      </c>
      <c r="B555" s="2" t="str">
        <f>IFERROR(__xludf.DUMMYFUNCTION("""COMPUTED_VALUE"""),"You Cannot Delete")</f>
        <v>You Cannot Delete</v>
      </c>
      <c r="C555" s="2"/>
      <c r="D555" s="2" t="str">
        <f>IFERROR(__xludf.DUMMYFUNCTION("""COMPUTED_VALUE"""),"ଆପଣ ବିଲୋପ କରିପାରିବେ ନାହିଁ |")</f>
        <v>ଆପଣ ବିଲୋପ କରିପାରିବେ ନାହିଁ |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 t="str">
        <f>IFERROR(__xludf.DUMMYFUNCTION("""COMPUTED_VALUE"""),"activeUser!")</f>
        <v>activeUser!</v>
      </c>
      <c r="B556" s="2" t="str">
        <f>IFERROR(__xludf.DUMMYFUNCTION("""COMPUTED_VALUE"""),"Active User!")</f>
        <v>Active User!</v>
      </c>
      <c r="C556" s="2"/>
      <c r="D556" s="2" t="str">
        <f>IFERROR(__xludf.DUMMYFUNCTION("""COMPUTED_VALUE"""),"ସକ୍ରିୟ ଉପଭୋକ୍ତା!")</f>
        <v>ସକ୍ରିୟ ଉପଭୋକ୍ତା!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 t="str">
        <f>IFERROR(__xludf.DUMMYFUNCTION("""COMPUTED_VALUE"""),"selectCategory")</f>
        <v>selectCategory</v>
      </c>
      <c r="B557" s="2" t="str">
        <f>IFERROR(__xludf.DUMMYFUNCTION("""COMPUTED_VALUE"""),"Select Category")</f>
        <v>Select Category</v>
      </c>
      <c r="C557" s="2"/>
      <c r="D557" s="2" t="str">
        <f>IFERROR(__xludf.DUMMYFUNCTION("""COMPUTED_VALUE"""),"ବର୍ଗ ଚୟନ କରନ୍ତୁ |")</f>
        <v>ବର୍ଗ ଚୟନ କରନ୍ତୁ |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 t="str">
        <f>IFERROR(__xludf.DUMMYFUNCTION("""COMPUTED_VALUE"""),"toAddProduct")</f>
        <v>toAddProduct</v>
      </c>
      <c r="B558" s="2" t="str">
        <f>IFERROR(__xludf.DUMMYFUNCTION("""COMPUTED_VALUE"""),"To Add Product")</f>
        <v>To Add Product</v>
      </c>
      <c r="C558" s="2"/>
      <c r="D558" s="2" t="str">
        <f>IFERROR(__xludf.DUMMYFUNCTION("""COMPUTED_VALUE"""),"ଉତ୍ପାଦ ଯୋଡିବାକୁ |")</f>
        <v>ଉତ୍ପାଦ ଯୋଡିବାକୁ |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 t="str">
        <f>IFERROR(__xludf.DUMMYFUNCTION("""COMPUTED_VALUE"""),"mini.qtyperOrder")</f>
        <v>mini.qtyperOrder</v>
      </c>
      <c r="B559" s="2" t="str">
        <f>IFERROR(__xludf.DUMMYFUNCTION("""COMPUTED_VALUE"""),"MIni. qty per Order ")</f>
        <v>MIni. qty per Order </v>
      </c>
      <c r="C559" s="2">
        <f>IFERROR(__xludf.DUMMYFUNCTION("""COMPUTED_VALUE"""),0.3)</f>
        <v>0.3</v>
      </c>
      <c r="D559" s="2" t="str">
        <f>IFERROR(__xludf.DUMMYFUNCTION("""COMPUTED_VALUE"""),"ମିନି qty କ୍ରମ")</f>
        <v>ମିନି qty କ୍ରମ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 t="str">
        <f>IFERROR(__xludf.DUMMYFUNCTION("""COMPUTED_VALUE"""),"SaveAddress")</f>
        <v>SaveAddress</v>
      </c>
      <c r="B560" s="2" t="str">
        <f>IFERROR(__xludf.DUMMYFUNCTION("""COMPUTED_VALUE"""),"Save Address")</f>
        <v>Save Address</v>
      </c>
      <c r="C560" s="2">
        <f>IFERROR(__xludf.DUMMYFUNCTION("""COMPUTED_VALUE"""),0.3)</f>
        <v>0.3</v>
      </c>
      <c r="D560" s="2" t="str">
        <f>IFERROR(__xludf.DUMMYFUNCTION("""COMPUTED_VALUE"""),"ଠିକଣା ସଞ୍ଚୟ କରନ୍ତୁ |")</f>
        <v>ଠିକଣା ସଞ୍ଚୟ କରନ୍ତୁ |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 t="str">
        <f>IFERROR(__xludf.DUMMYFUNCTION("""COMPUTED_VALUE"""),"PleaseSaveYourAddresss")</f>
        <v>PleaseSaveYourAddresss</v>
      </c>
      <c r="B561" s="2" t="str">
        <f>IFERROR(__xludf.DUMMYFUNCTION("""COMPUTED_VALUE"""),"Please Save Your Address")</f>
        <v>Please Save Your Address</v>
      </c>
      <c r="C561" s="2"/>
      <c r="D561" s="2" t="str">
        <f>IFERROR(__xludf.DUMMYFUNCTION("""COMPUTED_VALUE"""),"ଦୟାକରି ଆପଣଙ୍କର ଠିକଣା ସଞ୍ଚୟ କରନ୍ତୁ |")</f>
        <v>ଦୟାକରି ଆପଣଙ୍କର ଠିକଣା ସଞ୍ଚୟ କରନ୍ତୁ |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 t="str">
        <f>IFERROR(__xludf.DUMMYFUNCTION("""COMPUTED_VALUE"""),"yourUnsaved")</f>
        <v>yourUnsaved</v>
      </c>
      <c r="B562" s="2" t="str">
        <f>IFERROR(__xludf.DUMMYFUNCTION("""COMPUTED_VALUE"""),"Your unsaved")</f>
        <v>Your unsaved</v>
      </c>
      <c r="C562" s="2"/>
      <c r="D562" s="2" t="str">
        <f>IFERROR(__xludf.DUMMYFUNCTION("""COMPUTED_VALUE"""),"ତୁମର ବିବ୍ରତ")</f>
        <v>ତୁମର ବିବ୍ରତ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 t="str">
        <f>IFERROR(__xludf.DUMMYFUNCTION("""COMPUTED_VALUE"""),"detailsWill")</f>
        <v>detailsWill</v>
      </c>
      <c r="B563" s="2" t="str">
        <f>IFERROR(__xludf.DUMMYFUNCTION("""COMPUTED_VALUE"""),"details will")</f>
        <v>details will</v>
      </c>
      <c r="C563" s="2"/>
      <c r="D563" s="2" t="str">
        <f>IFERROR(__xludf.DUMMYFUNCTION("""COMPUTED_VALUE"""),"ବିବରଣୀ ହେବ")</f>
        <v>ବିବରଣୀ ହେବ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 t="str">
        <f>IFERROR(__xludf.DUMMYFUNCTION("""COMPUTED_VALUE"""),"beLost")</f>
        <v>beLost</v>
      </c>
      <c r="B564" s="2" t="str">
        <f>IFERROR(__xludf.DUMMYFUNCTION("""COMPUTED_VALUE"""),"be lost.")</f>
        <v>be lost.</v>
      </c>
      <c r="C564" s="2"/>
      <c r="D564" s="2" t="str">
        <f>IFERROR(__xludf.DUMMYFUNCTION("""COMPUTED_VALUE"""),"ହଜିଯାଅ")</f>
        <v>ହଜିଯାଅ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 t="str">
        <f>IFERROR(__xludf.DUMMYFUNCTION("""COMPUTED_VALUE"""),"saveChanges")</f>
        <v>saveChanges</v>
      </c>
      <c r="B565" s="2" t="str">
        <f>IFERROR(__xludf.DUMMYFUNCTION("""COMPUTED_VALUE"""),"Save changes")</f>
        <v>Save changes</v>
      </c>
      <c r="C565" s="2"/>
      <c r="D565" s="2" t="str">
        <f>IFERROR(__xludf.DUMMYFUNCTION("""COMPUTED_VALUE"""),"ପରିବର୍ତ୍ତନଗୁଡିକ ସଞ୍ଚୟ କରନ୍ତୁ |")</f>
        <v>ପରିବର୍ତ୍ତନଗୁଡିକ ସଞ୍ଚୟ କରନ୍ତୁ |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 t="str">
        <f>IFERROR(__xludf.DUMMYFUNCTION("""COMPUTED_VALUE"""),"beforeClosing")</f>
        <v>beforeClosing</v>
      </c>
      <c r="B566" s="2" t="str">
        <f>IFERROR(__xludf.DUMMYFUNCTION("""COMPUTED_VALUE"""),"before closing")</f>
        <v>before closing</v>
      </c>
      <c r="C566" s="2"/>
      <c r="D566" s="2" t="str">
        <f>IFERROR(__xludf.DUMMYFUNCTION("""COMPUTED_VALUE"""),"ବନ୍ଦ କରିବା ପୂର୍ବରୁ")</f>
        <v>ବନ୍ଦ କରିବା ପୂର୍ବରୁ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 t="str">
        <f>IFERROR(__xludf.DUMMYFUNCTION("""COMPUTED_VALUE"""),"wouldYouLike")</f>
        <v>wouldYouLike</v>
      </c>
      <c r="B567" s="2" t="str">
        <f>IFERROR(__xludf.DUMMYFUNCTION("""COMPUTED_VALUE"""),"Would you like")</f>
        <v>Would you like</v>
      </c>
      <c r="C567" s="2"/>
      <c r="D567" s="2" t="str">
        <f>IFERROR(__xludf.DUMMYFUNCTION("""COMPUTED_VALUE"""),"ଆପଣ ପସନ୍ଦ କରିବେକି")</f>
        <v>ଆପଣ ପସନ୍ଦ କରିବେକି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 t="str">
        <f>IFERROR(__xludf.DUMMYFUNCTION("""COMPUTED_VALUE"""),"toMoveTo")</f>
        <v>toMoveTo</v>
      </c>
      <c r="B568" s="2" t="str">
        <f>IFERROR(__xludf.DUMMYFUNCTION("""COMPUTED_VALUE"""),"to move to")</f>
        <v>to move to</v>
      </c>
      <c r="C568" s="2"/>
      <c r="D568" s="2" t="str">
        <f>IFERROR(__xludf.DUMMYFUNCTION("""COMPUTED_VALUE"""),"କୁ ଯିବା ପାଇଁ")</f>
        <v>କୁ ଯିବା ପାଇଁ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 t="str">
        <f>IFERROR(__xludf.DUMMYFUNCTION("""COMPUTED_VALUE"""),"Locationisneededfortheapptoworkproperly,kindlygotosettingsandprovidelocationpermissiontoapp.")</f>
        <v>Locationisneededfortheapptoworkproperly,kindlygotosettingsandprovidelocationpermissiontoapp.</v>
      </c>
      <c r="B569" s="2" t="str">
        <f>IFERROR(__xludf.DUMMYFUNCTION("""COMPUTED_VALUE"""),"Location is needed for the app to work properly, kindly go to settings and provide location permission to app.")</f>
        <v>Location is needed for the app to work properly, kindly go to settings and provide location permission to app.</v>
      </c>
      <c r="C569" s="2"/>
      <c r="D569" s="2" t="str">
        <f>IFERROR(__xludf.DUMMYFUNCTION("""COMPUTED_VALUE"""),"ଆପ୍ ସଠିକ୍ ଭାବରେ କାର୍ଯ୍ୟ କରିବାକୁ ସ୍ଥାନ ଆବଶ୍ୟକ, ଦୟାକରି ଆପରୁ ସ୍ଥାନ ଅନୁମତି ପ୍ରଦାନ କରନ୍ତୁ ଏବଂ ବ୍ୟବହାର ଅନୁମତି ପ୍ରଦାନ କରନ୍ତୁ |")</f>
        <v>ଆପ୍ ସଠିକ୍ ଭାବରେ କାର୍ଯ୍ୟ କରିବାକୁ ସ୍ଥାନ ଆବଶ୍ୟକ, ଦୟାକରି ଆପରୁ ସ୍ଥାନ ଅନୁମତି ପ୍ରଦାନ କରନ୍ତୁ ଏବଂ ବ୍ୟବହାର ଅନୁମତି ପ୍ରଦାନ କରନ୍ତୁ |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 t="str">
        <f>IFERROR(__xludf.DUMMYFUNCTION("""COMPUTED_VALUE"""),"areYouSure")</f>
        <v>areYouSure</v>
      </c>
      <c r="B570" s="2" t="str">
        <f>IFERROR(__xludf.DUMMYFUNCTION("""COMPUTED_VALUE"""),"Are you sure ?")</f>
        <v>Are you sure ?</v>
      </c>
      <c r="C570" s="2">
        <f>IFERROR(__xludf.DUMMYFUNCTION("""COMPUTED_VALUE"""),0.4)</f>
        <v>0.4</v>
      </c>
      <c r="D570" s="2" t="str">
        <f>IFERROR(__xludf.DUMMYFUNCTION("""COMPUTED_VALUE"""),"ତମେ ନିଶ୍ଚିତ କି ?")</f>
        <v>ତମେ ନିଶ୍ଚିତ କି ?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 t="str">
        <f>IFERROR(__xludf.DUMMYFUNCTION("""COMPUTED_VALUE"""),"doYouWant")</f>
        <v>doYouWant</v>
      </c>
      <c r="B571" s="2" t="str">
        <f>IFERROR(__xludf.DUMMYFUNCTION("""COMPUTED_VALUE"""),"Do you want")</f>
        <v>Do you want</v>
      </c>
      <c r="C571" s="2"/>
      <c r="D571" s="2" t="str">
        <f>IFERROR(__xludf.DUMMYFUNCTION("""COMPUTED_VALUE"""),"ଆପଣଙ୍କୁ ଦରକାର କି")</f>
        <v>ଆପଣଙ୍କୁ ଦରକାର କି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 t="str">
        <f>IFERROR(__xludf.DUMMYFUNCTION("""COMPUTED_VALUE"""),"max.qtyperorder")</f>
        <v>max.qtyperorder</v>
      </c>
      <c r="B572" s="2" t="str">
        <f>IFERROR(__xludf.DUMMYFUNCTION("""COMPUTED_VALUE"""),"Max. qty per Order ")</f>
        <v>Max. qty per Order </v>
      </c>
      <c r="C572" s="2">
        <f>IFERROR(__xludf.DUMMYFUNCTION("""COMPUTED_VALUE"""),0.3)</f>
        <v>0.3</v>
      </c>
      <c r="D572" s="2" t="str">
        <f>IFERROR(__xludf.DUMMYFUNCTION("""COMPUTED_VALUE"""),"ସର୍ବାଧିକ qty କ୍ରମ")</f>
        <v>ସର୍ବାଧିକ qty କ୍ରମ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 t="str">
        <f>IFERROR(__xludf.DUMMYFUNCTION("""COMPUTED_VALUE"""),"rambutanIs")</f>
        <v>rambutanIs</v>
      </c>
      <c r="B573" s="2" t="str">
        <f>IFERROR(__xludf.DUMMYFUNCTION("""COMPUTED_VALUE"""),"Rambutan is")</f>
        <v>Rambutan is</v>
      </c>
      <c r="C573" s="2"/>
      <c r="D573" s="2" t="str">
        <f>IFERROR(__xludf.DUMMYFUNCTION("""COMPUTED_VALUE"""),"ରାମବାଟାନ୍ ହେଉଛି |")</f>
        <v>ରାମବାଟାନ୍ ହେଉଛି |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 t="str">
        <f>IFERROR(__xludf.DUMMYFUNCTION("""COMPUTED_VALUE"""),"movedTo")</f>
        <v>movedTo</v>
      </c>
      <c r="B574" s="2" t="str">
        <f>IFERROR(__xludf.DUMMYFUNCTION("""COMPUTED_VALUE"""),"Moved To")</f>
        <v>Moved To</v>
      </c>
      <c r="C574" s="2"/>
      <c r="D574" s="2" t="str">
        <f>IFERROR(__xludf.DUMMYFUNCTION("""COMPUTED_VALUE"""),"କୁ ଘୁଞ୍ଚିଗଲା |")</f>
        <v>କୁ ଘୁଞ୍ଚିଗଲା |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 t="str">
        <f>IFERROR(__xludf.DUMMYFUNCTION("""COMPUTED_VALUE"""),"BPLID")</f>
        <v>BPLID</v>
      </c>
      <c r="B575" s="2" t="str">
        <f>IFERROR(__xludf.DUMMYFUNCTION("""COMPUTED_VALUE"""),"BPL ID")</f>
        <v>BPL ID</v>
      </c>
      <c r="C575" s="2"/>
      <c r="D575" s="2" t="str">
        <f>IFERROR(__xludf.DUMMYFUNCTION("""COMPUTED_VALUE"""),"BPL ID")</f>
        <v>BPL ID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 t="str">
        <f>IFERROR(__xludf.DUMMYFUNCTION("""COMPUTED_VALUE"""),"Searchbyfruitscategory")</f>
        <v>Searchbyfruitscategory</v>
      </c>
      <c r="B576" s="2" t="str">
        <f>IFERROR(__xludf.DUMMYFUNCTION("""COMPUTED_VALUE"""),"Search By Category ")</f>
        <v>Search By Category </v>
      </c>
      <c r="C576" s="2">
        <f>IFERROR(__xludf.DUMMYFUNCTION("""COMPUTED_VALUE"""),0.4)</f>
        <v>0.4</v>
      </c>
      <c r="D576" s="2" t="str">
        <f>IFERROR(__xludf.DUMMYFUNCTION("""COMPUTED_VALUE"""),"ବର୍ଗ ଅନୁଯାୟୀ ସନ୍ଧାନ କରନ୍ତୁ |")</f>
        <v>ବର୍ଗ ଅନୁଯାୟୀ ସନ୍ଧାନ କରନ୍ତୁ |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 t="str">
        <f>IFERROR(__xludf.DUMMYFUNCTION("""COMPUTED_VALUE"""),"TypeSomethingHere")</f>
        <v>TypeSomethingHere</v>
      </c>
      <c r="B577" s="2" t="str">
        <f>IFERROR(__xludf.DUMMYFUNCTION("""COMPUTED_VALUE"""),"Type Something Here")</f>
        <v>Type Something Here</v>
      </c>
      <c r="C577" s="2">
        <f>IFERROR(__xludf.DUMMYFUNCTION("""COMPUTED_VALUE"""),0.3)</f>
        <v>0.3</v>
      </c>
      <c r="D577" s="2" t="str">
        <f>IFERROR(__xludf.DUMMYFUNCTION("""COMPUTED_VALUE"""),"ଏଠାରେ କିଛି ଟାଇପ୍ କରନ୍ତୁ |")</f>
        <v>ଏଠାରେ କିଛି ଟାଇପ୍ କରନ୍ତୁ |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 t="str">
        <f>IFERROR(__xludf.DUMMYFUNCTION("""COMPUTED_VALUE"""),"imSelling")</f>
        <v>imSelling</v>
      </c>
      <c r="B578" s="2" t="str">
        <f>IFERROR(__xludf.DUMMYFUNCTION("""COMPUTED_VALUE"""),"Im Selling")</f>
        <v>Im Selling</v>
      </c>
      <c r="C578" s="2">
        <f>IFERROR(__xludf.DUMMYFUNCTION("""COMPUTED_VALUE"""),0.1)</f>
        <v>0.1</v>
      </c>
      <c r="D578" s="2" t="str">
        <f>IFERROR(__xludf.DUMMYFUNCTION("""COMPUTED_VALUE"""),"ମୁଁ ବିକ୍ରୟ କରୁଛି")</f>
        <v>ମୁଁ ବିକ୍ରୟ କରୁଛି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 t="str">
        <f>IFERROR(__xludf.DUMMYFUNCTION("""COMPUTED_VALUE"""),"searchBy")</f>
        <v>searchBy</v>
      </c>
      <c r="B579" s="2" t="str">
        <f>IFERROR(__xludf.DUMMYFUNCTION("""COMPUTED_VALUE"""),"Search By")</f>
        <v>Search By</v>
      </c>
      <c r="C579" s="2">
        <f>IFERROR(__xludf.DUMMYFUNCTION("""COMPUTED_VALUE"""),0.1)</f>
        <v>0.1</v>
      </c>
      <c r="D579" s="2" t="str">
        <f>IFERROR(__xludf.DUMMYFUNCTION("""COMPUTED_VALUE"""),"ଦ୍ୱାରା ଖୋଜ")</f>
        <v>ଦ୍ୱାରା ଖୋଜ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 t="str">
        <f>IFERROR(__xludf.DUMMYFUNCTION("""COMPUTED_VALUE"""),"fruitsCategory")</f>
        <v>fruitsCategory</v>
      </c>
      <c r="B580" s="2" t="str">
        <f>IFERROR(__xludf.DUMMYFUNCTION("""COMPUTED_VALUE"""),"Fruits Category")</f>
        <v>Fruits Category</v>
      </c>
      <c r="C580" s="2">
        <f>IFERROR(__xludf.DUMMYFUNCTION("""COMPUTED_VALUE"""),0.1)</f>
        <v>0.1</v>
      </c>
      <c r="D580" s="2" t="str">
        <f>IFERROR(__xludf.DUMMYFUNCTION("""COMPUTED_VALUE"""),"ଫଳ ବର୍ଗ")</f>
        <v>ଫଳ ବର୍ଗ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 t="str">
        <f>IFERROR(__xludf.DUMMYFUNCTION("""COMPUTED_VALUE"""),"thisorderwasdelivered")</f>
        <v>thisorderwasdelivered</v>
      </c>
      <c r="B581" s="2" t="str">
        <f>IFERROR(__xludf.DUMMYFUNCTION("""COMPUTED_VALUE"""),"This Order was Delivered")</f>
        <v>This Order was Delivered</v>
      </c>
      <c r="C581" s="2" t="str">
        <f>IFERROR(__xludf.DUMMYFUNCTION("""COMPUTED_VALUE"""),"0.4.1")</f>
        <v>0.4.1</v>
      </c>
      <c r="D581" s="2" t="str">
        <f>IFERROR(__xludf.DUMMYFUNCTION("""COMPUTED_VALUE"""),"ଏହି କ୍ରମ ବିତରଣ କରାଯାଇଥିଲା |")</f>
        <v>ଏହି କ୍ରମ ବିତରଣ କରାଯାଇଥିଲା |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 t="str">
        <f>IFERROR(__xludf.DUMMYFUNCTION("""COMPUTED_VALUE"""),"repeatorder")</f>
        <v>repeatorder</v>
      </c>
      <c r="B582" s="2" t="str">
        <f>IFERROR(__xludf.DUMMYFUNCTION("""COMPUTED_VALUE"""),"Repeat Order")</f>
        <v>Repeat Order</v>
      </c>
      <c r="C582" s="2" t="str">
        <f>IFERROR(__xludf.DUMMYFUNCTION("""COMPUTED_VALUE"""),"0.4.1")</f>
        <v>0.4.1</v>
      </c>
      <c r="D582" s="2" t="str">
        <f>IFERROR(__xludf.DUMMYFUNCTION("""COMPUTED_VALUE"""),"ପୁନରାବୃତ୍ତି ଆଦେଶ")</f>
        <v>ପୁନରାବୃତ୍ତି ଆଦେଶ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 t="str">
        <f>IFERROR(__xludf.DUMMYFUNCTION("""COMPUTED_VALUE"""),"DoyouwanttoAccepttheorder")</f>
        <v>DoyouwanttoAccepttheorder</v>
      </c>
      <c r="B583" s="2" t="str">
        <f>IFERROR(__xludf.DUMMYFUNCTION("""COMPUTED_VALUE"""),"Do you want to Accept the order ?")</f>
        <v>Do you want to Accept the order ?</v>
      </c>
      <c r="C583" s="2"/>
      <c r="D583" s="2" t="str">
        <f>IFERROR(__xludf.DUMMYFUNCTION("""COMPUTED_VALUE"""),"ଆପଣ ଅର୍ଡର ଗ୍ରହଣ କରିବାକୁ ଚାହୁଁଛନ୍ତି କି?")</f>
        <v>ଆପଣ ଅର୍ଡର ଗ୍ରହଣ କରିବାକୁ ଚାହୁଁଛନ୍ତି କି?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 t="str">
        <f>IFERROR(__xludf.DUMMYFUNCTION("""COMPUTED_VALUE"""),"DoyouwanttoReadytheorder ")</f>
        <v>DoyouwanttoReadytheorder </v>
      </c>
      <c r="B584" s="2" t="str">
        <f>IFERROR(__xludf.DUMMYFUNCTION("""COMPUTED_VALUE"""),"Do you want to Ready the order ?")</f>
        <v>Do you want to Ready the order ?</v>
      </c>
      <c r="C584" s="2"/>
      <c r="D584" s="2" t="str">
        <f>IFERROR(__xludf.DUMMYFUNCTION("""COMPUTED_VALUE"""),"ଆପଣ ଅର୍ଡର ପ୍ରସ୍ତୁତ କରିବାକୁ ଚାହୁଁଛନ୍ତି କି?")</f>
        <v>ଆପଣ ଅର୍ଡର ପ୍ରସ୍ତୁତ କରିବାକୁ ଚାହୁଁଛନ୍ତି କି?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 t="str">
        <f>IFERROR(__xludf.DUMMYFUNCTION("""COMPUTED_VALUE"""),"clear")</f>
        <v>clear</v>
      </c>
      <c r="B585" s="2" t="str">
        <f>IFERROR(__xludf.DUMMYFUNCTION("""COMPUTED_VALUE"""),"Clear")</f>
        <v>Clear</v>
      </c>
      <c r="C585" s="2">
        <f>IFERROR(__xludf.DUMMYFUNCTION("""COMPUTED_VALUE"""),0.1)</f>
        <v>0.1</v>
      </c>
      <c r="D585" s="2" t="str">
        <f>IFERROR(__xludf.DUMMYFUNCTION("""COMPUTED_VALUE"""),"ସଫା")</f>
        <v>ସଫା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 t="str">
        <f>IFERROR(__xludf.DUMMYFUNCTION("""COMPUTED_VALUE"""),"selectFruits")</f>
        <v>selectFruits</v>
      </c>
      <c r="B586" s="2" t="str">
        <f>IFERROR(__xludf.DUMMYFUNCTION("""COMPUTED_VALUE"""),"Select Fruits")</f>
        <v>Select Fruits</v>
      </c>
      <c r="C586" s="2"/>
      <c r="D586" s="2" t="str">
        <f>IFERROR(__xludf.DUMMYFUNCTION("""COMPUTED_VALUE"""),"ଫଳଗୁଡିକ ବାଛ")</f>
        <v>ଫଳଗୁଡିକ ବାଛ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 t="str">
        <f>IFERROR(__xludf.DUMMYFUNCTION("""COMPUTED_VALUE"""),"category")</f>
        <v>category</v>
      </c>
      <c r="B587" s="2" t="str">
        <f>IFERROR(__xludf.DUMMYFUNCTION("""COMPUTED_VALUE"""),"Category")</f>
        <v>Category</v>
      </c>
      <c r="C587" s="2">
        <f>IFERROR(__xludf.DUMMYFUNCTION("""COMPUTED_VALUE"""),0.4)</f>
        <v>0.4</v>
      </c>
      <c r="D587" s="2" t="str">
        <f>IFERROR(__xludf.DUMMYFUNCTION("""COMPUTED_VALUE"""),"ବର୍ଗ")</f>
        <v>ବର୍ଗ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 t="str">
        <f>IFERROR(__xludf.DUMMYFUNCTION("""COMPUTED_VALUE"""),"DoyouwanttoDelivertheorder ")</f>
        <v>DoyouwanttoDelivertheorder </v>
      </c>
      <c r="B588" s="2" t="str">
        <f>IFERROR(__xludf.DUMMYFUNCTION("""COMPUTED_VALUE"""),"Do you want to Deliver the order ?")</f>
        <v>Do you want to Deliver the order ?</v>
      </c>
      <c r="C588" s="2">
        <f>IFERROR(__xludf.DUMMYFUNCTION("""COMPUTED_VALUE"""),0.3)</f>
        <v>0.3</v>
      </c>
      <c r="D588" s="2" t="str">
        <f>IFERROR(__xludf.DUMMYFUNCTION("""COMPUTED_VALUE"""),"ଆପଣ ଅର୍ଡର ବିତରଣ କରିବାକୁ ଚାହୁଁଛନ୍ତି କି?")</f>
        <v>ଆପଣ ଅର୍ଡର ବିତରଣ କରିବାକୁ ଚାହୁଁଛନ୍ତି କି?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 t="str">
        <f>IFERROR(__xludf.DUMMYFUNCTION("""COMPUTED_VALUE"""),"DoyouwanttoPickuptheorder ")</f>
        <v>DoyouwanttoPickuptheorder </v>
      </c>
      <c r="B589" s="2" t="str">
        <f>IFERROR(__xludf.DUMMYFUNCTION("""COMPUTED_VALUE"""),"Do you want to Pick Up the order ?")</f>
        <v>Do you want to Pick Up the order ?</v>
      </c>
      <c r="C589" s="2"/>
      <c r="D589" s="2" t="str">
        <f>IFERROR(__xludf.DUMMYFUNCTION("""COMPUTED_VALUE"""),"ଆପଣ ଅର୍ଡର ନେବାକୁ ଚାହୁଁଛନ୍ତି କି?")</f>
        <v>ଆପଣ ଅର୍ଡର ନେବାକୁ ଚାହୁଁଛନ୍ତି କି?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 t="str">
        <f>IFERROR(__xludf.DUMMYFUNCTION("""COMPUTED_VALUE"""),"DoyouwanttoNo-Show theorder ")</f>
        <v>DoyouwanttoNo-Show theorder </v>
      </c>
      <c r="B590" s="2" t="str">
        <f>IFERROR(__xludf.DUMMYFUNCTION("""COMPUTED_VALUE"""),"Do you want to No-Show the order ?")</f>
        <v>Do you want to No-Show the order ?</v>
      </c>
      <c r="C590" s="2"/>
      <c r="D590" s="2" t="str">
        <f>IFERROR(__xludf.DUMMYFUNCTION("""COMPUTED_VALUE"""),"ଆପଣ ଅର୍ଡର ଦେଖାଇବାକୁ ଚାହୁଁଛନ୍ତି କି?")</f>
        <v>ଆପଣ ଅର୍ଡର ଦେଖାଇବାକୁ ଚାହୁଁଛନ୍ତି କି?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 t="str">
        <f>IFERROR(__xludf.DUMMYFUNCTION("""COMPUTED_VALUE"""),"berry")</f>
        <v>berry</v>
      </c>
      <c r="B591" s="2" t="str">
        <f>IFERROR(__xludf.DUMMYFUNCTION("""COMPUTED_VALUE"""),"Berry")</f>
        <v>Berry</v>
      </c>
      <c r="C591" s="2"/>
      <c r="D591" s="2" t="str">
        <f>IFERROR(__xludf.DUMMYFUNCTION("""COMPUTED_VALUE"""),"ବିରି")</f>
        <v>ବିରି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 t="str">
        <f>IFERROR(__xludf.DUMMYFUNCTION("""COMPUTED_VALUE"""),"productDetails")</f>
        <v>productDetails</v>
      </c>
      <c r="B592" s="2" t="str">
        <f>IFERROR(__xludf.DUMMYFUNCTION("""COMPUTED_VALUE"""),"Product Details")</f>
        <v>Product Details</v>
      </c>
      <c r="C592" s="2">
        <f>IFERROR(__xludf.DUMMYFUNCTION("""COMPUTED_VALUE"""),0.3)</f>
        <v>0.3</v>
      </c>
      <c r="D592" s="2" t="str">
        <f>IFERROR(__xludf.DUMMYFUNCTION("""COMPUTED_VALUE"""),"ଉତ୍ପାଦ ବିବରଣୀ")</f>
        <v>ଉତ୍ପାଦ ବିବରଣୀ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 t="str">
        <f>IFERROR(__xludf.DUMMYFUNCTION("""COMPUTED_VALUE"""),"listed")</f>
        <v>listed</v>
      </c>
      <c r="B593" s="2" t="str">
        <f>IFERROR(__xludf.DUMMYFUNCTION("""COMPUTED_VALUE"""),"Listed")</f>
        <v>Listed</v>
      </c>
      <c r="C593" s="2"/>
      <c r="D593" s="2" t="str">
        <f>IFERROR(__xludf.DUMMYFUNCTION("""COMPUTED_VALUE"""),"ତାଲିକାଭୁକ୍ତ |")</f>
        <v>ତାଲିକାଭୁକ୍ତ |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 t="str">
        <f>IFERROR(__xludf.DUMMYFUNCTION("""COMPUTED_VALUE"""),"unlisted")</f>
        <v>unlisted</v>
      </c>
      <c r="B594" s="2" t="str">
        <f>IFERROR(__xludf.DUMMYFUNCTION("""COMPUTED_VALUE"""),"Unlisted")</f>
        <v>Unlisted</v>
      </c>
      <c r="C594" s="2"/>
      <c r="D594" s="2" t="str">
        <f>IFERROR(__xludf.DUMMYFUNCTION("""COMPUTED_VALUE"""),"ତାଲିକାଭୁକ୍ତ")</f>
        <v>ତାଲିକାଭୁକ୍ତ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 t="str">
        <f>IFERROR(__xludf.DUMMYFUNCTION("""COMPUTED_VALUE"""),"maxReward")</f>
        <v>maxReward</v>
      </c>
      <c r="B595" s="2" t="str">
        <f>IFERROR(__xludf.DUMMYFUNCTION("""COMPUTED_VALUE"""),"Max Reward")</f>
        <v>Max Reward</v>
      </c>
      <c r="C595" s="2">
        <f>IFERROR(__xludf.DUMMYFUNCTION("""COMPUTED_VALUE"""),0.4)</f>
        <v>0.4</v>
      </c>
      <c r="D595" s="2" t="str">
        <f>IFERROR(__xludf.DUMMYFUNCTION("""COMPUTED_VALUE"""),"ସର୍ବାଧିକ ପୁରସ୍କାର |")</f>
        <v>ସର୍ବାଧିକ ପୁରସ୍କାର |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 t="str">
        <f>IFERROR(__xludf.DUMMYFUNCTION("""COMPUTED_VALUE"""),"general")</f>
        <v>general</v>
      </c>
      <c r="B596" s="2" t="str">
        <f>IFERROR(__xludf.DUMMYFUNCTION("""COMPUTED_VALUE"""),"General")</f>
        <v>General</v>
      </c>
      <c r="C596" s="2">
        <f>IFERROR(__xludf.DUMMYFUNCTION("""COMPUTED_VALUE"""),0.3)</f>
        <v>0.3</v>
      </c>
      <c r="D596" s="2" t="str">
        <f>IFERROR(__xludf.DUMMYFUNCTION("""COMPUTED_VALUE"""),"ସାଧାରଣ")</f>
        <v>ସାଧାରଣ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 t="str">
        <f>IFERROR(__xludf.DUMMYFUNCTION("""COMPUTED_VALUE"""),"sellingOption")</f>
        <v>sellingOption</v>
      </c>
      <c r="B597" s="2" t="str">
        <f>IFERROR(__xludf.DUMMYFUNCTION("""COMPUTED_VALUE"""),"Selling Option")</f>
        <v>Selling Option</v>
      </c>
      <c r="C597" s="2">
        <f>IFERROR(__xludf.DUMMYFUNCTION("""COMPUTED_VALUE"""),0.3)</f>
        <v>0.3</v>
      </c>
      <c r="D597" s="2" t="str">
        <f>IFERROR(__xludf.DUMMYFUNCTION("""COMPUTED_VALUE"""),"ବିକ୍ରୟ ବିକଳ୍ପ |")</f>
        <v>ବିକ୍ରୟ ବିକଳ୍ପ |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 t="str">
        <f>IFERROR(__xludf.DUMMYFUNCTION("""COMPUTED_VALUE"""),"inventory")</f>
        <v>inventory</v>
      </c>
      <c r="B598" s="2" t="str">
        <f>IFERROR(__xludf.DUMMYFUNCTION("""COMPUTED_VALUE"""),"Inventory")</f>
        <v>Inventory</v>
      </c>
      <c r="C598" s="2">
        <f>IFERROR(__xludf.DUMMYFUNCTION("""COMPUTED_VALUE"""),0.3)</f>
        <v>0.3</v>
      </c>
      <c r="D598" s="2" t="str">
        <f>IFERROR(__xludf.DUMMYFUNCTION("""COMPUTED_VALUE"""),"ଭଣ୍ଡାର")</f>
        <v>ଭଣ୍ଡାର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 t="str">
        <f>IFERROR(__xludf.DUMMYFUNCTION("""COMPUTED_VALUE"""),"returnOption")</f>
        <v>returnOption</v>
      </c>
      <c r="B599" s="2" t="str">
        <f>IFERROR(__xludf.DUMMYFUNCTION("""COMPUTED_VALUE"""),"Return Option")</f>
        <v>Return Option</v>
      </c>
      <c r="C599" s="2">
        <f>IFERROR(__xludf.DUMMYFUNCTION("""COMPUTED_VALUE"""),0.3)</f>
        <v>0.3</v>
      </c>
      <c r="D599" s="2" t="str">
        <f>IFERROR(__xludf.DUMMYFUNCTION("""COMPUTED_VALUE"""),"ଫେରସ୍ତ ବିକଳ୍ପ")</f>
        <v>ଫେରସ୍ତ ବିକଳ୍ପ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 t="str">
        <f>IFERROR(__xludf.DUMMYFUNCTION("""COMPUTED_VALUE"""),"DoyouwanttoCanceltheorder?")</f>
        <v>DoyouwanttoCanceltheorder?</v>
      </c>
      <c r="B600" s="2" t="str">
        <f>IFERROR(__xludf.DUMMYFUNCTION("""COMPUTED_VALUE"""),"Do you want to Cancel the order ?")</f>
        <v>Do you want to Cancel the order ?</v>
      </c>
      <c r="C600" s="2"/>
      <c r="D600" s="2" t="str">
        <f>IFERROR(__xludf.DUMMYFUNCTION("""COMPUTED_VALUE"""),"ଆପଣ ଅର୍ଡର ବାତିଲ କରିବାକୁ ଚାହୁଁଛନ୍ତି କି?")</f>
        <v>ଆପଣ ଅର୍ଡର ବାତିଲ କରିବାକୁ ଚାହୁଁଛନ୍ତି କି?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 t="str">
        <f>IFERROR(__xludf.DUMMYFUNCTION("""COMPUTED_VALUE"""),"placeOfOrigin")</f>
        <v>placeOfOrigin</v>
      </c>
      <c r="B601" s="2" t="str">
        <f>IFERROR(__xludf.DUMMYFUNCTION("""COMPUTED_VALUE"""),"Place Of Origin")</f>
        <v>Place Of Origin</v>
      </c>
      <c r="C601" s="2">
        <f>IFERROR(__xludf.DUMMYFUNCTION("""COMPUTED_VALUE"""),0.3)</f>
        <v>0.3</v>
      </c>
      <c r="D601" s="2" t="str">
        <f>IFERROR(__xludf.DUMMYFUNCTION("""COMPUTED_VALUE"""),"ଉତ୍ପତ୍ତି ସ୍ଥାନ")</f>
        <v>ଉତ୍ପତ୍ତି ସ୍ଥାନ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 t="str">
        <f>IFERROR(__xludf.DUMMYFUNCTION("""COMPUTED_VALUE"""),"aboutProduct")</f>
        <v>aboutProduct</v>
      </c>
      <c r="B602" s="2" t="str">
        <f>IFERROR(__xludf.DUMMYFUNCTION("""COMPUTED_VALUE"""),"About Product")</f>
        <v>About Product</v>
      </c>
      <c r="C602" s="2">
        <f>IFERROR(__xludf.DUMMYFUNCTION("""COMPUTED_VALUE"""),0.3)</f>
        <v>0.3</v>
      </c>
      <c r="D602" s="2" t="str">
        <f>IFERROR(__xludf.DUMMYFUNCTION("""COMPUTED_VALUE"""),"ଉତ୍ପାଦ ବିଷୟରେ")</f>
        <v>ଉତ୍ପାଦ ବିଷୟରେ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 t="str">
        <f>IFERROR(__xludf.DUMMYFUNCTION("""COMPUTED_VALUE"""),"grading")</f>
        <v>grading</v>
      </c>
      <c r="B603" s="2" t="str">
        <f>IFERROR(__xludf.DUMMYFUNCTION("""COMPUTED_VALUE"""),"Grading")</f>
        <v>Grading</v>
      </c>
      <c r="C603" s="2">
        <f>IFERROR(__xludf.DUMMYFUNCTION("""COMPUTED_VALUE"""),0.3)</f>
        <v>0.3</v>
      </c>
      <c r="D603" s="2" t="str">
        <f>IFERROR(__xludf.DUMMYFUNCTION("""COMPUTED_VALUE"""),"ଗ୍ରେଡିଂ")</f>
        <v>ଗ୍ରେଡିଂ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 t="str">
        <f>IFERROR(__xludf.DUMMYFUNCTION("""COMPUTED_VALUE"""),"camera")</f>
        <v>camera</v>
      </c>
      <c r="B604" s="2" t="str">
        <f>IFERROR(__xludf.DUMMYFUNCTION("""COMPUTED_VALUE"""),"Camera")</f>
        <v>Camera</v>
      </c>
      <c r="C604" s="2">
        <f>IFERROR(__xludf.DUMMYFUNCTION("""COMPUTED_VALUE"""),0.3)</f>
        <v>0.3</v>
      </c>
      <c r="D604" s="2" t="str">
        <f>IFERROR(__xludf.DUMMYFUNCTION("""COMPUTED_VALUE"""),"କ୍ୟାମେରା")</f>
        <v>କ୍ୟାମେରା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 t="str">
        <f>IFERROR(__xludf.DUMMYFUNCTION("""COMPUTED_VALUE"""),"favourites")</f>
        <v>favourites</v>
      </c>
      <c r="B605" s="2" t="str">
        <f>IFERROR(__xludf.DUMMYFUNCTION("""COMPUTED_VALUE"""),"Favourites")</f>
        <v>Favourites</v>
      </c>
      <c r="C605" s="2">
        <f>IFERROR(__xludf.DUMMYFUNCTION("""COMPUTED_VALUE"""),0.3)</f>
        <v>0.3</v>
      </c>
      <c r="D605" s="2" t="str">
        <f>IFERROR(__xludf.DUMMYFUNCTION("""COMPUTED_VALUE"""),"ପୂitesାକୁ ଭଲପାଇବା")</f>
        <v>ପୂitesାକୁ ଭଲପାଇବା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 t="str">
        <f>IFERROR(__xludf.DUMMYFUNCTION("""COMPUTED_VALUE"""),"soldBy")</f>
        <v>soldBy</v>
      </c>
      <c r="B606" s="2" t="str">
        <f>IFERROR(__xludf.DUMMYFUNCTION("""COMPUTED_VALUE"""),"Sold By")</f>
        <v>Sold By</v>
      </c>
      <c r="C606" s="2">
        <f>IFERROR(__xludf.DUMMYFUNCTION("""COMPUTED_VALUE"""),0.3)</f>
        <v>0.3</v>
      </c>
      <c r="D606" s="2" t="str">
        <f>IFERROR(__xludf.DUMMYFUNCTION("""COMPUTED_VALUE"""),"ଦ୍ୱାରା ବିକ୍ରି")</f>
        <v>ଦ୍ୱାରା ବିକ୍ରି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 t="str">
        <f>IFERROR(__xludf.DUMMYFUNCTION("""COMPUTED_VALUE"""),"street")</f>
        <v>street</v>
      </c>
      <c r="B607" s="2" t="str">
        <f>IFERROR(__xludf.DUMMYFUNCTION("""COMPUTED_VALUE"""),"Street")</f>
        <v>Street</v>
      </c>
      <c r="C607" s="2">
        <f>IFERROR(__xludf.DUMMYFUNCTION("""COMPUTED_VALUE"""),0.3)</f>
        <v>0.3</v>
      </c>
      <c r="D607" s="2" t="str">
        <f>IFERROR(__xludf.DUMMYFUNCTION("""COMPUTED_VALUE"""),"ଗଳି")</f>
        <v>ଗଳି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 t="str">
        <f>IFERROR(__xludf.DUMMYFUNCTION("""COMPUTED_VALUE"""),"kilogram")</f>
        <v>kilogram</v>
      </c>
      <c r="B608" s="2" t="str">
        <f>IFERROR(__xludf.DUMMYFUNCTION("""COMPUTED_VALUE"""),"Kilogram")</f>
        <v>Kilogram</v>
      </c>
      <c r="C608" s="2">
        <f>IFERROR(__xludf.DUMMYFUNCTION("""COMPUTED_VALUE"""),0.3)</f>
        <v>0.3</v>
      </c>
      <c r="D608" s="2" t="str">
        <f>IFERROR(__xludf.DUMMYFUNCTION("""COMPUTED_VALUE"""),"କିଲୋଗ୍ରାମ")</f>
        <v>କିଲୋଗ୍ରାମ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 t="str">
        <f>IFERROR(__xludf.DUMMYFUNCTION("""COMPUTED_VALUE"""),"liter")</f>
        <v>liter</v>
      </c>
      <c r="B609" s="2" t="str">
        <f>IFERROR(__xludf.DUMMYFUNCTION("""COMPUTED_VALUE"""),"Liter")</f>
        <v>Liter</v>
      </c>
      <c r="C609" s="2"/>
      <c r="D609" s="2" t="str">
        <f>IFERROR(__xludf.DUMMYFUNCTION("""COMPUTED_VALUE"""),"ଲିଟର")</f>
        <v>ଲିଟର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 t="str">
        <f>IFERROR(__xludf.DUMMYFUNCTION("""COMPUTED_VALUE"""),"miniQty")</f>
        <v>miniQty</v>
      </c>
      <c r="B610" s="2" t="str">
        <f>IFERROR(__xludf.DUMMYFUNCTION("""COMPUTED_VALUE"""),"Mini.qty")</f>
        <v>Mini.qty</v>
      </c>
      <c r="C610" s="2"/>
      <c r="D610" s="2" t="str">
        <f>IFERROR(__xludf.DUMMYFUNCTION("""COMPUTED_VALUE"""),"Mini.qty")</f>
        <v>Mini.qty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 t="str">
        <f>IFERROR(__xludf.DUMMYFUNCTION("""COMPUTED_VALUE"""),"perOrderdiscount")</f>
        <v>perOrderdiscount</v>
      </c>
      <c r="B611" s="2" t="str">
        <f>IFERROR(__xludf.DUMMYFUNCTION("""COMPUTED_VALUE"""),"Per Order Discount")</f>
        <v>Per Order Discount</v>
      </c>
      <c r="C611" s="2">
        <f>IFERROR(__xludf.DUMMYFUNCTION("""COMPUTED_VALUE"""),0.3)</f>
        <v>0.3</v>
      </c>
      <c r="D611" s="2" t="str">
        <f>IFERROR(__xludf.DUMMYFUNCTION("""COMPUTED_VALUE"""),"ଅର୍ଡର ରିହାତି ପାଇଁ |")</f>
        <v>ଅର୍ଡର ରିହାତି ପାଇଁ |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 t="str">
        <f>IFERROR(__xludf.DUMMYFUNCTION("""COMPUTED_VALUE"""),"maxQty")</f>
        <v>maxQty</v>
      </c>
      <c r="B612" s="2" t="str">
        <f>IFERROR(__xludf.DUMMYFUNCTION("""COMPUTED_VALUE"""),"Max qty")</f>
        <v>Max qty</v>
      </c>
      <c r="C612" s="2"/>
      <c r="D612" s="2" t="str">
        <f>IFERROR(__xludf.DUMMYFUNCTION("""COMPUTED_VALUE"""),"ସର୍ବାଧିକ Qty")</f>
        <v>ସର୍ବାଧିକ Qty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 t="str">
        <f>IFERROR(__xludf.DUMMYFUNCTION("""COMPUTED_VALUE"""),"regularprice")</f>
        <v>regularprice</v>
      </c>
      <c r="B613" s="2" t="str">
        <f>IFERROR(__xludf.DUMMYFUNCTION("""COMPUTED_VALUE"""),"Regular Price")</f>
        <v>Regular Price</v>
      </c>
      <c r="C613" s="2">
        <f>IFERROR(__xludf.DUMMYFUNCTION("""COMPUTED_VALUE"""),0.3)</f>
        <v>0.3</v>
      </c>
      <c r="D613" s="2" t="str">
        <f>IFERROR(__xludf.DUMMYFUNCTION("""COMPUTED_VALUE"""),"ନିୟମିତ ମୂଲ୍ୟ")</f>
        <v>ନିୟମିତ ମୂଲ୍ୟ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 t="str">
        <f>IFERROR(__xludf.DUMMYFUNCTION("""COMPUTED_VALUE"""),"discountprice")</f>
        <v>discountprice</v>
      </c>
      <c r="B614" s="2" t="str">
        <f>IFERROR(__xludf.DUMMYFUNCTION("""COMPUTED_VALUE"""),"Discount Price")</f>
        <v>Discount Price</v>
      </c>
      <c r="C614" s="2">
        <f>IFERROR(__xludf.DUMMYFUNCTION("""COMPUTED_VALUE"""),0.3)</f>
        <v>0.3</v>
      </c>
      <c r="D614" s="2" t="str">
        <f>IFERROR(__xludf.DUMMYFUNCTION("""COMPUTED_VALUE"""),"ରିହାତି ମୂଲ୍ୟ")</f>
        <v>ରିହାତି ମୂଲ୍ୟ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 t="str">
        <f>IFERROR(__xludf.DUMMYFUNCTION("""COMPUTED_VALUE"""),"miniPrice")</f>
        <v>miniPrice</v>
      </c>
      <c r="B615" s="2" t="str">
        <f>IFERROR(__xludf.DUMMYFUNCTION("""COMPUTED_VALUE"""),"Mini price")</f>
        <v>Mini price</v>
      </c>
      <c r="C615" s="2"/>
      <c r="D615" s="2" t="str">
        <f>IFERROR(__xludf.DUMMYFUNCTION("""COMPUTED_VALUE"""),"ମିନି ମୂଲ୍ୟ")</f>
        <v>ମିନି ମୂଲ୍ୟ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 t="str">
        <f>IFERROR(__xludf.DUMMYFUNCTION("""COMPUTED_VALUE"""),"quantity")</f>
        <v>quantity</v>
      </c>
      <c r="B616" s="2" t="str">
        <f>IFERROR(__xludf.DUMMYFUNCTION("""COMPUTED_VALUE"""),"Quantity")</f>
        <v>Quantity</v>
      </c>
      <c r="C616" s="2">
        <f>IFERROR(__xludf.DUMMYFUNCTION("""COMPUTED_VALUE"""),0.3)</f>
        <v>0.3</v>
      </c>
      <c r="D616" s="2" t="str">
        <f>IFERROR(__xludf.DUMMYFUNCTION("""COMPUTED_VALUE"""),"ପରିମାଣ")</f>
        <v>ପରିମାଣ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 t="str">
        <f>IFERROR(__xludf.DUMMYFUNCTION("""COMPUTED_VALUE"""),"costPrice")</f>
        <v>costPrice</v>
      </c>
      <c r="B617" s="2" t="str">
        <f>IFERROR(__xludf.DUMMYFUNCTION("""COMPUTED_VALUE"""),"Cost Price")</f>
        <v>Cost Price</v>
      </c>
      <c r="C617" s="2">
        <f>IFERROR(__xludf.DUMMYFUNCTION("""COMPUTED_VALUE"""),0.3)</f>
        <v>0.3</v>
      </c>
      <c r="D617" s="2" t="str">
        <f>IFERROR(__xludf.DUMMYFUNCTION("""COMPUTED_VALUE"""),"ମୂଲ୍ୟ")</f>
        <v>ମୂଲ୍ୟ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 t="str">
        <f>IFERROR(__xludf.DUMMYFUNCTION("""COMPUTED_VALUE"""),"sku")</f>
        <v>sku</v>
      </c>
      <c r="B618" s="2" t="str">
        <f>IFERROR(__xludf.DUMMYFUNCTION("""COMPUTED_VALUE"""),"SKU")</f>
        <v>SKU</v>
      </c>
      <c r="C618" s="2">
        <f>IFERROR(__xludf.DUMMYFUNCTION("""COMPUTED_VALUE"""),0.3)</f>
        <v>0.3</v>
      </c>
      <c r="D618" s="2" t="str">
        <f>IFERROR(__xludf.DUMMYFUNCTION("""COMPUTED_VALUE"""),"SKU")</f>
        <v>SKU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 t="str">
        <f>IFERROR(__xludf.DUMMYFUNCTION("""COMPUTED_VALUE"""),"stockStatus")</f>
        <v>stockStatus</v>
      </c>
      <c r="B619" s="2" t="str">
        <f>IFERROR(__xludf.DUMMYFUNCTION("""COMPUTED_VALUE"""),"Stock Status")</f>
        <v>Stock Status</v>
      </c>
      <c r="C619" s="2">
        <f>IFERROR(__xludf.DUMMYFUNCTION("""COMPUTED_VALUE"""),0.3)</f>
        <v>0.3</v>
      </c>
      <c r="D619" s="2" t="str">
        <f>IFERROR(__xludf.DUMMYFUNCTION("""COMPUTED_VALUE"""),"ଷ୍ଟକ୍ ସ୍ଥିତି")</f>
        <v>ଷ୍ଟକ୍ ସ୍ଥିତି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 t="str">
        <f>IFERROR(__xludf.DUMMYFUNCTION("""COMPUTED_VALUE"""),"days")</f>
        <v>days</v>
      </c>
      <c r="B620" s="2" t="str">
        <f>IFERROR(__xludf.DUMMYFUNCTION("""COMPUTED_VALUE"""),"Days")</f>
        <v>Days</v>
      </c>
      <c r="C620" s="2">
        <f>IFERROR(__xludf.DUMMYFUNCTION("""COMPUTED_VALUE"""),0.3)</f>
        <v>0.3</v>
      </c>
      <c r="D620" s="2" t="str">
        <f>IFERROR(__xludf.DUMMYFUNCTION("""COMPUTED_VALUE"""),"ଦିନ")</f>
        <v>ଦିନ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 t="str">
        <f>IFERROR(__xludf.DUMMYFUNCTION("""COMPUTED_VALUE"""),"hours")</f>
        <v>hours</v>
      </c>
      <c r="B621" s="2" t="str">
        <f>IFERROR(__xludf.DUMMYFUNCTION("""COMPUTED_VALUE"""),"Hours")</f>
        <v>Hours</v>
      </c>
      <c r="C621" s="2">
        <f>IFERROR(__xludf.DUMMYFUNCTION("""COMPUTED_VALUE"""),0.3)</f>
        <v>0.3</v>
      </c>
      <c r="D621" s="2" t="str">
        <f>IFERROR(__xludf.DUMMYFUNCTION("""COMPUTED_VALUE"""),"ଘଣ୍ଟା")</f>
        <v>ଘଣ୍ଟା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 t="str">
        <f>IFERROR(__xludf.DUMMYFUNCTION("""COMPUTED_VALUE"""),"producAdded")</f>
        <v>producAdded</v>
      </c>
      <c r="B622" s="2" t="str">
        <f>IFERROR(__xludf.DUMMYFUNCTION("""COMPUTED_VALUE"""),"Product Added")</f>
        <v>Product Added</v>
      </c>
      <c r="C622" s="2"/>
      <c r="D622" s="2" t="str">
        <f>IFERROR(__xludf.DUMMYFUNCTION("""COMPUTED_VALUE"""),"ଉତ୍ପାଦ ଯୋଡା ଯାଇଛି |")</f>
        <v>ଉତ୍ପାଦ ଯୋଡା ଯାଇଛି |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 t="str">
        <f>IFERROR(__xludf.DUMMYFUNCTION("""COMPUTED_VALUE"""),"successfullyYay")</f>
        <v>successfullyYay</v>
      </c>
      <c r="B623" s="2" t="str">
        <f>IFERROR(__xludf.DUMMYFUNCTION("""COMPUTED_VALUE"""),"Successfully YAY")</f>
        <v>Successfully YAY</v>
      </c>
      <c r="C623" s="2"/>
      <c r="D623" s="2" t="str">
        <f>IFERROR(__xludf.DUMMYFUNCTION("""COMPUTED_VALUE"""),"ସଫଳତାର ସହିତ yay")</f>
        <v>ସଫଳତାର ସହିତ yay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 t="str">
        <f>IFERROR(__xludf.DUMMYFUNCTION("""COMPUTED_VALUE"""),"wouldYou")</f>
        <v>wouldYou</v>
      </c>
      <c r="B624" s="2" t="str">
        <f>IFERROR(__xludf.DUMMYFUNCTION("""COMPUTED_VALUE"""),"Would you ")</f>
        <v>Would you </v>
      </c>
      <c r="C624" s="2"/>
      <c r="D624" s="2" t="str">
        <f>IFERROR(__xludf.DUMMYFUNCTION("""COMPUTED_VALUE"""),"ଆପଣ କଣ")</f>
        <v>ଆପଣ କଣ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 t="str">
        <f>IFERROR(__xludf.DUMMYFUNCTION("""COMPUTED_VALUE"""),"likeTo")</f>
        <v>likeTo</v>
      </c>
      <c r="B625" s="2" t="str">
        <f>IFERROR(__xludf.DUMMYFUNCTION("""COMPUTED_VALUE"""),"like to")</f>
        <v>like to</v>
      </c>
      <c r="C625" s="2"/>
      <c r="D625" s="2" t="str">
        <f>IFERROR(__xludf.DUMMYFUNCTION("""COMPUTED_VALUE"""),"ପରି ପସନ୍ଦ")</f>
        <v>ପରି ପସନ୍ଦ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 t="str">
        <f>IFERROR(__xludf.DUMMYFUNCTION("""COMPUTED_VALUE"""),"moveTo")</f>
        <v>moveTo</v>
      </c>
      <c r="B626" s="2" t="str">
        <f>IFERROR(__xludf.DUMMYFUNCTION("""COMPUTED_VALUE"""),"move to")</f>
        <v>move to</v>
      </c>
      <c r="C626" s="2"/>
      <c r="D626" s="2" t="str">
        <f>IFERROR(__xludf.DUMMYFUNCTION("""COMPUTED_VALUE"""),"ଯାଅନ୍ତୁ")</f>
        <v>ଯାଅନ୍ତୁ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 t="str">
        <f>IFERROR(__xludf.DUMMYFUNCTION("""COMPUTED_VALUE"""),"ListedItem")</f>
        <v>ListedItem</v>
      </c>
      <c r="B627" s="2" t="str">
        <f>IFERROR(__xludf.DUMMYFUNCTION("""COMPUTED_VALUE"""),"Listed Item")</f>
        <v>Listed Item</v>
      </c>
      <c r="C627" s="2"/>
      <c r="D627" s="2" t="str">
        <f>IFERROR(__xludf.DUMMYFUNCTION("""COMPUTED_VALUE"""),"ତାଲିକାଭୁକ୍ତ ଆଇଟମ୍ |")</f>
        <v>ତାଲିକାଭୁକ୍ତ ଆଇଟମ୍ |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 t="str">
        <f>IFERROR(__xludf.DUMMYFUNCTION("""COMPUTED_VALUE"""),"areYouDelivering")</f>
        <v>areYouDelivering</v>
      </c>
      <c r="B628" s="2" t="str">
        <f>IFERROR(__xludf.DUMMYFUNCTION("""COMPUTED_VALUE"""),"Are you Delivering")</f>
        <v>Are you Delivering</v>
      </c>
      <c r="C628" s="2"/>
      <c r="D628" s="2" t="str">
        <f>IFERROR(__xludf.DUMMYFUNCTION("""COMPUTED_VALUE"""),"ଆପଣ ବିତରଣ କରୁଛନ୍ତି କି?")</f>
        <v>ଆପଣ ବିତରଣ କରୁଛନ୍ତି କି?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 t="str">
        <f>IFERROR(__xludf.DUMMYFUNCTION("""COMPUTED_VALUE"""),"paymentMethod")</f>
        <v>paymentMethod</v>
      </c>
      <c r="B629" s="2" t="str">
        <f>IFERROR(__xludf.DUMMYFUNCTION("""COMPUTED_VALUE"""),"Payment Method")</f>
        <v>Payment Method</v>
      </c>
      <c r="C629" s="2" t="str">
        <f>IFERROR(__xludf.DUMMYFUNCTION("""COMPUTED_VALUE"""),"0.4.1")</f>
        <v>0.4.1</v>
      </c>
      <c r="D629" s="2" t="str">
        <f>IFERROR(__xludf.DUMMYFUNCTION("""COMPUTED_VALUE"""),"ଅର୍ଥ ପ୍ରଦାନ ପଦ୍ଧତି")</f>
        <v>ଅର୍ଥ ପ୍ରଦାନ ପଦ୍ଧତି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 t="str">
        <f>IFERROR(__xludf.DUMMYFUNCTION("""COMPUTED_VALUE"""),"Categories")</f>
        <v>Categories</v>
      </c>
      <c r="B630" s="2" t="str">
        <f>IFERROR(__xludf.DUMMYFUNCTION("""COMPUTED_VALUE"""),"Categories")</f>
        <v>Categories</v>
      </c>
      <c r="C630" s="2">
        <f>IFERROR(__xludf.DUMMYFUNCTION("""COMPUTED_VALUE"""),0.3)</f>
        <v>0.3</v>
      </c>
      <c r="D630" s="2" t="str">
        <f>IFERROR(__xludf.DUMMYFUNCTION("""COMPUTED_VALUE"""),"ବର୍ଗଗୁଡିକ")</f>
        <v>ବର୍ଗଗୁଡିକ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 t="str">
        <f>IFERROR(__xludf.DUMMYFUNCTION("""COMPUTED_VALUE"""),"pickupAnd")</f>
        <v>pickupAnd</v>
      </c>
      <c r="B631" s="2" t="str">
        <f>IFERROR(__xludf.DUMMYFUNCTION("""COMPUTED_VALUE"""),"Pickup and")</f>
        <v>Pickup and</v>
      </c>
      <c r="C631" s="2"/>
      <c r="D631" s="2" t="str">
        <f>IFERROR(__xludf.DUMMYFUNCTION("""COMPUTED_VALUE"""),"ପିକଅପ୍ ଏବଂ")</f>
        <v>ପିକଅପ୍ ଏବଂ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 t="str">
        <f>IFERROR(__xludf.DUMMYFUNCTION("""COMPUTED_VALUE"""),"deliveryOptions")</f>
        <v>deliveryOptions</v>
      </c>
      <c r="B632" s="2" t="str">
        <f>IFERROR(__xludf.DUMMYFUNCTION("""COMPUTED_VALUE"""),"Delivery Options")</f>
        <v>Delivery Options</v>
      </c>
      <c r="C632" s="2"/>
      <c r="D632" s="2" t="str">
        <f>IFERROR(__xludf.DUMMYFUNCTION("""COMPUTED_VALUE"""),"ବିତରଣ ବିକଳ୍ପଗୁଡ଼ିକ")</f>
        <v>ବିତରଣ ବିକଳ୍ପଗୁଡ଼ିକ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 t="str">
        <f>IFERROR(__xludf.DUMMYFUNCTION("""COMPUTED_VALUE"""),"customerPickup")</f>
        <v>customerPickup</v>
      </c>
      <c r="B633" s="2" t="str">
        <f>IFERROR(__xludf.DUMMYFUNCTION("""COMPUTED_VALUE"""),"Customer Pickup")</f>
        <v>Customer Pickup</v>
      </c>
      <c r="C633" s="2"/>
      <c r="D633" s="2" t="str">
        <f>IFERROR(__xludf.DUMMYFUNCTION("""COMPUTED_VALUE"""),"ଗ୍ରାହକ ପିକଅପ୍ |")</f>
        <v>ଗ୍ରାହକ ପିକଅପ୍ |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 t="str">
        <f>IFERROR(__xludf.DUMMYFUNCTION("""COMPUTED_VALUE"""),"ownDelivery")</f>
        <v>ownDelivery</v>
      </c>
      <c r="B634" s="2" t="str">
        <f>IFERROR(__xludf.DUMMYFUNCTION("""COMPUTED_VALUE"""),"Own Delivery")</f>
        <v>Own Delivery</v>
      </c>
      <c r="C634" s="2"/>
      <c r="D634" s="2" t="str">
        <f>IFERROR(__xludf.DUMMYFUNCTION("""COMPUTED_VALUE"""),"ନିଜର ବିତରଣ")</f>
        <v>ନିଜର ବିତରଣ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 t="str">
        <f>IFERROR(__xludf.DUMMYFUNCTION("""COMPUTED_VALUE"""),"thirdParty")</f>
        <v>thirdParty</v>
      </c>
      <c r="B635" s="2" t="str">
        <f>IFERROR(__xludf.DUMMYFUNCTION("""COMPUTED_VALUE"""),"Third Party")</f>
        <v>Third Party</v>
      </c>
      <c r="C635" s="2"/>
      <c r="D635" s="2" t="str">
        <f>IFERROR(__xludf.DUMMYFUNCTION("""COMPUTED_VALUE"""),"ତୃତୀୟ ବ୍ୟକ୍ତି")</f>
        <v>ତୃତୀୟ ବ୍ୟକ୍ତି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 t="str">
        <f>IFERROR(__xludf.DUMMYFUNCTION("""COMPUTED_VALUE"""),"processingTime")</f>
        <v>processingTime</v>
      </c>
      <c r="B636" s="2" t="str">
        <f>IFERROR(__xludf.DUMMYFUNCTION("""COMPUTED_VALUE"""),"Processing Time")</f>
        <v>Processing Time</v>
      </c>
      <c r="C636" s="2"/>
      <c r="D636" s="2" t="str">
        <f>IFERROR(__xludf.DUMMYFUNCTION("""COMPUTED_VALUE"""),"ପ୍ରକ୍ରିୟାକରଣ ସମୟ")</f>
        <v>ପ୍ରକ୍ରିୟାକରଣ ସମୟ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 t="str">
        <f>IFERROR(__xludf.DUMMYFUNCTION("""COMPUTED_VALUE"""),"pickupSlots")</f>
        <v>pickupSlots</v>
      </c>
      <c r="B637" s="2" t="str">
        <f>IFERROR(__xludf.DUMMYFUNCTION("""COMPUTED_VALUE"""),"Pickup Slots")</f>
        <v>Pickup Slots</v>
      </c>
      <c r="C637" s="2"/>
      <c r="D637" s="2" t="str">
        <f>IFERROR(__xludf.DUMMYFUNCTION("""COMPUTED_VALUE"""),"ପିକଅପ୍ ସ୍ଲଟ୍ |")</f>
        <v>ପିକଅପ୍ ସ୍ଲଟ୍ |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 t="str">
        <f>IFERROR(__xludf.DUMMYFUNCTION("""COMPUTED_VALUE"""),"startTime")</f>
        <v>startTime</v>
      </c>
      <c r="B638" s="2" t="str">
        <f>IFERROR(__xludf.DUMMYFUNCTION("""COMPUTED_VALUE"""),"Start Time")</f>
        <v>Start Time</v>
      </c>
      <c r="C638" s="2"/>
      <c r="D638" s="2" t="str">
        <f>IFERROR(__xludf.DUMMYFUNCTION("""COMPUTED_VALUE"""),"ସମୟ ଆରମ୍ଭ")</f>
        <v>ସମୟ ଆରମ୍ଭ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 t="str">
        <f>IFERROR(__xludf.DUMMYFUNCTION("""COMPUTED_VALUE"""),"endTime")</f>
        <v>endTime</v>
      </c>
      <c r="B639" s="2" t="str">
        <f>IFERROR(__xludf.DUMMYFUNCTION("""COMPUTED_VALUE"""),"End Time")</f>
        <v>End Time</v>
      </c>
      <c r="C639" s="2"/>
      <c r="D639" s="2" t="str">
        <f>IFERROR(__xludf.DUMMYFUNCTION("""COMPUTED_VALUE"""),"ଶେଷ ସମୟ")</f>
        <v>ଶେଷ ସମୟ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 t="str">
        <f>IFERROR(__xludf.DUMMYFUNCTION("""COMPUTED_VALUE"""),"capacity")</f>
        <v>capacity</v>
      </c>
      <c r="B640" s="2" t="str">
        <f>IFERROR(__xludf.DUMMYFUNCTION("""COMPUTED_VALUE"""),"Capacity")</f>
        <v>Capacity</v>
      </c>
      <c r="C640" s="2"/>
      <c r="D640" s="2" t="str">
        <f>IFERROR(__xludf.DUMMYFUNCTION("""COMPUTED_VALUE"""),"କ୍ଷମତା")</f>
        <v>କ୍ଷମତା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 t="str">
        <f>IFERROR(__xludf.DUMMYFUNCTION("""COMPUTED_VALUE"""),"save")</f>
        <v>save</v>
      </c>
      <c r="B641" s="2" t="str">
        <f>IFERROR(__xludf.DUMMYFUNCTION("""COMPUTED_VALUE"""),"Save")</f>
        <v>Save</v>
      </c>
      <c r="C641" s="2">
        <f>IFERROR(__xludf.DUMMYFUNCTION("""COMPUTED_VALUE"""),0.3)</f>
        <v>0.3</v>
      </c>
      <c r="D641" s="2" t="str">
        <f>IFERROR(__xludf.DUMMYFUNCTION("""COMPUTED_VALUE"""),"ସଞ୍ଚୟ କରନ୍ତୁ |")</f>
        <v>ସଞ୍ଚୟ କରନ୍ତୁ |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 t="str">
        <f>IFERROR(__xludf.DUMMYFUNCTION("""COMPUTED_VALUE"""),"delete")</f>
        <v>delete</v>
      </c>
      <c r="B642" s="2" t="str">
        <f>IFERROR(__xludf.DUMMYFUNCTION("""COMPUTED_VALUE"""),"Delete")</f>
        <v>Delete</v>
      </c>
      <c r="C642" s="2">
        <f>IFERROR(__xludf.DUMMYFUNCTION("""COMPUTED_VALUE"""),0.3)</f>
        <v>0.3</v>
      </c>
      <c r="D642" s="2" t="str">
        <f>IFERROR(__xludf.DUMMYFUNCTION("""COMPUTED_VALUE"""),"ବିଲୋପ କରନ୍ତୁ |")</f>
        <v>ବିଲୋପ କରନ୍ତୁ |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 t="str">
        <f>IFERROR(__xludf.DUMMYFUNCTION("""COMPUTED_VALUE"""),"distanceCovers")</f>
        <v>distanceCovers</v>
      </c>
      <c r="B643" s="2" t="str">
        <f>IFERROR(__xludf.DUMMYFUNCTION("""COMPUTED_VALUE"""),"Distance covers")</f>
        <v>Distance covers</v>
      </c>
      <c r="C643" s="2"/>
      <c r="D643" s="2" t="str">
        <f>IFERROR(__xludf.DUMMYFUNCTION("""COMPUTED_VALUE"""),"ଦୂରତା କଭର")</f>
        <v>ଦୂରତା କଭର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 t="str">
        <f>IFERROR(__xludf.DUMMYFUNCTION("""COMPUTED_VALUE"""),"deliveryCharge")</f>
        <v>deliveryCharge</v>
      </c>
      <c r="B644" s="2" t="str">
        <f>IFERROR(__xludf.DUMMYFUNCTION("""COMPUTED_VALUE"""),"Delivery Charge")</f>
        <v>Delivery Charge</v>
      </c>
      <c r="C644" s="2"/>
      <c r="D644" s="2" t="str">
        <f>IFERROR(__xludf.DUMMYFUNCTION("""COMPUTED_VALUE"""),"ବିତରଣ ଚାର୍ଜ")</f>
        <v>ବିତରଣ ଚାର୍ଜ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 t="str">
        <f>IFERROR(__xludf.DUMMYFUNCTION("""COMPUTED_VALUE"""),"City/Ward/District")</f>
        <v>City/Ward/District</v>
      </c>
      <c r="B645" s="2" t="str">
        <f>IFERROR(__xludf.DUMMYFUNCTION("""COMPUTED_VALUE"""),"City/Ward/District")</f>
        <v>City/Ward/District</v>
      </c>
      <c r="C645" s="2">
        <f>IFERROR(__xludf.DUMMYFUNCTION("""COMPUTED_VALUE"""),0.3)</f>
        <v>0.3</v>
      </c>
      <c r="D645" s="2" t="str">
        <f>IFERROR(__xludf.DUMMYFUNCTION("""COMPUTED_VALUE"""),"ସହର / ୱାର୍ଡ / ଜିଲ୍ଲା |")</f>
        <v>ସହର / ୱାର୍ଡ / ଜିଲ୍ଲା |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 t="str">
        <f>IFERROR(__xludf.DUMMYFUNCTION("""COMPUTED_VALUE"""),"onOrder")</f>
        <v>onOrder</v>
      </c>
      <c r="B646" s="2" t="str">
        <f>IFERROR(__xludf.DUMMYFUNCTION("""COMPUTED_VALUE"""),"on Order")</f>
        <v>on Order</v>
      </c>
      <c r="C646" s="2"/>
      <c r="D646" s="2" t="str">
        <f>IFERROR(__xludf.DUMMYFUNCTION("""COMPUTED_VALUE"""),"କ୍ରମରେ")</f>
        <v>କ୍ରମରେ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 t="str">
        <f>IFERROR(__xludf.DUMMYFUNCTION("""COMPUTED_VALUE"""),"totalemployeesfound ")</f>
        <v>totalemployeesfound </v>
      </c>
      <c r="B647" s="2" t="str">
        <f>IFERROR(__xludf.DUMMYFUNCTION("""COMPUTED_VALUE"""),"Total Employees Found ")</f>
        <v>Total Employees Found </v>
      </c>
      <c r="C647" s="2">
        <f>IFERROR(__xludf.DUMMYFUNCTION("""COMPUTED_VALUE"""),0.3)</f>
        <v>0.3</v>
      </c>
      <c r="D647" s="2" t="str">
        <f>IFERROR(__xludf.DUMMYFUNCTION("""COMPUTED_VALUE"""),"ସମୁଦାୟ କର୍ମଚାରୀମାନେ ପାଇଲେ |")</f>
        <v>ସମୁଦାୟ କର୍ମଚାରୀମାନେ ପାଇଲେ |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 t="str">
        <f>IFERROR(__xludf.DUMMYFUNCTION("""COMPUTED_VALUE"""),"enableFree")</f>
        <v>enableFree</v>
      </c>
      <c r="B648" s="2" t="str">
        <f>IFERROR(__xludf.DUMMYFUNCTION("""COMPUTED_VALUE"""),"Enable Free")</f>
        <v>Enable Free</v>
      </c>
      <c r="C648" s="2"/>
      <c r="D648" s="2" t="str">
        <f>IFERROR(__xludf.DUMMYFUNCTION("""COMPUTED_VALUE"""),"ମାଗଣା ସକ୍ଷମ କରନ୍ତୁ |")</f>
        <v>ମାଗଣା ସକ୍ଷମ କରନ୍ତୁ |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 t="str">
        <f>IFERROR(__xludf.DUMMYFUNCTION("""COMPUTED_VALUE"""),"shipping")</f>
        <v>shipping</v>
      </c>
      <c r="B649" s="2" t="str">
        <f>IFERROR(__xludf.DUMMYFUNCTION("""COMPUTED_VALUE"""),"Shipping")</f>
        <v>Shipping</v>
      </c>
      <c r="C649" s="2"/>
      <c r="D649" s="2" t="str">
        <f>IFERROR(__xludf.DUMMYFUNCTION("""COMPUTED_VALUE"""),"ପଠାଇବା")</f>
        <v>ପଠାଇବା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 t="str">
        <f>IFERROR(__xludf.DUMMYFUNCTION("""COMPUTED_VALUE"""),"availOur")</f>
        <v>availOur</v>
      </c>
      <c r="B650" s="2" t="str">
        <f>IFERROR(__xludf.DUMMYFUNCTION("""COMPUTED_VALUE"""),"Avail Our")</f>
        <v>Avail Our</v>
      </c>
      <c r="C650" s="2"/>
      <c r="D650" s="2" t="str">
        <f>IFERROR(__xludf.DUMMYFUNCTION("""COMPUTED_VALUE"""),"ଆମର ଲାଭ")</f>
        <v>ଆମର ଲାଭ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 t="str">
        <f>IFERROR(__xludf.DUMMYFUNCTION("""COMPUTED_VALUE"""),"deliveryService")</f>
        <v>deliveryService</v>
      </c>
      <c r="B651" s="2" t="str">
        <f>IFERROR(__xludf.DUMMYFUNCTION("""COMPUTED_VALUE"""),"Delivery Service")</f>
        <v>Delivery Service</v>
      </c>
      <c r="C651" s="2"/>
      <c r="D651" s="2" t="str">
        <f>IFERROR(__xludf.DUMMYFUNCTION("""COMPUTED_VALUE"""),"ବିତରଣ ସେବା")</f>
        <v>ବିତରଣ ସେବା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 t="str">
        <f>IFERROR(__xludf.DUMMYFUNCTION("""COMPUTED_VALUE"""),"AcceptedOrderDetails")</f>
        <v>AcceptedOrderDetails</v>
      </c>
      <c r="B652" s="2" t="str">
        <f>IFERROR(__xludf.DUMMYFUNCTION("""COMPUTED_VALUE"""),"Accepted Order Details")</f>
        <v>Accepted Order Details</v>
      </c>
      <c r="C652" s="2">
        <f>IFERROR(__xludf.DUMMYFUNCTION("""COMPUTED_VALUE"""),0.3)</f>
        <v>0.3</v>
      </c>
      <c r="D652" s="2" t="str">
        <f>IFERROR(__xludf.DUMMYFUNCTION("""COMPUTED_VALUE"""),"ଅର୍ଡର ଅର୍ଡର ବିବରଣୀ |")</f>
        <v>ଅର୍ଡର ଅର୍ଡର ବିବରଣୀ |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 t="str">
        <f>IFERROR(__xludf.DUMMYFUNCTION("""COMPUTED_VALUE"""),"finalThoughts")</f>
        <v>finalThoughts</v>
      </c>
      <c r="B653" s="2" t="str">
        <f>IFERROR(__xludf.DUMMYFUNCTION("""COMPUTED_VALUE"""),"Final Thoughts")</f>
        <v>Final Thoughts</v>
      </c>
      <c r="C653" s="2"/>
      <c r="D653" s="2" t="str">
        <f>IFERROR(__xludf.DUMMYFUNCTION("""COMPUTED_VALUE"""),"ଅନ୍ତିମ ଚିନ୍ତାଧାରା")</f>
        <v>ଅନ୍ତିମ ଚିନ୍ତାଧାରା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 t="str">
        <f>IFERROR(__xludf.DUMMYFUNCTION("""COMPUTED_VALUE"""),"itemsfor")</f>
        <v>itemsfor</v>
      </c>
      <c r="B654" s="2" t="str">
        <f>IFERROR(__xludf.DUMMYFUNCTION("""COMPUTED_VALUE"""),"Items For")</f>
        <v>Items For</v>
      </c>
      <c r="C654" s="2">
        <f>IFERROR(__xludf.DUMMYFUNCTION("""COMPUTED_VALUE"""),0.4)</f>
        <v>0.4</v>
      </c>
      <c r="D654" s="2" t="str">
        <f>IFERROR(__xludf.DUMMYFUNCTION("""COMPUTED_VALUE"""),"ବସ୍ତୁଗୁଡ଼ିକ ପାଇଁ")</f>
        <v>ବସ୍ତୁଗୁଡ଼ିକ ପାଇଁ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 t="str">
        <f>IFERROR(__xludf.DUMMYFUNCTION("""COMPUTED_VALUE"""),"Doyouwanttoprocessingtheorder")</f>
        <v>Doyouwanttoprocessingtheorder</v>
      </c>
      <c r="B655" s="2" t="str">
        <f>IFERROR(__xludf.DUMMYFUNCTION("""COMPUTED_VALUE"""),"Do you want to processing the order?")</f>
        <v>Do you want to processing the order?</v>
      </c>
      <c r="C655" s="2">
        <f>IFERROR(__xludf.DUMMYFUNCTION("""COMPUTED_VALUE"""),0.3)</f>
        <v>0.3</v>
      </c>
      <c r="D655" s="2" t="str">
        <f>IFERROR(__xludf.DUMMYFUNCTION("""COMPUTED_VALUE"""),"ଆପଣ ଅର୍ଡର ପ୍ରକ୍ରିୟାକରଣ କରିବାକୁ ଚାହୁଁଛନ୍ତି କି?")</f>
        <v>ଆପଣ ଅର୍ଡର ପ୍ରକ୍ରିୟାକରଣ କରିବାକୁ ଚାହୁଁଛନ୍ତି କି?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 t="str">
        <f>IFERROR(__xludf.DUMMYFUNCTION("""COMPUTED_VALUE"""),"ReadyOrderDetails")</f>
        <v>ReadyOrderDetails</v>
      </c>
      <c r="B656" s="2" t="str">
        <f>IFERROR(__xludf.DUMMYFUNCTION("""COMPUTED_VALUE"""),"Ready Order Details")</f>
        <v>Ready Order Details</v>
      </c>
      <c r="C656" s="2">
        <f>IFERROR(__xludf.DUMMYFUNCTION("""COMPUTED_VALUE"""),0.3)</f>
        <v>0.3</v>
      </c>
      <c r="D656" s="2" t="str">
        <f>IFERROR(__xludf.DUMMYFUNCTION("""COMPUTED_VALUE"""),"ପ୍ରସ୍ତୁତ ଅର୍ଡର ବିବରଣୀ |")</f>
        <v>ପ୍ରସ୍ତୁତ ଅର୍ଡର ବିବରଣୀ |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 t="str">
        <f>IFERROR(__xludf.DUMMYFUNCTION("""COMPUTED_VALUE"""),"SearchLanguage ")</f>
        <v>SearchLanguage </v>
      </c>
      <c r="B657" s="2" t="str">
        <f>IFERROR(__xludf.DUMMYFUNCTION("""COMPUTED_VALUE"""),"Language ")</f>
        <v>Language </v>
      </c>
      <c r="C657" s="2">
        <f>IFERROR(__xludf.DUMMYFUNCTION("""COMPUTED_VALUE"""),0.1)</f>
        <v>0.1</v>
      </c>
      <c r="D657" s="2" t="str">
        <f>IFERROR(__xludf.DUMMYFUNCTION("""COMPUTED_VALUE"""),"ଭାଷା")</f>
        <v>ଭାଷା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 t="str">
        <f>IFERROR(__xludf.DUMMYFUNCTION("""COMPUTED_VALUE"""),"uploadbplcard")</f>
        <v>uploadbplcard</v>
      </c>
      <c r="B658" s="2" t="str">
        <f>IFERROR(__xludf.DUMMYFUNCTION("""COMPUTED_VALUE"""),"Upload BPL Card")</f>
        <v>Upload BPL Card</v>
      </c>
      <c r="C658" s="2">
        <f>IFERROR(__xludf.DUMMYFUNCTION("""COMPUTED_VALUE"""),0.1)</f>
        <v>0.1</v>
      </c>
      <c r="D658" s="2" t="str">
        <f>IFERROR(__xludf.DUMMYFUNCTION("""COMPUTED_VALUE"""),"BPL କାର୍ଡ ଅପଲୋଡ୍ କରନ୍ତୁ |")</f>
        <v>BPL କାର୍ଡ ଅପଲୋଡ୍ କରନ୍ତୁ |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 t="str">
        <f>IFERROR(__xludf.DUMMYFUNCTION("""COMPUTED_VALUE"""),"skipfornow")</f>
        <v>skipfornow</v>
      </c>
      <c r="B659" s="2" t="str">
        <f>IFERROR(__xludf.DUMMYFUNCTION("""COMPUTED_VALUE"""),"Skip Now")</f>
        <v>Skip Now</v>
      </c>
      <c r="C659" s="2">
        <f>IFERROR(__xludf.DUMMYFUNCTION("""COMPUTED_VALUE"""),0.1)</f>
        <v>0.1</v>
      </c>
      <c r="D659" s="2" t="str">
        <f>IFERROR(__xludf.DUMMYFUNCTION("""COMPUTED_VALUE"""),"ବର୍ତ୍ତମାନ ସ୍କିପ୍ କରନ୍ତୁ |")</f>
        <v>ବର୍ତ୍ତମାନ ସ୍କିପ୍ କରନ୍ତୁ |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 t="str">
        <f>IFERROR(__xludf.DUMMYFUNCTION("""COMPUTED_VALUE"""),"orderId")</f>
        <v>orderId</v>
      </c>
      <c r="B660" s="2" t="str">
        <f>IFERROR(__xludf.DUMMYFUNCTION("""COMPUTED_VALUE"""),"Order ID")</f>
        <v>Order ID</v>
      </c>
      <c r="C660" s="2">
        <f>IFERROR(__xludf.DUMMYFUNCTION("""COMPUTED_VALUE"""),0.2)</f>
        <v>0.2</v>
      </c>
      <c r="D660" s="2" t="str">
        <f>IFERROR(__xludf.DUMMYFUNCTION("""COMPUTED_VALUE"""),"ଅର୍ଡର id")</f>
        <v>ଅର୍ଡର id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 t="str">
        <f>IFERROR(__xludf.DUMMYFUNCTION("""COMPUTED_VALUE"""),"Addressdetail")</f>
        <v>Addressdetail</v>
      </c>
      <c r="B661" s="2" t="str">
        <f>IFERROR(__xludf.DUMMYFUNCTION("""COMPUTED_VALUE"""),"Address Detail")</f>
        <v>Address Detail</v>
      </c>
      <c r="C661" s="2">
        <f>IFERROR(__xludf.DUMMYFUNCTION("""COMPUTED_VALUE"""),0.1)</f>
        <v>0.1</v>
      </c>
      <c r="D661" s="2" t="str">
        <f>IFERROR(__xludf.DUMMYFUNCTION("""COMPUTED_VALUE"""),"ଠିକଣା ବିବରଣୀ")</f>
        <v>ଠିକଣା ବିବରଣୀ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 t="str">
        <f>IFERROR(__xludf.DUMMYFUNCTION("""COMPUTED_VALUE"""),"PanProof")</f>
        <v>PanProof</v>
      </c>
      <c r="B662" s="2" t="str">
        <f>IFERROR(__xludf.DUMMYFUNCTION("""COMPUTED_VALUE"""),"PAN Proof")</f>
        <v>PAN Proof</v>
      </c>
      <c r="C662" s="2">
        <f>IFERROR(__xludf.DUMMYFUNCTION("""COMPUTED_VALUE"""),0.1)</f>
        <v>0.1</v>
      </c>
      <c r="D662" s="2" t="str">
        <f>IFERROR(__xludf.DUMMYFUNCTION("""COMPUTED_VALUE"""),"ପାନ୍ ପ୍ରମାଣ")</f>
        <v>ପାନ୍ ପ୍ରମାଣ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 t="str">
        <f>IFERROR(__xludf.DUMMYFUNCTION("""COMPUTED_VALUE"""),"Nameasperpancard")</f>
        <v>Nameasperpancard</v>
      </c>
      <c r="B663" s="2" t="str">
        <f>IFERROR(__xludf.DUMMYFUNCTION("""COMPUTED_VALUE"""),"Name as Per Pan Card ")</f>
        <v>Name as Per Pan Card </v>
      </c>
      <c r="C663" s="2">
        <f>IFERROR(__xludf.DUMMYFUNCTION("""COMPUTED_VALUE"""),0.1)</f>
        <v>0.1</v>
      </c>
      <c r="D663" s="2" t="str">
        <f>IFERROR(__xludf.DUMMYFUNCTION("""COMPUTED_VALUE"""),"ପାନ୍ କାର୍ଡ ଅନୁଯାୟୀ ନାମ |")</f>
        <v>ପାନ୍ କାର୍ଡ ଅନୁଯାୟୀ ନାମ |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 t="str">
        <f>IFERROR(__xludf.DUMMYFUNCTION("""COMPUTED_VALUE"""),"FixedRetailershop")</f>
        <v>FixedRetailershop</v>
      </c>
      <c r="B664" s="2" t="str">
        <f>IFERROR(__xludf.DUMMYFUNCTION("""COMPUTED_VALUE"""),"Fixed Retailer Shop")</f>
        <v>Fixed Retailer Shop</v>
      </c>
      <c r="C664" s="2">
        <f>IFERROR(__xludf.DUMMYFUNCTION("""COMPUTED_VALUE"""),0.1)</f>
        <v>0.1</v>
      </c>
      <c r="D664" s="2" t="str">
        <f>IFERROR(__xludf.DUMMYFUNCTION("""COMPUTED_VALUE"""),"ସ୍ଥିର ଖୁଚୁରା ବ୍ୟବସାୟୀ ଦୋକାନ |")</f>
        <v>ସ୍ଥିର ଖୁଚୁରା ବ୍ୟବସାୟୀ ଦୋକାନ |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 t="str">
        <f>IFERROR(__xludf.DUMMYFUNCTION("""COMPUTED_VALUE"""),"MobileRetailershop ")</f>
        <v>MobileRetailershop </v>
      </c>
      <c r="B665" s="2" t="str">
        <f>IFERROR(__xludf.DUMMYFUNCTION("""COMPUTED_VALUE"""),"Mobile Retailer Shop ")</f>
        <v>Mobile Retailer Shop </v>
      </c>
      <c r="C665" s="2">
        <f>IFERROR(__xludf.DUMMYFUNCTION("""COMPUTED_VALUE"""),0.1)</f>
        <v>0.1</v>
      </c>
      <c r="D665" s="2" t="str">
        <f>IFERROR(__xludf.DUMMYFUNCTION("""COMPUTED_VALUE"""),"ମୋବାଇଲ୍ ରିଟେଲର ଦୋକାନ |")</f>
        <v>ମୋବାଇଲ୍ ରିଟେଲର ଦୋକାନ |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 t="str">
        <f>IFERROR(__xludf.DUMMYFUNCTION("""COMPUTED_VALUE"""),"Iown ")</f>
        <v>Iown </v>
      </c>
      <c r="B666" s="2" t="str">
        <f>IFERROR(__xludf.DUMMYFUNCTION("""COMPUTED_VALUE"""),"I Own ")</f>
        <v>I Own </v>
      </c>
      <c r="C666" s="2">
        <f>IFERROR(__xludf.DUMMYFUNCTION("""COMPUTED_VALUE"""),0.1)</f>
        <v>0.1</v>
      </c>
      <c r="D666" s="2" t="str">
        <f>IFERROR(__xludf.DUMMYFUNCTION("""COMPUTED_VALUE"""),"ମୋର ମାଲିକାନା")</f>
        <v>ମୋର ମାଲିକାନା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 t="str">
        <f>IFERROR(__xludf.DUMMYFUNCTION("""COMPUTED_VALUE"""),"Membershipplan ")</f>
        <v>Membershipplan </v>
      </c>
      <c r="B667" s="2" t="str">
        <f>IFERROR(__xludf.DUMMYFUNCTION("""COMPUTED_VALUE"""),"Membership Plan ")</f>
        <v>Membership Plan </v>
      </c>
      <c r="C667" s="2">
        <f>IFERROR(__xludf.DUMMYFUNCTION("""COMPUTED_VALUE"""),0.1)</f>
        <v>0.1</v>
      </c>
      <c r="D667" s="2" t="str">
        <f>IFERROR(__xludf.DUMMYFUNCTION("""COMPUTED_VALUE"""),"ସଦସ୍ୟତା ଯୋଜନା")</f>
        <v>ସଦସ୍ୟତା ଯୋଜନା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 t="str">
        <f>IFERROR(__xludf.DUMMYFUNCTION("""COMPUTED_VALUE"""),"PerMonth")</f>
        <v>PerMonth</v>
      </c>
      <c r="B668" s="2" t="str">
        <f>IFERROR(__xludf.DUMMYFUNCTION("""COMPUTED_VALUE"""),"Per Month")</f>
        <v>Per Month</v>
      </c>
      <c r="C668" s="2">
        <f>IFERROR(__xludf.DUMMYFUNCTION("""COMPUTED_VALUE"""),0.1)</f>
        <v>0.1</v>
      </c>
      <c r="D668" s="2" t="str">
        <f>IFERROR(__xludf.DUMMYFUNCTION("""COMPUTED_VALUE"""),"ପ୍ରତି ମାସରେ")</f>
        <v>ପ୍ରତି ମାସରେ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 t="str">
        <f>IFERROR(__xludf.DUMMYFUNCTION("""COMPUTED_VALUE"""),"Basic")</f>
        <v>Basic</v>
      </c>
      <c r="B669" s="2" t="str">
        <f>IFERROR(__xludf.DUMMYFUNCTION("""COMPUTED_VALUE"""),"Basic")</f>
        <v>Basic</v>
      </c>
      <c r="C669" s="2">
        <f>IFERROR(__xludf.DUMMYFUNCTION("""COMPUTED_VALUE"""),0.1)</f>
        <v>0.1</v>
      </c>
      <c r="D669" s="2" t="str">
        <f>IFERROR(__xludf.DUMMYFUNCTION("""COMPUTED_VALUE"""),"ମ basic ଳିକ")</f>
        <v>ମ basic ଳିକ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 t="str">
        <f>IFERROR(__xludf.DUMMYFUNCTION("""COMPUTED_VALUE"""),"Onlineshopspace")</f>
        <v>Onlineshopspace</v>
      </c>
      <c r="B670" s="2" t="str">
        <f>IFERROR(__xludf.DUMMYFUNCTION("""COMPUTED_VALUE"""),"Online Shop Space")</f>
        <v>Online Shop Space</v>
      </c>
      <c r="C670" s="2">
        <f>IFERROR(__xludf.DUMMYFUNCTION("""COMPUTED_VALUE"""),0.1)</f>
        <v>0.1</v>
      </c>
      <c r="D670" s="2" t="str">
        <f>IFERROR(__xludf.DUMMYFUNCTION("""COMPUTED_VALUE"""),"ଅନଲାଇନ୍ ଦୋକାନ ସ୍ପେସ୍ |")</f>
        <v>ଅନଲାଇନ୍ ଦୋକାନ ସ୍ପେସ୍ |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 t="str">
        <f>IFERROR(__xludf.DUMMYFUNCTION("""COMPUTED_VALUE"""),"Sell/purchase ")</f>
        <v>Sell/purchase </v>
      </c>
      <c r="B671" s="2" t="str">
        <f>IFERROR(__xludf.DUMMYFUNCTION("""COMPUTED_VALUE"""),"Sell/Purchase ")</f>
        <v>Sell/Purchase </v>
      </c>
      <c r="C671" s="2">
        <f>IFERROR(__xludf.DUMMYFUNCTION("""COMPUTED_VALUE"""),0.1)</f>
        <v>0.1</v>
      </c>
      <c r="D671" s="2" t="str">
        <f>IFERROR(__xludf.DUMMYFUNCTION("""COMPUTED_VALUE"""),"ବିକ୍ରୟ / କ୍ରୟ")</f>
        <v>ବିକ୍ରୟ / କ୍ରୟ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 t="str">
        <f>IFERROR(__xludf.DUMMYFUNCTION("""COMPUTED_VALUE"""),"Creditmanagement")</f>
        <v>Creditmanagement</v>
      </c>
      <c r="B672" s="2" t="str">
        <f>IFERROR(__xludf.DUMMYFUNCTION("""COMPUTED_VALUE"""),"Credit Management")</f>
        <v>Credit Management</v>
      </c>
      <c r="C672" s="2">
        <f>IFERROR(__xludf.DUMMYFUNCTION("""COMPUTED_VALUE"""),0.1)</f>
        <v>0.1</v>
      </c>
      <c r="D672" s="2" t="str">
        <f>IFERROR(__xludf.DUMMYFUNCTION("""COMPUTED_VALUE"""),"କ୍ରେଡିଟ୍ ପରିଚାଳନା")</f>
        <v>କ୍ରେଡିଟ୍ ପରିଚାଳନା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 t="str">
        <f>IFERROR(__xludf.DUMMYFUNCTION("""COMPUTED_VALUE"""),"Owndelivery ")</f>
        <v>Owndelivery </v>
      </c>
      <c r="B673" s="2" t="str">
        <f>IFERROR(__xludf.DUMMYFUNCTION("""COMPUTED_VALUE"""),"Own Delivery ")</f>
        <v>Own Delivery </v>
      </c>
      <c r="C673" s="2">
        <f>IFERROR(__xludf.DUMMYFUNCTION("""COMPUTED_VALUE"""),0.1)</f>
        <v>0.1</v>
      </c>
      <c r="D673" s="2" t="str">
        <f>IFERROR(__xludf.DUMMYFUNCTION("""COMPUTED_VALUE"""),"ନିଜର ବିତରଣ")</f>
        <v>ନିଜର ବିତରଣ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 t="str">
        <f>IFERROR(__xludf.DUMMYFUNCTION("""COMPUTED_VALUE"""),"Onlinepayment ")</f>
        <v>Onlinepayment </v>
      </c>
      <c r="B674" s="2" t="str">
        <f>IFERROR(__xludf.DUMMYFUNCTION("""COMPUTED_VALUE"""),"Online Payment ")</f>
        <v>Online Payment </v>
      </c>
      <c r="C674" s="2">
        <f>IFERROR(__xludf.DUMMYFUNCTION("""COMPUTED_VALUE"""),0.1)</f>
        <v>0.1</v>
      </c>
      <c r="D674" s="2" t="str">
        <f>IFERROR(__xludf.DUMMYFUNCTION("""COMPUTED_VALUE"""),"ଅନଲାଇନ୍ ଦେୟ")</f>
        <v>ଅନଲାଇନ୍ ଦେୟ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 t="str">
        <f>IFERROR(__xludf.DUMMYFUNCTION("""COMPUTED_VALUE"""),"cataloguemanagement")</f>
        <v>cataloguemanagement</v>
      </c>
      <c r="B675" s="2" t="str">
        <f>IFERROR(__xludf.DUMMYFUNCTION("""COMPUTED_VALUE"""),"Catalogue Management")</f>
        <v>Catalogue Management</v>
      </c>
      <c r="C675" s="2">
        <f>IFERROR(__xludf.DUMMYFUNCTION("""COMPUTED_VALUE"""),0.1)</f>
        <v>0.1</v>
      </c>
      <c r="D675" s="2" t="str">
        <f>IFERROR(__xludf.DUMMYFUNCTION("""COMPUTED_VALUE"""),"କାଟାଲଗ୍ ପରିଚାଳନା")</f>
        <v>କାଟାଲଗ୍ ପରିଚାଳନା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 t="str">
        <f>IFERROR(__xludf.DUMMYFUNCTION("""COMPUTED_VALUE"""),"PerOrderManagement ")</f>
        <v>PerOrderManagement </v>
      </c>
      <c r="B676" s="2" t="str">
        <f>IFERROR(__xludf.DUMMYFUNCTION("""COMPUTED_VALUE"""),"Per Order Management ")</f>
        <v>Per Order Management </v>
      </c>
      <c r="C676" s="2">
        <f>IFERROR(__xludf.DUMMYFUNCTION("""COMPUTED_VALUE"""),0.1)</f>
        <v>0.1</v>
      </c>
      <c r="D676" s="2" t="str">
        <f>IFERROR(__xludf.DUMMYFUNCTION("""COMPUTED_VALUE"""),"କ୍ରମ ପରିଚାଳନା ପାଇଁ |")</f>
        <v>କ୍ରମ ପରିଚାଳନା ପାଇଁ |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 t="str">
        <f>IFERROR(__xludf.DUMMYFUNCTION("""COMPUTED_VALUE"""),"Managecustomers ")</f>
        <v>Managecustomers </v>
      </c>
      <c r="B677" s="2" t="str">
        <f>IFERROR(__xludf.DUMMYFUNCTION("""COMPUTED_VALUE"""),"Manage Customers ")</f>
        <v>Manage Customers </v>
      </c>
      <c r="C677" s="2">
        <f>IFERROR(__xludf.DUMMYFUNCTION("""COMPUTED_VALUE"""),0.1)</f>
        <v>0.1</v>
      </c>
      <c r="D677" s="2" t="str">
        <f>IFERROR(__xludf.DUMMYFUNCTION("""COMPUTED_VALUE"""),"ଗ୍ରାହକମାନଙ୍କୁ ପରିଚାଳନା କରନ୍ତୁ |")</f>
        <v>ଗ୍ରାହକମାନଙ୍କୁ ପରିଚାଳନା କରନ୍ତୁ |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 t="str">
        <f>IFERROR(__xludf.DUMMYFUNCTION("""COMPUTED_VALUE"""),"BuyNow ")</f>
        <v>BuyNow </v>
      </c>
      <c r="B678" s="2" t="str">
        <f>IFERROR(__xludf.DUMMYFUNCTION("""COMPUTED_VALUE"""),"Buy Now ")</f>
        <v>Buy Now </v>
      </c>
      <c r="C678" s="2">
        <f>IFERROR(__xludf.DUMMYFUNCTION("""COMPUTED_VALUE"""),0.1)</f>
        <v>0.1</v>
      </c>
      <c r="D678" s="2" t="str">
        <f>IFERROR(__xludf.DUMMYFUNCTION("""COMPUTED_VALUE"""),"ବର୍ତ୍ତମାନ କିଣ |")</f>
        <v>ବର୍ତ୍ତମାନ କିଣ |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 t="str">
        <f>IFERROR(__xludf.DUMMYFUNCTION("""COMPUTED_VALUE"""),"selectstate ")</f>
        <v>selectstate </v>
      </c>
      <c r="B679" s="2" t="str">
        <f>IFERROR(__xludf.DUMMYFUNCTION("""COMPUTED_VALUE"""),"Select State")</f>
        <v>Select State</v>
      </c>
      <c r="C679" s="2">
        <f>IFERROR(__xludf.DUMMYFUNCTION("""COMPUTED_VALUE"""),0.3)</f>
        <v>0.3</v>
      </c>
      <c r="D679" s="2" t="str">
        <f>IFERROR(__xludf.DUMMYFUNCTION("""COMPUTED_VALUE"""),"ରାଜ୍ୟ ଚୟନ କରନ୍ତୁ |")</f>
        <v>ରାଜ୍ୟ ଚୟନ କରନ୍ତୁ |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 t="str">
        <f>IFERROR(__xludf.DUMMYFUNCTION("""COMPUTED_VALUE"""),"Close ")</f>
        <v>Close </v>
      </c>
      <c r="B680" s="2" t="str">
        <f>IFERROR(__xludf.DUMMYFUNCTION("""COMPUTED_VALUE"""),"Close ")</f>
        <v>Close </v>
      </c>
      <c r="C680" s="2">
        <f>IFERROR(__xludf.DUMMYFUNCTION("""COMPUTED_VALUE"""),0.1)</f>
        <v>0.1</v>
      </c>
      <c r="D680" s="2" t="str">
        <f>IFERROR(__xludf.DUMMYFUNCTION("""COMPUTED_VALUE"""),"ବନ୍ଦ")</f>
        <v>ବନ୍ଦ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 t="str">
        <f>IFERROR(__xludf.DUMMYFUNCTION("""COMPUTED_VALUE"""),"Open")</f>
        <v>Open</v>
      </c>
      <c r="B681" s="2" t="str">
        <f>IFERROR(__xludf.DUMMYFUNCTION("""COMPUTED_VALUE"""),"Open")</f>
        <v>Open</v>
      </c>
      <c r="C681" s="2">
        <f>IFERROR(__xludf.DUMMYFUNCTION("""COMPUTED_VALUE"""),0.1)</f>
        <v>0.1</v>
      </c>
      <c r="D681" s="2" t="str">
        <f>IFERROR(__xludf.DUMMYFUNCTION("""COMPUTED_VALUE"""),"ଖୋଲ |")</f>
        <v>ଖୋଲ |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 t="str">
        <f>IFERROR(__xludf.DUMMYFUNCTION("""COMPUTED_VALUE"""),"ReferandEarn")</f>
        <v>ReferandEarn</v>
      </c>
      <c r="B682" s="2" t="str">
        <f>IFERROR(__xludf.DUMMYFUNCTION("""COMPUTED_VALUE"""),"Refer and Earn")</f>
        <v>Refer and Earn</v>
      </c>
      <c r="C682" s="2">
        <f>IFERROR(__xludf.DUMMYFUNCTION("""COMPUTED_VALUE"""),0.1)</f>
        <v>0.1</v>
      </c>
      <c r="D682" s="2" t="str">
        <f>IFERROR(__xludf.DUMMYFUNCTION("""COMPUTED_VALUE"""),"ରେଫର୍ ଏବଂ ରୋଜଗାର କର |")</f>
        <v>ରେଫର୍ ଏବଂ ରୋଜଗାର କର |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 t="str">
        <f>IFERROR(__xludf.DUMMYFUNCTION("""COMPUTED_VALUE"""),"Shoppicture")</f>
        <v>Shoppicture</v>
      </c>
      <c r="B683" s="2" t="str">
        <f>IFERROR(__xludf.DUMMYFUNCTION("""COMPUTED_VALUE"""),"Shop Picture")</f>
        <v>Shop Picture</v>
      </c>
      <c r="C683" s="2">
        <f>IFERROR(__xludf.DUMMYFUNCTION("""COMPUTED_VALUE"""),0.1)</f>
        <v>0.1</v>
      </c>
      <c r="D683" s="2" t="str">
        <f>IFERROR(__xludf.DUMMYFUNCTION("""COMPUTED_VALUE"""),"ଦୋକାନ ଚିତ୍ର")</f>
        <v>ଦୋକାନ ଚିତ୍ର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 t="str">
        <f>IFERROR(__xludf.DUMMYFUNCTION("""COMPUTED_VALUE"""),"Edit")</f>
        <v>Edit</v>
      </c>
      <c r="B684" s="2" t="str">
        <f>IFERROR(__xludf.DUMMYFUNCTION("""COMPUTED_VALUE"""),"Edit")</f>
        <v>Edit</v>
      </c>
      <c r="C684" s="2">
        <f>IFERROR(__xludf.DUMMYFUNCTION("""COMPUTED_VALUE"""),0.1)</f>
        <v>0.1</v>
      </c>
      <c r="D684" s="2" t="str">
        <f>IFERROR(__xludf.DUMMYFUNCTION("""COMPUTED_VALUE"""),"ସଂପାଦନ କରନ୍ତୁ |")</f>
        <v>ସଂପାଦନ କରନ୍ତୁ |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 t="str">
        <f>IFERROR(__xludf.DUMMYFUNCTION("""COMPUTED_VALUE"""),"Wallet")</f>
        <v>Wallet</v>
      </c>
      <c r="B685" s="2" t="str">
        <f>IFERROR(__xludf.DUMMYFUNCTION("""COMPUTED_VALUE"""),"Wallet")</f>
        <v>Wallet</v>
      </c>
      <c r="C685" s="2">
        <f>IFERROR(__xludf.DUMMYFUNCTION("""COMPUTED_VALUE"""),0.1)</f>
        <v>0.1</v>
      </c>
      <c r="D685" s="2" t="str">
        <f>IFERROR(__xludf.DUMMYFUNCTION("""COMPUTED_VALUE"""),"ୱାଲେଟ୍")</f>
        <v>ୱାଲେଟ୍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 t="str">
        <f>IFERROR(__xludf.DUMMYFUNCTION("""COMPUTED_VALUE"""),"DeliveryOrderDetails")</f>
        <v>DeliveryOrderDetails</v>
      </c>
      <c r="B686" s="2" t="str">
        <f>IFERROR(__xludf.DUMMYFUNCTION("""COMPUTED_VALUE"""),"Delivery Order Details")</f>
        <v>Delivery Order Details</v>
      </c>
      <c r="C686" s="2">
        <f>IFERROR(__xludf.DUMMYFUNCTION("""COMPUTED_VALUE"""),0.4)</f>
        <v>0.4</v>
      </c>
      <c r="D686" s="2" t="str">
        <f>IFERROR(__xludf.DUMMYFUNCTION("""COMPUTED_VALUE"""),"ବିତରଣ ଅର୍ଡର ବିବରଣୀ |")</f>
        <v>ବିତରଣ ଅର୍ଡର ବିବରଣୀ |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 t="str">
        <f>IFERROR(__xludf.DUMMYFUNCTION("""COMPUTED_VALUE"""),"MyRewards ")</f>
        <v>MyRewards </v>
      </c>
      <c r="B687" s="2" t="str">
        <f>IFERROR(__xludf.DUMMYFUNCTION("""COMPUTED_VALUE"""),"My Rewards ")</f>
        <v>My Rewards </v>
      </c>
      <c r="C687" s="2">
        <f>IFERROR(__xludf.DUMMYFUNCTION("""COMPUTED_VALUE"""),0.1)</f>
        <v>0.1</v>
      </c>
      <c r="D687" s="2" t="str">
        <f>IFERROR(__xludf.DUMMYFUNCTION("""COMPUTED_VALUE"""),"ମୋର ପୁରସ୍କାର")</f>
        <v>ମୋର ପୁରସ୍କାର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 t="str">
        <f>IFERROR(__xludf.DUMMYFUNCTION("""COMPUTED_VALUE"""),"Invitepeoplefromyournetworkandlearncashrewards")</f>
        <v>Invitepeoplefromyournetworkandlearncashrewards</v>
      </c>
      <c r="B688" s="2" t="str">
        <f>IFERROR(__xludf.DUMMYFUNCTION("""COMPUTED_VALUE"""),"Invite people and earn cash rewards")</f>
        <v>Invite people and earn cash rewards</v>
      </c>
      <c r="C688" s="2">
        <f>IFERROR(__xludf.DUMMYFUNCTION("""COMPUTED_VALUE"""),0.1)</f>
        <v>0.1</v>
      </c>
      <c r="D688" s="2" t="str">
        <f>IFERROR(__xludf.DUMMYFUNCTION("""COMPUTED_VALUE"""),"ଲୋକଙ୍କୁ ନିମନ୍ତ୍ରଣ କର ଏବଂ ନଗଦ ପୁରସ୍କାର ରୋଜଗାର କର |")</f>
        <v>ଲୋକଙ୍କୁ ନିମନ୍ତ୍ରଣ କର ଏବଂ ନଗଦ ପୁରସ୍କାର ରୋଜଗାର କର |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 t="str">
        <f>IFERROR(__xludf.DUMMYFUNCTION("""COMPUTED_VALUE"""),"Getcashrewardsupto ")</f>
        <v>Getcashrewardsupto </v>
      </c>
      <c r="B689" s="2" t="str">
        <f>IFERROR(__xludf.DUMMYFUNCTION("""COMPUTED_VALUE"""),"Get Cash Rewards Upto ")</f>
        <v>Get Cash Rewards Upto </v>
      </c>
      <c r="C689" s="2">
        <f>IFERROR(__xludf.DUMMYFUNCTION("""COMPUTED_VALUE"""),0.1)</f>
        <v>0.1</v>
      </c>
      <c r="D689" s="2" t="str">
        <f>IFERROR(__xludf.DUMMYFUNCTION("""COMPUTED_VALUE"""),"ନଗଦ ପୁରସ୍କାର ନିଅନ୍ତୁ |")</f>
        <v>ନଗଦ ପୁରସ୍କାର ନିଅନ୍ତୁ |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 t="str">
        <f>IFERROR(__xludf.DUMMYFUNCTION("""COMPUTED_VALUE"""),"Invite ")</f>
        <v>Invite </v>
      </c>
      <c r="B690" s="2" t="str">
        <f>IFERROR(__xludf.DUMMYFUNCTION("""COMPUTED_VALUE"""),"Invite ")</f>
        <v>Invite </v>
      </c>
      <c r="C690" s="2">
        <f>IFERROR(__xludf.DUMMYFUNCTION("""COMPUTED_VALUE"""),0.1)</f>
        <v>0.1</v>
      </c>
      <c r="D690" s="2" t="str">
        <f>IFERROR(__xludf.DUMMYFUNCTION("""COMPUTED_VALUE"""),"ନିମନ୍ତ୍ରଣ")</f>
        <v>ନିମନ୍ତ୍ରଣ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 t="str">
        <f>IFERROR(__xludf.DUMMYFUNCTION("""COMPUTED_VALUE"""),"Cash")</f>
        <v>Cash</v>
      </c>
      <c r="B691" s="2" t="str">
        <f>IFERROR(__xludf.DUMMYFUNCTION("""COMPUTED_VALUE"""),"Cash")</f>
        <v>Cash</v>
      </c>
      <c r="C691" s="2">
        <f>IFERROR(__xludf.DUMMYFUNCTION("""COMPUTED_VALUE"""),0.3)</f>
        <v>0.3</v>
      </c>
      <c r="D691" s="2" t="str">
        <f>IFERROR(__xludf.DUMMYFUNCTION("""COMPUTED_VALUE"""),"ନଗଦ")</f>
        <v>ନଗଦ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 t="str">
        <f>IFERROR(__xludf.DUMMYFUNCTION("""COMPUTED_VALUE"""),"TotalReferal")</f>
        <v>TotalReferal</v>
      </c>
      <c r="B692" s="2" t="str">
        <f>IFERROR(__xludf.DUMMYFUNCTION("""COMPUTED_VALUE"""),"Total Referral")</f>
        <v>Total Referral</v>
      </c>
      <c r="C692" s="2">
        <f>IFERROR(__xludf.DUMMYFUNCTION("""COMPUTED_VALUE"""),0.1)</f>
        <v>0.1</v>
      </c>
      <c r="D692" s="2" t="str">
        <f>IFERROR(__xludf.DUMMYFUNCTION("""COMPUTED_VALUE"""),"ସମୁଦାୟ ରେଫରାଲ୍ |")</f>
        <v>ସମୁଦାୟ ରେଫରାଲ୍ |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 t="str">
        <f>IFERROR(__xludf.DUMMYFUNCTION("""COMPUTED_VALUE"""),"DeliveredOrderDetails")</f>
        <v>DeliveredOrderDetails</v>
      </c>
      <c r="B693" s="2" t="str">
        <f>IFERROR(__xludf.DUMMYFUNCTION("""COMPUTED_VALUE"""),"Delivered Order Details")</f>
        <v>Delivered Order Details</v>
      </c>
      <c r="C693" s="2">
        <f>IFERROR(__xludf.DUMMYFUNCTION("""COMPUTED_VALUE"""),0.3)</f>
        <v>0.3</v>
      </c>
      <c r="D693" s="2" t="str">
        <f>IFERROR(__xludf.DUMMYFUNCTION("""COMPUTED_VALUE"""),"ଅର୍ଡର ବିବରଣୀ ବିତରଣ କରନ୍ତୁ |")</f>
        <v>ଅର୍ଡର ବିବରଣୀ ବିତରଣ କରନ୍ତୁ |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 t="str">
        <f>IFERROR(__xludf.DUMMYFUNCTION("""COMPUTED_VALUE"""),"Acknowledge")</f>
        <v>Acknowledge</v>
      </c>
      <c r="B694" s="2" t="str">
        <f>IFERROR(__xludf.DUMMYFUNCTION("""COMPUTED_VALUE"""),"Acknowledge")</f>
        <v>Acknowledge</v>
      </c>
      <c r="C694" s="2">
        <f>IFERROR(__xludf.DUMMYFUNCTION("""COMPUTED_VALUE"""),0.1)</f>
        <v>0.1</v>
      </c>
      <c r="D694" s="2" t="str">
        <f>IFERROR(__xludf.DUMMYFUNCTION("""COMPUTED_VALUE"""),"ସ୍ୱୀକାର କର |")</f>
        <v>ସ୍ୱୀକାର କର |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 t="str">
        <f>IFERROR(__xludf.DUMMYFUNCTION("""COMPUTED_VALUE"""),"order")</f>
        <v>order</v>
      </c>
      <c r="B695" s="2" t="str">
        <f>IFERROR(__xludf.DUMMYFUNCTION("""COMPUTED_VALUE"""),"Order #")</f>
        <v>Order #</v>
      </c>
      <c r="C695" s="2">
        <f>IFERROR(__xludf.DUMMYFUNCTION("""COMPUTED_VALUE"""),0.4)</f>
        <v>0.4</v>
      </c>
      <c r="D695" s="2" t="str">
        <f>IFERROR(__xludf.DUMMYFUNCTION("""COMPUTED_VALUE"""),"ଅର୍ଡର #")</f>
        <v>ଅର୍ଡର #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 t="str">
        <f>IFERROR(__xludf.DUMMYFUNCTION("""COMPUTED_VALUE"""),"hours")</f>
        <v>hours</v>
      </c>
      <c r="B696" s="2" t="str">
        <f>IFERROR(__xludf.DUMMYFUNCTION("""COMPUTED_VALUE"""),"Hours")</f>
        <v>Hours</v>
      </c>
      <c r="C696" s="2">
        <f>IFERROR(__xludf.DUMMYFUNCTION("""COMPUTED_VALUE"""),0.1)</f>
        <v>0.1</v>
      </c>
      <c r="D696" s="2" t="str">
        <f>IFERROR(__xludf.DUMMYFUNCTION("""COMPUTED_VALUE"""),"ଘଣ୍ଟା")</f>
        <v>ଘଣ୍ଟା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 t="str">
        <f>IFERROR(__xludf.DUMMYFUNCTION("""COMPUTED_VALUE"""),"ProfileComplete")</f>
        <v>ProfileComplete</v>
      </c>
      <c r="B697" s="2" t="str">
        <f>IFERROR(__xludf.DUMMYFUNCTION("""COMPUTED_VALUE"""),"Profile Complete")</f>
        <v>Profile Complete</v>
      </c>
      <c r="C697" s="2">
        <f>IFERROR(__xludf.DUMMYFUNCTION("""COMPUTED_VALUE"""),0.1)</f>
        <v>0.1</v>
      </c>
      <c r="D697" s="2" t="str">
        <f>IFERROR(__xludf.DUMMYFUNCTION("""COMPUTED_VALUE"""),"ପ୍ରୋଫାଇଲ୍ ସଂପୂର୍ଣ୍ଣ")</f>
        <v>ପ୍ରୋଫାଇଲ୍ ସଂପୂର୍ଣ୍ଣ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 t="str">
        <f>IFERROR(__xludf.DUMMYFUNCTION("""COMPUTED_VALUE"""),"Referred ")</f>
        <v>Referred </v>
      </c>
      <c r="B698" s="2" t="str">
        <f>IFERROR(__xludf.DUMMYFUNCTION("""COMPUTED_VALUE"""),"Referred ")</f>
        <v>Referred </v>
      </c>
      <c r="C698" s="2">
        <f>IFERROR(__xludf.DUMMYFUNCTION("""COMPUTED_VALUE"""),0.1)</f>
        <v>0.1</v>
      </c>
      <c r="D698" s="2" t="str">
        <f>IFERROR(__xludf.DUMMYFUNCTION("""COMPUTED_VALUE"""),"ରେଫର୍ ହୋଇଛି |")</f>
        <v>ରେଫର୍ ହୋଇଛି |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 t="str">
        <f>IFERROR(__xludf.DUMMYFUNCTION("""COMPUTED_VALUE"""),"invite")</f>
        <v>invite</v>
      </c>
      <c r="B699" s="2" t="str">
        <f>IFERROR(__xludf.DUMMYFUNCTION("""COMPUTED_VALUE"""),"Invite")</f>
        <v>Invite</v>
      </c>
      <c r="C699" s="2">
        <f>IFERROR(__xludf.DUMMYFUNCTION("""COMPUTED_VALUE"""),0.1)</f>
        <v>0.1</v>
      </c>
      <c r="D699" s="2" t="str">
        <f>IFERROR(__xludf.DUMMYFUNCTION("""COMPUTED_VALUE"""),"ନିମନ୍ତ୍ରଣ")</f>
        <v>ନିମନ୍ତ୍ରଣ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 t="str">
        <f>IFERROR(__xludf.DUMMYFUNCTION("""COMPUTED_VALUE"""),"Instruction ")</f>
        <v>Instruction </v>
      </c>
      <c r="B700" s="2" t="str">
        <f>IFERROR(__xludf.DUMMYFUNCTION("""COMPUTED_VALUE"""),"Instruction ")</f>
        <v>Instruction </v>
      </c>
      <c r="C700" s="2">
        <f>IFERROR(__xludf.DUMMYFUNCTION("""COMPUTED_VALUE"""),0.2)</f>
        <v>0.2</v>
      </c>
      <c r="D700" s="2" t="str">
        <f>IFERROR(__xludf.DUMMYFUNCTION("""COMPUTED_VALUE"""),"ନିର୍ଦ୍ଦେଶ")</f>
        <v>ନିର୍ଦ୍ଦେଶ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 t="str">
        <f>IFERROR(__xludf.DUMMYFUNCTION("""COMPUTED_VALUE"""),"Deliveryvalet")</f>
        <v>Deliveryvalet</v>
      </c>
      <c r="B701" s="2" t="str">
        <f>IFERROR(__xludf.DUMMYFUNCTION("""COMPUTED_VALUE"""),"Delivery Valet")</f>
        <v>Delivery Valet</v>
      </c>
      <c r="C701" s="2">
        <f>IFERROR(__xludf.DUMMYFUNCTION("""COMPUTED_VALUE"""),0.1)</f>
        <v>0.1</v>
      </c>
      <c r="D701" s="2" t="str">
        <f>IFERROR(__xludf.DUMMYFUNCTION("""COMPUTED_VALUE"""),"ବିତରଣ ଭାଲେଟ୍ |")</f>
        <v>ବିତରଣ ଭାଲେଟ୍ |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 t="str">
        <f>IFERROR(__xludf.DUMMYFUNCTION("""COMPUTED_VALUE"""),"Wholeseller")</f>
        <v>Wholeseller</v>
      </c>
      <c r="B702" s="2" t="str">
        <f>IFERROR(__xludf.DUMMYFUNCTION("""COMPUTED_VALUE"""),"Wholesaler")</f>
        <v>Wholesaler</v>
      </c>
      <c r="C702" s="2">
        <f>IFERROR(__xludf.DUMMYFUNCTION("""COMPUTED_VALUE"""),0.1)</f>
        <v>0.1</v>
      </c>
      <c r="D702" s="2" t="str">
        <f>IFERROR(__xludf.DUMMYFUNCTION("""COMPUTED_VALUE"""),"Hoolsalealer")</f>
        <v>Hoolsalealer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 t="str">
        <f>IFERROR(__xludf.DUMMYFUNCTION("""COMPUTED_VALUE"""),"IncreaseEarningBy150")</f>
        <v>IncreaseEarningBy150</v>
      </c>
      <c r="B703" s="2" t="str">
        <f>IFERROR(__xludf.DUMMYFUNCTION("""COMPUTED_VALUE"""),"Increase Earning By 150% ")</f>
        <v>Increase Earning By 150% </v>
      </c>
      <c r="C703" s="2"/>
      <c r="D703" s="2" t="str">
        <f>IFERROR(__xludf.DUMMYFUNCTION("""COMPUTED_VALUE"""),"150% ବୃଦ୍ଧି ବୃଦ୍ଧି |")</f>
        <v>150% ବୃଦ୍ଧି ବୃଦ୍ଧି |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 t="str">
        <f>IFERROR(__xludf.DUMMYFUNCTION("""COMPUTED_VALUE"""),"Trader/Broker ")</f>
        <v>Trader/Broker </v>
      </c>
      <c r="B704" s="2" t="str">
        <f>IFERROR(__xludf.DUMMYFUNCTION("""COMPUTED_VALUE"""),"Trader/Broker ")</f>
        <v>Trader/Broker </v>
      </c>
      <c r="C704" s="2">
        <f>IFERROR(__xludf.DUMMYFUNCTION("""COMPUTED_VALUE"""),0.1)</f>
        <v>0.1</v>
      </c>
      <c r="D704" s="2" t="str">
        <f>IFERROR(__xludf.DUMMYFUNCTION("""COMPUTED_VALUE"""),"ବ୍ୟବସାୟୀ / ଦଲାଲ୍ |")</f>
        <v>ବ୍ୟବସାୟୀ / ଦଲାଲ୍ |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 t="str">
        <f>IFERROR(__xludf.DUMMYFUNCTION("""COMPUTED_VALUE"""),"Deliverypartner")</f>
        <v>Deliverypartner</v>
      </c>
      <c r="B705" s="2" t="str">
        <f>IFERROR(__xludf.DUMMYFUNCTION("""COMPUTED_VALUE"""),"Delivery Partner")</f>
        <v>Delivery Partner</v>
      </c>
      <c r="C705" s="2">
        <f>IFERROR(__xludf.DUMMYFUNCTION("""COMPUTED_VALUE"""),0.1)</f>
        <v>0.1</v>
      </c>
      <c r="D705" s="2" t="str">
        <f>IFERROR(__xludf.DUMMYFUNCTION("""COMPUTED_VALUE"""),"ବିତରଣ ସାଥୀ |")</f>
        <v>ବିତରଣ ସାଥୀ |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 t="str">
        <f>IFERROR(__xludf.DUMMYFUNCTION("""COMPUTED_VALUE"""),"Inviteesmobilenumber")</f>
        <v>Inviteesmobilenumber</v>
      </c>
      <c r="B706" s="2" t="str">
        <f>IFERROR(__xludf.DUMMYFUNCTION("""COMPUTED_VALUE"""),"Invitees Mobile Number ")</f>
        <v>Invitees Mobile Number </v>
      </c>
      <c r="C706" s="2">
        <f>IFERROR(__xludf.DUMMYFUNCTION("""COMPUTED_VALUE"""),0.1)</f>
        <v>0.1</v>
      </c>
      <c r="D706" s="2" t="str">
        <f>IFERROR(__xludf.DUMMYFUNCTION("""COMPUTED_VALUE"""),"ମୋବାଇଲ୍ ନମ୍ବରକୁ ନିମନ୍ତ୍ରଣ କରେ |")</f>
        <v>ମୋବାଇଲ୍ ନମ୍ବରକୁ ନିମନ୍ତ୍ରଣ କରେ |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 t="str">
        <f>IFERROR(__xludf.DUMMYFUNCTION("""COMPUTED_VALUE"""),"ReferralSMSsendsucessfully")</f>
        <v>ReferralSMSsendsucessfully</v>
      </c>
      <c r="B707" s="2" t="str">
        <f>IFERROR(__xludf.DUMMYFUNCTION("""COMPUTED_VALUE"""),"Referral SMS Sent Successfully")</f>
        <v>Referral SMS Sent Successfully</v>
      </c>
      <c r="C707" s="2">
        <f>IFERROR(__xludf.DUMMYFUNCTION("""COMPUTED_VALUE"""),0.1)</f>
        <v>0.1</v>
      </c>
      <c r="D707" s="2" t="str">
        <f>IFERROR(__xludf.DUMMYFUNCTION("""COMPUTED_VALUE"""),"ରେଫରାଲ୍ SMଗୁଡିକ ସଫଳତାର ସହିତ ପଠାଗଲା |")</f>
        <v>ରେଫରାଲ୍ SMଗୁଡିକ ସଫଳତାର ସହିତ ପଠାଗଲା |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 t="str">
        <f>IFERROR(__xludf.DUMMYFUNCTION("""COMPUTED_VALUE"""),"RequestingReferretoGiveaMissCallon")</f>
        <v>RequestingReferretoGiveaMissCallon</v>
      </c>
      <c r="B708" s="2" t="str">
        <f>IFERROR(__xludf.DUMMYFUNCTION("""COMPUTED_VALUE"""),"Requesting Referee to Give a Miss Call on")</f>
        <v>Requesting Referee to Give a Miss Call on</v>
      </c>
      <c r="C708" s="2">
        <f>IFERROR(__xludf.DUMMYFUNCTION("""COMPUTED_VALUE"""),0.1)</f>
        <v>0.1</v>
      </c>
      <c r="D708" s="2" t="str">
        <f>IFERROR(__xludf.DUMMYFUNCTION("""COMPUTED_VALUE"""),"ଏକ ମିସ୍ କଲ୍ ଦେବାକୁ ରେଫରିଙ୍କୁ ଅନୁରୋଧ |")</f>
        <v>ଏକ ମିସ୍ କଲ୍ ଦେବାକୁ ରେଫରିଙ୍କୁ ଅନୁରୋଧ |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 t="str">
        <f>IFERROR(__xludf.DUMMYFUNCTION("""COMPUTED_VALUE"""),"totalrewardsearn")</f>
        <v>totalrewardsearn</v>
      </c>
      <c r="B709" s="2" t="str">
        <f>IFERROR(__xludf.DUMMYFUNCTION("""COMPUTED_VALUE"""),"Total Rewards Earn ")</f>
        <v>Total Rewards Earn </v>
      </c>
      <c r="C709" s="2">
        <f>IFERROR(__xludf.DUMMYFUNCTION("""COMPUTED_VALUE"""),0.1)</f>
        <v>0.1</v>
      </c>
      <c r="D709" s="2" t="str">
        <f>IFERROR(__xludf.DUMMYFUNCTION("""COMPUTED_VALUE"""),"ସମୁଦାୟ ପୁରସ୍କାର ରୋଜଗାର କରେ |")</f>
        <v>ସମୁଦାୟ ପୁରସ୍କାର ରୋଜଗାର କରେ |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 t="str">
        <f>IFERROR(__xludf.DUMMYFUNCTION("""COMPUTED_VALUE"""),"MyReferrals")</f>
        <v>MyReferrals</v>
      </c>
      <c r="B710" s="2" t="str">
        <f>IFERROR(__xludf.DUMMYFUNCTION("""COMPUTED_VALUE"""),"My Referrals")</f>
        <v>My Referrals</v>
      </c>
      <c r="C710" s="2">
        <f>IFERROR(__xludf.DUMMYFUNCTION("""COMPUTED_VALUE"""),0.1)</f>
        <v>0.1</v>
      </c>
      <c r="D710" s="2" t="str">
        <f>IFERROR(__xludf.DUMMYFUNCTION("""COMPUTED_VALUE"""),"ମୋର ରେଫରାଲ୍ |")</f>
        <v>ମୋର ରେଫରାଲ୍ |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 t="str">
        <f>IFERROR(__xludf.DUMMYFUNCTION("""COMPUTED_VALUE"""),"IncreaseEarningBy ")</f>
        <v>IncreaseEarningBy </v>
      </c>
      <c r="B711" s="2" t="str">
        <f>IFERROR(__xludf.DUMMYFUNCTION("""COMPUTED_VALUE"""),"Increase Earning By ")</f>
        <v>Increase Earning By </v>
      </c>
      <c r="C711" s="2">
        <f>IFERROR(__xludf.DUMMYFUNCTION("""COMPUTED_VALUE"""),0.1)</f>
        <v>0.1</v>
      </c>
      <c r="D711" s="2" t="str">
        <f>IFERROR(__xludf.DUMMYFUNCTION("""COMPUTED_VALUE"""),"ଦ୍ୱାରା ରୋଜଗାର")</f>
        <v>ଦ୍ୱାରା ରୋଜଗାର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 t="str">
        <f>IFERROR(__xludf.DUMMYFUNCTION("""COMPUTED_VALUE"""),"IncreaseReferralEarningonEachsuccessfulinvite")</f>
        <v>IncreaseReferralEarningonEachsuccessfulinvite</v>
      </c>
      <c r="B712" s="2" t="str">
        <f>IFERROR(__xludf.DUMMYFUNCTION("""COMPUTED_VALUE"""),"Increase Referral Earning On Each Successful Invite")</f>
        <v>Increase Referral Earning On Each Successful Invite</v>
      </c>
      <c r="C712" s="2">
        <f>IFERROR(__xludf.DUMMYFUNCTION("""COMPUTED_VALUE"""),0.1)</f>
        <v>0.1</v>
      </c>
      <c r="D712" s="2" t="str">
        <f>IFERROR(__xludf.DUMMYFUNCTION("""COMPUTED_VALUE"""),"ପ୍ରତ୍ୟେକ ସଫଳ ନିମନ୍ତ୍ରଣ ଉପରେ ରେଫରାଲ୍ ରୋଜଗାର ବ increasing ାନ୍ତୁ |")</f>
        <v>ପ୍ରତ୍ୟେକ ସଫଳ ନିମନ୍ତ୍ରଣ ଉପରେ ରେଫରାଲ୍ ରୋଜଗାର ବ increasing ାନ୍ତୁ |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 t="str">
        <f>IFERROR(__xludf.DUMMYFUNCTION("""COMPUTED_VALUE"""),"Youcanwin")</f>
        <v>Youcanwin</v>
      </c>
      <c r="B713" s="2" t="str">
        <f>IFERROR(__xludf.DUMMYFUNCTION("""COMPUTED_VALUE"""),"You Can Win")</f>
        <v>You Can Win</v>
      </c>
      <c r="C713" s="2">
        <f>IFERROR(__xludf.DUMMYFUNCTION("""COMPUTED_VALUE"""),0.1)</f>
        <v>0.1</v>
      </c>
      <c r="D713" s="2" t="str">
        <f>IFERROR(__xludf.DUMMYFUNCTION("""COMPUTED_VALUE"""),"ତୁମେ ଜିତିବ |")</f>
        <v>ତୁମେ ଜିତିବ |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 t="str">
        <f>IFERROR(__xludf.DUMMYFUNCTION("""COMPUTED_VALUE"""),"YouWon")</f>
        <v>YouWon</v>
      </c>
      <c r="B714" s="2" t="str">
        <f>IFERROR(__xludf.DUMMYFUNCTION("""COMPUTED_VALUE"""),"You Won")</f>
        <v>You Won</v>
      </c>
      <c r="C714" s="2">
        <f>IFERROR(__xludf.DUMMYFUNCTION("""COMPUTED_VALUE"""),0.1)</f>
        <v>0.1</v>
      </c>
      <c r="D714" s="2" t="str">
        <f>IFERROR(__xludf.DUMMYFUNCTION("""COMPUTED_VALUE"""),"ତୁମେ ଜିତିଲ")</f>
        <v>ତୁମେ ଜିତିଲ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 t="str">
        <f>IFERROR(__xludf.DUMMYFUNCTION("""COMPUTED_VALUE"""),"ByReferring ")</f>
        <v>ByReferring </v>
      </c>
      <c r="B715" s="2" t="str">
        <f>IFERROR(__xludf.DUMMYFUNCTION("""COMPUTED_VALUE"""),"By Referring ")</f>
        <v>By Referring </v>
      </c>
      <c r="C715" s="2">
        <f>IFERROR(__xludf.DUMMYFUNCTION("""COMPUTED_VALUE"""),0.1)</f>
        <v>0.1</v>
      </c>
      <c r="D715" s="2" t="str">
        <f>IFERROR(__xludf.DUMMYFUNCTION("""COMPUTED_VALUE"""),"ରେଫରିଂ କରି |")</f>
        <v>ରେଫରିଂ କରି |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 t="str">
        <f>IFERROR(__xludf.DUMMYFUNCTION("""COMPUTED_VALUE"""),"Completed")</f>
        <v>Completed</v>
      </c>
      <c r="B716" s="2" t="str">
        <f>IFERROR(__xludf.DUMMYFUNCTION("""COMPUTED_VALUE"""),"Completed")</f>
        <v>Completed</v>
      </c>
      <c r="C716" s="2">
        <f>IFERROR(__xludf.DUMMYFUNCTION("""COMPUTED_VALUE"""),0.1)</f>
        <v>0.1</v>
      </c>
      <c r="D716" s="2" t="str">
        <f>IFERROR(__xludf.DUMMYFUNCTION("""COMPUTED_VALUE"""),"ସମାପ୍ତ")</f>
        <v>ସମାପ୍ତ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 t="str">
        <f>IFERROR(__xludf.DUMMYFUNCTION("""COMPUTED_VALUE"""),"Incompleted")</f>
        <v>Incompleted</v>
      </c>
      <c r="B717" s="2" t="str">
        <f>IFERROR(__xludf.DUMMYFUNCTION("""COMPUTED_VALUE"""),"Incompleted")</f>
        <v>Incompleted</v>
      </c>
      <c r="C717" s="2">
        <f>IFERROR(__xludf.DUMMYFUNCTION("""COMPUTED_VALUE"""),0.1)</f>
        <v>0.1</v>
      </c>
      <c r="D717" s="2" t="str">
        <f>IFERROR(__xludf.DUMMYFUNCTION("""COMPUTED_VALUE"""),"ଅସମ୍ପୂର୍ଣ୍ଣ")</f>
        <v>ଅସମ୍ପୂର୍ଣ୍ଣ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 t="str">
        <f>IFERROR(__xludf.DUMMYFUNCTION("""COMPUTED_VALUE"""),"Referralstatus ")</f>
        <v>Referralstatus </v>
      </c>
      <c r="B718" s="2" t="str">
        <f>IFERROR(__xludf.DUMMYFUNCTION("""COMPUTED_VALUE"""),"Referral Status ")</f>
        <v>Referral Status </v>
      </c>
      <c r="C718" s="2">
        <f>IFERROR(__xludf.DUMMYFUNCTION("""COMPUTED_VALUE"""),0.1)</f>
        <v>0.1</v>
      </c>
      <c r="D718" s="2" t="str">
        <f>IFERROR(__xludf.DUMMYFUNCTION("""COMPUTED_VALUE"""),"ରେଫରାଲ୍ ସ୍ଥିତି |")</f>
        <v>ରେଫରାଲ୍ ସ୍ଥିତି |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 t="str">
        <f>IFERROR(__xludf.DUMMYFUNCTION("""COMPUTED_VALUE"""),"Ordered ")</f>
        <v>Ordered </v>
      </c>
      <c r="B719" s="2" t="str">
        <f>IFERROR(__xludf.DUMMYFUNCTION("""COMPUTED_VALUE"""),"Ordered ")</f>
        <v>Ordered </v>
      </c>
      <c r="C719" s="2">
        <f>IFERROR(__xludf.DUMMYFUNCTION("""COMPUTED_VALUE"""),0.1)</f>
        <v>0.1</v>
      </c>
      <c r="D719" s="2" t="str">
        <f>IFERROR(__xludf.DUMMYFUNCTION("""COMPUTED_VALUE"""),"ଅର୍ଡର")</f>
        <v>ଅର୍ଡର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 t="str">
        <f>IFERROR(__xludf.DUMMYFUNCTION("""COMPUTED_VALUE"""),"Firstorder ")</f>
        <v>Firstorder </v>
      </c>
      <c r="B720" s="2" t="str">
        <f>IFERROR(__xludf.DUMMYFUNCTION("""COMPUTED_VALUE"""),"First order ")</f>
        <v>First order </v>
      </c>
      <c r="C720" s="2">
        <f>IFERROR(__xludf.DUMMYFUNCTION("""COMPUTED_VALUE"""),0.1)</f>
        <v>0.1</v>
      </c>
      <c r="D720" s="2" t="str">
        <f>IFERROR(__xludf.DUMMYFUNCTION("""COMPUTED_VALUE"""),"ପ୍ରଥମ କ୍ରମ")</f>
        <v>ପ୍ରଥମ କ୍ରମ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 t="str">
        <f>IFERROR(__xludf.DUMMYFUNCTION("""COMPUTED_VALUE"""),"Signup ")</f>
        <v>Signup </v>
      </c>
      <c r="B721" s="2" t="str">
        <f>IFERROR(__xludf.DUMMYFUNCTION("""COMPUTED_VALUE"""),"Sign Up ")</f>
        <v>Sign Up </v>
      </c>
      <c r="C721" s="2">
        <f>IFERROR(__xludf.DUMMYFUNCTION("""COMPUTED_VALUE"""),0.1)</f>
        <v>0.1</v>
      </c>
      <c r="D721" s="2" t="str">
        <f>IFERROR(__xludf.DUMMYFUNCTION("""COMPUTED_VALUE"""),"ସାଇନ୍ ଅପ୍ କରନ୍ତୁ")</f>
        <v>ସାଇନ୍ ଅପ୍ କରନ୍ତୁ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 t="str">
        <f>IFERROR(__xludf.DUMMYFUNCTION("""COMPUTED_VALUE"""),"ProfileCompleted")</f>
        <v>ProfileCompleted</v>
      </c>
      <c r="B722" s="2" t="str">
        <f>IFERROR(__xludf.DUMMYFUNCTION("""COMPUTED_VALUE"""),"Profile Completed")</f>
        <v>Profile Completed</v>
      </c>
      <c r="C722" s="2">
        <f>IFERROR(__xludf.DUMMYFUNCTION("""COMPUTED_VALUE"""),0.1)</f>
        <v>0.1</v>
      </c>
      <c r="D722" s="2" t="str">
        <f>IFERROR(__xludf.DUMMYFUNCTION("""COMPUTED_VALUE"""),"ପ୍ରୋଫାଇଲ୍ ସମାପ୍ତ ହେଲା |")</f>
        <v>ପ୍ରୋଫାଇଲ୍ ସମାପ୍ତ ହେଲା |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 t="str">
        <f>IFERROR(__xludf.DUMMYFUNCTION("""COMPUTED_VALUE"""),"Reminder")</f>
        <v>Reminder</v>
      </c>
      <c r="B723" s="2" t="str">
        <f>IFERROR(__xludf.DUMMYFUNCTION("""COMPUTED_VALUE"""),"Reminder")</f>
        <v>Reminder</v>
      </c>
      <c r="C723" s="2">
        <f>IFERROR(__xludf.DUMMYFUNCTION("""COMPUTED_VALUE"""),0.0999999999999998)</f>
        <v>0.1</v>
      </c>
      <c r="D723" s="2" t="str">
        <f>IFERROR(__xludf.DUMMYFUNCTION("""COMPUTED_VALUE"""),"ସ୍ମରଣ")</f>
        <v>ସ୍ମରଣ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 t="str">
        <f>IFERROR(__xludf.DUMMYFUNCTION("""COMPUTED_VALUE"""),"SelectLanguage ")</f>
        <v>SelectLanguage </v>
      </c>
      <c r="B724" s="2" t="str">
        <f>IFERROR(__xludf.DUMMYFUNCTION("""COMPUTED_VALUE"""),"Select Language ")</f>
        <v>Select Language </v>
      </c>
      <c r="C724" s="2">
        <f>IFERROR(__xludf.DUMMYFUNCTION("""COMPUTED_VALUE"""),0.1)</f>
        <v>0.1</v>
      </c>
      <c r="D724" s="2" t="str">
        <f>IFERROR(__xludf.DUMMYFUNCTION("""COMPUTED_VALUE"""),"ଭାଷା ଚୟନ କରନ୍ତୁ |")</f>
        <v>ଭାଷା ଚୟନ କରନ୍ତୁ |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 t="str">
        <f>IFERROR(__xludf.DUMMYFUNCTION("""COMPUTED_VALUE"""),"SearchAddress")</f>
        <v>SearchAddress</v>
      </c>
      <c r="B725" s="2" t="str">
        <f>IFERROR(__xludf.DUMMYFUNCTION("""COMPUTED_VALUE"""),"Search Address")</f>
        <v>Search Address</v>
      </c>
      <c r="C725" s="2">
        <f>IFERROR(__xludf.DUMMYFUNCTION("""COMPUTED_VALUE"""),0.1)</f>
        <v>0.1</v>
      </c>
      <c r="D725" s="2" t="str">
        <f>IFERROR(__xludf.DUMMYFUNCTION("""COMPUTED_VALUE"""),"ସନ୍ଧାନ ଠିକଣା")</f>
        <v>ସନ୍ଧାନ ଠିକଣା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 t="str">
        <f>IFERROR(__xludf.DUMMYFUNCTION("""COMPUTED_VALUE"""),"InvitePeopleandearnCashRewards ")</f>
        <v>InvitePeopleandearnCashRewards </v>
      </c>
      <c r="B726" s="2" t="str">
        <f>IFERROR(__xludf.DUMMYFUNCTION("""COMPUTED_VALUE"""),"Invite People and earn Cash Rewards ")</f>
        <v>Invite People and earn Cash Rewards </v>
      </c>
      <c r="C726" s="2">
        <f>IFERROR(__xludf.DUMMYFUNCTION("""COMPUTED_VALUE"""),0.1)</f>
        <v>0.1</v>
      </c>
      <c r="D726" s="2" t="str">
        <f>IFERROR(__xludf.DUMMYFUNCTION("""COMPUTED_VALUE"""),"ଲୋକଙ୍କୁ ନିମନ୍ତ୍ରଣ କର ଏବଂ ନଗଦ ପୁରସ୍କାର ରୋଜଗାର କର |")</f>
        <v>ଲୋକଙ୍କୁ ନିମନ୍ତ୍ରଣ କର ଏବଂ ନଗଦ ପୁରସ୍କାର ରୋଜଗାର କର |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 t="str">
        <f>IFERROR(__xludf.DUMMYFUNCTION("""COMPUTED_VALUE"""),"SMSSendSucessfully ")</f>
        <v>SMSSendSucessfully </v>
      </c>
      <c r="B727" s="2" t="str">
        <f>IFERROR(__xludf.DUMMYFUNCTION("""COMPUTED_VALUE"""),"SMS Sent Successfully ")</f>
        <v>SMS Sent Successfully </v>
      </c>
      <c r="C727" s="2">
        <f>IFERROR(__xludf.DUMMYFUNCTION("""COMPUTED_VALUE"""),0.1)</f>
        <v>0.1</v>
      </c>
      <c r="D727" s="2" t="str">
        <f>IFERROR(__xludf.DUMMYFUNCTION("""COMPUTED_VALUE"""),"SMS ସଫଳତାର ସହିତ ପଠାଇଲେ |")</f>
        <v>SMS ସଫଳତାର ସହିତ ପଠାଇଲେ |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 t="str">
        <f>IFERROR(__xludf.DUMMYFUNCTION("""COMPUTED_VALUE"""),"IncreaseEarningoncashinvite")</f>
        <v>IncreaseEarningoncashinvite</v>
      </c>
      <c r="B728" s="2" t="str">
        <f>IFERROR(__xludf.DUMMYFUNCTION("""COMPUTED_VALUE"""),"Increase Earning on cash  invite")</f>
        <v>Increase Earning on cash  invite</v>
      </c>
      <c r="C728" s="2">
        <f>IFERROR(__xludf.DUMMYFUNCTION("""COMPUTED_VALUE"""),0.1)</f>
        <v>0.1</v>
      </c>
      <c r="D728" s="2" t="str">
        <f>IFERROR(__xludf.DUMMYFUNCTION("""COMPUTED_VALUE"""),"ନଗଦ ନିମନ୍ତ୍ରଣ ଉପରେ ରୋଜଗାର କରିବା ବୃଦ୍ଧି |")</f>
        <v>ନଗଦ ନିମନ୍ତ୍ରଣ ଉପରେ ରୋଜଗାର କରିବା ବୃଦ୍ଧି |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 t="str">
        <f>IFERROR(__xludf.DUMMYFUNCTION("""COMPUTED_VALUE"""),"Profile ")</f>
        <v>Profile </v>
      </c>
      <c r="B729" s="2" t="str">
        <f>IFERROR(__xludf.DUMMYFUNCTION("""COMPUTED_VALUE"""),"Profile ")</f>
        <v>Profile </v>
      </c>
      <c r="C729" s="2">
        <f>IFERROR(__xludf.DUMMYFUNCTION("""COMPUTED_VALUE"""),0.1)</f>
        <v>0.1</v>
      </c>
      <c r="D729" s="2" t="str">
        <f>IFERROR(__xludf.DUMMYFUNCTION("""COMPUTED_VALUE"""),"ପ୍ରୋଫାଇଲ୍")</f>
        <v>ପ୍ରୋଫାଇଲ୍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 t="str">
        <f>IFERROR(__xludf.DUMMYFUNCTION("""COMPUTED_VALUE"""),"Subscribed")</f>
        <v>Subscribed</v>
      </c>
      <c r="B730" s="2" t="str">
        <f>IFERROR(__xludf.DUMMYFUNCTION("""COMPUTED_VALUE"""),"Subscribed")</f>
        <v>Subscribed</v>
      </c>
      <c r="C730" s="2">
        <f>IFERROR(__xludf.DUMMYFUNCTION("""COMPUTED_VALUE"""),0.1)</f>
        <v>0.1</v>
      </c>
      <c r="D730" s="2" t="str">
        <f>IFERROR(__xludf.DUMMYFUNCTION("""COMPUTED_VALUE"""),"ସଦସ୍ୟତା |")</f>
        <v>ସଦସ୍ୟତା |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 t="str">
        <f>IFERROR(__xludf.DUMMYFUNCTION("""COMPUTED_VALUE"""),"Unsubscribed ")</f>
        <v>Unsubscribed </v>
      </c>
      <c r="B731" s="2" t="str">
        <f>IFERROR(__xludf.DUMMYFUNCTION("""COMPUTED_VALUE"""),"Unsubscribed")</f>
        <v>Unsubscribed</v>
      </c>
      <c r="C731" s="2">
        <f>IFERROR(__xludf.DUMMYFUNCTION("""COMPUTED_VALUE"""),0.1)</f>
        <v>0.1</v>
      </c>
      <c r="D731" s="2" t="str">
        <f>IFERROR(__xludf.DUMMYFUNCTION("""COMPUTED_VALUE"""),"ସଦସ୍ୟତା ମିଳିତ |")</f>
        <v>ସଦସ୍ୟତା ମିଳିତ |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 t="str">
        <f>IFERROR(__xludf.DUMMYFUNCTION("""COMPUTED_VALUE"""),"IncreaseEarningoneachinvite")</f>
        <v>IncreaseEarningoneachinvite</v>
      </c>
      <c r="B732" s="2" t="str">
        <f>IFERROR(__xludf.DUMMYFUNCTION("""COMPUTED_VALUE"""),"Increase earning on each invite")</f>
        <v>Increase earning on each invite</v>
      </c>
      <c r="C732" s="2">
        <f>IFERROR(__xludf.DUMMYFUNCTION("""COMPUTED_VALUE"""),0.1)</f>
        <v>0.1</v>
      </c>
      <c r="D732" s="2" t="str">
        <f>IFERROR(__xludf.DUMMYFUNCTION("""COMPUTED_VALUE"""),"ପ୍ରତ୍ୟେକ ନିମନ୍ତ୍ରଣ ଉପରେ ରୋଜଗାର ବୃଦ୍ଧି |")</f>
        <v>ପ୍ରତ୍ୟେକ ନିମନ୍ତ୍ରଣ ଉପରେ ରୋଜଗାର ବୃଦ୍ଧି |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 t="str">
        <f>IFERROR(__xludf.DUMMYFUNCTION("""COMPUTED_VALUE"""),"ProductorCategory ")</f>
        <v>ProductorCategory </v>
      </c>
      <c r="B733" s="2" t="str">
        <f>IFERROR(__xludf.DUMMYFUNCTION("""COMPUTED_VALUE"""),"Product or Category ")</f>
        <v>Product or Category </v>
      </c>
      <c r="C733" s="2">
        <f>IFERROR(__xludf.DUMMYFUNCTION("""COMPUTED_VALUE"""),0.2)</f>
        <v>0.2</v>
      </c>
      <c r="D733" s="2" t="str">
        <f>IFERROR(__xludf.DUMMYFUNCTION("""COMPUTED_VALUE"""),"ଉତ୍ପାଦ କିମ୍ବା ବର୍ଗ")</f>
        <v>ଉତ୍ପାଦ କିମ୍ବା ବର୍ଗ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 t="str">
        <f>IFERROR(__xludf.DUMMYFUNCTION("""COMPUTED_VALUE"""),"catalogmanagement ")</f>
        <v>catalogmanagement </v>
      </c>
      <c r="B735" s="2" t="str">
        <f>IFERROR(__xludf.DUMMYFUNCTION("""COMPUTED_VALUE"""),"Catalog Management ")</f>
        <v>Catalog Management </v>
      </c>
      <c r="C735" s="2">
        <f>IFERROR(__xludf.DUMMYFUNCTION("""COMPUTED_VALUE"""),0.2)</f>
        <v>0.2</v>
      </c>
      <c r="D735" s="2" t="str">
        <f>IFERROR(__xludf.DUMMYFUNCTION("""COMPUTED_VALUE"""),"କାଟାଲଗ୍ ପରିଚାଳନା")</f>
        <v>କାଟାଲଗ୍ ପରିଚାଳନା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 t="str">
        <f>IFERROR(__xludf.DUMMYFUNCTION("""COMPUTED_VALUE"""),"PaymentManagement")</f>
        <v>PaymentManagement</v>
      </c>
      <c r="B736" s="2" t="str">
        <f>IFERROR(__xludf.DUMMYFUNCTION("""COMPUTED_VALUE"""),"Payment Management")</f>
        <v>Payment Management</v>
      </c>
      <c r="C736" s="2">
        <f>IFERROR(__xludf.DUMMYFUNCTION("""COMPUTED_VALUE"""),0.2)</f>
        <v>0.2</v>
      </c>
      <c r="D736" s="2" t="str">
        <f>IFERROR(__xludf.DUMMYFUNCTION("""COMPUTED_VALUE"""),"ଦେୟ ପରିଚାଳନା")</f>
        <v>ଦେୟ ପରିଚାଳନା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 t="str">
        <f>IFERROR(__xludf.DUMMYFUNCTION("""COMPUTED_VALUE"""),"DeliveryManagement ")</f>
        <v>DeliveryManagement </v>
      </c>
      <c r="B737" s="2" t="str">
        <f>IFERROR(__xludf.DUMMYFUNCTION("""COMPUTED_VALUE"""),"Delivery Management ")</f>
        <v>Delivery Management </v>
      </c>
      <c r="C737" s="2">
        <f>IFERROR(__xludf.DUMMYFUNCTION("""COMPUTED_VALUE"""),0.2)</f>
        <v>0.2</v>
      </c>
      <c r="D737" s="2" t="str">
        <f>IFERROR(__xludf.DUMMYFUNCTION("""COMPUTED_VALUE"""),"ବିତରଣ ପରିଚାଳନା")</f>
        <v>ବିତରଣ ପରିଚାଳନା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 t="str">
        <f>IFERROR(__xludf.DUMMYFUNCTION("""COMPUTED_VALUE"""),"OrderManagement ")</f>
        <v>OrderManagement </v>
      </c>
      <c r="B738" s="2" t="str">
        <f>IFERROR(__xludf.DUMMYFUNCTION("""COMPUTED_VALUE"""),"Order Management ")</f>
        <v>Order Management </v>
      </c>
      <c r="C738" s="2">
        <f>IFERROR(__xludf.DUMMYFUNCTION("""COMPUTED_VALUE"""),0.2)</f>
        <v>0.2</v>
      </c>
      <c r="D738" s="2" t="str">
        <f>IFERROR(__xludf.DUMMYFUNCTION("""COMPUTED_VALUE"""),"କ୍ରମ ପରିଚାଳନା")</f>
        <v>କ୍ରମ ପରିଚାଳନା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 t="str">
        <f>IFERROR(__xludf.DUMMYFUNCTION("""COMPUTED_VALUE"""),"CustomerService ")</f>
        <v>CustomerService </v>
      </c>
      <c r="B739" s="2" t="str">
        <f>IFERROR(__xludf.DUMMYFUNCTION("""COMPUTED_VALUE"""),"Customer Service ")</f>
        <v>Customer Service </v>
      </c>
      <c r="C739" s="2">
        <f>IFERROR(__xludf.DUMMYFUNCTION("""COMPUTED_VALUE"""),0.2)</f>
        <v>0.2</v>
      </c>
      <c r="D739" s="2" t="str">
        <f>IFERROR(__xludf.DUMMYFUNCTION("""COMPUTED_VALUE"""),"ଗ୍ରାହକ ସେବା")</f>
        <v>ଗ୍ରାହକ ସେବା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 t="str">
        <f>IFERROR(__xludf.DUMMYFUNCTION("""COMPUTED_VALUE"""),"Neworderdetails")</f>
        <v>Neworderdetails</v>
      </c>
      <c r="B740" s="2" t="str">
        <f>IFERROR(__xludf.DUMMYFUNCTION("""COMPUTED_VALUE"""),"New Order Details")</f>
        <v>New Order Details</v>
      </c>
      <c r="C740" s="2">
        <f>IFERROR(__xludf.DUMMYFUNCTION("""COMPUTED_VALUE"""),0.3)</f>
        <v>0.3</v>
      </c>
      <c r="D740" s="2" t="str">
        <f>IFERROR(__xludf.DUMMYFUNCTION("""COMPUTED_VALUE"""),"ନୂତନ ଅର୍ଡର ବିବରଣୀ |")</f>
        <v>ନୂତନ ଅର୍ଡର ବିବରଣୀ |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 t="str">
        <f>IFERROR(__xludf.DUMMYFUNCTION("""COMPUTED_VALUE"""),"ExpensesManagement ")</f>
        <v>ExpensesManagement </v>
      </c>
      <c r="B741" s="2" t="str">
        <f>IFERROR(__xludf.DUMMYFUNCTION("""COMPUTED_VALUE"""),"Expenses Management ")</f>
        <v>Expenses Management </v>
      </c>
      <c r="C741" s="2">
        <f>IFERROR(__xludf.DUMMYFUNCTION("""COMPUTED_VALUE"""),0.2)</f>
        <v>0.2</v>
      </c>
      <c r="D741" s="2" t="str">
        <f>IFERROR(__xludf.DUMMYFUNCTION("""COMPUTED_VALUE"""),"ଖର୍ଚ୍ଚ ପରିଚାଳନା")</f>
        <v>ଖର୍ଚ୍ଚ ପରିଚାଳନା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 t="str">
        <f>IFERROR(__xludf.DUMMYFUNCTION("""COMPUTED_VALUE"""),"InventoryManagement ")</f>
        <v>InventoryManagement </v>
      </c>
      <c r="B742" s="2" t="str">
        <f>IFERROR(__xludf.DUMMYFUNCTION("""COMPUTED_VALUE"""),"Inventory Management ")</f>
        <v>Inventory Management </v>
      </c>
      <c r="C742" s="2">
        <f>IFERROR(__xludf.DUMMYFUNCTION("""COMPUTED_VALUE"""),0.2)</f>
        <v>0.2</v>
      </c>
      <c r="D742" s="2" t="str">
        <f>IFERROR(__xludf.DUMMYFUNCTION("""COMPUTED_VALUE"""),"ଇନଭେଣ୍ଟୋରୀ ମ୍ୟାନେଜମେଣ୍ଟ")</f>
        <v>ଇନଭେଣ୍ଟୋରୀ ମ୍ୟାନେଜମେଣ୍ଟ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 t="str">
        <f>IFERROR(__xludf.DUMMYFUNCTION("""COMPUTED_VALUE"""),"Complain")</f>
        <v>Complain</v>
      </c>
      <c r="B743" s="2" t="str">
        <f>IFERROR(__xludf.DUMMYFUNCTION("""COMPUTED_VALUE"""),"Complain")</f>
        <v>Complain</v>
      </c>
      <c r="C743" s="2">
        <f>IFERROR(__xludf.DUMMYFUNCTION("""COMPUTED_VALUE"""),0.2)</f>
        <v>0.2</v>
      </c>
      <c r="D743" s="2" t="str">
        <f>IFERROR(__xludf.DUMMYFUNCTION("""COMPUTED_VALUE"""),"ଅଭିଯୋଗ କରନ୍ତୁ")</f>
        <v>ଅଭିଯୋଗ କରନ୍ତୁ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 t="str">
        <f>IFERROR(__xludf.DUMMYFUNCTION("""COMPUTED_VALUE"""),"AccountManager ")</f>
        <v>AccountManager </v>
      </c>
      <c r="B744" s="2" t="str">
        <f>IFERROR(__xludf.DUMMYFUNCTION("""COMPUTED_VALUE"""),"Account manager ")</f>
        <v>Account manager </v>
      </c>
      <c r="C744" s="2">
        <f>IFERROR(__xludf.DUMMYFUNCTION("""COMPUTED_VALUE"""),0.2)</f>
        <v>0.2</v>
      </c>
      <c r="D744" s="2" t="str">
        <f>IFERROR(__xludf.DUMMYFUNCTION("""COMPUTED_VALUE"""),"ଖାତା ପରିଚାଳକ")</f>
        <v>ଖାତା ପରିଚାଳକ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 t="str">
        <f>IFERROR(__xludf.DUMMYFUNCTION("""COMPUTED_VALUE"""),"ActiveOrder")</f>
        <v>ActiveOrder</v>
      </c>
      <c r="B745" s="2" t="str">
        <f>IFERROR(__xludf.DUMMYFUNCTION("""COMPUTED_VALUE"""),"Active Order")</f>
        <v>Active Order</v>
      </c>
      <c r="C745" s="2">
        <f>IFERROR(__xludf.DUMMYFUNCTION("""COMPUTED_VALUE"""),0.3)</f>
        <v>0.3</v>
      </c>
      <c r="D745" s="2" t="str">
        <f>IFERROR(__xludf.DUMMYFUNCTION("""COMPUTED_VALUE"""),"ସକ୍ରିୟ କ୍ରମ |")</f>
        <v>ସକ୍ରିୟ କ୍ରମ |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 t="str">
        <f>IFERROR(__xludf.DUMMYFUNCTION("""COMPUTED_VALUE"""),"Refer&amp;earn")</f>
        <v>Refer&amp;earn</v>
      </c>
      <c r="B746" s="2" t="str">
        <f>IFERROR(__xludf.DUMMYFUNCTION("""COMPUTED_VALUE"""),"Refer &amp; Earn")</f>
        <v>Refer &amp; Earn</v>
      </c>
      <c r="C746" s="2">
        <f>IFERROR(__xludf.DUMMYFUNCTION("""COMPUTED_VALUE"""),0.2)</f>
        <v>0.2</v>
      </c>
      <c r="D746" s="2" t="str">
        <f>IFERROR(__xludf.DUMMYFUNCTION("""COMPUTED_VALUE"""),"ରେଫର୍ ଏବଂ ରୋଜଗାର କର |")</f>
        <v>ରେଫର୍ ଏବଂ ରୋଜଗାର କର |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 t="str">
        <f>IFERROR(__xludf.DUMMYFUNCTION("""COMPUTED_VALUE"""),"gstin ")</f>
        <v>gstin </v>
      </c>
      <c r="B747" s="2" t="str">
        <f>IFERROR(__xludf.DUMMYFUNCTION("""COMPUTED_VALUE"""),"GSTIN")</f>
        <v>GSTIN</v>
      </c>
      <c r="C747" s="2">
        <f>IFERROR(__xludf.DUMMYFUNCTION("""COMPUTED_VALUE"""),0.2)</f>
        <v>0.2</v>
      </c>
      <c r="D747" s="2" t="str">
        <f>IFERROR(__xludf.DUMMYFUNCTION("""COMPUTED_VALUE"""),"ଜିଏସିନ୍ |")</f>
        <v>ଜିଏସିନ୍ |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 t="str">
        <f>IFERROR(__xludf.DUMMYFUNCTION("""COMPUTED_VALUE"""),"ActivePlan")</f>
        <v>ActivePlan</v>
      </c>
      <c r="B748" s="2" t="str">
        <f>IFERROR(__xludf.DUMMYFUNCTION("""COMPUTED_VALUE"""),"Active Plan")</f>
        <v>Active Plan</v>
      </c>
      <c r="C748" s="2">
        <f>IFERROR(__xludf.DUMMYFUNCTION("""COMPUTED_VALUE"""),0.2)</f>
        <v>0.2</v>
      </c>
      <c r="D748" s="2" t="str">
        <f>IFERROR(__xludf.DUMMYFUNCTION("""COMPUTED_VALUE"""),"ସକ୍ରିୟ ଯୋଜନା")</f>
        <v>ସକ୍ରିୟ ଯୋଜନା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 t="str">
        <f>IFERROR(__xludf.DUMMYFUNCTION("""COMPUTED_VALUE"""),"Expiresin20days ")</f>
        <v>Expiresin20days </v>
      </c>
      <c r="B749" s="2" t="str">
        <f>IFERROR(__xludf.DUMMYFUNCTION("""COMPUTED_VALUE"""),"Expires in 20 days ")</f>
        <v>Expires in 20 days </v>
      </c>
      <c r="C749" s="2">
        <f>IFERROR(__xludf.DUMMYFUNCTION("""COMPUTED_VALUE"""),0.2)</f>
        <v>0.2</v>
      </c>
      <c r="D749" s="2" t="str">
        <f>IFERROR(__xludf.DUMMYFUNCTION("""COMPUTED_VALUE"""),"20 ଦିନରେ ସମାପ୍ତ ହେବ |")</f>
        <v>20 ଦିନରେ ସମାପ୍ତ ହେବ |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 t="str">
        <f>IFERROR(__xludf.DUMMYFUNCTION("""COMPUTED_VALUE"""),"Invoice")</f>
        <v>Invoice</v>
      </c>
      <c r="B750" s="2" t="str">
        <f>IFERROR(__xludf.DUMMYFUNCTION("""COMPUTED_VALUE"""),"Invoice")</f>
        <v>Invoice</v>
      </c>
      <c r="C750" s="2">
        <f>IFERROR(__xludf.DUMMYFUNCTION("""COMPUTED_VALUE"""),0.2)</f>
        <v>0.2</v>
      </c>
      <c r="D750" s="2" t="str">
        <f>IFERROR(__xludf.DUMMYFUNCTION("""COMPUTED_VALUE"""),"ଇନଭଏସ୍ |")</f>
        <v>ଇନଭଏସ୍ |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 t="str">
        <f>IFERROR(__xludf.DUMMYFUNCTION("""COMPUTED_VALUE"""),"LastSubscriptionOn ")</f>
        <v>LastSubscriptionOn </v>
      </c>
      <c r="B751" s="2" t="str">
        <f>IFERROR(__xludf.DUMMYFUNCTION("""COMPUTED_VALUE"""),"Last Subscription On ")</f>
        <v>Last Subscription On </v>
      </c>
      <c r="C751" s="2">
        <f>IFERROR(__xludf.DUMMYFUNCTION("""COMPUTED_VALUE"""),0.2)</f>
        <v>0.2</v>
      </c>
      <c r="D751" s="2" t="str">
        <f>IFERROR(__xludf.DUMMYFUNCTION("""COMPUTED_VALUE"""),"ଶେଷରେ ସବସ୍କ୍ରିପସନ୍ |")</f>
        <v>ଶେଷରେ ସବସ୍କ୍ରିପସନ୍ |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 t="str">
        <f>IFERROR(__xludf.DUMMYFUNCTION("""COMPUTED_VALUE"""),"RenewPlan ")</f>
        <v>RenewPlan </v>
      </c>
      <c r="B752" s="2" t="str">
        <f>IFERROR(__xludf.DUMMYFUNCTION("""COMPUTED_VALUE"""),"Renew Plan ")</f>
        <v>Renew Plan </v>
      </c>
      <c r="C752" s="2">
        <f>IFERROR(__xludf.DUMMYFUNCTION("""COMPUTED_VALUE"""),0.2)</f>
        <v>0.2</v>
      </c>
      <c r="D752" s="2" t="str">
        <f>IFERROR(__xludf.DUMMYFUNCTION("""COMPUTED_VALUE"""),"ନବୀକରଣ ଯୋଜନା")</f>
        <v>ନବୀକରଣ ଯୋଜନା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 t="str">
        <f>IFERROR(__xludf.DUMMYFUNCTION("""COMPUTED_VALUE"""),"ViewOtherPlans")</f>
        <v>ViewOtherPlans</v>
      </c>
      <c r="B753" s="2" t="str">
        <f>IFERROR(__xludf.DUMMYFUNCTION("""COMPUTED_VALUE"""),"View Other Plans")</f>
        <v>View Other Plans</v>
      </c>
      <c r="C753" s="2">
        <f>IFERROR(__xludf.DUMMYFUNCTION("""COMPUTED_VALUE"""),0.2)</f>
        <v>0.2</v>
      </c>
      <c r="D753" s="2" t="str">
        <f>IFERROR(__xludf.DUMMYFUNCTION("""COMPUTED_VALUE"""),"ଅନ୍ୟ ଯୋଜନାଗୁଡିକ ଦେଖନ୍ତୁ |")</f>
        <v>ଅନ୍ୟ ଯୋଜନାଗୁଡିକ ଦେଖନ୍ତୁ |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 t="str">
        <f>IFERROR(__xludf.DUMMYFUNCTION("""COMPUTED_VALUE"""),"Offer ")</f>
        <v>Offer </v>
      </c>
      <c r="B754" s="2" t="str">
        <f>IFERROR(__xludf.DUMMYFUNCTION("""COMPUTED_VALUE"""),"Offer ")</f>
        <v>Offer </v>
      </c>
      <c r="C754" s="2">
        <f>IFERROR(__xludf.DUMMYFUNCTION("""COMPUTED_VALUE"""),0.2)</f>
        <v>0.2</v>
      </c>
      <c r="D754" s="2" t="str">
        <f>IFERROR(__xludf.DUMMYFUNCTION("""COMPUTED_VALUE"""),"ଅଫର୍")</f>
        <v>ଅଫର୍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 t="str">
        <f>IFERROR(__xludf.DUMMYFUNCTION("""COMPUTED_VALUE"""),"EntryName ")</f>
        <v>EntryName </v>
      </c>
      <c r="B755" s="2" t="str">
        <f>IFERROR(__xludf.DUMMYFUNCTION("""COMPUTED_VALUE"""),"Entry Name ")</f>
        <v>Entry Name </v>
      </c>
      <c r="C755" s="2">
        <f>IFERROR(__xludf.DUMMYFUNCTION("""COMPUTED_VALUE"""),0.2)</f>
        <v>0.2</v>
      </c>
      <c r="D755" s="2" t="str">
        <f>IFERROR(__xludf.DUMMYFUNCTION("""COMPUTED_VALUE"""),"ପ୍ରବେଶ ନାମ")</f>
        <v>ପ୍ରବେଶ ନାମ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 t="str">
        <f>IFERROR(__xludf.DUMMYFUNCTION("""COMPUTED_VALUE"""),"GSTINNumber ")</f>
        <v>GSTINNumber </v>
      </c>
      <c r="B756" s="2" t="str">
        <f>IFERROR(__xludf.DUMMYFUNCTION("""COMPUTED_VALUE"""),"GSTIN Number ")</f>
        <v>GSTIN Number </v>
      </c>
      <c r="C756" s="2">
        <f>IFERROR(__xludf.DUMMYFUNCTION("""COMPUTED_VALUE"""),0.2)</f>
        <v>0.2</v>
      </c>
      <c r="D756" s="2" t="str">
        <f>IFERROR(__xludf.DUMMYFUNCTION("""COMPUTED_VALUE"""),"Gstin ସଂଖ୍ୟା")</f>
        <v>Gstin ସଂଖ୍ୟା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 t="str">
        <f>IFERROR(__xludf.DUMMYFUNCTION("""COMPUTED_VALUE"""),"BasicSubscription ")</f>
        <v>BasicSubscription </v>
      </c>
      <c r="B757" s="2" t="str">
        <f>IFERROR(__xludf.DUMMYFUNCTION("""COMPUTED_VALUE"""),"Basic Subscription ")</f>
        <v>Basic Subscription </v>
      </c>
      <c r="C757" s="2">
        <f>IFERROR(__xludf.DUMMYFUNCTION("""COMPUTED_VALUE"""),0.2)</f>
        <v>0.2</v>
      </c>
      <c r="D757" s="2" t="str">
        <f>IFERROR(__xludf.DUMMYFUNCTION("""COMPUTED_VALUE"""),"ମ Basicେଣ୍ଟ ସଦସ୍ୟତା")</f>
        <v>ମ Basicେଣ୍ଟ ସଦସ୍ୟତା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 t="str">
        <f>IFERROR(__xludf.DUMMYFUNCTION("""COMPUTED_VALUE"""),"GST")</f>
        <v>GST</v>
      </c>
      <c r="B758" s="2" t="str">
        <f>IFERROR(__xludf.DUMMYFUNCTION("""COMPUTED_VALUE"""),"GST")</f>
        <v>GST</v>
      </c>
      <c r="C758" s="2">
        <f>IFERROR(__xludf.DUMMYFUNCTION("""COMPUTED_VALUE"""),0.2)</f>
        <v>0.2</v>
      </c>
      <c r="D758" s="2" t="str">
        <f>IFERROR(__xludf.DUMMYFUNCTION("""COMPUTED_VALUE"""),"Gst")</f>
        <v>Gst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 t="str">
        <f>IFERROR(__xludf.DUMMYFUNCTION("""COMPUTED_VALUE"""),"TotalAmount ")</f>
        <v>TotalAmount </v>
      </c>
      <c r="B759" s="2" t="str">
        <f>IFERROR(__xludf.DUMMYFUNCTION("""COMPUTED_VALUE"""),"Total Amount ")</f>
        <v>Total Amount </v>
      </c>
      <c r="C759" s="2">
        <f>IFERROR(__xludf.DUMMYFUNCTION("""COMPUTED_VALUE"""),0.2)</f>
        <v>0.2</v>
      </c>
      <c r="D759" s="2" t="str">
        <f>IFERROR(__xludf.DUMMYFUNCTION("""COMPUTED_VALUE"""),"ମୋଟ ରାଶି")</f>
        <v>ମୋଟ ରାଶି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 t="str">
        <f>IFERROR(__xludf.DUMMYFUNCTION("""COMPUTED_VALUE"""),"AddProduct ")</f>
        <v>AddProduct </v>
      </c>
      <c r="B760" s="2" t="str">
        <f>IFERROR(__xludf.DUMMYFUNCTION("""COMPUTED_VALUE"""),"Add Product ")</f>
        <v>Add Product </v>
      </c>
      <c r="C760" s="2">
        <f>IFERROR(__xludf.DUMMYFUNCTION("""COMPUTED_VALUE"""),0.2)</f>
        <v>0.2</v>
      </c>
      <c r="D760" s="2" t="str">
        <f>IFERROR(__xludf.DUMMYFUNCTION("""COMPUTED_VALUE"""),"ଉତ୍ପାଦ ଯୋଡନ୍ତୁ |")</f>
        <v>ଉତ୍ପାଦ ଯୋଡନ୍ତୁ |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 t="str">
        <f>IFERROR(__xludf.DUMMYFUNCTION("""COMPUTED_VALUE"""),"UpdateProduct")</f>
        <v>UpdateProduct</v>
      </c>
      <c r="B761" s="2" t="str">
        <f>IFERROR(__xludf.DUMMYFUNCTION("""COMPUTED_VALUE"""),"Update Product")</f>
        <v>Update Product</v>
      </c>
      <c r="C761" s="2">
        <f>IFERROR(__xludf.DUMMYFUNCTION("""COMPUTED_VALUE"""),0.2)</f>
        <v>0.2</v>
      </c>
      <c r="D761" s="2" t="str">
        <f>IFERROR(__xludf.DUMMYFUNCTION("""COMPUTED_VALUE"""),"ଉତ୍ପାଦ ଅଦ୍ୟତନ କରନ୍ତୁ |")</f>
        <v>ଉତ୍ପାଦ ଅଦ୍ୟତନ କରନ୍ତୁ |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 t="str">
        <f>IFERROR(__xludf.DUMMYFUNCTION("""COMPUTED_VALUE"""),"RecommendedProduct ")</f>
        <v>RecommendedProduct </v>
      </c>
      <c r="B762" s="2" t="str">
        <f>IFERROR(__xludf.DUMMYFUNCTION("""COMPUTED_VALUE"""),"Recommended Product ")</f>
        <v>Recommended Product </v>
      </c>
      <c r="C762" s="2">
        <f>IFERROR(__xludf.DUMMYFUNCTION("""COMPUTED_VALUE"""),0.2)</f>
        <v>0.2</v>
      </c>
      <c r="D762" s="2" t="str">
        <f>IFERROR(__xludf.DUMMYFUNCTION("""COMPUTED_VALUE"""),"ସୁପାରିଶ କରାଯାଇଥିବା ଉତ୍ପାଦ |")</f>
        <v>ସୁପାରିଶ କରାଯାଇଥିବା ଉତ୍ପାଦ |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 t="str">
        <f>IFERROR(__xludf.DUMMYFUNCTION("""COMPUTED_VALUE"""),"Mycatalog ")</f>
        <v>Mycatalog </v>
      </c>
      <c r="B763" s="2" t="str">
        <f>IFERROR(__xludf.DUMMYFUNCTION("""COMPUTED_VALUE"""),"My Catalog ")</f>
        <v>My Catalog </v>
      </c>
      <c r="C763" s="2">
        <f>IFERROR(__xludf.DUMMYFUNCTION("""COMPUTED_VALUE"""),0.2)</f>
        <v>0.2</v>
      </c>
      <c r="D763" s="2" t="str">
        <f>IFERROR(__xludf.DUMMYFUNCTION("""COMPUTED_VALUE"""),"ମୋର କାଟାଲଗ୍ |")</f>
        <v>ମୋର କାଟାଲଗ୍ |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 t="str">
        <f>IFERROR(__xludf.DUMMYFUNCTION("""COMPUTED_VALUE"""),"SelectProducts ")</f>
        <v>SelectProducts </v>
      </c>
      <c r="B764" s="2" t="str">
        <f>IFERROR(__xludf.DUMMYFUNCTION("""COMPUTED_VALUE"""),"Select Products ")</f>
        <v>Select Products </v>
      </c>
      <c r="C764" s="2">
        <f>IFERROR(__xludf.DUMMYFUNCTION("""COMPUTED_VALUE"""),0.2)</f>
        <v>0.2</v>
      </c>
      <c r="D764" s="2" t="str">
        <f>IFERROR(__xludf.DUMMYFUNCTION("""COMPUTED_VALUE"""),"ଉତ୍ପାଦଗୁଡିକ ଚୟନ କରନ୍ତୁ |")</f>
        <v>ଉତ୍ପାଦଗୁଡିକ ଚୟନ କରନ୍ତୁ |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 t="str">
        <f>IFERROR(__xludf.DUMMYFUNCTION("""COMPUTED_VALUE"""),"Selectall")</f>
        <v>Selectall</v>
      </c>
      <c r="B765" s="2" t="str">
        <f>IFERROR(__xludf.DUMMYFUNCTION("""COMPUTED_VALUE"""),"Select All")</f>
        <v>Select All</v>
      </c>
      <c r="C765" s="2">
        <f>IFERROR(__xludf.DUMMYFUNCTION("""COMPUTED_VALUE"""),0.2)</f>
        <v>0.2</v>
      </c>
      <c r="D765" s="2" t="str">
        <f>IFERROR(__xludf.DUMMYFUNCTION("""COMPUTED_VALUE"""),"ସବୁ ବାଛ")</f>
        <v>ସବୁ ବାଛ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 t="str">
        <f>IFERROR(__xludf.DUMMYFUNCTION("""COMPUTED_VALUE"""),"Unpublished ")</f>
        <v>Unpublished </v>
      </c>
      <c r="B766" s="2" t="str">
        <f>IFERROR(__xludf.DUMMYFUNCTION("""COMPUTED_VALUE"""),"Unpublished ")</f>
        <v>Unpublished </v>
      </c>
      <c r="C766" s="2">
        <f>IFERROR(__xludf.DUMMYFUNCTION("""COMPUTED_VALUE"""),0.2)</f>
        <v>0.2</v>
      </c>
      <c r="D766" s="2" t="str">
        <f>IFERROR(__xludf.DUMMYFUNCTION("""COMPUTED_VALUE"""),"ଖୋଲାଯାଇଥିବା")</f>
        <v>ଖୋଲାଯାଇଥିବା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 t="str">
        <f>IFERROR(__xludf.DUMMYFUNCTION("""COMPUTED_VALUE"""),"PreOrder ")</f>
        <v>PreOrder </v>
      </c>
      <c r="B767" s="2" t="str">
        <f>IFERROR(__xludf.DUMMYFUNCTION("""COMPUTED_VALUE"""),"Pre Order ")</f>
        <v>Pre Order </v>
      </c>
      <c r="C767" s="2">
        <f>IFERROR(__xludf.DUMMYFUNCTION("""COMPUTED_VALUE"""),0.2)</f>
        <v>0.2</v>
      </c>
      <c r="D767" s="2" t="str">
        <f>IFERROR(__xludf.DUMMYFUNCTION("""COMPUTED_VALUE"""),"ପୂର୍ବ ଆଦେଶ")</f>
        <v>ପୂର୍ବ ଆଦେଶ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 t="str">
        <f>IFERROR(__xludf.DUMMYFUNCTION("""COMPUTED_VALUE"""),"SellingPrice ")</f>
        <v>SellingPrice </v>
      </c>
      <c r="B768" s="2" t="str">
        <f>IFERROR(__xludf.DUMMYFUNCTION("""COMPUTED_VALUE"""),"Selling Price ")</f>
        <v>Selling Price </v>
      </c>
      <c r="C768" s="2">
        <f>IFERROR(__xludf.DUMMYFUNCTION("""COMPUTED_VALUE"""),0.2)</f>
        <v>0.2</v>
      </c>
      <c r="D768" s="2" t="str">
        <f>IFERROR(__xludf.DUMMYFUNCTION("""COMPUTED_VALUE"""),"ମୂଲ୍ୟ ବିକ୍ରୟ |")</f>
        <v>ମୂଲ୍ୟ ବିକ୍ରୟ |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 t="str">
        <f>IFERROR(__xludf.DUMMYFUNCTION("""COMPUTED_VALUE"""),"SoldBy ")</f>
        <v>SoldBy </v>
      </c>
      <c r="B769" s="2" t="str">
        <f>IFERROR(__xludf.DUMMYFUNCTION("""COMPUTED_VALUE"""),"Sold By ")</f>
        <v>Sold By </v>
      </c>
      <c r="C769" s="2">
        <f>IFERROR(__xludf.DUMMYFUNCTION("""COMPUTED_VALUE"""),0.2)</f>
        <v>0.2</v>
      </c>
      <c r="D769" s="2" t="str">
        <f>IFERROR(__xludf.DUMMYFUNCTION("""COMPUTED_VALUE"""),"ଦ୍ୱାରା ବିକ୍ରି")</f>
        <v>ଦ୍ୱାରା ବିକ୍ରି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 t="str">
        <f>IFERROR(__xludf.DUMMYFUNCTION("""COMPUTED_VALUE"""),"Liter ")</f>
        <v>Liter </v>
      </c>
      <c r="B770" s="2" t="str">
        <f>IFERROR(__xludf.DUMMYFUNCTION("""COMPUTED_VALUE"""),"Liter ")</f>
        <v>Liter </v>
      </c>
      <c r="C770" s="2">
        <f>IFERROR(__xludf.DUMMYFUNCTION("""COMPUTED_VALUE"""),0.2)</f>
        <v>0.2</v>
      </c>
      <c r="D770" s="2" t="str">
        <f>IFERROR(__xludf.DUMMYFUNCTION("""COMPUTED_VALUE"""),"ଲିଟର")</f>
        <v>ଲିଟର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 t="str">
        <f>IFERROR(__xludf.DUMMYFUNCTION("""COMPUTED_VALUE"""),"Weight ")</f>
        <v>Weight </v>
      </c>
      <c r="B771" s="2" t="str">
        <f>IFERROR(__xludf.DUMMYFUNCTION("""COMPUTED_VALUE"""),"Weight ")</f>
        <v>Weight </v>
      </c>
      <c r="C771" s="2">
        <f>IFERROR(__xludf.DUMMYFUNCTION("""COMPUTED_VALUE"""),0.2)</f>
        <v>0.2</v>
      </c>
      <c r="D771" s="2" t="str">
        <f>IFERROR(__xludf.DUMMYFUNCTION("""COMPUTED_VALUE"""),"ଓଜନ")</f>
        <v>ଓଜନ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 t="str">
        <f>IFERROR(__xludf.DUMMYFUNCTION("""COMPUTED_VALUE"""),"Grading ")</f>
        <v>Grading </v>
      </c>
      <c r="B772" s="2" t="str">
        <f>IFERROR(__xludf.DUMMYFUNCTION("""COMPUTED_VALUE"""),"Grading ")</f>
        <v>Grading </v>
      </c>
      <c r="C772" s="2">
        <f>IFERROR(__xludf.DUMMYFUNCTION("""COMPUTED_VALUE"""),0.2)</f>
        <v>0.2</v>
      </c>
      <c r="D772" s="2" t="str">
        <f>IFERROR(__xludf.DUMMYFUNCTION("""COMPUTED_VALUE"""),"ଗ୍ରେଡିଂ")</f>
        <v>ଗ୍ରେଡିଂ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 t="str">
        <f>IFERROR(__xludf.DUMMYFUNCTION("""COMPUTED_VALUE"""),"PendingApproval")</f>
        <v>PendingApproval</v>
      </c>
      <c r="B773" s="2" t="str">
        <f>IFERROR(__xludf.DUMMYFUNCTION("""COMPUTED_VALUE"""),"Pending Approval")</f>
        <v>Pending Approval</v>
      </c>
      <c r="C773" s="2">
        <f>IFERROR(__xludf.DUMMYFUNCTION("""COMPUTED_VALUE"""),0.2)</f>
        <v>0.2</v>
      </c>
      <c r="D773" s="2" t="str">
        <f>IFERROR(__xludf.DUMMYFUNCTION("""COMPUTED_VALUE"""),"ଅନୁମୋଦନ ବିଚାରାଧୀନ |")</f>
        <v>ଅନୁମୋଦନ ବିଚାରାଧୀନ |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 t="str">
        <f>IFERROR(__xludf.DUMMYFUNCTION("""COMPUTED_VALUE"""),"Approved")</f>
        <v>Approved</v>
      </c>
      <c r="B774" s="2" t="str">
        <f>IFERROR(__xludf.DUMMYFUNCTION("""COMPUTED_VALUE"""),"Approved")</f>
        <v>Approved</v>
      </c>
      <c r="C774" s="2">
        <f>IFERROR(__xludf.DUMMYFUNCTION("""COMPUTED_VALUE"""),0.2)</f>
        <v>0.2</v>
      </c>
      <c r="D774" s="2" t="str">
        <f>IFERROR(__xludf.DUMMYFUNCTION("""COMPUTED_VALUE"""),"ଅନୁମୋଦିତ |")</f>
        <v>ଅନୁମୋଦିତ |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 t="str">
        <f>IFERROR(__xludf.DUMMYFUNCTION("""COMPUTED_VALUE"""),"Rejected ")</f>
        <v>Rejected </v>
      </c>
      <c r="B775" s="2" t="str">
        <f>IFERROR(__xludf.DUMMYFUNCTION("""COMPUTED_VALUE"""),"Rejected ")</f>
        <v>Rejected </v>
      </c>
      <c r="C775" s="2">
        <f>IFERROR(__xludf.DUMMYFUNCTION("""COMPUTED_VALUE"""),0.2)</f>
        <v>0.2</v>
      </c>
      <c r="D775" s="2" t="str">
        <f>IFERROR(__xludf.DUMMYFUNCTION("""COMPUTED_VALUE"""),"ପ୍ରତ୍ୟାଖ୍ୟାନ")</f>
        <v>ପ୍ରତ୍ୟାଖ୍ୟାନ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 t="str">
        <f>IFERROR(__xludf.DUMMYFUNCTION("""COMPUTED_VALUE"""),"Customized")</f>
        <v>Customized</v>
      </c>
      <c r="B776" s="2" t="str">
        <f>IFERROR(__xludf.DUMMYFUNCTION("""COMPUTED_VALUE"""),"Customized")</f>
        <v>Customized</v>
      </c>
      <c r="C776" s="2">
        <f>IFERROR(__xludf.DUMMYFUNCTION("""COMPUTED_VALUE"""),0.2)</f>
        <v>0.2</v>
      </c>
      <c r="D776" s="2" t="str">
        <f>IFERROR(__xludf.DUMMYFUNCTION("""COMPUTED_VALUE"""),"କଷ୍ଟମାଇଜ୍ ହୋଇଛି |")</f>
        <v>କଷ୍ଟମାଇଜ୍ ହୋଇଛି |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 t="str">
        <f>IFERROR(__xludf.DUMMYFUNCTION("""COMPUTED_VALUE"""),"Favouriteshop")</f>
        <v>Favouriteshop</v>
      </c>
      <c r="B777" s="2" t="str">
        <f>IFERROR(__xludf.DUMMYFUNCTION("""COMPUTED_VALUE"""),"Favourite Shop")</f>
        <v>Favourite Shop</v>
      </c>
      <c r="C777" s="2">
        <f>IFERROR(__xludf.DUMMYFUNCTION("""COMPUTED_VALUE"""),0.2)</f>
        <v>0.2</v>
      </c>
      <c r="D777" s="2" t="str">
        <f>IFERROR(__xludf.DUMMYFUNCTION("""COMPUTED_VALUE"""),"ପ୍ରିୟ ଦୋକାନ")</f>
        <v>ପ୍ରିୟ ଦୋକାନ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 t="str">
        <f>IFERROR(__xludf.DUMMYFUNCTION("""COMPUTED_VALUE"""),"ShopByCategories ")</f>
        <v>ShopByCategories </v>
      </c>
      <c r="B778" s="2" t="str">
        <f>IFERROR(__xludf.DUMMYFUNCTION("""COMPUTED_VALUE"""),"Shop By Categories ")</f>
        <v>Shop By Categories </v>
      </c>
      <c r="C778" s="2">
        <f>IFERROR(__xludf.DUMMYFUNCTION("""COMPUTED_VALUE"""),0.2)</f>
        <v>0.2</v>
      </c>
      <c r="D778" s="2" t="str">
        <f>IFERROR(__xludf.DUMMYFUNCTION("""COMPUTED_VALUE"""),"ବର୍ଗଗୁଡିକ ଦ୍ୱାରା କିଣନ୍ତୁ |")</f>
        <v>ବର୍ଗଗୁଡିକ ଦ୍ୱାରା କିଣନ୍ତୁ |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 t="str">
        <f>IFERROR(__xludf.DUMMYFUNCTION("""COMPUTED_VALUE"""),"Grocery ")</f>
        <v>Grocery </v>
      </c>
      <c r="B779" s="2" t="str">
        <f>IFERROR(__xludf.DUMMYFUNCTION("""COMPUTED_VALUE"""),"Grocery ")</f>
        <v>Grocery </v>
      </c>
      <c r="C779" s="2">
        <f>IFERROR(__xludf.DUMMYFUNCTION("""COMPUTED_VALUE"""),0.2)</f>
        <v>0.2</v>
      </c>
      <c r="D779" s="2" t="str">
        <f>IFERROR(__xludf.DUMMYFUNCTION("""COMPUTED_VALUE"""),"ସଉଦା")</f>
        <v>ସଉଦା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 t="str">
        <f>IFERROR(__xludf.DUMMYFUNCTION("""COMPUTED_VALUE"""),"Fish")</f>
        <v>Fish</v>
      </c>
      <c r="B780" s="2" t="str">
        <f>IFERROR(__xludf.DUMMYFUNCTION("""COMPUTED_VALUE"""),"Fish")</f>
        <v>Fish</v>
      </c>
      <c r="C780" s="2">
        <f>IFERROR(__xludf.DUMMYFUNCTION("""COMPUTED_VALUE"""),0.2)</f>
        <v>0.2</v>
      </c>
      <c r="D780" s="2" t="str">
        <f>IFERROR(__xludf.DUMMYFUNCTION("""COMPUTED_VALUE"""),"ମାଛ |")</f>
        <v>ମାଛ |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 t="str">
        <f>IFERROR(__xludf.DUMMYFUNCTION("""COMPUTED_VALUE"""),"Flower ")</f>
        <v>Flower </v>
      </c>
      <c r="B781" s="2" t="str">
        <f>IFERROR(__xludf.DUMMYFUNCTION("""COMPUTED_VALUE"""),"Flower ")</f>
        <v>Flower </v>
      </c>
      <c r="C781" s="2">
        <f>IFERROR(__xludf.DUMMYFUNCTION("""COMPUTED_VALUE"""),0.2)</f>
        <v>0.2</v>
      </c>
      <c r="D781" s="2" t="str">
        <f>IFERROR(__xludf.DUMMYFUNCTION("""COMPUTED_VALUE"""),"ଫୁଲ")</f>
        <v>ଫୁଲ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 t="str">
        <f>IFERROR(__xludf.DUMMYFUNCTION("""COMPUTED_VALUE"""),"Preference ")</f>
        <v>Preference </v>
      </c>
      <c r="B782" s="2" t="str">
        <f>IFERROR(__xludf.DUMMYFUNCTION("""COMPUTED_VALUE"""),"Preference ")</f>
        <v>Preference </v>
      </c>
      <c r="C782" s="2">
        <f>IFERROR(__xludf.DUMMYFUNCTION("""COMPUTED_VALUE"""),0.2)</f>
        <v>0.2</v>
      </c>
      <c r="D782" s="2" t="str">
        <f>IFERROR(__xludf.DUMMYFUNCTION("""COMPUTED_VALUE"""),"ପସନ୍ଦ")</f>
        <v>ପସନ୍ଦ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 t="str">
        <f>IFERROR(__xludf.DUMMYFUNCTION("""COMPUTED_VALUE"""),"SelectPreference ")</f>
        <v>SelectPreference </v>
      </c>
      <c r="B783" s="2" t="str">
        <f>IFERROR(__xludf.DUMMYFUNCTION("""COMPUTED_VALUE"""),"Select Preference ")</f>
        <v>Select Preference </v>
      </c>
      <c r="C783" s="2">
        <f>IFERROR(__xludf.DUMMYFUNCTION("""COMPUTED_VALUE"""),0.1)</f>
        <v>0.1</v>
      </c>
      <c r="D783" s="2" t="str">
        <f>IFERROR(__xludf.DUMMYFUNCTION("""COMPUTED_VALUE"""),"ପସନ୍ଦ ଚୟନ କରନ୍ତୁ |")</f>
        <v>ପସନ୍ଦ ଚୟନ କରନ୍ତୁ |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 t="str">
        <f>IFERROR(__xludf.DUMMYFUNCTION("""COMPUTED_VALUE"""),"FruitsShop")</f>
        <v>FruitsShop</v>
      </c>
      <c r="B784" s="2" t="str">
        <f>IFERROR(__xludf.DUMMYFUNCTION("""COMPUTED_VALUE"""),"Fruits Shop")</f>
        <v>Fruits Shop</v>
      </c>
      <c r="C784" s="2">
        <f>IFERROR(__xludf.DUMMYFUNCTION("""COMPUTED_VALUE"""),0.2)</f>
        <v>0.2</v>
      </c>
      <c r="D784" s="2" t="str">
        <f>IFERROR(__xludf.DUMMYFUNCTION("""COMPUTED_VALUE"""),"ଫଳ ଦୋକାନ")</f>
        <v>ଫଳ ଦୋକାନ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 t="str">
        <f>IFERROR(__xludf.DUMMYFUNCTION("""COMPUTED_VALUE"""),"LocalGarden")</f>
        <v>LocalGarden</v>
      </c>
      <c r="B785" s="2" t="str">
        <f>IFERROR(__xludf.DUMMYFUNCTION("""COMPUTED_VALUE"""),"Local Garden")</f>
        <v>Local Garden</v>
      </c>
      <c r="C785" s="2">
        <f>IFERROR(__xludf.DUMMYFUNCTION("""COMPUTED_VALUE"""),0.2)</f>
        <v>0.2</v>
      </c>
      <c r="D785" s="2" t="str">
        <f>IFERROR(__xludf.DUMMYFUNCTION("""COMPUTED_VALUE"""),"ସ୍ଥାନୀୟ ଉଦ୍ୟାନ")</f>
        <v>ସ୍ଥାନୀୟ ଉଦ୍ୟାନ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 t="str">
        <f>IFERROR(__xludf.DUMMYFUNCTION("""COMPUTED_VALUE"""),"Nonveg ")</f>
        <v>Nonveg </v>
      </c>
      <c r="B786" s="2" t="str">
        <f>IFERROR(__xludf.DUMMYFUNCTION("""COMPUTED_VALUE"""),"Non veg ")</f>
        <v>Non veg </v>
      </c>
      <c r="C786" s="2">
        <f>IFERROR(__xludf.DUMMYFUNCTION("""COMPUTED_VALUE"""),0.2)</f>
        <v>0.2</v>
      </c>
      <c r="D786" s="2" t="str">
        <f>IFERROR(__xludf.DUMMYFUNCTION("""COMPUTED_VALUE"""),"ଅଣ ଭେଜି |")</f>
        <v>ଅଣ ଭେଜି |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 t="str">
        <f>IFERROR(__xludf.DUMMYFUNCTION("""COMPUTED_VALUE"""),"Simple ")</f>
        <v>Simple </v>
      </c>
      <c r="B787" s="2" t="str">
        <f>IFERROR(__xludf.DUMMYFUNCTION("""COMPUTED_VALUE"""),"Simple ")</f>
        <v>Simple </v>
      </c>
      <c r="C787" s="2">
        <f>IFERROR(__xludf.DUMMYFUNCTION("""COMPUTED_VALUE"""),0.2)</f>
        <v>0.2</v>
      </c>
      <c r="D787" s="2" t="str">
        <f>IFERROR(__xludf.DUMMYFUNCTION("""COMPUTED_VALUE"""),"ସରଳ")</f>
        <v>ସରଳ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 t="str">
        <f>IFERROR(__xludf.DUMMYFUNCTION("""COMPUTED_VALUE"""),"Aggregate ")</f>
        <v>Aggregate </v>
      </c>
      <c r="B788" s="2" t="str">
        <f>IFERROR(__xludf.DUMMYFUNCTION("""COMPUTED_VALUE"""),"Aggregate ")</f>
        <v>Aggregate </v>
      </c>
      <c r="C788" s="2">
        <f>IFERROR(__xludf.DUMMYFUNCTION("""COMPUTED_VALUE"""),0.2)</f>
        <v>0.2</v>
      </c>
      <c r="D788" s="2" t="str">
        <f>IFERROR(__xludf.DUMMYFUNCTION("""COMPUTED_VALUE"""),"ସମୁଦାୟ")</f>
        <v>ସମୁଦାୟ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 t="str">
        <f>IFERROR(__xludf.DUMMYFUNCTION("""COMPUTED_VALUE"""),"MultipleFruits ")</f>
        <v>MultipleFruits </v>
      </c>
      <c r="B789" s="2" t="str">
        <f>IFERROR(__xludf.DUMMYFUNCTION("""COMPUTED_VALUE"""),"Multiple Fruits ")</f>
        <v>Multiple Fruits </v>
      </c>
      <c r="C789" s="2">
        <f>IFERROR(__xludf.DUMMYFUNCTION("""COMPUTED_VALUE"""),0.2)</f>
        <v>0.2</v>
      </c>
      <c r="D789" s="2" t="str">
        <f>IFERROR(__xludf.DUMMYFUNCTION("""COMPUTED_VALUE"""),"ଏକାଧିକ ଫଳ |")</f>
        <v>ଏକାଧିକ ଫଳ |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 t="str">
        <f>IFERROR(__xludf.DUMMYFUNCTION("""COMPUTED_VALUE"""),"AddAddress")</f>
        <v>AddAddress</v>
      </c>
      <c r="B790" s="2" t="str">
        <f>IFERROR(__xludf.DUMMYFUNCTION("""COMPUTED_VALUE"""),"Add Address")</f>
        <v>Add Address</v>
      </c>
      <c r="C790" s="2">
        <f>IFERROR(__xludf.DUMMYFUNCTION("""COMPUTED_VALUE"""),0.3)</f>
        <v>0.3</v>
      </c>
      <c r="D790" s="2" t="str">
        <f>IFERROR(__xludf.DUMMYFUNCTION("""COMPUTED_VALUE"""),"ଠିକଣା ଯୋଡନ୍ତୁ")</f>
        <v>ଠିକଣା ଯୋଡନ୍ତୁ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 t="str">
        <f>IFERROR(__xludf.DUMMYFUNCTION("""COMPUTED_VALUE"""),"Seasonal ")</f>
        <v>Seasonal </v>
      </c>
      <c r="B791" s="2" t="str">
        <f>IFERROR(__xludf.DUMMYFUNCTION("""COMPUTED_VALUE"""),"Seasonal ")</f>
        <v>Seasonal </v>
      </c>
      <c r="C791" s="2">
        <f>IFERROR(__xludf.DUMMYFUNCTION("""COMPUTED_VALUE"""),0.2)</f>
        <v>0.2</v>
      </c>
      <c r="D791" s="2" t="str">
        <f>IFERROR(__xludf.DUMMYFUNCTION("""COMPUTED_VALUE"""),"ମ al ସୁମୀ")</f>
        <v>ମ al ସୁମୀ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 t="str">
        <f>IFERROR(__xludf.DUMMYFUNCTION("""COMPUTED_VALUE"""),"Items ")</f>
        <v>Items </v>
      </c>
      <c r="B792" s="2" t="str">
        <f>IFERROR(__xludf.DUMMYFUNCTION("""COMPUTED_VALUE"""),"Items ")</f>
        <v>Items </v>
      </c>
      <c r="C792" s="2">
        <f>IFERROR(__xludf.DUMMYFUNCTION("""COMPUTED_VALUE"""),0.2)</f>
        <v>0.2</v>
      </c>
      <c r="D792" s="2" t="str">
        <f>IFERROR(__xludf.DUMMYFUNCTION("""COMPUTED_VALUE"""),"ବସ୍ତୁଗୁଡ଼ିକ")</f>
        <v>ବସ୍ତୁଗୁଡ଼ିକ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 t="str">
        <f>IFERROR(__xludf.DUMMYFUNCTION("""COMPUTED_VALUE"""),"Employee/partner ")</f>
        <v>Employee/partner </v>
      </c>
      <c r="B793" s="2" t="str">
        <f>IFERROR(__xludf.DUMMYFUNCTION("""COMPUTED_VALUE"""),"Employee/partner ")</f>
        <v>Employee/partner </v>
      </c>
      <c r="C793" s="2">
        <f>IFERROR(__xludf.DUMMYFUNCTION("""COMPUTED_VALUE"""),0.2)</f>
        <v>0.2</v>
      </c>
      <c r="D793" s="2" t="str">
        <f>IFERROR(__xludf.DUMMYFUNCTION("""COMPUTED_VALUE"""),"କର୍ମଚାରୀ / ସାଥୀ |")</f>
        <v>କର୍ମଚାରୀ / ସାଥୀ |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 t="str">
        <f>IFERROR(__xludf.DUMMYFUNCTION("""COMPUTED_VALUE"""),"Refer ")</f>
        <v>Refer </v>
      </c>
      <c r="B794" s="2" t="str">
        <f>IFERROR(__xludf.DUMMYFUNCTION("""COMPUTED_VALUE"""),"Refer ")</f>
        <v>Refer </v>
      </c>
      <c r="C794" s="2">
        <f>IFERROR(__xludf.DUMMYFUNCTION("""COMPUTED_VALUE"""),0.2)</f>
        <v>0.2</v>
      </c>
      <c r="D794" s="2" t="str">
        <f>IFERROR(__xludf.DUMMYFUNCTION("""COMPUTED_VALUE"""),"ଅନୁସରଣ କରନ୍ତୁ |")</f>
        <v>ଅନୁସରଣ କରନ୍ତୁ |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 t="str">
        <f>IFERROR(__xludf.DUMMYFUNCTION("""COMPUTED_VALUE"""),"Employeemanagement ")</f>
        <v>Employeemanagement </v>
      </c>
      <c r="B795" s="2" t="str">
        <f>IFERROR(__xludf.DUMMYFUNCTION("""COMPUTED_VALUE"""),"Employee Management")</f>
        <v>Employee Management</v>
      </c>
      <c r="C795" s="2">
        <f>IFERROR(__xludf.DUMMYFUNCTION("""COMPUTED_VALUE"""),0.2)</f>
        <v>0.2</v>
      </c>
      <c r="D795" s="2" t="str">
        <f>IFERROR(__xludf.DUMMYFUNCTION("""COMPUTED_VALUE"""),"କର୍ମଚାରୀ ପରିଚାଳନା")</f>
        <v>କର୍ମଚାରୀ ପରିଚାଳନା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 t="str">
        <f>IFERROR(__xludf.DUMMYFUNCTION("""COMPUTED_VALUE"""),"StateHead")</f>
        <v>StateHead</v>
      </c>
      <c r="B796" s="2" t="str">
        <f>IFERROR(__xludf.DUMMYFUNCTION("""COMPUTED_VALUE"""),"State Head")</f>
        <v>State Head</v>
      </c>
      <c r="C796" s="2">
        <f>IFERROR(__xludf.DUMMYFUNCTION("""COMPUTED_VALUE"""),0.2)</f>
        <v>0.2</v>
      </c>
      <c r="D796" s="2" t="str">
        <f>IFERROR(__xludf.DUMMYFUNCTION("""COMPUTED_VALUE"""),"ରାଜ୍ୟ ମୁଖ୍ୟ")</f>
        <v>ରାଜ୍ୟ ମୁଖ୍ୟ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 t="str">
        <f>IFERROR(__xludf.DUMMYFUNCTION("""COMPUTED_VALUE"""),"AddEmployee")</f>
        <v>AddEmployee</v>
      </c>
      <c r="B797" s="2" t="str">
        <f>IFERROR(__xludf.DUMMYFUNCTION("""COMPUTED_VALUE"""),"Add Employee")</f>
        <v>Add Employee</v>
      </c>
      <c r="C797" s="2">
        <f>IFERROR(__xludf.DUMMYFUNCTION("""COMPUTED_VALUE"""),0.2)</f>
        <v>0.2</v>
      </c>
      <c r="D797" s="2" t="str">
        <f>IFERROR(__xludf.DUMMYFUNCTION("""COMPUTED_VALUE"""),"କର୍ମଚାରୀ ଯୋଡନ୍ତୁ |")</f>
        <v>କର୍ମଚାରୀ ଯୋଡନ୍ତୁ |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 t="str">
        <f>IFERROR(__xludf.DUMMYFUNCTION("""COMPUTED_VALUE"""),"ManagerId ")</f>
        <v>ManagerId </v>
      </c>
      <c r="B798" s="2" t="str">
        <f>IFERROR(__xludf.DUMMYFUNCTION("""COMPUTED_VALUE"""),"Manager ID")</f>
        <v>Manager ID</v>
      </c>
      <c r="C798" s="2">
        <f>IFERROR(__xludf.DUMMYFUNCTION("""COMPUTED_VALUE"""),0.2)</f>
        <v>0.2</v>
      </c>
      <c r="D798" s="2" t="str">
        <f>IFERROR(__xludf.DUMMYFUNCTION("""COMPUTED_VALUE"""),"ମ୍ୟାନେଜର୍ ID")</f>
        <v>ମ୍ୟାନେଜର୍ ID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 t="str">
        <f>IFERROR(__xludf.DUMMYFUNCTION("""COMPUTED_VALUE"""),"OrgId")</f>
        <v>OrgId</v>
      </c>
      <c r="B799" s="2" t="str">
        <f>IFERROR(__xludf.DUMMYFUNCTION("""COMPUTED_VALUE"""),"Org ID")</f>
        <v>Org ID</v>
      </c>
      <c r="C799" s="2">
        <f>IFERROR(__xludf.DUMMYFUNCTION("""COMPUTED_VALUE"""),0.2)</f>
        <v>0.2</v>
      </c>
      <c r="D799" s="2" t="str">
        <f>IFERROR(__xludf.DUMMYFUNCTION("""COMPUTED_VALUE"""),"Org id")</f>
        <v>Org id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 t="str">
        <f>IFERROR(__xludf.DUMMYFUNCTION("""COMPUTED_VALUE"""),"AssignRole")</f>
        <v>AssignRole</v>
      </c>
      <c r="B800" s="2" t="str">
        <f>IFERROR(__xludf.DUMMYFUNCTION("""COMPUTED_VALUE"""),"Assign Role")</f>
        <v>Assign Role</v>
      </c>
      <c r="C800" s="2">
        <f>IFERROR(__xludf.DUMMYFUNCTION("""COMPUTED_VALUE"""),0.2)</f>
        <v>0.2</v>
      </c>
      <c r="D800" s="2" t="str">
        <f>IFERROR(__xludf.DUMMYFUNCTION("""COMPUTED_VALUE"""),"ଭୂମିକା ନ୍ୟସ୍ତ କରନ୍ତୁ |")</f>
        <v>ଭୂମିକା ନ୍ୟସ୍ତ କରନ୍ତୁ |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 t="str">
        <f>IFERROR(__xludf.DUMMYFUNCTION("""COMPUTED_VALUE"""),"CityOfficer ")</f>
        <v>CityOfficer </v>
      </c>
      <c r="B801" s="2" t="str">
        <f>IFERROR(__xludf.DUMMYFUNCTION("""COMPUTED_VALUE"""),"City Officer ")</f>
        <v>City Officer </v>
      </c>
      <c r="C801" s="2">
        <f>IFERROR(__xludf.DUMMYFUNCTION("""COMPUTED_VALUE"""),0.2)</f>
        <v>0.2</v>
      </c>
      <c r="D801" s="2" t="str">
        <f>IFERROR(__xludf.DUMMYFUNCTION("""COMPUTED_VALUE"""),"ସହରର ଅଧିକାରୀ")</f>
        <v>ସହରର ଅଧିକାରୀ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 t="str">
        <f>IFERROR(__xludf.DUMMYFUNCTION("""COMPUTED_VALUE"""),"FrontlineOfficer ")</f>
        <v>FrontlineOfficer </v>
      </c>
      <c r="B802" s="2" t="str">
        <f>IFERROR(__xludf.DUMMYFUNCTION("""COMPUTED_VALUE"""),"Frontline Officer ")</f>
        <v>Frontline Officer </v>
      </c>
      <c r="C802" s="2">
        <f>IFERROR(__xludf.DUMMYFUNCTION("""COMPUTED_VALUE"""),0.2)</f>
        <v>0.2</v>
      </c>
      <c r="D802" s="2" t="str">
        <f>IFERROR(__xludf.DUMMYFUNCTION("""COMPUTED_VALUE"""),"ଫ୍ରଣ୍ଟଲାଇନ ଅଧିକାରୀ |")</f>
        <v>ଫ୍ରଣ୍ଟଲାଇନ ଅଧିକାରୀ |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 t="str">
        <f>IFERROR(__xludf.DUMMYFUNCTION("""COMPUTED_VALUE"""),"Employeecreatedsuccessfully")</f>
        <v>Employeecreatedsuccessfully</v>
      </c>
      <c r="B803" s="2" t="str">
        <f>IFERROR(__xludf.DUMMYFUNCTION("""COMPUTED_VALUE"""),"Employee Created Successfully YAY!")</f>
        <v>Employee Created Successfully YAY!</v>
      </c>
      <c r="C803" s="2">
        <f>IFERROR(__xludf.DUMMYFUNCTION("""COMPUTED_VALUE"""),0.2)</f>
        <v>0.2</v>
      </c>
      <c r="D803" s="2" t="str">
        <f>IFERROR(__xludf.DUMMYFUNCTION("""COMPUTED_VALUE"""),"କର୍ମଚାରୀ ସଫଳତାର ସହିତ ସୃଷ୍ଟି କରିଛନ୍ତି!")</f>
        <v>କର୍ମଚାରୀ ସଫଳତାର ସହିତ ସୃଷ୍ଟି କରିଛନ୍ତି!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 t="str">
        <f>IFERROR(__xludf.DUMMYFUNCTION("""COMPUTED_VALUE"""),"AlmoniUser ")</f>
        <v>AlmoniUser </v>
      </c>
      <c r="B804" s="2" t="str">
        <f>IFERROR(__xludf.DUMMYFUNCTION("""COMPUTED_VALUE"""),"Almoni User ")</f>
        <v>Almoni User </v>
      </c>
      <c r="C804" s="2">
        <f>IFERROR(__xludf.DUMMYFUNCTION("""COMPUTED_VALUE"""),0.2)</f>
        <v>0.2</v>
      </c>
      <c r="D804" s="2" t="str">
        <f>IFERROR(__xludf.DUMMYFUNCTION("""COMPUTED_VALUE"""),"ଆଲମୋନି ବ୍ୟବହାରକାରୀ |")</f>
        <v>ଆଲମୋନି ବ୍ୟବହାରକାରୀ |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 t="str">
        <f>IFERROR(__xludf.DUMMYFUNCTION("""COMPUTED_VALUE"""),"Undo")</f>
        <v>Undo</v>
      </c>
      <c r="B805" s="2" t="str">
        <f>IFERROR(__xludf.DUMMYFUNCTION("""COMPUTED_VALUE"""),"Undo")</f>
        <v>Undo</v>
      </c>
      <c r="C805" s="2">
        <f>IFERROR(__xludf.DUMMYFUNCTION("""COMPUTED_VALUE"""),0.2)</f>
        <v>0.2</v>
      </c>
      <c r="D805" s="2" t="str">
        <f>IFERROR(__xludf.DUMMYFUNCTION("""COMPUTED_VALUE"""),"ପୂର୍ବବତ୍ କରନ୍ତୁ |")</f>
        <v>ପୂର୍ବବତ୍ କରନ୍ତୁ |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 t="str">
        <f>IFERROR(__xludf.DUMMYFUNCTION("""COMPUTED_VALUE"""),"Franchiese ")</f>
        <v>Franchiese </v>
      </c>
      <c r="B806" s="2" t="str">
        <f>IFERROR(__xludf.DUMMYFUNCTION("""COMPUTED_VALUE"""),"Franchise ")</f>
        <v>Franchise </v>
      </c>
      <c r="C806" s="2">
        <f>IFERROR(__xludf.DUMMYFUNCTION("""COMPUTED_VALUE"""),0.2)</f>
        <v>0.2</v>
      </c>
      <c r="D806" s="2" t="str">
        <f>IFERROR(__xludf.DUMMYFUNCTION("""COMPUTED_VALUE"""),"ଫ୍ରାଞ୍ଚାଇଜ୍")</f>
        <v>ଫ୍ରାଞ୍ଚାଇଜ୍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 t="str">
        <f>IFERROR(__xludf.DUMMYFUNCTION("""COMPUTED_VALUE"""),"Freelancer ")</f>
        <v>Freelancer </v>
      </c>
      <c r="B807" s="2" t="str">
        <f>IFERROR(__xludf.DUMMYFUNCTION("""COMPUTED_VALUE"""),"Freelancer ")</f>
        <v>Freelancer </v>
      </c>
      <c r="C807" s="2">
        <f>IFERROR(__xludf.DUMMYFUNCTION("""COMPUTED_VALUE"""),0.2)</f>
        <v>0.2</v>
      </c>
      <c r="D807" s="2" t="str">
        <f>IFERROR(__xludf.DUMMYFUNCTION("""COMPUTED_VALUE"""),"ଫ୍ରିଲାନ୍ସର")</f>
        <v>ଫ୍ରିଲାନ୍ସର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 t="str">
        <f>IFERROR(__xludf.DUMMYFUNCTION("""COMPUTED_VALUE"""),"January")</f>
        <v>January</v>
      </c>
      <c r="B808" s="2" t="str">
        <f>IFERROR(__xludf.DUMMYFUNCTION("""COMPUTED_VALUE"""),"January")</f>
        <v>January</v>
      </c>
      <c r="C808" s="2">
        <f>IFERROR(__xludf.DUMMYFUNCTION("""COMPUTED_VALUE"""),0.2)</f>
        <v>0.2</v>
      </c>
      <c r="D808" s="2" t="str">
        <f>IFERROR(__xludf.DUMMYFUNCTION("""COMPUTED_VALUE"""),"ଜାନୁଆରୀ")</f>
        <v>ଜାନୁଆରୀ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 t="str">
        <f>IFERROR(__xludf.DUMMYFUNCTION("""COMPUTED_VALUE"""),"businessnameisrequired")</f>
        <v>businessnameisrequired</v>
      </c>
      <c r="B809" s="2" t="str">
        <f>IFERROR(__xludf.DUMMYFUNCTION("""COMPUTED_VALUE"""),"Business Name is Required")</f>
        <v>Business Name is Required</v>
      </c>
      <c r="C809" s="2">
        <f>IFERROR(__xludf.DUMMYFUNCTION("""COMPUTED_VALUE"""),0.2)</f>
        <v>0.2</v>
      </c>
      <c r="D809" s="2" t="str">
        <f>IFERROR(__xludf.DUMMYFUNCTION("""COMPUTED_VALUE"""),"ବ୍ୟବସାୟ ନାମ ଆବଶ୍ୟକ |")</f>
        <v>ବ୍ୟବସାୟ ନାମ ଆବଶ୍ୟକ |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 t="str">
        <f>IFERROR(__xludf.DUMMYFUNCTION("""COMPUTED_VALUE"""),"nameshouldbemin5charslong.")</f>
        <v>nameshouldbemin5charslong.</v>
      </c>
      <c r="B810" s="2" t="str">
        <f>IFERROR(__xludf.DUMMYFUNCTION("""COMPUTED_VALUE"""),"Name should be min 5 chars long.")</f>
        <v>Name should be min 5 chars long.</v>
      </c>
      <c r="C810" s="2">
        <f>IFERROR(__xludf.DUMMYFUNCTION("""COMPUTED_VALUE"""),0.2)</f>
        <v>0.2</v>
      </c>
      <c r="D810" s="2" t="str">
        <f>IFERROR(__xludf.DUMMYFUNCTION("""COMPUTED_VALUE"""),"ନାମ ଅଧିକ 5 ଅକ୍ଷର ଲମ୍ବା ହେବା ଉଚିତ୍ |")</f>
        <v>ନାମ ଅଧିକ 5 ଅକ୍ଷର ଲମ୍ବା ହେବା ଉଚିତ୍ |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 t="str">
        <f>IFERROR(__xludf.DUMMYFUNCTION("""COMPUTED_VALUE"""),"shopno.isrequired.")</f>
        <v>shopno.isrequired.</v>
      </c>
      <c r="B811" s="2" t="str">
        <f>IFERROR(__xludf.DUMMYFUNCTION("""COMPUTED_VALUE"""),"Shop no.is required.")</f>
        <v>Shop no.is required.</v>
      </c>
      <c r="C811" s="2">
        <f>IFERROR(__xludf.DUMMYFUNCTION("""COMPUTED_VALUE"""),0.2)</f>
        <v>0.2</v>
      </c>
      <c r="D811" s="2" t="str">
        <f>IFERROR(__xludf.DUMMYFUNCTION("""COMPUTED_VALUE"""),"ଦୋକାନ ନାଭି ଆବଶ୍ୟକ |")</f>
        <v>ଦୋକାନ ନାଭି ଆବଶ୍ୟକ |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 t="str">
        <f>IFERROR(__xludf.DUMMYFUNCTION("""COMPUTED_VALUE"""),"streetno.isrequired")</f>
        <v>streetno.isrequired</v>
      </c>
      <c r="B812" s="2" t="str">
        <f>IFERROR(__xludf.DUMMYFUNCTION("""COMPUTED_VALUE"""),"Street no.is required.")</f>
        <v>Street no.is required.</v>
      </c>
      <c r="C812" s="2">
        <f>IFERROR(__xludf.DUMMYFUNCTION("""COMPUTED_VALUE"""),0.2)</f>
        <v>0.2</v>
      </c>
      <c r="D812" s="2" t="str">
        <f>IFERROR(__xludf.DUMMYFUNCTION("""COMPUTED_VALUE"""),"ଷ୍ଟ୍ରିଟ୍ ନମ୍ବର ଆବଶ୍ୟକ |")</f>
        <v>ଷ୍ଟ୍ରିଟ୍ ନମ୍ବର ଆବଶ୍ୟକ |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 t="str">
        <f>IFERROR(__xludf.DUMMYFUNCTION("""COMPUTED_VALUE"""),"landmarkisrequired")</f>
        <v>landmarkisrequired</v>
      </c>
      <c r="B813" s="2" t="str">
        <f>IFERROR(__xludf.DUMMYFUNCTION("""COMPUTED_VALUE"""),"landmark is required.")</f>
        <v>landmark is required.</v>
      </c>
      <c r="C813" s="2">
        <f>IFERROR(__xludf.DUMMYFUNCTION("""COMPUTED_VALUE"""),0.2)</f>
        <v>0.2</v>
      </c>
      <c r="D813" s="2" t="str">
        <f>IFERROR(__xludf.DUMMYFUNCTION("""COMPUTED_VALUE"""),"ଲ୍ୟାଣ୍ଡମାର୍କ ଆବଶ୍ୟକ |")</f>
        <v>ଲ୍ୟାଣ୍ଡମାର୍କ ଆବଶ୍ୟକ |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 t="str">
        <f>IFERROR(__xludf.DUMMYFUNCTION("""COMPUTED_VALUE"""),"cityisrequired")</f>
        <v>cityisrequired</v>
      </c>
      <c r="B814" s="2" t="str">
        <f>IFERROR(__xludf.DUMMYFUNCTION("""COMPUTED_VALUE"""),"City is required.")</f>
        <v>City is required.</v>
      </c>
      <c r="C814" s="2">
        <f>IFERROR(__xludf.DUMMYFUNCTION("""COMPUTED_VALUE"""),0.2)</f>
        <v>0.2</v>
      </c>
      <c r="D814" s="2" t="str">
        <f>IFERROR(__xludf.DUMMYFUNCTION("""COMPUTED_VALUE"""),"ସହର ଆବଶ୍ୟକ |")</f>
        <v>ସହର ଆବଶ୍ୟକ |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 t="str">
        <f>IFERROR(__xludf.DUMMYFUNCTION("""COMPUTED_VALUE"""),"pincodeisrequired")</f>
        <v>pincodeisrequired</v>
      </c>
      <c r="B815" s="2" t="str">
        <f>IFERROR(__xludf.DUMMYFUNCTION("""COMPUTED_VALUE"""),"Pincode is required.")</f>
        <v>Pincode is required.</v>
      </c>
      <c r="C815" s="2">
        <f>IFERROR(__xludf.DUMMYFUNCTION("""COMPUTED_VALUE"""),0.2)</f>
        <v>0.2</v>
      </c>
      <c r="D815" s="2" t="str">
        <f>IFERROR(__xludf.DUMMYFUNCTION("""COMPUTED_VALUE"""),"ପିନକୋଡ୍ ଆବଶ୍ୟକ |")</f>
        <v>ପିନକୋଡ୍ ଆବଶ୍ୟକ |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 t="str">
        <f>IFERROR(__xludf.DUMMYFUNCTION("""COMPUTED_VALUE"""),"updategstin")</f>
        <v>updategstin</v>
      </c>
      <c r="B816" s="2" t="str">
        <f>IFERROR(__xludf.DUMMYFUNCTION("""COMPUTED_VALUE"""),"Update GSTIN")</f>
        <v>Update GSTIN</v>
      </c>
      <c r="C816" s="2">
        <f>IFERROR(__xludf.DUMMYFUNCTION("""COMPUTED_VALUE"""),0.2)</f>
        <v>0.2</v>
      </c>
      <c r="D816" s="2" t="str">
        <f>IFERROR(__xludf.DUMMYFUNCTION("""COMPUTED_VALUE"""),"GStin ଅଦ୍ୟତନ କରନ୍ତୁ |")</f>
        <v>GStin ଅଦ୍ୟତନ କରନ୍ତୁ |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 t="str">
        <f>IFERROR(__xludf.DUMMYFUNCTION("""COMPUTED_VALUE"""),"Pancardno.isrequired")</f>
        <v>Pancardno.isrequired</v>
      </c>
      <c r="B817" s="2" t="str">
        <f>IFERROR(__xludf.DUMMYFUNCTION("""COMPUTED_VALUE"""),"PAN Card No. is required .")</f>
        <v>PAN Card No. is required .</v>
      </c>
      <c r="C817" s="2">
        <f>IFERROR(__xludf.DUMMYFUNCTION("""COMPUTED_VALUE"""),0.2)</f>
        <v>0.2</v>
      </c>
      <c r="D817" s="2" t="str">
        <f>IFERROR(__xludf.DUMMYFUNCTION("""COMPUTED_VALUE"""),"ପାନ୍ କାର୍ଡ ନମ୍ବର ଆବଶ୍ୟକ |")</f>
        <v>ପାନ୍ କାର୍ଡ ନମ୍ବର ଆବଶ୍ୟକ |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 t="str">
        <f>IFERROR(__xludf.DUMMYFUNCTION("""COMPUTED_VALUE"""),"Region")</f>
        <v>Region</v>
      </c>
      <c r="B818" s="2" t="str">
        <f>IFERROR(__xludf.DUMMYFUNCTION("""COMPUTED_VALUE"""),"Region")</f>
        <v>Region</v>
      </c>
      <c r="C818" s="2">
        <f>IFERROR(__xludf.DUMMYFUNCTION("""COMPUTED_VALUE"""),0.3)</f>
        <v>0.3</v>
      </c>
      <c r="D818" s="2" t="str">
        <f>IFERROR(__xludf.DUMMYFUNCTION("""COMPUTED_VALUE"""),"ଅଞ୍ଚଳ")</f>
        <v>ଅଞ୍ଚଳ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 t="str">
        <f>IFERROR(__xludf.DUMMYFUNCTION("""COMPUTED_VALUE"""),"Doyouwanttocontinuewiththisnumber?")</f>
        <v>Doyouwanttocontinuewiththisnumber?</v>
      </c>
      <c r="B819" s="2" t="str">
        <f>IFERROR(__xludf.DUMMYFUNCTION("""COMPUTED_VALUE"""),"Do you want to continue with this number?")</f>
        <v>Do you want to continue with this number?</v>
      </c>
      <c r="C819" s="2">
        <f>IFERROR(__xludf.DUMMYFUNCTION("""COMPUTED_VALUE"""),0.3)</f>
        <v>0.3</v>
      </c>
      <c r="D819" s="2" t="str">
        <f>IFERROR(__xludf.DUMMYFUNCTION("""COMPUTED_VALUE"""),"ଆପଣ ଏହି ସଂଖ୍ୟା ସହିତ ଜାରି ରଖିବାକୁ ଚାହୁଁଛନ୍ତି କି?")</f>
        <v>ଆପଣ ଏହି ସଂଖ୍ୟା ସହିତ ଜାରି ରଖିବାକୁ ଚାହୁଁଛନ୍ତି କି?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 t="str">
        <f>IFERROR(__xludf.DUMMYFUNCTION("""COMPUTED_VALUE"""),"Pleaseprovidealltherequiredvalues!")</f>
        <v>Pleaseprovidealltherequiredvalues!</v>
      </c>
      <c r="B820" s="2" t="str">
        <f>IFERROR(__xludf.DUMMYFUNCTION("""COMPUTED_VALUE"""),"Please provide all the required values!")</f>
        <v>Please provide all the required values!</v>
      </c>
      <c r="C820" s="2">
        <f>IFERROR(__xludf.DUMMYFUNCTION("""COMPUTED_VALUE"""),0.3)</f>
        <v>0.3</v>
      </c>
      <c r="D820" s="2" t="str">
        <f>IFERROR(__xludf.DUMMYFUNCTION("""COMPUTED_VALUE"""),"ଦୟାକରି ସମସ୍ତ ଆବଶ୍ୟକୀୟ ମୂଲ୍ୟ ପ୍ରଦାନ କରନ୍ତୁ!")</f>
        <v>ଦୟାକରି ସମସ୍ତ ଆବଶ୍ୟକୀୟ ମୂଲ୍ୟ ପ୍ରଦାନ କରନ୍ତୁ!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 t="str">
        <f>IFERROR(__xludf.DUMMYFUNCTION("""COMPUTED_VALUE"""),"Taptoretry")</f>
        <v>Taptoretry</v>
      </c>
      <c r="B821" s="2" t="str">
        <f>IFERROR(__xludf.DUMMYFUNCTION("""COMPUTED_VALUE"""),"Tap to retry")</f>
        <v>Tap to retry</v>
      </c>
      <c r="C821" s="2">
        <f>IFERROR(__xludf.DUMMYFUNCTION("""COMPUTED_VALUE"""),0.3)</f>
        <v>0.3</v>
      </c>
      <c r="D821" s="2" t="str">
        <f>IFERROR(__xludf.DUMMYFUNCTION("""COMPUTED_VALUE"""),"ପୁନ ry ଚେଷ୍ଟା କରିବାକୁ ଟ୍ୟାପ୍ କରନ୍ତୁ |")</f>
        <v>ପୁନ ry ଚେଷ୍ଟା କରିବାକୁ ଟ୍ୟାପ୍ କରନ୍ତୁ |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 t="str">
        <f>IFERROR(__xludf.DUMMYFUNCTION("""COMPUTED_VALUE"""),"somethingwentwrong")</f>
        <v>somethingwentwrong</v>
      </c>
      <c r="B822" s="2" t="str">
        <f>IFERROR(__xludf.DUMMYFUNCTION("""COMPUTED_VALUE"""),"something went wrong")</f>
        <v>something went wrong</v>
      </c>
      <c r="C822" s="2">
        <f>IFERROR(__xludf.DUMMYFUNCTION("""COMPUTED_VALUE"""),0.3)</f>
        <v>0.3</v>
      </c>
      <c r="D822" s="2" t="str">
        <f>IFERROR(__xludf.DUMMYFUNCTION("""COMPUTED_VALUE"""),"କିଛି ଭୁଲ ହୋଇ ଗଲା")</f>
        <v>କିଛି ଭୁଲ ହୋଇ ଗଲା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 t="str">
        <f>IFERROR(__xludf.DUMMYFUNCTION("""COMPUTED_VALUE"""),"Searchbyfruits,Categories")</f>
        <v>Searchbyfruits,Categories</v>
      </c>
      <c r="B823" s="2" t="str">
        <f>IFERROR(__xludf.DUMMYFUNCTION("""COMPUTED_VALUE"""),"Search by Fruits, Categories")</f>
        <v>Search by Fruits, Categories</v>
      </c>
      <c r="C823" s="2">
        <f>IFERROR(__xludf.DUMMYFUNCTION("""COMPUTED_VALUE"""),0.3)</f>
        <v>0.3</v>
      </c>
      <c r="D823" s="2" t="str">
        <f>IFERROR(__xludf.DUMMYFUNCTION("""COMPUTED_VALUE"""),"ଫଳଗୁଡିକ ଦ୍ୱାରା ସନ୍ଧାନ, ବର୍ଗଗୁଡିକ |")</f>
        <v>ଫଳଗୁଡିକ ଦ୍ୱାରା ସନ୍ଧାନ, ବର୍ଗଗୁଡିକ |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 t="str">
        <f>IFERROR(__xludf.DUMMYFUNCTION("""COMPUTED_VALUE"""),"PleaseEnterPincode")</f>
        <v>PleaseEnterPincode</v>
      </c>
      <c r="B824" s="2" t="str">
        <f>IFERROR(__xludf.DUMMYFUNCTION("""COMPUTED_VALUE"""),"Please Enter Pincode")</f>
        <v>Please Enter Pincode</v>
      </c>
      <c r="C824" s="2">
        <f>IFERROR(__xludf.DUMMYFUNCTION("""COMPUTED_VALUE"""),0.3)</f>
        <v>0.3</v>
      </c>
      <c r="D824" s="2" t="str">
        <f>IFERROR(__xludf.DUMMYFUNCTION("""COMPUTED_VALUE"""),"ଦୟାକରି ପିନକୋଡ୍ ପ୍ରବେଶ କରନ୍ତୁ |")</f>
        <v>ଦୟାକରି ପିନକୋଡ୍ ପ୍ରବେଶ କରନ୍ତୁ |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 t="str">
        <f>IFERROR(__xludf.DUMMYFUNCTION("""COMPUTED_VALUE"""),"PleaseEnterHouse/Flat/Blockno")</f>
        <v>PleaseEnterHouse/Flat/Blockno</v>
      </c>
      <c r="B825" s="2" t="str">
        <f>IFERROR(__xludf.DUMMYFUNCTION("""COMPUTED_VALUE"""),"Please Enter House/Flat/Block no")</f>
        <v>Please Enter House/Flat/Block no</v>
      </c>
      <c r="C825" s="2">
        <f>IFERROR(__xludf.DUMMYFUNCTION("""COMPUTED_VALUE"""),0.3)</f>
        <v>0.3</v>
      </c>
      <c r="D825" s="2" t="str">
        <f>IFERROR(__xludf.DUMMYFUNCTION("""COMPUTED_VALUE"""),"ଦୟାକରି ଘର / ଫ୍ଲାଟ / ବ୍ଲକ୍ ନଂ ପ୍ରବେଶ କରନ୍ତୁ |")</f>
        <v>ଦୟାକରି ଘର / ଫ୍ଲାଟ / ବ୍ଲକ୍ ନଂ ପ୍ରବେଶ କରନ୍ତୁ |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 t="str">
        <f>IFERROR(__xludf.DUMMYFUNCTION("""COMPUTED_VALUE"""),"PleaseEnterApartment/Road/Area")</f>
        <v>PleaseEnterApartment/Road/Area</v>
      </c>
      <c r="B826" s="2" t="str">
        <f>IFERROR(__xludf.DUMMYFUNCTION("""COMPUTED_VALUE"""),"Please Enter Apartment/Road/Area")</f>
        <v>Please Enter Apartment/Road/Area</v>
      </c>
      <c r="C826" s="2">
        <f>IFERROR(__xludf.DUMMYFUNCTION("""COMPUTED_VALUE"""),0.3)</f>
        <v>0.3</v>
      </c>
      <c r="D826" s="2" t="str">
        <f>IFERROR(__xludf.DUMMYFUNCTION("""COMPUTED_VALUE"""),"ଦୟାକରି ଆପାର୍ଟମେଣ୍ଟ / ରୋଡ୍ / କ୍ଷେତ୍ର ପ୍ରବେଶ କରନ୍ତୁ |")</f>
        <v>ଦୟାକରି ଆପାର୍ଟମେଣ୍ଟ / ରୋଡ୍ / କ୍ଷେତ୍ର ପ୍ରବେଶ କରନ୍ତୁ |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 t="str">
        <f>IFERROR(__xludf.DUMMYFUNCTION("""COMPUTED_VALUE"""),"PleaseEnterLandmark")</f>
        <v>PleaseEnterLandmark</v>
      </c>
      <c r="B827" s="2" t="str">
        <f>IFERROR(__xludf.DUMMYFUNCTION("""COMPUTED_VALUE"""),"Please Enter Landmark")</f>
        <v>Please Enter Landmark</v>
      </c>
      <c r="C827" s="2">
        <f>IFERROR(__xludf.DUMMYFUNCTION("""COMPUTED_VALUE"""),0.3)</f>
        <v>0.3</v>
      </c>
      <c r="D827" s="2" t="str">
        <f>IFERROR(__xludf.DUMMYFUNCTION("""COMPUTED_VALUE"""),"ଦୟାକରି ଲ୍ୟାଣ୍ଡମାର୍କ ପ୍ରବେଶ କରନ୍ତୁ |")</f>
        <v>ଦୟାକରି ଲ୍ୟାଣ୍ଡମାର୍କ ପ୍ରବେଶ କରନ୍ତୁ |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 t="str">
        <f>IFERROR(__xludf.DUMMYFUNCTION("""COMPUTED_VALUE"""),"Pre-Order")</f>
        <v>Pre-Order</v>
      </c>
      <c r="B828" s="2" t="str">
        <f>IFERROR(__xludf.DUMMYFUNCTION("""COMPUTED_VALUE"""),"Pre-Order")</f>
        <v>Pre-Order</v>
      </c>
      <c r="C828" s="2">
        <f>IFERROR(__xludf.DUMMYFUNCTION("""COMPUTED_VALUE"""),0.3)</f>
        <v>0.3</v>
      </c>
      <c r="D828" s="2" t="str">
        <f>IFERROR(__xludf.DUMMYFUNCTION("""COMPUTED_VALUE"""),"ପୂର୍ବ ଆଦେଶ")</f>
        <v>ପୂର୍ବ ଆଦେଶ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 t="str">
        <f>IFERROR(__xludf.DUMMYFUNCTION("""COMPUTED_VALUE"""),"BrowseCatalog")</f>
        <v>BrowseCatalog</v>
      </c>
      <c r="B829" s="2" t="str">
        <f>IFERROR(__xludf.DUMMYFUNCTION("""COMPUTED_VALUE"""),"Browse Catalog")</f>
        <v>Browse Catalog</v>
      </c>
      <c r="C829" s="2">
        <f>IFERROR(__xludf.DUMMYFUNCTION("""COMPUTED_VALUE"""),0.3)</f>
        <v>0.3</v>
      </c>
      <c r="D829" s="2" t="str">
        <f>IFERROR(__xludf.DUMMYFUNCTION("""COMPUTED_VALUE"""),"କାଟାଲଗ୍ ବ୍ରାଉଜ୍ କରନ୍ତୁ |")</f>
        <v>କାଟାଲଗ୍ ବ୍ରାଉଜ୍ କରନ୍ତୁ |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 t="str">
        <f>IFERROR(__xludf.DUMMYFUNCTION("""COMPUTED_VALUE"""),"IFSCisRequired")</f>
        <v>IFSCisRequired</v>
      </c>
      <c r="B830" s="2" t="str">
        <f>IFERROR(__xludf.DUMMYFUNCTION("""COMPUTED_VALUE"""),"IFSC is Required")</f>
        <v>IFSC is Required</v>
      </c>
      <c r="C830" s="2">
        <f>IFERROR(__xludf.DUMMYFUNCTION("""COMPUTED_VALUE"""),0.3)</f>
        <v>0.3</v>
      </c>
      <c r="D830" s="2" t="str">
        <f>IFERROR(__xludf.DUMMYFUNCTION("""COMPUTED_VALUE"""),"Ifsc ଆବଶ୍ୟକ |")</f>
        <v>Ifsc ଆବଶ୍ୟକ |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 t="str">
        <f>IFERROR(__xludf.DUMMYFUNCTION("""COMPUTED_VALUE"""),"PANNumberisRequired.")</f>
        <v>PANNumberisRequired.</v>
      </c>
      <c r="B831" s="2" t="str">
        <f>IFERROR(__xludf.DUMMYFUNCTION("""COMPUTED_VALUE"""),"PAN Number is Required.")</f>
        <v>PAN Number is Required.</v>
      </c>
      <c r="C831" s="2">
        <f>IFERROR(__xludf.DUMMYFUNCTION("""COMPUTED_VALUE"""),0.3)</f>
        <v>0.3</v>
      </c>
      <c r="D831" s="2" t="str">
        <f>IFERROR(__xludf.DUMMYFUNCTION("""COMPUTED_VALUE"""),"ପାନ୍ ନମ୍ବର ଆବଶ୍ୟକ |")</f>
        <v>ପାନ୍ ନମ୍ବର ଆବଶ୍ୟକ |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 t="str">
        <f>IFERROR(__xludf.DUMMYFUNCTION("""COMPUTED_VALUE"""),"Accept-popupworks!")</f>
        <v>Accept-popupworks!</v>
      </c>
      <c r="B832" s="2" t="str">
        <f>IFERROR(__xludf.DUMMYFUNCTION("""COMPUTED_VALUE"""),"Accept-Popup Works!")</f>
        <v>Accept-Popup Works!</v>
      </c>
      <c r="C832" s="2">
        <f>IFERROR(__xludf.DUMMYFUNCTION("""COMPUTED_VALUE"""),0.3)</f>
        <v>0.3</v>
      </c>
      <c r="D832" s="2" t="str">
        <f>IFERROR(__xludf.DUMMYFUNCTION("""COMPUTED_VALUE"""),"ଗ୍ରହଣ-ପପ୍ଅପ୍ କାମ କରେ!")</f>
        <v>ଗ୍ରହଣ-ପପ୍ଅପ୍ କାମ କରେ!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 t="str">
        <f>IFERROR(__xludf.DUMMYFUNCTION("""COMPUTED_VALUE"""),"Accepted-orderworks!")</f>
        <v>Accepted-orderworks!</v>
      </c>
      <c r="B833" s="2" t="str">
        <f>IFERROR(__xludf.DUMMYFUNCTION("""COMPUTED_VALUE"""),"Accepted-Order Works!")</f>
        <v>Accepted-Order Works!</v>
      </c>
      <c r="C833" s="2">
        <f>IFERROR(__xludf.DUMMYFUNCTION("""COMPUTED_VALUE"""),0.3)</f>
        <v>0.3</v>
      </c>
      <c r="D833" s="2" t="str">
        <f>IFERROR(__xludf.DUMMYFUNCTION("""COMPUTED_VALUE"""),"ଗ୍ରହଣୀୟ ଆଦେଶ କାମ କରେ!")</f>
        <v>ଗ୍ରହଣୀୟ ଆଦେଶ କାମ କରେ!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 t="str">
        <f>IFERROR(__xludf.DUMMYFUNCTION("""COMPUTED_VALUE"""),"Dispatch-ordersworks!")</f>
        <v>Dispatch-ordersworks!</v>
      </c>
      <c r="B834" s="2" t="str">
        <f>IFERROR(__xludf.DUMMYFUNCTION("""COMPUTED_VALUE"""),"Dispatch-Orders Works!")</f>
        <v>Dispatch-Orders Works!</v>
      </c>
      <c r="C834" s="2">
        <f>IFERROR(__xludf.DUMMYFUNCTION("""COMPUTED_VALUE"""),0.3)</f>
        <v>0.3</v>
      </c>
      <c r="D834" s="2" t="str">
        <f>IFERROR(__xludf.DUMMYFUNCTION("""COMPUTED_VALUE"""),"ପଠାଯାଇଥିବା ନିର୍ଦ୍ଦେଶଗୁଡିକ କାର୍ଯ୍ୟ କରେ!")</f>
        <v>ପଠାଯାଇଥିବା ନିର୍ଦ୍ଦେଶଗୁଡିକ କାର୍ଯ୍ୟ କରେ!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 t="str">
        <f>IFERROR(__xludf.DUMMYFUNCTION("""COMPUTED_VALUE"""),"New-orderworks!")</f>
        <v>New-orderworks!</v>
      </c>
      <c r="B835" s="2" t="str">
        <f>IFERROR(__xludf.DUMMYFUNCTION("""COMPUTED_VALUE"""),"New-Order Works!")</f>
        <v>New-Order Works!</v>
      </c>
      <c r="C835" s="2">
        <f>IFERROR(__xludf.DUMMYFUNCTION("""COMPUTED_VALUE"""),0.3)</f>
        <v>0.3</v>
      </c>
      <c r="D835" s="2" t="str">
        <f>IFERROR(__xludf.DUMMYFUNCTION("""COMPUTED_VALUE"""),"ନୂତନ-ଅର୍ଡର କାମ କରେ!")</f>
        <v>ନୂତନ-ଅର୍ଡର କାମ କରେ!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 t="str">
        <f>IFERROR(__xludf.DUMMYFUNCTION("""COMPUTED_VALUE"""),"PaymentReceived")</f>
        <v>PaymentReceived</v>
      </c>
      <c r="B836" s="2" t="str">
        <f>IFERROR(__xludf.DUMMYFUNCTION("""COMPUTED_VALUE"""),"Payment Received")</f>
        <v>Payment Received</v>
      </c>
      <c r="C836" s="2">
        <f>IFERROR(__xludf.DUMMYFUNCTION("""COMPUTED_VALUE"""),0.3)</f>
        <v>0.3</v>
      </c>
      <c r="D836" s="2" t="str">
        <f>IFERROR(__xludf.DUMMYFUNCTION("""COMPUTED_VALUE"""),"ଦେୟ ପ୍ରାପ୍ତ ଦେୟ |")</f>
        <v>ଦେୟ ପ୍ରାପ୍ତ ଦେୟ |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 t="str">
        <f>IFERROR(__xludf.DUMMYFUNCTION("""COMPUTED_VALUE"""),"DeliveryInstructions")</f>
        <v>DeliveryInstructions</v>
      </c>
      <c r="B837" s="2" t="str">
        <f>IFERROR(__xludf.DUMMYFUNCTION("""COMPUTED_VALUE"""),"Delivery Instructions")</f>
        <v>Delivery Instructions</v>
      </c>
      <c r="C837" s="2">
        <f>IFERROR(__xludf.DUMMYFUNCTION("""COMPUTED_VALUE"""),0.3)</f>
        <v>0.3</v>
      </c>
      <c r="D837" s="2" t="str">
        <f>IFERROR(__xludf.DUMMYFUNCTION("""COMPUTED_VALUE"""),"ବିତରଣ ନିର୍ଦ୍ଦେଶାବଳୀ |")</f>
        <v>ବିତରଣ ନିର୍ଦ୍ଦେଶାବଳୀ |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 t="str">
        <f>IFERROR(__xludf.DUMMYFUNCTION("""COMPUTED_VALUE"""),"Picker")</f>
        <v>Picker</v>
      </c>
      <c r="B838" s="2" t="str">
        <f>IFERROR(__xludf.DUMMYFUNCTION("""COMPUTED_VALUE"""),"Picker")</f>
        <v>Picker</v>
      </c>
      <c r="C838" s="2">
        <f>IFERROR(__xludf.DUMMYFUNCTION("""COMPUTED_VALUE"""),0.3)</f>
        <v>0.3</v>
      </c>
      <c r="D838" s="2" t="str">
        <f>IFERROR(__xludf.DUMMYFUNCTION("""COMPUTED_VALUE"""),"ପିକର୍")</f>
        <v>ପିକର୍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 t="str">
        <f>IFERROR(__xludf.DUMMYFUNCTION("""COMPUTED_VALUE"""),"Loading ...")</f>
        <v>Loading ...</v>
      </c>
      <c r="B839" s="2" t="str">
        <f>IFERROR(__xludf.DUMMYFUNCTION("""COMPUTED_VALUE"""),"Loading ...")</f>
        <v>Loading ...</v>
      </c>
      <c r="C839" s="2">
        <f>IFERROR(__xludf.DUMMYFUNCTION("""COMPUTED_VALUE"""),0.3)</f>
        <v>0.3</v>
      </c>
      <c r="D839" s="2" t="str">
        <f>IFERROR(__xludf.DUMMYFUNCTION("""COMPUTED_VALUE"""),"ଲୋଡିଂ ...")</f>
        <v>ଲୋଡିଂ ...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 t="str">
        <f>IFERROR(__xludf.DUMMYFUNCTION("""COMPUTED_VALUE"""),"Processing-ordersworks!")</f>
        <v>Processing-ordersworks!</v>
      </c>
      <c r="B840" s="2" t="str">
        <f>IFERROR(__xludf.DUMMYFUNCTION("""COMPUTED_VALUE"""),"Processing-Orders Works!")</f>
        <v>Processing-Orders Works!</v>
      </c>
      <c r="C840" s="2">
        <f>IFERROR(__xludf.DUMMYFUNCTION("""COMPUTED_VALUE"""),0.3)</f>
        <v>0.3</v>
      </c>
      <c r="D840" s="2" t="str">
        <f>IFERROR(__xludf.DUMMYFUNCTION("""COMPUTED_VALUE"""),"ପ୍ରକ୍ରିୟାକରଣ-ଅର୍ଡର କାମ କରେ!")</f>
        <v>ପ୍ରକ୍ରିୟାକରଣ-ଅର୍ଡର କାମ କରେ!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 t="str">
        <f>IFERROR(__xludf.DUMMYFUNCTION("""COMPUTED_VALUE"""),"Ready-ordersworks!")</f>
        <v>Ready-ordersworks!</v>
      </c>
      <c r="B841" s="2" t="str">
        <f>IFERROR(__xludf.DUMMYFUNCTION("""COMPUTED_VALUE"""),"Ready-Orders Works!")</f>
        <v>Ready-Orders Works!</v>
      </c>
      <c r="C841" s="2">
        <f>IFERROR(__xludf.DUMMYFUNCTION("""COMPUTED_VALUE"""),0.3)</f>
        <v>0.3</v>
      </c>
      <c r="D841" s="2" t="str">
        <f>IFERROR(__xludf.DUMMYFUNCTION("""COMPUTED_VALUE"""),"ପ୍ରସ୍ତୁତ-ଅର୍ଡର କାମ କରେ!")</f>
        <v>ପ୍ରସ୍ତୁତ-ଅର୍ଡର କାମ କରେ!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 t="str">
        <f>IFERROR(__xludf.DUMMYFUNCTION("""COMPUTED_VALUE"""),"Environment:Staging")</f>
        <v>Environment:Staging</v>
      </c>
      <c r="B842" s="2" t="str">
        <f>IFERROR(__xludf.DUMMYFUNCTION("""COMPUTED_VALUE"""),"Environment: Staging")</f>
        <v>Environment: Staging</v>
      </c>
      <c r="C842" s="2">
        <f>IFERROR(__xludf.DUMMYFUNCTION("""COMPUTED_VALUE"""),0.3)</f>
        <v>0.3</v>
      </c>
      <c r="D842" s="2" t="str">
        <f>IFERROR(__xludf.DUMMYFUNCTION("""COMPUTED_VALUE"""),"ପରିବେଶ: ଛିଡା ହୋଇଛି |")</f>
        <v>ପରିବେଶ: ଛିଡା ହୋଇଛି |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 t="str">
        <f>IFERROR(__xludf.DUMMYFUNCTION("""COMPUTED_VALUE"""),"NoDataFound")</f>
        <v>NoDataFound</v>
      </c>
      <c r="B843" s="2" t="str">
        <f>IFERROR(__xludf.DUMMYFUNCTION("""COMPUTED_VALUE"""),"No Data Found")</f>
        <v>No Data Found</v>
      </c>
      <c r="C843" s="2">
        <f>IFERROR(__xludf.DUMMYFUNCTION("""COMPUTED_VALUE"""),0.3)</f>
        <v>0.3</v>
      </c>
      <c r="D843" s="2" t="str">
        <f>IFERROR(__xludf.DUMMYFUNCTION("""COMPUTED_VALUE"""),"କ data ଣସି ତଥ୍ୟ ମିଳିଲା ନାହିଁ |")</f>
        <v>କ data ଣସି ତଥ୍ୟ ମିଳିଲା ନାହିଁ |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 t="str">
        <f>IFERROR(__xludf.DUMMYFUNCTION("""COMPUTED_VALUE"""),"Progressbarworks!")</f>
        <v>Progressbarworks!</v>
      </c>
      <c r="B844" s="2" t="str">
        <f>IFERROR(__xludf.DUMMYFUNCTION("""COMPUTED_VALUE"""),"Progressbar Works!")</f>
        <v>Progressbar Works!</v>
      </c>
      <c r="C844" s="2">
        <f>IFERROR(__xludf.DUMMYFUNCTION("""COMPUTED_VALUE"""),0.3)</f>
        <v>0.3</v>
      </c>
      <c r="D844" s="2" t="str">
        <f>IFERROR(__xludf.DUMMYFUNCTION("""COMPUTED_VALUE"""),"ପ୍ରଗାର୍ଡବାର କାମ କରେ!")</f>
        <v>ପ୍ରଗାର୍ଡବାର କାମ କରେ!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 t="str">
        <f>IFERROR(__xludf.DUMMYFUNCTION("""COMPUTED_VALUE"""),"InvoiceNumber")</f>
        <v>InvoiceNumber</v>
      </c>
      <c r="B845" s="2" t="str">
        <f>IFERROR(__xludf.DUMMYFUNCTION("""COMPUTED_VALUE"""),"Invoice Number")</f>
        <v>Invoice Number</v>
      </c>
      <c r="C845" s="2">
        <f>IFERROR(__xludf.DUMMYFUNCTION("""COMPUTED_VALUE"""),0.3)</f>
        <v>0.3</v>
      </c>
      <c r="D845" s="2" t="str">
        <f>IFERROR(__xludf.DUMMYFUNCTION("""COMPUTED_VALUE"""),"ଇନଭଏସ୍ ନମ୍ବର |")</f>
        <v>ଇନଭଏସ୍ ନମ୍ବର |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 t="str">
        <f>IFERROR(__xludf.DUMMYFUNCTION("""COMPUTED_VALUE"""),"IGSTIN")</f>
        <v>IGSTIN</v>
      </c>
      <c r="B846" s="2" t="str">
        <f>IFERROR(__xludf.DUMMYFUNCTION("""COMPUTED_VALUE"""),"IGSTIN")</f>
        <v>IGSTIN</v>
      </c>
      <c r="C846" s="2">
        <f>IFERROR(__xludf.DUMMYFUNCTION("""COMPUTED_VALUE"""),0.3)</f>
        <v>0.3</v>
      </c>
      <c r="D846" s="2" t="str">
        <f>IFERROR(__xludf.DUMMYFUNCTION("""COMPUTED_VALUE"""),"ଇଗ୍ରାଫ୍ଟିନ |")</f>
        <v>ଇଗ୍ରାଫ୍ଟିନ |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 t="str">
        <f>IFERROR(__xludf.DUMMYFUNCTION("""COMPUTED_VALUE"""),"ShopName")</f>
        <v>ShopName</v>
      </c>
      <c r="B847" s="2" t="str">
        <f>IFERROR(__xludf.DUMMYFUNCTION("""COMPUTED_VALUE"""),"Shop Name")</f>
        <v>Shop Name</v>
      </c>
      <c r="C847" s="2">
        <f>IFERROR(__xludf.DUMMYFUNCTION("""COMPUTED_VALUE"""),0.3)</f>
        <v>0.3</v>
      </c>
      <c r="D847" s="2" t="str">
        <f>IFERROR(__xludf.DUMMYFUNCTION("""COMPUTED_VALUE"""),"ଦୋକାନ ନାମ")</f>
        <v>ଦୋକାନ ନାମ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 t="str">
        <f>IFERROR(__xludf.DUMMYFUNCTION("""COMPUTED_VALUE"""),"PhoneNo.")</f>
        <v>PhoneNo.</v>
      </c>
      <c r="B848" s="2" t="str">
        <f>IFERROR(__xludf.DUMMYFUNCTION("""COMPUTED_VALUE"""),"Phone No.")</f>
        <v>Phone No.</v>
      </c>
      <c r="C848" s="2">
        <f>IFERROR(__xludf.DUMMYFUNCTION("""COMPUTED_VALUE"""),0.3)</f>
        <v>0.3</v>
      </c>
      <c r="D848" s="2" t="str">
        <f>IFERROR(__xludf.DUMMYFUNCTION("""COMPUTED_VALUE"""),"ଫୋନ୍ ନମ୍ବର")</f>
        <v>ଫୋନ୍ ନମ୍ବର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 t="str">
        <f>IFERROR(__xludf.DUMMYFUNCTION("""COMPUTED_VALUE"""),"Gallery")</f>
        <v>Gallery</v>
      </c>
      <c r="B849" s="2" t="str">
        <f>IFERROR(__xludf.DUMMYFUNCTION("""COMPUTED_VALUE"""),"Gallery")</f>
        <v>Gallery</v>
      </c>
      <c r="C849" s="2">
        <f>IFERROR(__xludf.DUMMYFUNCTION("""COMPUTED_VALUE"""),0.4)</f>
        <v>0.4</v>
      </c>
      <c r="D849" s="2" t="str">
        <f>IFERROR(__xludf.DUMMYFUNCTION("""COMPUTED_VALUE"""),"ଗ୍ୟାଲେରୀ")</f>
        <v>ଗ୍ୟାଲେରୀ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 t="str">
        <f>IFERROR(__xludf.DUMMYFUNCTION("""COMPUTED_VALUE"""),"Update&amp;Continue")</f>
        <v>Update&amp;Continue</v>
      </c>
      <c r="B850" s="2" t="str">
        <f>IFERROR(__xludf.DUMMYFUNCTION("""COMPUTED_VALUE"""),"Update &amp; Continue")</f>
        <v>Update &amp; Continue</v>
      </c>
      <c r="C850" s="2">
        <f>IFERROR(__xludf.DUMMYFUNCTION("""COMPUTED_VALUE"""),0.4)</f>
        <v>0.4</v>
      </c>
      <c r="D850" s="2" t="str">
        <f>IFERROR(__xludf.DUMMYFUNCTION("""COMPUTED_VALUE"""),"ଅଦ୍ୟତନ କରନ୍ତୁ ଏବଂ ଜାରି ରଖନ୍ତୁ |")</f>
        <v>ଅଦ୍ୟତନ କରନ୍ତୁ ଏବଂ ଜାରି ରଖନ୍ତୁ |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 t="str">
        <f>IFERROR(__xludf.DUMMYFUNCTION("""COMPUTED_VALUE"""),"alert ")</f>
        <v>alert </v>
      </c>
      <c r="B851" s="2" t="str">
        <f>IFERROR(__xludf.DUMMYFUNCTION("""COMPUTED_VALUE"""),"Alert!!")</f>
        <v>Alert!!</v>
      </c>
      <c r="C851" s="2">
        <f>IFERROR(__xludf.DUMMYFUNCTION("""COMPUTED_VALUE"""),0.4)</f>
        <v>0.4</v>
      </c>
      <c r="D851" s="2" t="str">
        <f>IFERROR(__xludf.DUMMYFUNCTION("""COMPUTED_VALUE"""),"ସତର୍କ !!")</f>
        <v>ସତର୍କ !!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 t="str">
        <f>IFERROR(__xludf.DUMMYFUNCTION("""COMPUTED_VALUE"""),"Areyousureyouwanttodelete?")</f>
        <v>Areyousureyouwanttodelete?</v>
      </c>
      <c r="B852" s="2" t="str">
        <f>IFERROR(__xludf.DUMMYFUNCTION("""COMPUTED_VALUE"""),"Are you sure you want to delete?")</f>
        <v>Are you sure you want to delete?</v>
      </c>
      <c r="C852" s="2">
        <f>IFERROR(__xludf.DUMMYFUNCTION("""COMPUTED_VALUE"""),0.4)</f>
        <v>0.4</v>
      </c>
      <c r="D852" s="2" t="str">
        <f>IFERROR(__xludf.DUMMYFUNCTION("""COMPUTED_VALUE"""),"ଆପଣ ନିଶ୍ଚିତ କି ଆପଣ ବିଲୋପ କରିବାକୁ ଚାହୁଁଛନ୍ତି?")</f>
        <v>ଆପଣ ନିଶ୍ଚିତ କି ଆପଣ ବିଲୋପ କରିବାକୁ ଚାହୁଁଛନ୍ତି?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 t="str">
        <f>IFERROR(__xludf.DUMMYFUNCTION("""COMPUTED_VALUE"""),"Organisation")</f>
        <v>Organisation</v>
      </c>
      <c r="B853" s="2" t="str">
        <f>IFERROR(__xludf.DUMMYFUNCTION("""COMPUTED_VALUE"""),"Organisation")</f>
        <v>Organisation</v>
      </c>
      <c r="C853" s="2">
        <f>IFERROR(__xludf.DUMMYFUNCTION("""COMPUTED_VALUE"""),0.4)</f>
        <v>0.4</v>
      </c>
      <c r="D853" s="2" t="str">
        <f>IFERROR(__xludf.DUMMYFUNCTION("""COMPUTED_VALUE"""),"ସଂଗଠନ |")</f>
        <v>ସଂଗଠନ |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 t="str">
        <f>IFERROR(__xludf.DUMMYFUNCTION("""COMPUTED_VALUE"""),"SelectOrganistion")</f>
        <v>SelectOrganistion</v>
      </c>
      <c r="B854" s="2" t="str">
        <f>IFERROR(__xludf.DUMMYFUNCTION("""COMPUTED_VALUE"""),"Select Organization")</f>
        <v>Select Organization</v>
      </c>
      <c r="C854" s="2">
        <f>IFERROR(__xludf.DUMMYFUNCTION("""COMPUTED_VALUE"""),0.4)</f>
        <v>0.4</v>
      </c>
      <c r="D854" s="2" t="str">
        <f>IFERROR(__xludf.DUMMYFUNCTION("""COMPUTED_VALUE"""),"ସଂଗଠନ ଚୟନ କରନ୍ତୁ |")</f>
        <v>ସଂଗଠନ ଚୟନ କରନ୍ତୁ |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 t="str">
        <f>IFERROR(__xludf.DUMMYFUNCTION("""COMPUTED_VALUE"""),"Select&amp;Continue")</f>
        <v>Select&amp;Continue</v>
      </c>
      <c r="B855" s="2" t="str">
        <f>IFERROR(__xludf.DUMMYFUNCTION("""COMPUTED_VALUE"""),"Select &amp; Continue")</f>
        <v>Select &amp; Continue</v>
      </c>
      <c r="C855" s="2">
        <f>IFERROR(__xludf.DUMMYFUNCTION("""COMPUTED_VALUE"""),0.4)</f>
        <v>0.4</v>
      </c>
      <c r="D855" s="2" t="str">
        <f>IFERROR(__xludf.DUMMYFUNCTION("""COMPUTED_VALUE"""),"ଚୟନ କରନ୍ତୁ ଏବଂ ଜାରି ରଖନ୍ତୁ |")</f>
        <v>ଚୟନ କରନ୍ତୁ ଏବଂ ଜାରି ରଖନ୍ତୁ |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 t="str">
        <f>IFERROR(__xludf.DUMMYFUNCTION("""COMPUTED_VALUE"""),"Sarvm")</f>
        <v>Sarvm</v>
      </c>
      <c r="B856" s="2" t="str">
        <f>IFERROR(__xludf.DUMMYFUNCTION("""COMPUTED_VALUE"""),"Sarvm")</f>
        <v>Sarvm</v>
      </c>
      <c r="C856" s="2">
        <f>IFERROR(__xludf.DUMMYFUNCTION("""COMPUTED_VALUE"""),0.4)</f>
        <v>0.4</v>
      </c>
      <c r="D856" s="2" t="str">
        <f>IFERROR(__xludf.DUMMYFUNCTION("""COMPUTED_VALUE"""),"ସରମଡିଟ୍")</f>
        <v>ସରମଡିଟ୍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 t="str">
        <f>IFERROR(__xludf.DUMMYFUNCTION("""COMPUTED_VALUE"""),"Iwilldeliverby")</f>
        <v>Iwilldeliverby</v>
      </c>
      <c r="B857" s="2" t="str">
        <f>IFERROR(__xludf.DUMMYFUNCTION("""COMPUTED_VALUE"""),"I will deliver by")</f>
        <v>I will deliver by</v>
      </c>
      <c r="C857" s="2">
        <f>IFERROR(__xludf.DUMMYFUNCTION("""COMPUTED_VALUE"""),1.0)</f>
        <v>1</v>
      </c>
      <c r="D857" s="2" t="str">
        <f>IFERROR(__xludf.DUMMYFUNCTION("""COMPUTED_VALUE"""),"ମୁଁ ବିତରଣ କରିବି")</f>
        <v>ମୁଁ ବିତରଣ କରିବି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 t="str">
        <f>IFERROR(__xludf.DUMMYFUNCTION("""COMPUTED_VALUE"""),"Pedestrian ")</f>
        <v>Pedestrian </v>
      </c>
      <c r="B858" s="2" t="str">
        <f>IFERROR(__xludf.DUMMYFUNCTION("""COMPUTED_VALUE"""),"Pedestrian ")</f>
        <v>Pedestrian </v>
      </c>
      <c r="C858" s="2">
        <f>IFERROR(__xludf.DUMMYFUNCTION("""COMPUTED_VALUE"""),1.0)</f>
        <v>1</v>
      </c>
      <c r="D858" s="2" t="str">
        <f>IFERROR(__xludf.DUMMYFUNCTION("""COMPUTED_VALUE"""),"ପଥଚାରୀ")</f>
        <v>ପଥଚାରୀ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 t="str">
        <f>IFERROR(__xludf.DUMMYFUNCTION("""COMPUTED_VALUE"""),"Bicycle")</f>
        <v>Bicycle</v>
      </c>
      <c r="B859" s="2" t="str">
        <f>IFERROR(__xludf.DUMMYFUNCTION("""COMPUTED_VALUE"""),"Bicycle")</f>
        <v>Bicycle</v>
      </c>
      <c r="C859" s="2">
        <f>IFERROR(__xludf.DUMMYFUNCTION("""COMPUTED_VALUE"""),1.0)</f>
        <v>1</v>
      </c>
      <c r="D859" s="2" t="str">
        <f>IFERROR(__xludf.DUMMYFUNCTION("""COMPUTED_VALUE"""),"ସାଇକେଲ")</f>
        <v>ସାଇକେଲ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 t="str">
        <f>IFERROR(__xludf.DUMMYFUNCTION("""COMPUTED_VALUE"""),"CycleRickshaw")</f>
        <v>CycleRickshaw</v>
      </c>
      <c r="B860" s="2" t="str">
        <f>IFERROR(__xludf.DUMMYFUNCTION("""COMPUTED_VALUE"""),"Cycle Rickshaw")</f>
        <v>Cycle Rickshaw</v>
      </c>
      <c r="C860" s="2">
        <f>IFERROR(__xludf.DUMMYFUNCTION("""COMPUTED_VALUE"""),1.0)</f>
        <v>1</v>
      </c>
      <c r="D860" s="2" t="str">
        <f>IFERROR(__xludf.DUMMYFUNCTION("""COMPUTED_VALUE"""),"ଚକ୍ର ରିକ୍ସା")</f>
        <v>ଚକ୍ର ରିକ୍ସା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 t="str">
        <f>IFERROR(__xludf.DUMMYFUNCTION("""COMPUTED_VALUE"""),"AutoRickshaw")</f>
        <v>AutoRickshaw</v>
      </c>
      <c r="B861" s="2" t="str">
        <f>IFERROR(__xludf.DUMMYFUNCTION("""COMPUTED_VALUE"""),"Auto Rickshaw")</f>
        <v>Auto Rickshaw</v>
      </c>
      <c r="C861" s="2">
        <f>IFERROR(__xludf.DUMMYFUNCTION("""COMPUTED_VALUE"""),1.0)</f>
        <v>1</v>
      </c>
      <c r="D861" s="2" t="str">
        <f>IFERROR(__xludf.DUMMYFUNCTION("""COMPUTED_VALUE"""),"ଅଟୋ ରିକ୍ସା |")</f>
        <v>ଅଟୋ ରିକ୍ସା |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 t="str">
        <f>IFERROR(__xludf.DUMMYFUNCTION("""COMPUTED_VALUE"""),"Bike")</f>
        <v>Bike</v>
      </c>
      <c r="B862" s="2" t="str">
        <f>IFERROR(__xludf.DUMMYFUNCTION("""COMPUTED_VALUE"""),"Bike")</f>
        <v>Bike</v>
      </c>
      <c r="C862" s="2">
        <f>IFERROR(__xludf.DUMMYFUNCTION("""COMPUTED_VALUE"""),1.0)</f>
        <v>1</v>
      </c>
      <c r="D862" s="2" t="str">
        <f>IFERROR(__xludf.DUMMYFUNCTION("""COMPUTED_VALUE"""),"ବାଇକ୍")</f>
        <v>ବାଇକ୍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 t="str">
        <f>IFERROR(__xludf.DUMMYFUNCTION("""COMPUTED_VALUE"""),"E-RIckshaw")</f>
        <v>E-RIckshaw</v>
      </c>
      <c r="B863" s="2" t="str">
        <f>IFERROR(__xludf.DUMMYFUNCTION("""COMPUTED_VALUE"""),"E-RIckshaw")</f>
        <v>E-RIckshaw</v>
      </c>
      <c r="C863" s="2">
        <f>IFERROR(__xludf.DUMMYFUNCTION("""COMPUTED_VALUE"""),1.0)</f>
        <v>1</v>
      </c>
      <c r="D863" s="2" t="str">
        <f>IFERROR(__xludf.DUMMYFUNCTION("""COMPUTED_VALUE"""),"ଇ-ରିକ୍ସା |")</f>
        <v>ଇ-ରିକ୍ସା |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 t="str">
        <f>IFERROR(__xludf.DUMMYFUNCTION("""COMPUTED_VALUE"""),"DrivingLicenseNo")</f>
        <v>DrivingLicenseNo</v>
      </c>
      <c r="B864" s="2" t="str">
        <f>IFERROR(__xludf.DUMMYFUNCTION("""COMPUTED_VALUE"""),"Driving License No")</f>
        <v>Driving License No</v>
      </c>
      <c r="C864" s="2">
        <f>IFERROR(__xludf.DUMMYFUNCTION("""COMPUTED_VALUE"""),1.0)</f>
        <v>1</v>
      </c>
      <c r="D864" s="2" t="str">
        <f>IFERROR(__xludf.DUMMYFUNCTION("""COMPUTED_VALUE"""),"ଡ୍ରାଇଭିଂ ଲାଇସେନ୍ସ ନଂ")</f>
        <v>ଡ୍ରାଇଭିଂ ଲାଇସେନ୍ସ ନଂ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 t="str">
        <f>IFERROR(__xludf.DUMMYFUNCTION("""COMPUTED_VALUE"""),"RC")</f>
        <v>RC</v>
      </c>
      <c r="B865" s="2" t="str">
        <f>IFERROR(__xludf.DUMMYFUNCTION("""COMPUTED_VALUE"""),"RC")</f>
        <v>RC</v>
      </c>
      <c r="C865" s="2">
        <f>IFERROR(__xludf.DUMMYFUNCTION("""COMPUTED_VALUE"""),1.0)</f>
        <v>1</v>
      </c>
      <c r="D865" s="2" t="str">
        <f>IFERROR(__xludf.DUMMYFUNCTION("""COMPUTED_VALUE"""),"ଆରସି")</f>
        <v>ଆରସି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 t="str">
        <f>IFERROR(__xludf.DUMMYFUNCTION("""COMPUTED_VALUE"""),"VehiclePermit(optional)")</f>
        <v>VehiclePermit(optional)</v>
      </c>
      <c r="B866" s="2" t="str">
        <f>IFERROR(__xludf.DUMMYFUNCTION("""COMPUTED_VALUE"""),"Vehicle Permit(optional)")</f>
        <v>Vehicle Permit(optional)</v>
      </c>
      <c r="C866" s="2">
        <f>IFERROR(__xludf.DUMMYFUNCTION("""COMPUTED_VALUE"""),1.0)</f>
        <v>1</v>
      </c>
      <c r="D866" s="2" t="str">
        <f>IFERROR(__xludf.DUMMYFUNCTION("""COMPUTED_VALUE"""),"ଯାନବାହାନ ଅନୁମତି (ବ al କଳ୍ପିକ)")</f>
        <v>ଯାନବାହାନ ଅନୁମତି (ବ al କଳ୍ପିକ)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 t="str">
        <f>IFERROR(__xludf.DUMMYFUNCTION("""COMPUTED_VALUE"""),"UploadVehiclePermitDocs")</f>
        <v>UploadVehiclePermitDocs</v>
      </c>
      <c r="B867" s="2" t="str">
        <f>IFERROR(__xludf.DUMMYFUNCTION("""COMPUTED_VALUE"""),"Upload Vehicle Permit Docs")</f>
        <v>Upload Vehicle Permit Docs</v>
      </c>
      <c r="C867" s="2">
        <f>IFERROR(__xludf.DUMMYFUNCTION("""COMPUTED_VALUE"""),1.0)</f>
        <v>1</v>
      </c>
      <c r="D867" s="2" t="str">
        <f>IFERROR(__xludf.DUMMYFUNCTION("""COMPUTED_VALUE"""),"ଯାନବାହାନ ଅନୁମତି Docs ଅପଲୋଡ୍ କରନ୍ତୁ |")</f>
        <v>ଯାନବାହାନ ଅନୁମତି Docs ଅପଲୋଡ୍ କରନ୍ତୁ |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 t="str">
        <f>IFERROR(__xludf.DUMMYFUNCTION("""COMPUTED_VALUE"""),"UploadRC(Registration Certificate)")</f>
        <v>UploadRC(Registration Certificate)</v>
      </c>
      <c r="B868" s="2" t="str">
        <f>IFERROR(__xludf.DUMMYFUNCTION("""COMPUTED_VALUE"""),"Upload RC (Registration Certificate)")</f>
        <v>Upload RC (Registration Certificate)</v>
      </c>
      <c r="C868" s="2">
        <f>IFERROR(__xludf.DUMMYFUNCTION("""COMPUTED_VALUE"""),1.0)</f>
        <v>1</v>
      </c>
      <c r="D868" s="2" t="str">
        <f>IFERROR(__xludf.DUMMYFUNCTION("""COMPUTED_VALUE"""),"RC (ପଞ୍ଜୀକରଣ ସାର୍ଟିଫିକେଟ୍) ଅପଲୋଡ୍ କରନ୍ତୁ |")</f>
        <v>RC (ପଞ୍ଜୀକରଣ ସାର୍ଟିଫିକେଟ୍) ଅପଲୋଡ୍ କରନ୍ତୁ |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 t="str">
        <f>IFERROR(__xludf.DUMMYFUNCTION("""COMPUTED_VALUE"""),"OnlineDelivery ")</f>
        <v>OnlineDelivery </v>
      </c>
      <c r="B869" s="2" t="str">
        <f>IFERROR(__xludf.DUMMYFUNCTION("""COMPUTED_VALUE"""),"Online Delivery ")</f>
        <v>Online Delivery </v>
      </c>
      <c r="C869" s="2">
        <f>IFERROR(__xludf.DUMMYFUNCTION("""COMPUTED_VALUE"""),1.0)</f>
        <v>1</v>
      </c>
      <c r="D869" s="2" t="str">
        <f>IFERROR(__xludf.DUMMYFUNCTION("""COMPUTED_VALUE"""),"ଅନଲାଇନ୍ ବିତରଣ |")</f>
        <v>ଅନଲାଇନ୍ ବିତରଣ |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 t="str">
        <f>IFERROR(__xludf.DUMMYFUNCTION("""COMPUTED_VALUE"""),"EasyNavigation")</f>
        <v>EasyNavigation</v>
      </c>
      <c r="B870" s="2" t="str">
        <f>IFERROR(__xludf.DUMMYFUNCTION("""COMPUTED_VALUE"""),"Easy Navigation")</f>
        <v>Easy Navigation</v>
      </c>
      <c r="C870" s="2">
        <f>IFERROR(__xludf.DUMMYFUNCTION("""COMPUTED_VALUE"""),1.0)</f>
        <v>1</v>
      </c>
      <c r="D870" s="2" t="str">
        <f>IFERROR(__xludf.DUMMYFUNCTION("""COMPUTED_VALUE"""),"ସହଜ ନାଭିଗେସନ୍ |")</f>
        <v>ସହଜ ନାଭିଗେସନ୍ |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 t="str">
        <f>IFERROR(__xludf.DUMMYFUNCTION("""COMPUTED_VALUE"""),"ManageMultipleDelivery ")</f>
        <v>ManageMultipleDelivery </v>
      </c>
      <c r="B871" s="2" t="str">
        <f>IFERROR(__xludf.DUMMYFUNCTION("""COMPUTED_VALUE"""),"Manage Multiple Delivery ")</f>
        <v>Manage Multiple Delivery </v>
      </c>
      <c r="C871" s="2">
        <f>IFERROR(__xludf.DUMMYFUNCTION("""COMPUTED_VALUE"""),1.0)</f>
        <v>1</v>
      </c>
      <c r="D871" s="2" t="str">
        <f>IFERROR(__xludf.DUMMYFUNCTION("""COMPUTED_VALUE"""),"ଏକାଧିକ ବିତରଣ ପରିଚାଳନା କରନ୍ତୁ |")</f>
        <v>ଏକାଧିକ ବିତରଣ ପରିଚାଳନା କରନ୍ତୁ |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 t="str">
        <f>IFERROR(__xludf.DUMMYFUNCTION("""COMPUTED_VALUE"""),"DistanceManagement")</f>
        <v>DistanceManagement</v>
      </c>
      <c r="B872" s="2" t="str">
        <f>IFERROR(__xludf.DUMMYFUNCTION("""COMPUTED_VALUE"""),"Distance Management")</f>
        <v>Distance Management</v>
      </c>
      <c r="C872" s="2">
        <f>IFERROR(__xludf.DUMMYFUNCTION("""COMPUTED_VALUE"""),1.0)</f>
        <v>1</v>
      </c>
      <c r="D872" s="2" t="str">
        <f>IFERROR(__xludf.DUMMYFUNCTION("""COMPUTED_VALUE"""),"ଦୂରୀତାକରଣ")</f>
        <v>ଦୂରୀତାକରଣ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 t="str">
        <f>IFERROR(__xludf.DUMMYFUNCTION("""COMPUTED_VALUE"""),"RateManagement")</f>
        <v>RateManagement</v>
      </c>
      <c r="B873" s="2" t="str">
        <f>IFERROR(__xludf.DUMMYFUNCTION("""COMPUTED_VALUE"""),"Rate Management")</f>
        <v>Rate Management</v>
      </c>
      <c r="C873" s="2">
        <f>IFERROR(__xludf.DUMMYFUNCTION("""COMPUTED_VALUE"""),1.0)</f>
        <v>1</v>
      </c>
      <c r="D873" s="2" t="str">
        <f>IFERROR(__xludf.DUMMYFUNCTION("""COMPUTED_VALUE"""),"ହାର ପରିଚାଳନା")</f>
        <v>ହାର ପରିଚାଳନା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 t="str">
        <f>IFERROR(__xludf.DUMMYFUNCTION("""COMPUTED_VALUE"""),"Online")</f>
        <v>Online</v>
      </c>
      <c r="B874" s="2" t="str">
        <f>IFERROR(__xludf.DUMMYFUNCTION("""COMPUTED_VALUE"""),"Online")</f>
        <v>Online</v>
      </c>
      <c r="C874" s="2">
        <f>IFERROR(__xludf.DUMMYFUNCTION("""COMPUTED_VALUE"""),1.0)</f>
        <v>1</v>
      </c>
      <c r="D874" s="2" t="str">
        <f>IFERROR(__xludf.DUMMYFUNCTION("""COMPUTED_VALUE"""),"ଅନଲାଇନ୍ |")</f>
        <v>ଅନଲାଇନ୍ |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 t="str">
        <f>IFERROR(__xludf.DUMMYFUNCTION("""COMPUTED_VALUE"""),"Reportincident ")</f>
        <v>Reportincident </v>
      </c>
      <c r="B875" s="2" t="str">
        <f>IFERROR(__xludf.DUMMYFUNCTION("""COMPUTED_VALUE"""),"Report Incident ")</f>
        <v>Report Incident </v>
      </c>
      <c r="C875" s="2">
        <f>IFERROR(__xludf.DUMMYFUNCTION("""COMPUTED_VALUE"""),1.0)</f>
        <v>1</v>
      </c>
      <c r="D875" s="2" t="str">
        <f>IFERROR(__xludf.DUMMYFUNCTION("""COMPUTED_VALUE"""),"ଘଟଣା ରିପୋର୍ଟ କରନ୍ତୁ |")</f>
        <v>ଘଟଣା ରିପୋର୍ଟ କରନ୍ତୁ |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 t="str">
        <f>IFERROR(__xludf.DUMMYFUNCTION("""COMPUTED_VALUE"""),"Referafriend&amp;Earn ")</f>
        <v>Referafriend&amp;Earn </v>
      </c>
      <c r="B876" s="2" t="str">
        <f>IFERROR(__xludf.DUMMYFUNCTION("""COMPUTED_VALUE"""),"Refer a Friend &amp; Earn ")</f>
        <v>Refer a Friend &amp; Earn </v>
      </c>
      <c r="C876" s="2">
        <f>IFERROR(__xludf.DUMMYFUNCTION("""COMPUTED_VALUE"""),1.0)</f>
        <v>1</v>
      </c>
      <c r="D876" s="2" t="str">
        <f>IFERROR(__xludf.DUMMYFUNCTION("""COMPUTED_VALUE"""),"ଜଣେ ବନ୍ଧୁଙ୍କୁ ଅନୁସରଣ କରନ୍ତୁ ଏବଂ ରୋଜଗାର କରନ୍ତୁ |")</f>
        <v>ଜଣେ ବନ୍ଧୁଙ୍କୁ ଅନୁସରଣ କରନ୍ତୁ ଏବଂ ରୋଜଗାର କରନ୍ତୁ |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 t="str">
        <f>IFERROR(__xludf.DUMMYFUNCTION("""COMPUTED_VALUE"""),"NewTrips ")</f>
        <v>NewTrips </v>
      </c>
      <c r="B877" s="2" t="str">
        <f>IFERROR(__xludf.DUMMYFUNCTION("""COMPUTED_VALUE"""),"New Trips ")</f>
        <v>New Trips </v>
      </c>
      <c r="C877" s="2">
        <f>IFERROR(__xludf.DUMMYFUNCTION("""COMPUTED_VALUE"""),1.0)</f>
        <v>1</v>
      </c>
      <c r="D877" s="2" t="str">
        <f>IFERROR(__xludf.DUMMYFUNCTION("""COMPUTED_VALUE"""),"ନୂତନ ଯାତ୍ରା")</f>
        <v>ନୂତନ ଯାତ୍ରା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 t="str">
        <f>IFERROR(__xludf.DUMMYFUNCTION("""COMPUTED_VALUE"""),"ExpectedEarnings")</f>
        <v>ExpectedEarnings</v>
      </c>
      <c r="B878" s="2" t="str">
        <f>IFERROR(__xludf.DUMMYFUNCTION("""COMPUTED_VALUE"""),"Expected Earnings")</f>
        <v>Expected Earnings</v>
      </c>
      <c r="C878" s="2">
        <f>IFERROR(__xludf.DUMMYFUNCTION("""COMPUTED_VALUE"""),1.0)</f>
        <v>1</v>
      </c>
      <c r="D878" s="2" t="str">
        <f>IFERROR(__xludf.DUMMYFUNCTION("""COMPUTED_VALUE"""),"ଆଶା କରାଯାଉଥିବା ରୋଜଗାର")</f>
        <v>ଆଶା କରାଯାଉଥିବା ରୋଜଗାର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 t="str">
        <f>IFERROR(__xludf.DUMMYFUNCTION("""COMPUTED_VALUE"""),"OngoingTrip")</f>
        <v>OngoingTrip</v>
      </c>
      <c r="B879" s="2" t="str">
        <f>IFERROR(__xludf.DUMMYFUNCTION("""COMPUTED_VALUE"""),"Ongoing Trip")</f>
        <v>Ongoing Trip</v>
      </c>
      <c r="C879" s="2">
        <f>IFERROR(__xludf.DUMMYFUNCTION("""COMPUTED_VALUE"""),1.0)</f>
        <v>1</v>
      </c>
      <c r="D879" s="2" t="str">
        <f>IFERROR(__xludf.DUMMYFUNCTION("""COMPUTED_VALUE"""),"ଚାଲୁଥିବା ଯାତ୍ରା")</f>
        <v>ଚାଲୁଥିବା ଯାତ୍ରା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 t="str">
        <f>IFERROR(__xludf.DUMMYFUNCTION("""COMPUTED_VALUE"""),"Drop-Off")</f>
        <v>Drop-Off</v>
      </c>
      <c r="B880" s="2" t="str">
        <f>IFERROR(__xludf.DUMMYFUNCTION("""COMPUTED_VALUE"""),"Drop-Off")</f>
        <v>Drop-Off</v>
      </c>
      <c r="C880" s="2">
        <f>IFERROR(__xludf.DUMMYFUNCTION("""COMPUTED_VALUE"""),1.0)</f>
        <v>1</v>
      </c>
      <c r="D880" s="2" t="str">
        <f>IFERROR(__xludf.DUMMYFUNCTION("""COMPUTED_VALUE"""),"କମିଯିବା")</f>
        <v>କମିଯିବା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 t="str">
        <f>IFERROR(__xludf.DUMMYFUNCTION("""COMPUTED_VALUE"""),"Payments")</f>
        <v>Payments</v>
      </c>
      <c r="B881" s="2" t="str">
        <f>IFERROR(__xludf.DUMMYFUNCTION("""COMPUTED_VALUE"""),"Payments")</f>
        <v>Payments</v>
      </c>
      <c r="C881" s="2">
        <f>IFERROR(__xludf.DUMMYFUNCTION("""COMPUTED_VALUE"""),1.0)</f>
        <v>1</v>
      </c>
      <c r="D881" s="2" t="str">
        <f>IFERROR(__xludf.DUMMYFUNCTION("""COMPUTED_VALUE"""),"ଦେୟ")</f>
        <v>ଦେୟ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 t="str">
        <f>IFERROR(__xludf.DUMMYFUNCTION("""COMPUTED_VALUE"""),"Offline")</f>
        <v>Offline</v>
      </c>
      <c r="B882" s="2" t="str">
        <f>IFERROR(__xludf.DUMMYFUNCTION("""COMPUTED_VALUE"""),"Offline")</f>
        <v>Offline</v>
      </c>
      <c r="C882" s="2">
        <f>IFERROR(__xludf.DUMMYFUNCTION("""COMPUTED_VALUE"""),1.0)</f>
        <v>1</v>
      </c>
      <c r="D882" s="2" t="str">
        <f>IFERROR(__xludf.DUMMYFUNCTION("""COMPUTED_VALUE"""),"ଅଫଲାଇନ୍")</f>
        <v>ଅଫଲାଇନ୍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 t="str">
        <f>IFERROR(__xludf.DUMMYFUNCTION("""COMPUTED_VALUE"""),"NewOrder!")</f>
        <v>NewOrder!</v>
      </c>
      <c r="B883" s="2" t="str">
        <f>IFERROR(__xludf.DUMMYFUNCTION("""COMPUTED_VALUE"""),"New Order!")</f>
        <v>New Order!</v>
      </c>
      <c r="C883" s="2">
        <f>IFERROR(__xludf.DUMMYFUNCTION("""COMPUTED_VALUE"""),1.0)</f>
        <v>1</v>
      </c>
      <c r="D883" s="2" t="str">
        <f>IFERROR(__xludf.DUMMYFUNCTION("""COMPUTED_VALUE"""),"ନୂତନ କ୍ରମ!")</f>
        <v>ନୂତନ କ୍ରମ!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 t="str">
        <f>IFERROR(__xludf.DUMMYFUNCTION("""COMPUTED_VALUE"""),"OrderWeight")</f>
        <v>OrderWeight</v>
      </c>
      <c r="B884" s="2" t="str">
        <f>IFERROR(__xludf.DUMMYFUNCTION("""COMPUTED_VALUE"""),"Order Weight")</f>
        <v>Order Weight</v>
      </c>
      <c r="C884" s="2">
        <f>IFERROR(__xludf.DUMMYFUNCTION("""COMPUTED_VALUE"""),1.0)</f>
        <v>1</v>
      </c>
      <c r="D884" s="2" t="str">
        <f>IFERROR(__xludf.DUMMYFUNCTION("""COMPUTED_VALUE"""),"ଓଜନ ଅର୍ଡର କରନ୍ତୁ |")</f>
        <v>ଓଜନ ଅର୍ଡର କରନ୍ତୁ |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 t="str">
        <f>IFERROR(__xludf.DUMMYFUNCTION("""COMPUTED_VALUE"""),"ReachedPickupLocation ")</f>
        <v>ReachedPickupLocation </v>
      </c>
      <c r="B885" s="2" t="str">
        <f>IFERROR(__xludf.DUMMYFUNCTION("""COMPUTED_VALUE"""),"Reached Pickup Location ")</f>
        <v>Reached Pickup Location </v>
      </c>
      <c r="C885" s="2">
        <f>IFERROR(__xludf.DUMMYFUNCTION("""COMPUTED_VALUE"""),1.0)</f>
        <v>1</v>
      </c>
      <c r="D885" s="2" t="str">
        <f>IFERROR(__xludf.DUMMYFUNCTION("""COMPUTED_VALUE"""),"ପିକଅପ୍ ଅବସ୍ଥାନରେ ପହଞ୍ଚିଲା |")</f>
        <v>ପିକଅପ୍ ଅବସ୍ଥାନରେ ପହଞ୍ଚିଲା |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 t="str">
        <f>IFERROR(__xludf.DUMMYFUNCTION("""COMPUTED_VALUE"""),"ReachedDL")</f>
        <v>ReachedDL</v>
      </c>
      <c r="B886" s="2" t="str">
        <f>IFERROR(__xludf.DUMMYFUNCTION("""COMPUTED_VALUE"""),"Reached DL")</f>
        <v>Reached DL</v>
      </c>
      <c r="C886" s="2">
        <f>IFERROR(__xludf.DUMMYFUNCTION("""COMPUTED_VALUE"""),1.0)</f>
        <v>1</v>
      </c>
      <c r="D886" s="2" t="str">
        <f>IFERROR(__xludf.DUMMYFUNCTION("""COMPUTED_VALUE"""),"ରେ ପହଞ୍ଚିଛି")</f>
        <v>ରେ ପହଞ୍ଚିଛି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 t="str">
        <f>IFERROR(__xludf.DUMMYFUNCTION("""COMPUTED_VALUE"""),"GotoMap")</f>
        <v>GotoMap</v>
      </c>
      <c r="B887" s="2" t="str">
        <f>IFERROR(__xludf.DUMMYFUNCTION("""COMPUTED_VALUE"""),"Go to Map")</f>
        <v>Go to Map</v>
      </c>
      <c r="C887" s="2">
        <f>IFERROR(__xludf.DUMMYFUNCTION("""COMPUTED_VALUE"""),1.0)</f>
        <v>1</v>
      </c>
      <c r="D887" s="2" t="str">
        <f>IFERROR(__xludf.DUMMYFUNCTION("""COMPUTED_VALUE"""),"ମାନଚିତ୍ରକୁ ଯାଆନ୍ତୁ")</f>
        <v>ମାନଚିତ୍ରକୁ ଯାଆନ୍ତୁ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 t="str">
        <f>IFERROR(__xludf.DUMMYFUNCTION("""COMPUTED_VALUE"""),"Deliverto")</f>
        <v>Deliverto</v>
      </c>
      <c r="B888" s="2" t="str">
        <f>IFERROR(__xludf.DUMMYFUNCTION("""COMPUTED_VALUE"""),"Deliver to")</f>
        <v>Deliver to</v>
      </c>
      <c r="C888" s="2">
        <f>IFERROR(__xludf.DUMMYFUNCTION("""COMPUTED_VALUE"""),1.0)</f>
        <v>1</v>
      </c>
      <c r="D888" s="2" t="str">
        <f>IFERROR(__xludf.DUMMYFUNCTION("""COMPUTED_VALUE"""),"କୁ ବିତରଣ କରନ୍ତୁ |")</f>
        <v>କୁ ବିତରଣ କରନ୍ତୁ |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 t="str">
        <f>IFERROR(__xludf.DUMMYFUNCTION("""COMPUTED_VALUE"""),"UPIID")</f>
        <v>UPIID</v>
      </c>
      <c r="B889" s="2" t="str">
        <f>IFERROR(__xludf.DUMMYFUNCTION("""COMPUTED_VALUE"""),"UPI ID")</f>
        <v>UPI ID</v>
      </c>
      <c r="C889" s="2">
        <f>IFERROR(__xludf.DUMMYFUNCTION("""COMPUTED_VALUE"""),1.0)</f>
        <v>1</v>
      </c>
      <c r="D889" s="2" t="str">
        <f>IFERROR(__xludf.DUMMYFUNCTION("""COMPUTED_VALUE"""),"ୟୁସି ID")</f>
        <v>ୟୁସି ID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 t="str">
        <f>IFERROR(__xludf.DUMMYFUNCTION("""COMPUTED_VALUE"""),"Receivedamount")</f>
        <v>Receivedamount</v>
      </c>
      <c r="B890" s="2" t="str">
        <f>IFERROR(__xludf.DUMMYFUNCTION("""COMPUTED_VALUE"""),"Received amount")</f>
        <v>Received amount</v>
      </c>
      <c r="C890" s="2">
        <f>IFERROR(__xludf.DUMMYFUNCTION("""COMPUTED_VALUE"""),1.0)</f>
        <v>1</v>
      </c>
      <c r="D890" s="2" t="str">
        <f>IFERROR(__xludf.DUMMYFUNCTION("""COMPUTED_VALUE"""),"ପ୍ରାପ୍ତ ପରିମାଣ")</f>
        <v>ପ୍ରାପ୍ତ ପରିମାଣ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 t="str">
        <f>IFERROR(__xludf.DUMMYFUNCTION("""COMPUTED_VALUE"""),"Pendingamount")</f>
        <v>Pendingamount</v>
      </c>
      <c r="B891" s="2" t="str">
        <f>IFERROR(__xludf.DUMMYFUNCTION("""COMPUTED_VALUE"""),"Pending amount")</f>
        <v>Pending amount</v>
      </c>
      <c r="C891" s="2">
        <f>IFERROR(__xludf.DUMMYFUNCTION("""COMPUTED_VALUE"""),1.0)</f>
        <v>1</v>
      </c>
      <c r="D891" s="2" t="str">
        <f>IFERROR(__xludf.DUMMYFUNCTION("""COMPUTED_VALUE"""),"ବିଚାରାଧୀନ ରାଶି")</f>
        <v>ବିଚାରାଧୀନ ରାଶି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 t="str">
        <f>IFERROR(__xludf.DUMMYFUNCTION("""COMPUTED_VALUE"""),"SendReminder")</f>
        <v>SendReminder</v>
      </c>
      <c r="B892" s="2" t="str">
        <f>IFERROR(__xludf.DUMMYFUNCTION("""COMPUTED_VALUE"""),"Send Reminder")</f>
        <v>Send Reminder</v>
      </c>
      <c r="C892" s="2">
        <f>IFERROR(__xludf.DUMMYFUNCTION("""COMPUTED_VALUE"""),1.0)</f>
        <v>1</v>
      </c>
      <c r="D892" s="2" t="str">
        <f>IFERROR(__xludf.DUMMYFUNCTION("""COMPUTED_VALUE"""),"ସ୍ମରଣ ପଠାନ୍ତୁ |")</f>
        <v>ସ୍ମରଣ ପଠାନ୍ତୁ |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 t="str">
        <f>IFERROR(__xludf.DUMMYFUNCTION("""COMPUTED_VALUE"""),"Thisweek ")</f>
        <v>Thisweek </v>
      </c>
      <c r="B893" s="2" t="str">
        <f>IFERROR(__xludf.DUMMYFUNCTION("""COMPUTED_VALUE"""),"This Week ")</f>
        <v>This Week </v>
      </c>
      <c r="C893" s="2">
        <f>IFERROR(__xludf.DUMMYFUNCTION("""COMPUTED_VALUE"""),1.0)</f>
        <v>1</v>
      </c>
      <c r="D893" s="2" t="str">
        <f>IFERROR(__xludf.DUMMYFUNCTION("""COMPUTED_VALUE"""),"ଏହି ସପ୍ତାହ")</f>
        <v>ଏହି ସପ୍ତାହ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 t="str">
        <f>IFERROR(__xludf.DUMMYFUNCTION("""COMPUTED_VALUE"""),"ThisMonth ")</f>
        <v>ThisMonth </v>
      </c>
      <c r="B894" s="2" t="str">
        <f>IFERROR(__xludf.DUMMYFUNCTION("""COMPUTED_VALUE"""),"This Month ")</f>
        <v>This Month </v>
      </c>
      <c r="C894" s="2">
        <f>IFERROR(__xludf.DUMMYFUNCTION("""COMPUTED_VALUE"""),1.0)</f>
        <v>1</v>
      </c>
      <c r="D894" s="2" t="str">
        <f>IFERROR(__xludf.DUMMYFUNCTION("""COMPUTED_VALUE"""),"ଏହି ମାସରେ")</f>
        <v>ଏହି ମାସରେ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 t="str">
        <f>IFERROR(__xludf.DUMMYFUNCTION("""COMPUTED_VALUE"""),"ThisWeeksEarnings")</f>
        <v>ThisWeeksEarnings</v>
      </c>
      <c r="B895" s="2" t="str">
        <f>IFERROR(__xludf.DUMMYFUNCTION("""COMPUTED_VALUE"""),"This Weeks Earnings")</f>
        <v>This Weeks Earnings</v>
      </c>
      <c r="C895" s="2">
        <f>IFERROR(__xludf.DUMMYFUNCTION("""COMPUTED_VALUE"""),1.0)</f>
        <v>1</v>
      </c>
      <c r="D895" s="2" t="str">
        <f>IFERROR(__xludf.DUMMYFUNCTION("""COMPUTED_VALUE"""),"ଏହି ସପ୍ତାହେ ରୋଜଗାର |")</f>
        <v>ଏହି ସପ୍ତାହେ ରୋଜଗାର |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 t="str">
        <f>IFERROR(__xludf.DUMMYFUNCTION("""COMPUTED_VALUE"""),"TripsHistory ")</f>
        <v>TripsHistory </v>
      </c>
      <c r="B896" s="2" t="str">
        <f>IFERROR(__xludf.DUMMYFUNCTION("""COMPUTED_VALUE"""),"Trips History ")</f>
        <v>Trips History </v>
      </c>
      <c r="C896" s="2">
        <f>IFERROR(__xludf.DUMMYFUNCTION("""COMPUTED_VALUE"""),1.0)</f>
        <v>1</v>
      </c>
      <c r="D896" s="2" t="str">
        <f>IFERROR(__xludf.DUMMYFUNCTION("""COMPUTED_VALUE"""),"ଯାତ୍ରା ଇତିହାସ")</f>
        <v>ଯାତ୍ରା ଇତିହାସ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 t="str">
        <f>IFERROR(__xludf.DUMMYFUNCTION("""COMPUTED_VALUE"""),"Vehicle ")</f>
        <v>Vehicle </v>
      </c>
      <c r="B897" s="2" t="str">
        <f>IFERROR(__xludf.DUMMYFUNCTION("""COMPUTED_VALUE"""),"Vehicle ")</f>
        <v>Vehicle </v>
      </c>
      <c r="C897" s="2">
        <f>IFERROR(__xludf.DUMMYFUNCTION("""COMPUTED_VALUE"""),1.0)</f>
        <v>1</v>
      </c>
      <c r="D897" s="2" t="str">
        <f>IFERROR(__xludf.DUMMYFUNCTION("""COMPUTED_VALUE"""),"ଯାନ")</f>
        <v>ଯାନ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 t="str">
        <f>IFERROR(__xludf.DUMMYFUNCTION("""COMPUTED_VALUE"""),"AllIndiaPermit ")</f>
        <v>AllIndiaPermit </v>
      </c>
      <c r="B898" s="2" t="str">
        <f>IFERROR(__xludf.DUMMYFUNCTION("""COMPUTED_VALUE"""),"All India Permit ")</f>
        <v>All India Permit </v>
      </c>
      <c r="C898" s="2">
        <f>IFERROR(__xludf.DUMMYFUNCTION("""COMPUTED_VALUE"""),1.0)</f>
        <v>1</v>
      </c>
      <c r="D898" s="2" t="str">
        <f>IFERROR(__xludf.DUMMYFUNCTION("""COMPUTED_VALUE"""),"ସମସ୍ତ ଇଣ୍ଡିଆ ଅନୁମତି |")</f>
        <v>ସମସ୍ତ ଇଣ୍ଡିଆ ଅନୁମତି |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 t="str">
        <f>IFERROR(__xludf.DUMMYFUNCTION("""COMPUTED_VALUE"""),"Multi-StatePermit ")</f>
        <v>Multi-StatePermit </v>
      </c>
      <c r="B899" s="2" t="str">
        <f>IFERROR(__xludf.DUMMYFUNCTION("""COMPUTED_VALUE"""),"Multi - State Permit ")</f>
        <v>Multi - State Permit </v>
      </c>
      <c r="C899" s="2">
        <f>IFERROR(__xludf.DUMMYFUNCTION("""COMPUTED_VALUE"""),1.0)</f>
        <v>1</v>
      </c>
      <c r="D899" s="2" t="str">
        <f>IFERROR(__xludf.DUMMYFUNCTION("""COMPUTED_VALUE"""),"ମଲ୍ଟି - ରାଜ୍ୟ ଅନୁମତି |")</f>
        <v>ମଲ୍ଟି - ରାଜ୍ୟ ଅନୁମତି |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 t="str">
        <f>IFERROR(__xludf.DUMMYFUNCTION("""COMPUTED_VALUE"""),"StateLevelPermit ")</f>
        <v>StateLevelPermit </v>
      </c>
      <c r="B900" s="2" t="str">
        <f>IFERROR(__xludf.DUMMYFUNCTION("""COMPUTED_VALUE"""),"State Level Permit ")</f>
        <v>State Level Permit </v>
      </c>
      <c r="C900" s="2">
        <f>IFERROR(__xludf.DUMMYFUNCTION("""COMPUTED_VALUE"""),1.0)</f>
        <v>1</v>
      </c>
      <c r="D900" s="2" t="str">
        <f>IFERROR(__xludf.DUMMYFUNCTION("""COMPUTED_VALUE"""),"ରାଜ୍ୟ ସ୍ତରୀୟ ଅନୁମତି |")</f>
        <v>ରାଜ୍ୟ ସ୍ତରୀୟ ଅନୁମତି |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 t="str">
        <f>IFERROR(__xludf.DUMMYFUNCTION("""COMPUTED_VALUE"""),"Uploading ")</f>
        <v>Uploading </v>
      </c>
      <c r="B901" s="2" t="str">
        <f>IFERROR(__xludf.DUMMYFUNCTION("""COMPUTED_VALUE"""),"Uploading ")</f>
        <v>Uploading </v>
      </c>
      <c r="C901" s="2">
        <f>IFERROR(__xludf.DUMMYFUNCTION("""COMPUTED_VALUE"""),1.0)</f>
        <v>1</v>
      </c>
      <c r="D901" s="2" t="str">
        <f>IFERROR(__xludf.DUMMYFUNCTION("""COMPUTED_VALUE"""),"ଅପଲୋଡ୍ କରିବା")</f>
        <v>ଅପଲୋଡ୍ କରିବା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 t="str">
        <f>IFERROR(__xludf.DUMMYFUNCTION("""COMPUTED_VALUE"""),"RCNo.")</f>
        <v>RCNo.</v>
      </c>
      <c r="B902" s="2" t="str">
        <f>IFERROR(__xludf.DUMMYFUNCTION("""COMPUTED_VALUE"""),"RC No.")</f>
        <v>RC No.</v>
      </c>
      <c r="C902" s="2">
        <f>IFERROR(__xludf.DUMMYFUNCTION("""COMPUTED_VALUE"""),1.0)</f>
        <v>1</v>
      </c>
      <c r="D902" s="2" t="str">
        <f>IFERROR(__xludf.DUMMYFUNCTION("""COMPUTED_VALUE"""),"RC ନା")</f>
        <v>RC ନା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 t="str">
        <f>IFERROR(__xludf.DUMMYFUNCTION("""COMPUTED_VALUE"""),"DeliveryChargesfor")</f>
        <v>DeliveryChargesfor</v>
      </c>
      <c r="B903" s="2" t="str">
        <f>IFERROR(__xludf.DUMMYFUNCTION("""COMPUTED_VALUE"""),"Delivery Charges for")</f>
        <v>Delivery Charges for</v>
      </c>
      <c r="C903" s="2">
        <f>IFERROR(__xludf.DUMMYFUNCTION("""COMPUTED_VALUE"""),1.0)</f>
        <v>1</v>
      </c>
      <c r="D903" s="2" t="str">
        <f>IFERROR(__xludf.DUMMYFUNCTION("""COMPUTED_VALUE"""),"ପାଇଁ ବିତରଣ ଚାର୍ଜ |")</f>
        <v>ପାଇଁ ବିତରଣ ଚାର୍ଜ |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 t="str">
        <f>IFERROR(__xludf.DUMMYFUNCTION("""COMPUTED_VALUE"""),"AddWeight ")</f>
        <v>AddWeight </v>
      </c>
      <c r="B904" s="2" t="str">
        <f>IFERROR(__xludf.DUMMYFUNCTION("""COMPUTED_VALUE"""),"Add Weight ")</f>
        <v>Add Weight </v>
      </c>
      <c r="C904" s="2">
        <f>IFERROR(__xludf.DUMMYFUNCTION("""COMPUTED_VALUE"""),1.0)</f>
        <v>1</v>
      </c>
      <c r="D904" s="2" t="str">
        <f>IFERROR(__xludf.DUMMYFUNCTION("""COMPUTED_VALUE"""),"ଓଜନ ଯୋଡନ୍ତୁ")</f>
        <v>ଓଜନ ଯୋଡନ୍ତୁ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 t="str">
        <f>IFERROR(__xludf.DUMMYFUNCTION("""COMPUTED_VALUE"""),"AddDistanceCovers")</f>
        <v>AddDistanceCovers</v>
      </c>
      <c r="B905" s="2" t="str">
        <f>IFERROR(__xludf.DUMMYFUNCTION("""COMPUTED_VALUE"""),"Add Distance Covers")</f>
        <v>Add Distance Covers</v>
      </c>
      <c r="C905" s="2">
        <f>IFERROR(__xludf.DUMMYFUNCTION("""COMPUTED_VALUE"""),1.0)</f>
        <v>1</v>
      </c>
      <c r="D905" s="2" t="str">
        <f>IFERROR(__xludf.DUMMYFUNCTION("""COMPUTED_VALUE"""),"ଦୂରତା କଭର ଯୋଡନ୍ତୁ |")</f>
        <v>ଦୂରତା କଭର ଯୋଡନ୍ତୁ |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 t="str">
        <f>IFERROR(__xludf.DUMMYFUNCTION("""COMPUTED_VALUE"""),"Distance ")</f>
        <v>Distance </v>
      </c>
      <c r="B906" s="2" t="str">
        <f>IFERROR(__xludf.DUMMYFUNCTION("""COMPUTED_VALUE"""),"Distance ")</f>
        <v>Distance </v>
      </c>
      <c r="C906" s="2">
        <f>IFERROR(__xludf.DUMMYFUNCTION("""COMPUTED_VALUE"""),1.0)</f>
        <v>1</v>
      </c>
      <c r="D906" s="2" t="str">
        <f>IFERROR(__xludf.DUMMYFUNCTION("""COMPUTED_VALUE"""),"ଦୂରତା")</f>
        <v>ଦୂରତା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 t="str">
        <f>IFERROR(__xludf.DUMMYFUNCTION("""COMPUTED_VALUE"""),"TripStatus")</f>
        <v>TripStatus</v>
      </c>
      <c r="B907" s="2" t="str">
        <f>IFERROR(__xludf.DUMMYFUNCTION("""COMPUTED_VALUE"""),"Trip Status")</f>
        <v>Trip Status</v>
      </c>
      <c r="C907" s="2">
        <f>IFERROR(__xludf.DUMMYFUNCTION("""COMPUTED_VALUE"""),1.0)</f>
        <v>1</v>
      </c>
      <c r="D907" s="2" t="str">
        <f>IFERROR(__xludf.DUMMYFUNCTION("""COMPUTED_VALUE"""),"ଯାତ୍ରା ସ୍ଥିତି")</f>
        <v>ଯାତ୍ରା ସ୍ଥିତି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 t="str">
        <f>IFERROR(__xludf.DUMMYFUNCTION("""COMPUTED_VALUE"""),"Areyousure.DeletetheBankDetails?")</f>
        <v>Areyousure.DeletetheBankDetails?</v>
      </c>
      <c r="B908" s="2" t="str">
        <f>IFERROR(__xludf.DUMMYFUNCTION("""COMPUTED_VALUE"""),"Are you sure.Delete the Bank Details?")</f>
        <v>Are you sure.Delete the Bank Details?</v>
      </c>
      <c r="C908" s="2">
        <f>IFERROR(__xludf.DUMMYFUNCTION("""COMPUTED_VALUE"""),1.0)</f>
        <v>1</v>
      </c>
      <c r="D908" s="2" t="str">
        <f>IFERROR(__xludf.DUMMYFUNCTION("""COMPUTED_VALUE"""),"ଆପଣ ନିଶ୍ଚିତ କି WHEALE ବିବରଣୀଗୁଡିକୁ ଚୟନ କରନ୍ତୁ?")</f>
        <v>ଆପଣ ନିଶ୍ଚିତ କି WHEALE ବିବରଣୀଗୁଡିକୁ ଚୟନ କରନ୍ତୁ?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 t="str">
        <f>IFERROR(__xludf.DUMMYFUNCTION("""COMPUTED_VALUE"""),"BankAccount")</f>
        <v>BankAccount</v>
      </c>
      <c r="B909" s="2" t="str">
        <f>IFERROR(__xludf.DUMMYFUNCTION("""COMPUTED_VALUE"""),"Bank Account")</f>
        <v>Bank Account</v>
      </c>
      <c r="C909" s="2">
        <f>IFERROR(__xludf.DUMMYFUNCTION("""COMPUTED_VALUE"""),1.0)</f>
        <v>1</v>
      </c>
      <c r="D909" s="2" t="str">
        <f>IFERROR(__xludf.DUMMYFUNCTION("""COMPUTED_VALUE"""),"ବ୍ୟାଙ୍କ ଖାତା")</f>
        <v>ବ୍ୟାଙ୍କ ଖାତା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 t="str">
        <f>IFERROR(__xludf.DUMMYFUNCTION("""COMPUTED_VALUE"""),"AlternateMobileNumber")</f>
        <v>AlternateMobileNumber</v>
      </c>
      <c r="B910" s="2" t="str">
        <f>IFERROR(__xludf.DUMMYFUNCTION("""COMPUTED_VALUE"""),"Alternate Mobile Number")</f>
        <v>Alternate Mobile Number</v>
      </c>
      <c r="C910" s="2">
        <f>IFERROR(__xludf.DUMMYFUNCTION("""COMPUTED_VALUE"""),1.0)</f>
        <v>1</v>
      </c>
      <c r="D910" s="2" t="str">
        <f>IFERROR(__xludf.DUMMYFUNCTION("""COMPUTED_VALUE"""),"ବିକଳ୍ପ ମୋବାଇଲ୍ ନମ୍ବର |")</f>
        <v>ବିକଳ୍ପ ମୋବାଇଲ୍ ନମ୍ବର |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 t="str">
        <f>IFERROR(__xludf.DUMMYFUNCTION("""COMPUTED_VALUE"""),"AboutMe")</f>
        <v>AboutMe</v>
      </c>
      <c r="B911" s="2" t="str">
        <f>IFERROR(__xludf.DUMMYFUNCTION("""COMPUTED_VALUE"""),"About Me")</f>
        <v>About Me</v>
      </c>
      <c r="C911" s="2">
        <f>IFERROR(__xludf.DUMMYFUNCTION("""COMPUTED_VALUE"""),1.0)</f>
        <v>1</v>
      </c>
      <c r="D911" s="2" t="str">
        <f>IFERROR(__xludf.DUMMYFUNCTION("""COMPUTED_VALUE"""),"ମୋ ବିସୟରେ")</f>
        <v>ମୋ ବିସୟରେ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 t="str">
        <f>IFERROR(__xludf.DUMMYFUNCTION("""COMPUTED_VALUE"""),"DeleteAccount")</f>
        <v>DeleteAccount</v>
      </c>
      <c r="B912" s="2" t="str">
        <f>IFERROR(__xludf.DUMMYFUNCTION("""COMPUTED_VALUE"""),"Delete Account")</f>
        <v>Delete Account</v>
      </c>
      <c r="C912" s="2">
        <f>IFERROR(__xludf.DUMMYFUNCTION("""COMPUTED_VALUE"""),1.0)</f>
        <v>1</v>
      </c>
      <c r="D912" s="2" t="str">
        <f>IFERROR(__xludf.DUMMYFUNCTION("""COMPUTED_VALUE"""),"ଖାତା ବିଲୋପ କରନ୍ତୁ |")</f>
        <v>ଖାତା ବିଲୋପ କରନ୍ତୁ |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 t="str">
        <f>IFERROR(__xludf.DUMMYFUNCTION("""COMPUTED_VALUE"""),"Pay")</f>
        <v>Pay</v>
      </c>
      <c r="B913" s="2" t="str">
        <f>IFERROR(__xludf.DUMMYFUNCTION("""COMPUTED_VALUE"""),"Pay")</f>
        <v>Pay</v>
      </c>
      <c r="C913" s="2">
        <f>IFERROR(__xludf.DUMMYFUNCTION("""COMPUTED_VALUE"""),1.0)</f>
        <v>1</v>
      </c>
      <c r="D913" s="2" t="str">
        <f>IFERROR(__xludf.DUMMYFUNCTION("""COMPUTED_VALUE"""),"ଦେୟ")</f>
        <v>ଦେୟ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 t="str">
        <f>IFERROR(__xludf.DUMMYFUNCTION("""COMPUTED_VALUE"""),"PayatDelivery")</f>
        <v>PayatDelivery</v>
      </c>
      <c r="B914" s="2" t="str">
        <f>IFERROR(__xludf.DUMMYFUNCTION("""COMPUTED_VALUE"""),"Pay at Delivery")</f>
        <v>Pay at Delivery</v>
      </c>
      <c r="C914" s="2">
        <f>IFERROR(__xludf.DUMMYFUNCTION("""COMPUTED_VALUE"""),1.0)</f>
        <v>1</v>
      </c>
      <c r="D914" s="2" t="str">
        <f>IFERROR(__xludf.DUMMYFUNCTION("""COMPUTED_VALUE"""),"ବିତରଣରେ ଦେୟ ଦିଅ |")</f>
        <v>ବିତରଣରେ ଦେୟ ଦିଅ |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 t="str">
        <f>IFERROR(__xludf.DUMMYFUNCTION("""COMPUTED_VALUE"""),"areyousure")</f>
        <v>areyousure</v>
      </c>
      <c r="B915" s="2" t="str">
        <f>IFERROR(__xludf.DUMMYFUNCTION("""COMPUTED_VALUE"""),"Are you Sure .")</f>
        <v>Are you Sure .</v>
      </c>
      <c r="C915" s="2">
        <f>IFERROR(__xludf.DUMMYFUNCTION("""COMPUTED_VALUE"""),1.0)</f>
        <v>1</v>
      </c>
      <c r="D915" s="2" t="str">
        <f>IFERROR(__xludf.DUMMYFUNCTION("""COMPUTED_VALUE"""),"ତମେ ନିଶ୍ଚିତ କି ।")</f>
        <v>ତମେ ନିଶ୍ଚିତ କି ।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 t="str">
        <f>IFERROR(__xludf.DUMMYFUNCTION("""COMPUTED_VALUE"""),"OrderProcessed")</f>
        <v>OrderProcessed</v>
      </c>
      <c r="B916" s="2" t="str">
        <f>IFERROR(__xludf.DUMMYFUNCTION("""COMPUTED_VALUE"""),"Order Processed")</f>
        <v>Order Processed</v>
      </c>
      <c r="C916" s="2">
        <f>IFERROR(__xludf.DUMMYFUNCTION("""COMPUTED_VALUE"""),1.0)</f>
        <v>1</v>
      </c>
      <c r="D916" s="2" t="str">
        <f>IFERROR(__xludf.DUMMYFUNCTION("""COMPUTED_VALUE"""),"ପ୍ରକ୍ରିୟାକରଣ ପ୍ରକ୍ରିୟାକରଣ |")</f>
        <v>ପ୍ରକ୍ରିୟାକରଣ ପ୍ରକ୍ରିୟାକରଣ |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 t="str">
        <f>IFERROR(__xludf.DUMMYFUNCTION("""COMPUTED_VALUE"""),"Orderready")</f>
        <v>Orderready</v>
      </c>
      <c r="B917" s="2" t="str">
        <f>IFERROR(__xludf.DUMMYFUNCTION("""COMPUTED_VALUE"""),"Order Ready")</f>
        <v>Order Ready</v>
      </c>
      <c r="C917" s="2">
        <f>IFERROR(__xludf.DUMMYFUNCTION("""COMPUTED_VALUE"""),1.0)</f>
        <v>1</v>
      </c>
      <c r="D917" s="2" t="str">
        <f>IFERROR(__xludf.DUMMYFUNCTION("""COMPUTED_VALUE"""),"ପ୍ରସ୍ତୁତ ଆଦେଶ")</f>
        <v>ପ୍ରସ୍ତୁତ ଆଦେଶ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 t="str">
        <f>IFERROR(__xludf.DUMMYFUNCTION("""COMPUTED_VALUE"""),"OrderDelivery")</f>
        <v>OrderDelivery</v>
      </c>
      <c r="B918" s="2" t="str">
        <f>IFERROR(__xludf.DUMMYFUNCTION("""COMPUTED_VALUE"""),"Order Delivery")</f>
        <v>Order Delivery</v>
      </c>
      <c r="C918" s="2">
        <f>IFERROR(__xludf.DUMMYFUNCTION("""COMPUTED_VALUE"""),1.0)</f>
        <v>1</v>
      </c>
      <c r="D918" s="2" t="str">
        <f>IFERROR(__xludf.DUMMYFUNCTION("""COMPUTED_VALUE"""),"ଅର୍ଡର ବିତରଣ |")</f>
        <v>ଅର୍ଡର ବିତରଣ |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 t="str">
        <f>IFERROR(__xludf.DUMMYFUNCTION("""COMPUTED_VALUE"""),"DoyouwanttoDeliverytheOrder?")</f>
        <v>DoyouwanttoDeliverytheOrder?</v>
      </c>
      <c r="B919" s="2" t="str">
        <f>IFERROR(__xludf.DUMMYFUNCTION("""COMPUTED_VALUE"""),"Do you want to Delivery the Order?")</f>
        <v>Do you want to Delivery the Order?</v>
      </c>
      <c r="C919" s="2">
        <f>IFERROR(__xludf.DUMMYFUNCTION("""COMPUTED_VALUE"""),1.0)</f>
        <v>1</v>
      </c>
      <c r="D919" s="2" t="str">
        <f>IFERROR(__xludf.DUMMYFUNCTION("""COMPUTED_VALUE"""),"ଆପଣ ଅର୍ଡର ବିତରଣ କରିବାକୁ ଚାହୁଁଛନ୍ତି କି?")</f>
        <v>ଆପଣ ଅର୍ଡର ବିତରଣ କରିବାକୁ ଚାହୁଁଛନ୍ତି କି?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 t="str">
        <f>IFERROR(__xludf.DUMMYFUNCTION("""COMPUTED_VALUE"""),"Doyouwanttodeliveredtheorder?")</f>
        <v>Doyouwanttodeliveredtheorder?</v>
      </c>
      <c r="B920" s="2" t="str">
        <f>IFERROR(__xludf.DUMMYFUNCTION("""COMPUTED_VALUE"""),"Do you want to delivered the Order ?")</f>
        <v>Do you want to delivered the Order ?</v>
      </c>
      <c r="C920" s="2">
        <f>IFERROR(__xludf.DUMMYFUNCTION("""COMPUTED_VALUE"""),1.0)</f>
        <v>1</v>
      </c>
      <c r="D920" s="2" t="str">
        <f>IFERROR(__xludf.DUMMYFUNCTION("""COMPUTED_VALUE"""),"ଆପଣ ଅର୍ଡର ବିତରଣ କରିବାକୁ ଚାହୁଁଛନ୍ତି କି?")</f>
        <v>ଆପଣ ଅର୍ଡର ବିତରଣ କରିବାକୁ ଚାହୁଁଛନ୍ତି କି?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 t="str">
        <f>IFERROR(__xludf.DUMMYFUNCTION("""COMPUTED_VALUE"""),"Please Wait")</f>
        <v>Please Wait</v>
      </c>
      <c r="B921" s="2" t="str">
        <f>IFERROR(__xludf.DUMMYFUNCTION("""COMPUTED_VALUE"""),"Please Wait")</f>
        <v>Please Wait</v>
      </c>
      <c r="C921" s="2">
        <f>IFERROR(__xludf.DUMMYFUNCTION("""COMPUTED_VALUE"""),1.0)</f>
        <v>1</v>
      </c>
      <c r="D921" s="2" t="str">
        <f>IFERROR(__xludf.DUMMYFUNCTION("""COMPUTED_VALUE"""),"ଦୟାକରି ଅପେକ୍ଷା କର")</f>
        <v>ଦୟାକରି ଅପେକ୍ଷା କର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 t="str">
        <f>IFERROR(__xludf.DUMMYFUNCTION("""COMPUTED_VALUE"""),"Featurenotavailable")</f>
        <v>Featurenotavailable</v>
      </c>
      <c r="B922" s="2" t="str">
        <f>IFERROR(__xludf.DUMMYFUNCTION("""COMPUTED_VALUE"""),"Feature Not Available")</f>
        <v>Feature Not Available</v>
      </c>
      <c r="C922" s="2">
        <f>IFERROR(__xludf.DUMMYFUNCTION("""COMPUTED_VALUE"""),1.0)</f>
        <v>1</v>
      </c>
      <c r="D922" s="2" t="str">
        <f>IFERROR(__xludf.DUMMYFUNCTION("""COMPUTED_VALUE"""),"ବ feature ଶିଷ୍ଟ୍ୟ ଉପଲବ୍ଧ ନାହିଁ |")</f>
        <v>ବ feature ଶିଷ୍ଟ୍ୟ ଉପଲବ୍ଧ ନାହିଁ |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 t="str">
        <f>IFERROR(__xludf.DUMMYFUNCTION("""COMPUTED_VALUE"""),"NodataAvailable.pleasetryAgainlater")</f>
        <v>NodataAvailable.pleasetryAgainlater</v>
      </c>
      <c r="B923" s="2" t="str">
        <f>IFERROR(__xludf.DUMMYFUNCTION("""COMPUTED_VALUE"""),"No data Available.please try Again later")</f>
        <v>No data Available.please try Again later</v>
      </c>
      <c r="C923" s="2">
        <f>IFERROR(__xludf.DUMMYFUNCTION("""COMPUTED_VALUE"""),1.0)</f>
        <v>1</v>
      </c>
      <c r="D923" s="2" t="str">
        <f>IFERROR(__xludf.DUMMYFUNCTION("""COMPUTED_VALUE"""),"କ data ଣସି ତଥ୍ୟ ଉପଲବ୍ଧ ନାହିଁ | ଦୟାକରି ପରେ ପୁନର୍ବାର ଚେଷ୍ଟା କରନ୍ତୁ |")</f>
        <v>କ data ଣସି ତଥ୍ୟ ଉପଲବ୍ଧ ନାହିଁ | ଦୟାକରି ପରେ ପୁନର୍ବାର ଚେଷ୍ଟା କରନ୍ତୁ |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 t="str">
        <f>IFERROR(__xludf.DUMMYFUNCTION("""COMPUTED_VALUE"""),"Pleaseinputallrequiredfields")</f>
        <v>Pleaseinputallrequiredfields</v>
      </c>
      <c r="B924" s="2" t="str">
        <f>IFERROR(__xludf.DUMMYFUNCTION("""COMPUTED_VALUE"""),"Please input all required fields")</f>
        <v>Please input all required fields</v>
      </c>
      <c r="C924" s="2">
        <f>IFERROR(__xludf.DUMMYFUNCTION("""COMPUTED_VALUE"""),1.0)</f>
        <v>1</v>
      </c>
      <c r="D924" s="2" t="str">
        <f>IFERROR(__xludf.DUMMYFUNCTION("""COMPUTED_VALUE"""),"ଦୟାକରି ସମସ୍ତ ଆବଶ୍ୟକୀୟ କ୍ଷେତ୍ରଗୁଡିକ ଇନପୁଟ୍ କରନ୍ତୁ |")</f>
        <v>ଦୟାକରି ସମସ୍ତ ଆବଶ୍ୟକୀୟ କ୍ଷେତ୍ରଗୁଡିକ ଇନପୁଟ୍ କରନ୍ତୁ |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 t="str">
        <f>IFERROR(__xludf.DUMMYFUNCTION("""COMPUTED_VALUE"""),"byClickingIacceptthe")</f>
        <v>byClickingIacceptthe</v>
      </c>
      <c r="B925" s="2" t="str">
        <f>IFERROR(__xludf.DUMMYFUNCTION("""COMPUTED_VALUE"""),"By clicking, I accept the")</f>
        <v>By clicking, I accept the</v>
      </c>
      <c r="C925" s="2">
        <f>IFERROR(__xludf.DUMMYFUNCTION("""COMPUTED_VALUE"""),1.0)</f>
        <v>1</v>
      </c>
      <c r="D925" s="2" t="str">
        <f>IFERROR(__xludf.DUMMYFUNCTION("""COMPUTED_VALUE"""),"କ୍ଲିକ୍ କରି, ମୁଁ ଏହାକୁ ଗ୍ରହଣ କରେ |")</f>
        <v>କ୍ଲିକ୍ କରି, ମୁଁ ଏହାକୁ ଗ୍ରହଣ କରେ |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 t="str">
        <f>IFERROR(__xludf.DUMMYFUNCTION("""COMPUTED_VALUE"""),"terms&amp;conditions")</f>
        <v>terms&amp;conditions</v>
      </c>
      <c r="B926" s="2" t="str">
        <f>IFERROR(__xludf.DUMMYFUNCTION("""COMPUTED_VALUE"""),"Terms &amp; Conditions")</f>
        <v>Terms &amp; Conditions</v>
      </c>
      <c r="C926" s="2">
        <f>IFERROR(__xludf.DUMMYFUNCTION("""COMPUTED_VALUE"""),1.0)</f>
        <v>1</v>
      </c>
      <c r="D926" s="2" t="str">
        <f>IFERROR(__xludf.DUMMYFUNCTION("""COMPUTED_VALUE"""),"ସର୍ତ୍ତାବଳୀ ଏବଂ ସର୍ତ୍ତଗୁଡିକ")</f>
        <v>ସର୍ତ୍ତାବଳୀ ଏବଂ ସର୍ତ୍ତଗୁଡିକ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 t="str">
        <f>IFERROR(__xludf.DUMMYFUNCTION("""COMPUTED_VALUE"""),"and")</f>
        <v>and</v>
      </c>
      <c r="B927" s="2" t="str">
        <f>IFERROR(__xludf.DUMMYFUNCTION("""COMPUTED_VALUE"""),"and")</f>
        <v>and</v>
      </c>
      <c r="C927" s="2">
        <f>IFERROR(__xludf.DUMMYFUNCTION("""COMPUTED_VALUE"""),1.0)</f>
        <v>1</v>
      </c>
      <c r="D927" s="2" t="str">
        <f>IFERROR(__xludf.DUMMYFUNCTION("""COMPUTED_VALUE"""),"ଏବଂ")</f>
        <v>ଏବଂ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 t="str">
        <f>IFERROR(__xludf.DUMMYFUNCTION("""COMPUTED_VALUE"""),"privacypolicy")</f>
        <v>privacypolicy</v>
      </c>
      <c r="B928" s="2" t="str">
        <f>IFERROR(__xludf.DUMMYFUNCTION("""COMPUTED_VALUE"""),"Privacy Policy")</f>
        <v>Privacy Policy</v>
      </c>
      <c r="C928" s="2">
        <f>IFERROR(__xludf.DUMMYFUNCTION("""COMPUTED_VALUE"""),1.0)</f>
        <v>1</v>
      </c>
      <c r="D928" s="2" t="str">
        <f>IFERROR(__xludf.DUMMYFUNCTION("""COMPUTED_VALUE"""),"ଗୋପନୀୟତା ନୀତି")</f>
        <v>ଗୋପନୀୟତା ନୀତି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 t="str">
        <f>IFERROR(__xludf.DUMMYFUNCTION("""COMPUTED_VALUE"""),"refConsumer")</f>
        <v>refConsumer</v>
      </c>
      <c r="B929" s="2" t="str">
        <f>IFERROR(__xludf.DUMMYFUNCTION("""COMPUTED_VALUE"""),"Consumer")</f>
        <v>Consumer</v>
      </c>
      <c r="C929" s="2">
        <f>IFERROR(__xludf.DUMMYFUNCTION("""COMPUTED_VALUE"""),1.0)</f>
        <v>1</v>
      </c>
      <c r="D929" s="2" t="str">
        <f>IFERROR(__xludf.DUMMYFUNCTION("""COMPUTED_VALUE"""),"ଗ୍ରାହକ")</f>
        <v>ଗ୍ରାହକ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 t="str">
        <f>IFERROR(__xludf.DUMMYFUNCTION("""COMPUTED_VALUE"""),"refIncompleted")</f>
        <v>refIncompleted</v>
      </c>
      <c r="B930" s="2" t="str">
        <f>IFERROR(__xludf.DUMMYFUNCTION("""COMPUTED_VALUE"""),"Incompleted")</f>
        <v>Incompleted</v>
      </c>
      <c r="C930" s="2">
        <f>IFERROR(__xludf.DUMMYFUNCTION("""COMPUTED_VALUE"""),1.0)</f>
        <v>1</v>
      </c>
      <c r="D930" s="2" t="str">
        <f>IFERROR(__xludf.DUMMYFUNCTION("""COMPUTED_VALUE"""),"ଅସମ୍ପୂର୍ଣ୍ଣ")</f>
        <v>ଅସମ୍ପୂର୍ଣ୍ଣ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 t="str">
        <f>IFERROR(__xludf.DUMMYFUNCTION("""COMPUTED_VALUE"""),"refComplteted")</f>
        <v>refComplteted</v>
      </c>
      <c r="B931" s="2" t="str">
        <f>IFERROR(__xludf.DUMMYFUNCTION("""COMPUTED_VALUE"""),"Completed")</f>
        <v>Completed</v>
      </c>
      <c r="C931" s="2">
        <f>IFERROR(__xludf.DUMMYFUNCTION("""COMPUTED_VALUE"""),1.0)</f>
        <v>1</v>
      </c>
      <c r="D931" s="2" t="str">
        <f>IFERROR(__xludf.DUMMYFUNCTION("""COMPUTED_VALUE"""),"ସମାପ୍ତ")</f>
        <v>ସମାପ୍ତ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 t="str">
        <f>IFERROR(__xludf.DUMMYFUNCTION("""COMPUTED_VALUE"""),"refall")</f>
        <v>refall</v>
      </c>
      <c r="B932" s="2" t="str">
        <f>IFERROR(__xludf.DUMMYFUNCTION("""COMPUTED_VALUE"""),"All ")</f>
        <v>All </v>
      </c>
      <c r="C932" s="2">
        <f>IFERROR(__xludf.DUMMYFUNCTION("""COMPUTED_VALUE"""),1.0)</f>
        <v>1</v>
      </c>
      <c r="D932" s="2" t="str">
        <f>IFERROR(__xludf.DUMMYFUNCTION("""COMPUTED_VALUE"""),"ସମସ୍ତ")</f>
        <v>ସମସ୍ତ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 t="str">
        <f>IFERROR(__xludf.DUMMYFUNCTION("""COMPUTED_VALUE"""),"reforder")</f>
        <v>reforder</v>
      </c>
      <c r="B933" s="2" t="str">
        <f>IFERROR(__xludf.DUMMYFUNCTION("""COMPUTED_VALUE"""),"Order")</f>
        <v>Order</v>
      </c>
      <c r="C933" s="2">
        <f>IFERROR(__xludf.DUMMYFUNCTION("""COMPUTED_VALUE"""),1.0)</f>
        <v>1</v>
      </c>
      <c r="D933" s="2" t="str">
        <f>IFERROR(__xludf.DUMMYFUNCTION("""COMPUTED_VALUE"""),"କ୍ରମ")</f>
        <v>କ୍ରମ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 t="str">
        <f>IFERROR(__xludf.DUMMYFUNCTION("""COMPUTED_VALUE"""),"refsignup")</f>
        <v>refsignup</v>
      </c>
      <c r="B934" s="2" t="str">
        <f>IFERROR(__xludf.DUMMYFUNCTION("""COMPUTED_VALUE"""),"Signup")</f>
        <v>Signup</v>
      </c>
      <c r="C934" s="2">
        <f>IFERROR(__xludf.DUMMYFUNCTION("""COMPUTED_VALUE"""),1.0)</f>
        <v>1</v>
      </c>
      <c r="D934" s="2" t="str">
        <f>IFERROR(__xludf.DUMMYFUNCTION("""COMPUTED_VALUE"""),"ସାଇନ୍ ଅପ୍ କରନ୍ତୁ")</f>
        <v>ସାଇନ୍ ଅପ୍ କରନ୍ତୁ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 t="str">
        <f>IFERROR(__xludf.DUMMYFUNCTION("""COMPUTED_VALUE"""),"refratings")</f>
        <v>refratings</v>
      </c>
      <c r="B935" s="2" t="str">
        <f>IFERROR(__xludf.DUMMYFUNCTION("""COMPUTED_VALUE"""),"Ratings")</f>
        <v>Ratings</v>
      </c>
      <c r="C935" s="2">
        <f>IFERROR(__xludf.DUMMYFUNCTION("""COMPUTED_VALUE"""),1.0)</f>
        <v>1</v>
      </c>
      <c r="D935" s="2" t="str">
        <f>IFERROR(__xludf.DUMMYFUNCTION("""COMPUTED_VALUE"""),"ଗଡା")</f>
        <v>ଗଡା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 t="str">
        <f>IFERROR(__xludf.DUMMYFUNCTION("""COMPUTED_VALUE"""),"refretailer")</f>
        <v>refretailer</v>
      </c>
      <c r="B936" s="2" t="str">
        <f>IFERROR(__xludf.DUMMYFUNCTION("""COMPUTED_VALUE"""),"Retailer")</f>
        <v>Retailer</v>
      </c>
      <c r="C936" s="2">
        <f>IFERROR(__xludf.DUMMYFUNCTION("""COMPUTED_VALUE"""),1.0)</f>
        <v>1</v>
      </c>
      <c r="D936" s="2" t="str">
        <f>IFERROR(__xludf.DUMMYFUNCTION("""COMPUTED_VALUE"""),"ଖୁଚୁରା ବ୍ୟବସାୟୀ")</f>
        <v>ଖୁଚୁରା ବ୍ୟବସାୟୀ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 t="str">
        <f>IFERROR(__xludf.DUMMYFUNCTION("""COMPUTED_VALUE"""),"refunsubscribe")</f>
        <v>refunsubscribe</v>
      </c>
      <c r="B937" s="2" t="str">
        <f>IFERROR(__xludf.DUMMYFUNCTION("""COMPUTED_VALUE"""),"Unsubscribe")</f>
        <v>Unsubscribe</v>
      </c>
      <c r="C937" s="2">
        <f>IFERROR(__xludf.DUMMYFUNCTION("""COMPUTED_VALUE"""),1.0)</f>
        <v>1</v>
      </c>
      <c r="D937" s="2" t="str">
        <f>IFERROR(__xludf.DUMMYFUNCTION("""COMPUTED_VALUE"""),"ସଦସ୍ୟତା ରଦ୍ଦ କରନ୍ତୁ |")</f>
        <v>ସଦସ୍ୟତା ରଦ୍ଦ କରନ୍ତୁ |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 t="str">
        <f>IFERROR(__xludf.DUMMYFUNCTION("""COMPUTED_VALUE"""),"refsubscription")</f>
        <v>refsubscription</v>
      </c>
      <c r="B938" s="2" t="str">
        <f>IFERROR(__xludf.DUMMYFUNCTION("""COMPUTED_VALUE"""),"Subscription")</f>
        <v>Subscription</v>
      </c>
      <c r="C938" s="2">
        <f>IFERROR(__xludf.DUMMYFUNCTION("""COMPUTED_VALUE"""),1.0)</f>
        <v>1</v>
      </c>
      <c r="D938" s="2" t="str">
        <f>IFERROR(__xludf.DUMMYFUNCTION("""COMPUTED_VALUE"""),"ସଦସ୍ୟତା")</f>
        <v>ସଦସ୍ୟତା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 t="str">
        <f>IFERROR(__xludf.DUMMYFUNCTION("""COMPUTED_VALUE"""),"Searchnumber")</f>
        <v>Searchnumber</v>
      </c>
      <c r="B939" s="2" t="str">
        <f>IFERROR(__xludf.DUMMYFUNCTION("""COMPUTED_VALUE"""),"Search Number")</f>
        <v>Search Number</v>
      </c>
      <c r="C939" s="2">
        <f>IFERROR(__xludf.DUMMYFUNCTION("""COMPUTED_VALUE"""),1.0)</f>
        <v>1</v>
      </c>
      <c r="D939" s="2" t="str">
        <f>IFERROR(__xludf.DUMMYFUNCTION("""COMPUTED_VALUE"""),"ସନ୍ଧାନ ସଂଖ୍ୟା")</f>
        <v>ସନ୍ଧାନ ସଂଖ୍ୟା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 t="str">
        <f>IFERROR(__xludf.DUMMYFUNCTION("""COMPUTED_VALUE"""),"updaterating")</f>
        <v>updaterating</v>
      </c>
      <c r="B940" s="2" t="str">
        <f>IFERROR(__xludf.DUMMYFUNCTION("""COMPUTED_VALUE"""),"Update Rating ")</f>
        <v>Update Rating </v>
      </c>
      <c r="C940" s="2">
        <f>IFERROR(__xludf.DUMMYFUNCTION("""COMPUTED_VALUE"""),1.0)</f>
        <v>1</v>
      </c>
      <c r="D940" s="2" t="str">
        <f>IFERROR(__xludf.DUMMYFUNCTION("""COMPUTED_VALUE"""),"ଅଦ୍ୟତନ")</f>
        <v>ଅଦ୍ୟତନ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 t="str">
        <f>IFERROR(__xludf.DUMMYFUNCTION("""COMPUTED_VALUE"""),"remarks")</f>
        <v>remarks</v>
      </c>
      <c r="B941" s="2" t="str">
        <f>IFERROR(__xludf.DUMMYFUNCTION("""COMPUTED_VALUE"""),"Remarks")</f>
        <v>Remarks</v>
      </c>
      <c r="C941" s="2">
        <f>IFERROR(__xludf.DUMMYFUNCTION("""COMPUTED_VALUE"""),1.0)</f>
        <v>1</v>
      </c>
      <c r="D941" s="2" t="str">
        <f>IFERROR(__xludf.DUMMYFUNCTION("""COMPUTED_VALUE"""),"ଟିପ୍ପଣୀ")</f>
        <v>ଟିପ୍ପଣୀ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 t="str">
        <f>IFERROR(__xludf.DUMMYFUNCTION("""COMPUTED_VALUE"""),"Sweet")</f>
        <v>Sweet</v>
      </c>
      <c r="B942" s="2" t="str">
        <f>IFERROR(__xludf.DUMMYFUNCTION("""COMPUTED_VALUE"""),"Sweet")</f>
        <v>Sweet</v>
      </c>
      <c r="C942" s="2"/>
      <c r="D942" s="2" t="str">
        <f>IFERROR(__xludf.DUMMYFUNCTION("""COMPUTED_VALUE"""),"ମିଠା")</f>
        <v>ମିଠା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 t="str">
        <f>IFERROR(__xludf.DUMMYFUNCTION("""COMPUTED_VALUE"""),"Paan")</f>
        <v>Paan</v>
      </c>
      <c r="B943" s="2" t="str">
        <f>IFERROR(__xludf.DUMMYFUNCTION("""COMPUTED_VALUE"""),"Paan")</f>
        <v>Paan</v>
      </c>
      <c r="C943" s="2"/>
      <c r="D943" s="2" t="str">
        <f>IFERROR(__xludf.DUMMYFUNCTION("""COMPUTED_VALUE"""),"ପାନ୍")</f>
        <v>ପାନ୍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 t="str">
        <f>IFERROR(__xludf.DUMMYFUNCTION("""COMPUTED_VALUE"""),"Pooja Items")</f>
        <v>Pooja Items</v>
      </c>
      <c r="B944" s="2" t="str">
        <f>IFERROR(__xludf.DUMMYFUNCTION("""COMPUTED_VALUE"""),"Pooja Items")</f>
        <v>Pooja Items</v>
      </c>
      <c r="C944" s="2"/>
      <c r="D944" s="2" t="str">
        <f>IFERROR(__xludf.DUMMYFUNCTION("""COMPUTED_VALUE"""),"Pooja ଆଇଟମ୍ |")</f>
        <v>Pooja ଆଇଟମ୍ |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 t="str">
        <f>IFERROR(__xludf.DUMMYFUNCTION("""COMPUTED_VALUE"""),"Home Foods")</f>
        <v>Home Foods</v>
      </c>
      <c r="B945" s="2" t="str">
        <f>IFERROR(__xludf.DUMMYFUNCTION("""COMPUTED_VALUE"""),"Home Foods")</f>
        <v>Home Foods</v>
      </c>
      <c r="C945" s="2"/>
      <c r="D945" s="2" t="str">
        <f>IFERROR(__xludf.DUMMYFUNCTION("""COMPUTED_VALUE"""),"ଗୃହ ଖାଦ୍ୟ")</f>
        <v>ଗୃହ ଖାଦ୍ୟ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 t="str">
        <f>IFERROR(__xludf.DUMMYFUNCTION("""COMPUTED_VALUE"""),"Pet Foods")</f>
        <v>Pet Foods</v>
      </c>
      <c r="B946" s="2" t="str">
        <f>IFERROR(__xludf.DUMMYFUNCTION("""COMPUTED_VALUE"""),"Pet Foods")</f>
        <v>Pet Foods</v>
      </c>
      <c r="C946" s="2"/>
      <c r="D946" s="2" t="str">
        <f>IFERROR(__xludf.DUMMYFUNCTION("""COMPUTED_VALUE"""),"ଗୃହପାଳିତ ପଶୁ ଖାଦ୍ୟ")</f>
        <v>ଗୃହପାଳିତ ପଶୁ ଖାଦ୍ୟ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 t="str">
        <f>IFERROR(__xludf.DUMMYFUNCTION("""COMPUTED_VALUE"""),"Veg/Non-Veg")</f>
        <v>Veg/Non-Veg</v>
      </c>
      <c r="B947" s="2" t="str">
        <f>IFERROR(__xludf.DUMMYFUNCTION("""COMPUTED_VALUE"""),"Veg/Non-Veg")</f>
        <v>Veg/Non-Veg</v>
      </c>
      <c r="C947" s="2"/>
      <c r="D947" s="2" t="str">
        <f>IFERROR(__xludf.DUMMYFUNCTION("""COMPUTED_VALUE"""),"ଭେଜି / ଅଣ-ଭେଗ୍ |")</f>
        <v>ଭେଜି / ଅଣ-ଭେଗ୍ |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 t="str">
        <f>IFERROR(__xludf.DUMMYFUNCTION("""COMPUTED_VALUE"""),"Vegetable Shops")</f>
        <v>Vegetable Shops</v>
      </c>
      <c r="B948" s="2" t="str">
        <f>IFERROR(__xludf.DUMMYFUNCTION("""COMPUTED_VALUE"""),"Vegetable Shops")</f>
        <v>Vegetable Shops</v>
      </c>
      <c r="C948" s="2"/>
      <c r="D948" s="2" t="str">
        <f>IFERROR(__xludf.DUMMYFUNCTION("""COMPUTED_VALUE"""),"ପନିପରିବା ଦୋକାନ |")</f>
        <v>ପନିପରିବା ଦୋକାନ |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 t="str">
        <f>IFERROR(__xludf.DUMMYFUNCTION("""COMPUTED_VALUE"""),"Fish Shops")</f>
        <v>Fish Shops</v>
      </c>
      <c r="B949" s="2" t="str">
        <f>IFERROR(__xludf.DUMMYFUNCTION("""COMPUTED_VALUE"""),"Fish Shops")</f>
        <v>Fish Shops</v>
      </c>
      <c r="C949" s="2"/>
      <c r="D949" s="2" t="str">
        <f>IFERROR(__xludf.DUMMYFUNCTION("""COMPUTED_VALUE"""),"ମାଛ ଦୋକାନଗୁଡିକ |")</f>
        <v>ମାଛ ଦୋକାନଗୁଡିକ |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 t="str">
        <f>IFERROR(__xludf.DUMMYFUNCTION("""COMPUTED_VALUE"""),"Restaurant Shops")</f>
        <v>Restaurant Shops</v>
      </c>
      <c r="B950" s="2" t="str">
        <f>IFERROR(__xludf.DUMMYFUNCTION("""COMPUTED_VALUE"""),"Restaurant Shops")</f>
        <v>Restaurant Shops</v>
      </c>
      <c r="C950" s="2"/>
      <c r="D950" s="2" t="str">
        <f>IFERROR(__xludf.DUMMYFUNCTION("""COMPUTED_VALUE"""),"ରେଷ୍ଟୁରାଣ୍ଟ ଦୋକାନଗୁଡିକ |")</f>
        <v>ରେଷ୍ଟୁରାଣ୍ଟ ଦୋକାନଗୁଡିକ |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 t="str">
        <f>IFERROR(__xludf.DUMMYFUNCTION("""COMPUTED_VALUE"""),"Flowers Shops")</f>
        <v>Flowers Shops</v>
      </c>
      <c r="B951" s="2" t="str">
        <f>IFERROR(__xludf.DUMMYFUNCTION("""COMPUTED_VALUE"""),"Flowers Shops")</f>
        <v>Flowers Shops</v>
      </c>
      <c r="C951" s="2"/>
      <c r="D951" s="2" t="str">
        <f>IFERROR(__xludf.DUMMYFUNCTION("""COMPUTED_VALUE"""),"ଫୁଲ ଦୋକାନଗୁଡିକ |")</f>
        <v>ଫୁଲ ଦୋକାନଗୁଡିକ |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 t="str">
        <f>IFERROR(__xludf.DUMMYFUNCTION("""COMPUTED_VALUE"""),"Bakery Shops")</f>
        <v>Bakery Shops</v>
      </c>
      <c r="B952" s="2" t="str">
        <f>IFERROR(__xludf.DUMMYFUNCTION("""COMPUTED_VALUE"""),"Bakery Shops")</f>
        <v>Bakery Shops</v>
      </c>
      <c r="C952" s="2"/>
      <c r="D952" s="2" t="str">
        <f>IFERROR(__xludf.DUMMYFUNCTION("""COMPUTED_VALUE"""),"ବେକେରୀ ଦୋକାନ |")</f>
        <v>ବେକେରୀ ଦୋକାନ |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 t="str">
        <f>IFERROR(__xludf.DUMMYFUNCTION("""COMPUTED_VALUE"""),"Fruits Shops")</f>
        <v>Fruits Shops</v>
      </c>
      <c r="B953" s="2" t="str">
        <f>IFERROR(__xludf.DUMMYFUNCTION("""COMPUTED_VALUE"""),"Fruits Shops")</f>
        <v>Fruits Shops</v>
      </c>
      <c r="C953" s="2"/>
      <c r="D953" s="2" t="str">
        <f>IFERROR(__xludf.DUMMYFUNCTION("""COMPUTED_VALUE"""),"ଫଳ ଦୋକାନଗୁଡିକ")</f>
        <v>ଫଳ ଦୋକାନଗୁଡିକ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 t="str">
        <f>IFERROR(__xludf.DUMMYFUNCTION("""COMPUTED_VALUE"""),"Meat Shops")</f>
        <v>Meat Shops</v>
      </c>
      <c r="B954" s="2" t="str">
        <f>IFERROR(__xludf.DUMMYFUNCTION("""COMPUTED_VALUE"""),"Meat Shops")</f>
        <v>Meat Shops</v>
      </c>
      <c r="C954" s="2"/>
      <c r="D954" s="2" t="str">
        <f>IFERROR(__xludf.DUMMYFUNCTION("""COMPUTED_VALUE"""),"ମାଂସ ଦୋକାନଗୁଡ଼ିକ")</f>
        <v>ମାଂସ ଦୋକାନଗୁଡ଼ିକ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 t="str">
        <f>IFERROR(__xludf.DUMMYFUNCTION("""COMPUTED_VALUE"""),"GroceryShops")</f>
        <v>GroceryShops</v>
      </c>
      <c r="B955" s="2" t="str">
        <f>IFERROR(__xludf.DUMMYFUNCTION("""COMPUTED_VALUE"""),"Grocery Shops")</f>
        <v>Grocery Shops</v>
      </c>
      <c r="C955" s="2"/>
      <c r="D955" s="2" t="str">
        <f>IFERROR(__xludf.DUMMYFUNCTION("""COMPUTED_VALUE"""),"କିରାଣି ଦୋକାନଗୁଡିକ |")</f>
        <v>କିରାଣି ଦୋକାନଗୁଡିକ |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 t="str">
        <f>IFERROR(__xludf.DUMMYFUNCTION("""COMPUTED_VALUE"""),"PaanShops")</f>
        <v>PaanShops</v>
      </c>
      <c r="B956" s="2" t="str">
        <f>IFERROR(__xludf.DUMMYFUNCTION("""COMPUTED_VALUE"""),"Paan Shops")</f>
        <v>Paan Shops</v>
      </c>
      <c r="C956" s="2"/>
      <c r="D956" s="2" t="str">
        <f>IFERROR(__xludf.DUMMYFUNCTION("""COMPUTED_VALUE"""),"ପାନ୍ ଦୋକାନ |")</f>
        <v>ପାନ୍ ଦୋକାନ |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 t="str">
        <f>IFERROR(__xludf.DUMMYFUNCTION("""COMPUTED_VALUE"""),"SweetShops")</f>
        <v>SweetShops</v>
      </c>
      <c r="B957" s="2" t="str">
        <f>IFERROR(__xludf.DUMMYFUNCTION("""COMPUTED_VALUE"""),"Sweet Shops")</f>
        <v>Sweet Shops</v>
      </c>
      <c r="C957" s="2"/>
      <c r="D957" s="2" t="str">
        <f>IFERROR(__xludf.DUMMYFUNCTION("""COMPUTED_VALUE"""),"ମିଠା ଦୋକାନଗୁଡିକ |")</f>
        <v>ମିଠା ଦୋକାନଗୁଡିକ |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 t="str">
        <f>IFERROR(__xludf.DUMMYFUNCTION("""COMPUTED_VALUE"""),"HomeFoodShops")</f>
        <v>HomeFoodShops</v>
      </c>
      <c r="B958" s="2" t="str">
        <f>IFERROR(__xludf.DUMMYFUNCTION("""COMPUTED_VALUE"""),"Home Food Shops")</f>
        <v>Home Food Shops</v>
      </c>
      <c r="C958" s="2"/>
      <c r="D958" s="2" t="str">
        <f>IFERROR(__xludf.DUMMYFUNCTION("""COMPUTED_VALUE"""),"ଘରୋଇ ଖାଦ୍ୟ ଦୋକାନଗୁଡିକ |")</f>
        <v>ଘରୋଇ ଖାଦ୍ୟ ଦୋକାନଗୁଡିକ |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 t="str">
        <f>IFERROR(__xludf.DUMMYFUNCTION("""COMPUTED_VALUE"""),"PetFoodShops")</f>
        <v>PetFoodShops</v>
      </c>
      <c r="B959" s="2" t="str">
        <f>IFERROR(__xludf.DUMMYFUNCTION("""COMPUTED_VALUE"""),"Pet Food Shops")</f>
        <v>Pet Food Shops</v>
      </c>
      <c r="C959" s="2"/>
      <c r="D959" s="2" t="str">
        <f>IFERROR(__xludf.DUMMYFUNCTION("""COMPUTED_VALUE"""),"ଗୃହପାଳିତ ଖାଦ୍ୟ ଦୋକାନ |")</f>
        <v>ଗୃହପାଳିତ ଖାଦ୍ୟ ଦୋକାନ |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 t="str">
        <f>IFERROR(__xludf.DUMMYFUNCTION("""COMPUTED_VALUE"""),"Youwanttodeleteyouraccount")</f>
        <v>Youwanttodeleteyouraccount</v>
      </c>
      <c r="B960" s="2" t="str">
        <f>IFERROR(__xludf.DUMMYFUNCTION("""COMPUTED_VALUE"""),"You want to delete your account")</f>
        <v>You want to delete your account</v>
      </c>
      <c r="C960" s="2"/>
      <c r="D960" s="2" t="str">
        <f>IFERROR(__xludf.DUMMYFUNCTION("""COMPUTED_VALUE"""),"ଆପଣ ଆପଣଙ୍କର ଖାତା ବିଲୋପ କରିବାକୁ ଚାହୁଁଛନ୍ତି |")</f>
        <v>ଆପଣ ଆପଣଙ୍କର ଖାତା ବିଲୋପ କରିବାକୁ ଚାହୁଁଛନ୍ତି |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 t="str">
        <f>IFERROR(__xludf.DUMMYFUNCTION("""COMPUTED_VALUE"""),"AddQuantity(g/kg)")</f>
        <v>AddQuantity(g/kg)</v>
      </c>
      <c r="B961" s="2" t="str">
        <f>IFERROR(__xludf.DUMMYFUNCTION("""COMPUTED_VALUE"""),"Add Quantity (g/kg)")</f>
        <v>Add Quantity (g/kg)</v>
      </c>
      <c r="C961" s="2"/>
      <c r="D961" s="2" t="str">
        <f>IFERROR(__xludf.DUMMYFUNCTION("""COMPUTED_VALUE"""),"ପରିମାଣ (g / kg) ଯୋଡନ୍ତୁ |")</f>
        <v>ପରିମାଣ (g / kg) ଯୋଡନ୍ତୁ |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 t="str">
        <f>IFERROR(__xludf.DUMMYFUNCTION("""COMPUTED_VALUE"""),"AddQuantity(Pieces/Plates)")</f>
        <v>AddQuantity(Pieces/Plates)</v>
      </c>
      <c r="B962" s="2" t="str">
        <f>IFERROR(__xludf.DUMMYFUNCTION("""COMPUTED_VALUE"""),"Add Quantity (Pieces/Plates)")</f>
        <v>Add Quantity (Pieces/Plates)</v>
      </c>
      <c r="C962" s="2"/>
      <c r="D962" s="2" t="str">
        <f>IFERROR(__xludf.DUMMYFUNCTION("""COMPUTED_VALUE"""),"ପରିମାଣ (ଖଣ୍ଡ / ପ୍ଲେଟ୍) ଯୋଡନ୍ତୁ |")</f>
        <v>ପରିମାଣ (ଖଣ୍ଡ / ପ୍ଲେଟ୍) ଯୋଡନ୍ତୁ |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 t="str">
        <f>IFERROR(__xludf.DUMMYFUNCTION("""COMPUTED_VALUE"""),"AddQuantity(ml/l)")</f>
        <v>AddQuantity(ml/l)</v>
      </c>
      <c r="B963" s="2" t="str">
        <f>IFERROR(__xludf.DUMMYFUNCTION("""COMPUTED_VALUE"""),"Add Quantity (ml/l)")</f>
        <v>Add Quantity (ml/l)</v>
      </c>
      <c r="C963" s="2"/>
      <c r="D963" s="2" t="str">
        <f>IFERROR(__xludf.DUMMYFUNCTION("""COMPUTED_VALUE"""),"ପରିମାଣ ଯୋଗ କରନ୍ତୁ (ML / L)")</f>
        <v>ପରିମାଣ ଯୋଗ କରନ୍ତୁ (ML / L)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 t="str">
        <f>IFERROR(__xludf.DUMMYFUNCTION("""COMPUTED_VALUE"""),"EnterAmount")</f>
        <v>EnterAmount</v>
      </c>
      <c r="B964" s="2" t="str">
        <f>IFERROR(__xludf.DUMMYFUNCTION("""COMPUTED_VALUE"""),"Enter Amount")</f>
        <v>Enter Amount</v>
      </c>
      <c r="C964" s="2"/>
      <c r="D964" s="2" t="str">
        <f>IFERROR(__xludf.DUMMYFUNCTION("""COMPUTED_VALUE"""),"ରାଶି ପ୍ରବେଶ କରନ୍ତୁ |")</f>
        <v>ରାଶି ପ୍ରବେଶ କରନ୍ତୁ |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 t="str">
        <f>IFERROR(__xludf.DUMMYFUNCTION("""COMPUTED_VALUE"""),"Enterno.of Pcs")</f>
        <v>Enterno.of Pcs</v>
      </c>
      <c r="B965" s="2" t="str">
        <f>IFERROR(__xludf.DUMMYFUNCTION("""COMPUTED_VALUE"""),"Enter no. of Pcs")</f>
        <v>Enter no. of Pcs</v>
      </c>
      <c r="C965" s="2"/>
      <c r="D965" s="2" t="str">
        <f>IFERROR(__xludf.DUMMYFUNCTION("""COMPUTED_VALUE"""),"ନା ପ୍ରବେଶ କର | PC ର")</f>
        <v>ନା ପ୍ରବେଶ କର | PC ର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 t="str">
        <f>IFERROR(__xludf.DUMMYFUNCTION("""COMPUTED_VALUE"""),"Enterno.of Kgs")</f>
        <v>Enterno.of Kgs</v>
      </c>
      <c r="B966" s="2" t="str">
        <f>IFERROR(__xludf.DUMMYFUNCTION("""COMPUTED_VALUE"""),"Enter no. of Kgs")</f>
        <v>Enter no. of Kgs</v>
      </c>
      <c r="C966" s="2"/>
      <c r="D966" s="2" t="str">
        <f>IFERROR(__xludf.DUMMYFUNCTION("""COMPUTED_VALUE"""),"ନା ପ୍ରବେଶ କର | kgs ର")</f>
        <v>ନା ପ୍ରବେଶ କର | kgs ର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 t="str">
        <f>IFERROR(__xludf.DUMMYFUNCTION("""COMPUTED_VALUE"""),"Enterno. ofLtr")</f>
        <v>Enterno. ofLtr</v>
      </c>
      <c r="B967" s="2" t="str">
        <f>IFERROR(__xludf.DUMMYFUNCTION("""COMPUTED_VALUE"""),"Enter no. of Ltr")</f>
        <v>Enter no. of Ltr</v>
      </c>
      <c r="C967" s="2"/>
      <c r="D967" s="2" t="str">
        <f>IFERROR(__xludf.DUMMYFUNCTION("""COMPUTED_VALUE"""),"ନା ପ୍ରବେଶ କର | ltr ର")</f>
        <v>ନା ପ୍ରବେଶ କର | ltr ର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 t="str">
        <f>IFERROR(__xludf.DUMMYFUNCTION("""COMPUTED_VALUE"""),"Pickup/Noshow")</f>
        <v>Pickup/Noshow</v>
      </c>
      <c r="B968" s="2" t="str">
        <f>IFERROR(__xludf.DUMMYFUNCTION("""COMPUTED_VALUE"""),"Pickup/No show")</f>
        <v>Pickup/No show</v>
      </c>
      <c r="C968" s="2"/>
      <c r="D968" s="2" t="str">
        <f>IFERROR(__xludf.DUMMYFUNCTION("""COMPUTED_VALUE"""),"ପିକଅପ୍ / କ So ଣସି ଶୋ |")</f>
        <v>ପିକଅପ୍ / କ So ଣସି ଶୋ |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 t="str">
        <f>IFERROR(__xludf.DUMMYFUNCTION("""COMPUTED_VALUE"""),"Shopaddedtofavourites")</f>
        <v>Shopaddedtofavourites</v>
      </c>
      <c r="B969" s="2" t="str">
        <f>IFERROR(__xludf.DUMMYFUNCTION("""COMPUTED_VALUE"""),"Shop added to favourites")</f>
        <v>Shop added to favourites</v>
      </c>
      <c r="C969" s="2"/>
      <c r="D969" s="2" t="str">
        <f>IFERROR(__xludf.DUMMYFUNCTION("""COMPUTED_VALUE"""),"ପ୍ରିୟଙ୍କ ପାଇଁ ଦୋକାନ ଯୋଗ କରାଯାଇଛି |")</f>
        <v>ପ୍ରିୟଙ୍କ ପାଇଁ ଦୋକାନ ଯୋଗ କରାଯାଇଛି |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 t="str">
        <f>IFERROR(__xludf.DUMMYFUNCTION("""COMPUTED_VALUE"""),"Shopremovedfromfavourites")</f>
        <v>Shopremovedfromfavourites</v>
      </c>
      <c r="B970" s="2" t="str">
        <f>IFERROR(__xludf.DUMMYFUNCTION("""COMPUTED_VALUE"""),"Shop removed from favourites")</f>
        <v>Shop removed from favourites</v>
      </c>
      <c r="C970" s="2"/>
      <c r="D970" s="2" t="str">
        <f>IFERROR(__xludf.DUMMYFUNCTION("""COMPUTED_VALUE"""),"ପ୍ରିୟଙ୍କଠାରୁ ଦୋକାନ ହଟାଯାଇଥାଏ |")</f>
        <v>ପ୍ରିୟଙ୍କଠାରୁ ଦୋକାନ ହଟାଯାଇଥାଏ |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 t="str">
        <f>IFERROR(__xludf.DUMMYFUNCTION("""COMPUTED_VALUE"""),"PreOrderManagement")</f>
        <v>PreOrderManagement</v>
      </c>
      <c r="B971" s="2" t="str">
        <f>IFERROR(__xludf.DUMMYFUNCTION("""COMPUTED_VALUE"""),"Pre Order Management")</f>
        <v>Pre Order Management</v>
      </c>
      <c r="C971" s="2"/>
      <c r="D971" s="2" t="str">
        <f>IFERROR(__xludf.DUMMYFUNCTION("""COMPUTED_VALUE"""),"ପୂର୍ବ ଅର୍ଡର ପରିଚାଳନା")</f>
        <v>ପୂର୍ବ ଅର୍ଡର ପରିଚାଳନା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 t="str">
        <f>IFERROR(__xludf.DUMMYFUNCTION("""COMPUTED_VALUE"""),"entergstin")</f>
        <v>entergstin</v>
      </c>
      <c r="B972" s="2" t="str">
        <f>IFERROR(__xludf.DUMMYFUNCTION("""COMPUTED_VALUE"""),"Enter GSTIN")</f>
        <v>Enter GSTIN</v>
      </c>
      <c r="C972" s="2"/>
      <c r="D972" s="2" t="str">
        <f>IFERROR(__xludf.DUMMYFUNCTION("""COMPUTED_VALUE"""),"ଜିଷ୍ଟିନ୍ ପ୍ରବେଶ କରନ୍ତୁ |")</f>
        <v>ଜିଷ୍ଟିନ୍ ପ୍ରବେଶ କରନ୍ତୁ |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 t="str">
        <f>IFERROR(__xludf.DUMMYFUNCTION("""COMPUTED_VALUE"""),"orderorshop")</f>
        <v>orderorshop</v>
      </c>
      <c r="B973" s="2" t="str">
        <f>IFERROR(__xludf.DUMMYFUNCTION("""COMPUTED_VALUE"""),"order or shop")</f>
        <v>order or shop</v>
      </c>
      <c r="C973" s="2"/>
      <c r="D973" s="2" t="str">
        <f>IFERROR(__xludf.DUMMYFUNCTION("""COMPUTED_VALUE"""),"ଅର୍ଡର କିମ୍ବା ଦୋକାନ")</f>
        <v>ଅର୍ଡର କିମ୍ବା ଦୋକାନ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 t="str">
        <f>IFERROR(__xludf.DUMMYFUNCTION("""COMPUTED_VALUE"""),"withinkms")</f>
        <v>withinkms</v>
      </c>
      <c r="B974" s="2" t="str">
        <f>IFERROR(__xludf.DUMMYFUNCTION("""COMPUTED_VALUE"""),"within kms")</f>
        <v>within kms</v>
      </c>
      <c r="C974" s="2"/>
      <c r="D974" s="2" t="str">
        <f>IFERROR(__xludf.DUMMYFUNCTION("""COMPUTED_VALUE"""),"କିମିରେ |")</f>
        <v>କିମିରେ |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 t="str">
        <f>IFERROR(__xludf.DUMMYFUNCTION("""COMPUTED_VALUE"""),"Uploadprofilephoto")</f>
        <v>Uploadprofilephoto</v>
      </c>
      <c r="B975" s="2" t="str">
        <f>IFERROR(__xludf.DUMMYFUNCTION("""COMPUTED_VALUE"""),"Upload profile photo")</f>
        <v>Upload profile photo</v>
      </c>
      <c r="C975" s="2"/>
      <c r="D975" s="2" t="str">
        <f>IFERROR(__xludf.DUMMYFUNCTION("""COMPUTED_VALUE"""),"ପ୍ରୋଫାଇଲ୍ ଫଟୋ ଅପଲୋଡ୍ କରନ୍ତୁ |")</f>
        <v>ପ୍ରୋଫାଇଲ୍ ଫଟୋ ଅପଲୋଡ୍ କରନ୍ତୁ |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 t="str">
        <f>IFERROR(__xludf.DUMMYFUNCTION("""COMPUTED_VALUE"""),"Invalidname")</f>
        <v>Invalidname</v>
      </c>
      <c r="B976" s="2" t="str">
        <f>IFERROR(__xludf.DUMMYFUNCTION("""COMPUTED_VALUE"""),"Invalid name")</f>
        <v>Invalid name</v>
      </c>
      <c r="C976" s="2"/>
      <c r="D976" s="2" t="str">
        <f>IFERROR(__xludf.DUMMYFUNCTION("""COMPUTED_VALUE"""),"ଅବ val ଧ ନାମ |")</f>
        <v>ଅବ val ଧ ନାମ |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 t="str">
        <f>IFERROR(__xludf.DUMMYFUNCTION("""COMPUTED_VALUE"""),"Invalidnumber")</f>
        <v>Invalidnumber</v>
      </c>
      <c r="B977" s="2" t="str">
        <f>IFERROR(__xludf.DUMMYFUNCTION("""COMPUTED_VALUE"""),"Invalid number")</f>
        <v>Invalid number</v>
      </c>
      <c r="C977" s="2"/>
      <c r="D977" s="2" t="str">
        <f>IFERROR(__xludf.DUMMYFUNCTION("""COMPUTED_VALUE"""),"ଅବ val ଧ ସଂଖ୍ୟା |")</f>
        <v>ଅବ val ଧ ସଂଖ୍ୟା |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 t="str">
        <f>IFERROR(__xludf.DUMMYFUNCTION("""COMPUTED_VALUE"""),"Addressdeleted !!")</f>
        <v>Addressdeleted !!</v>
      </c>
      <c r="B978" s="2" t="str">
        <f>IFERROR(__xludf.DUMMYFUNCTION("""COMPUTED_VALUE"""),"Address deleted !!")</f>
        <v>Address deleted !!</v>
      </c>
      <c r="C978" s="2"/>
      <c r="D978" s="2" t="str">
        <f>IFERROR(__xludf.DUMMYFUNCTION("""COMPUTED_VALUE"""),"ଠିକଣା ବିଲୋପ ହେଲା !!")</f>
        <v>ଠିକଣା ବିଲୋପ ହେଲା !!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 t="str">
        <f>IFERROR(__xludf.DUMMYFUNCTION("""COMPUTED_VALUE"""),"Invitevia")</f>
        <v>Invitevia</v>
      </c>
      <c r="B979" s="2" t="str">
        <f>IFERROR(__xludf.DUMMYFUNCTION("""COMPUTED_VALUE"""),"Invite via")</f>
        <v>Invite via</v>
      </c>
      <c r="C979" s="2"/>
      <c r="D979" s="2" t="str">
        <f>IFERROR(__xludf.DUMMYFUNCTION("""COMPUTED_VALUE"""),"ମାଧ୍ୟମରେ ଆମନ୍ତ୍ରଣ କରନ୍ତୁ |")</f>
        <v>ମାଧ୍ୟମରେ ଆମନ୍ତ୍ରଣ କରନ୍ତୁ |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 t="str">
        <f>IFERROR(__xludf.DUMMYFUNCTION("""COMPUTED_VALUE"""),"whywouldyouliketodeleteyouraccount ?")</f>
        <v>whywouldyouliketodeleteyouraccount ?</v>
      </c>
      <c r="B980" s="2" t="str">
        <f>IFERROR(__xludf.DUMMYFUNCTION("""COMPUTED_VALUE"""),"why would you like to delete your account ?")</f>
        <v>why would you like to delete your account ?</v>
      </c>
      <c r="C980" s="2"/>
      <c r="D980" s="2" t="str">
        <f>IFERROR(__xludf.DUMMYFUNCTION("""COMPUTED_VALUE"""),"ଆପଣ କାହିଁକି ଆପଣଙ୍କର ଖାତା ବିଲୋପ କରିବାକୁ ଚାହୁଁଛନ୍ତି?")</f>
        <v>ଆପଣ କାହିଁକି ଆପଣଙ୍କର ଖାତା ବିଲୋପ କରିବାକୁ ଚାହୁଁଛନ୍ତି?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 t="str">
        <f>IFERROR(__xludf.DUMMYFUNCTION("""COMPUTED_VALUE"""),"Sarvm.aiManagerID")</f>
        <v>Sarvm.aiManagerID</v>
      </c>
      <c r="B981" s="2" t="str">
        <f>IFERROR(__xludf.DUMMYFUNCTION("""COMPUTED_VALUE"""),"Sarvm.ai Manager ID")</f>
        <v>Sarvm.ai Manager ID</v>
      </c>
      <c r="C981" s="2"/>
      <c r="D981" s="2" t="str">
        <f>IFERROR(__xludf.DUMMYFUNCTION("""COMPUTED_VALUE"""),"Sarvm.AI ମ୍ୟାନେଜର୍ ଆଇଡି |")</f>
        <v>Sarvm.AI ମ୍ୟାନେଜର୍ ଆଇଡି |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 t="str">
        <f>IFERROR(__xludf.DUMMYFUNCTION("""COMPUTED_VALUE"""),"Invalidpincode")</f>
        <v>Invalidpincode</v>
      </c>
      <c r="B982" s="2" t="str">
        <f>IFERROR(__xludf.DUMMYFUNCTION("""COMPUTED_VALUE"""),"Invalid pincode")</f>
        <v>Invalid pincode</v>
      </c>
      <c r="C982" s="2"/>
      <c r="D982" s="2" t="str">
        <f>IFERROR(__xludf.DUMMYFUNCTION("""COMPUTED_VALUE"""),"ଅବ val ଧ ପିନକୋଡ୍ |")</f>
        <v>ଅବ val ଧ ପିନକୋଡ୍ |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 t="str">
        <f>IFERROR(__xludf.DUMMYFUNCTION("""COMPUTED_VALUE"""),"Sarvm.Ai")</f>
        <v>Sarvm.Ai</v>
      </c>
      <c r="B983" s="3" t="str">
        <f>IFERROR(__xludf.DUMMYFUNCTION("""COMPUTED_VALUE"""),"Sarvm.Ai")</f>
        <v>Sarvm.Ai</v>
      </c>
      <c r="C983" s="2"/>
      <c r="D983" s="3" t="str">
        <f>IFERROR(__xludf.DUMMYFUNCTION("""COMPUTED_VALUE"""),"Sarvm.AI")</f>
        <v>Sarvm.AI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 t="str">
        <f>IFERROR(__xludf.DUMMYFUNCTION("""COMPUTED_VALUE"""),"Entertext")</f>
        <v>Entertext</v>
      </c>
      <c r="B984" s="2" t="str">
        <f>IFERROR(__xludf.DUMMYFUNCTION("""COMPUTED_VALUE"""),"Enter text")</f>
        <v>Enter text</v>
      </c>
      <c r="C984" s="2"/>
      <c r="D984" s="2" t="str">
        <f>IFERROR(__xludf.DUMMYFUNCTION("""COMPUTED_VALUE"""),"ପାଠ ପ୍ରବେଶ କରନ୍ତୁ |")</f>
        <v>ପାଠ ପ୍ରବେଶ କରନ୍ତୁ |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 t="str">
        <f>IFERROR(__xludf.DUMMYFUNCTION("""COMPUTED_VALUE"""),"Shopalready exist for this user")</f>
        <v>Shopalready exist for this user</v>
      </c>
      <c r="B985" s="2" t="str">
        <f>IFERROR(__xludf.DUMMYFUNCTION("""COMPUTED_VALUE"""),"Shop already exist for this user")</f>
        <v>Shop already exist for this user</v>
      </c>
      <c r="C985" s="2"/>
      <c r="D985" s="2" t="str">
        <f>IFERROR(__xludf.DUMMYFUNCTION("""COMPUTED_VALUE"""),"ଏହି ଉପଭୋକ୍ତା ପାଇଁ ପୂର୍ବରୁ ଦୋକାନ ବିଦ୍ୟମାନ ଅଛି |")</f>
        <v>ଏହି ଉପଭୋକ୍ତା ପାଇଁ ପୂର୍ବରୁ ଦୋକାନ ବିଦ୍ୟମାନ ଅଛି |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 t="str">
        <f>IFERROR(__xludf.DUMMYFUNCTION("""COMPUTED_VALUE"""),"ScanQRcode")</f>
        <v>ScanQRcode</v>
      </c>
      <c r="B986" s="2" t="str">
        <f>IFERROR(__xludf.DUMMYFUNCTION("""COMPUTED_VALUE"""),"Scan QR code")</f>
        <v>Scan QR code</v>
      </c>
      <c r="C986" s="2"/>
      <c r="D986" s="2" t="str">
        <f>IFERROR(__xludf.DUMMYFUNCTION("""COMPUTED_VALUE"""),"QR କୋଡ୍ ସ୍କାନ୍ କରନ୍ତୁ |")</f>
        <v>QR କୋଡ୍ ସ୍କାନ୍ କରନ୍ତୁ |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 t="str">
        <f>IFERROR(__xludf.DUMMYFUNCTION("""COMPUTED_VALUE"""),"Select UPI App")</f>
        <v>Select UPI App</v>
      </c>
      <c r="B987" s="2" t="str">
        <f>IFERROR(__xludf.DUMMYFUNCTION("""COMPUTED_VALUE"""),"Select UPI App")</f>
        <v>Select UPI App</v>
      </c>
      <c r="C987" s="2"/>
      <c r="D987" s="2" t="str">
        <f>IFERROR(__xludf.DUMMYFUNCTION("""COMPUTED_VALUE"""),"ଅପ୍ ଆପ୍ ଚୟନ କରନ୍ତୁ |")</f>
        <v>ଅପ୍ ଆପ୍ ଚୟନ କରନ୍ତୁ |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 t="str">
        <f>IFERROR(__xludf.DUMMYFUNCTION("""COMPUTED_VALUE"""),"Please enter valid number")</f>
        <v>Please enter valid number</v>
      </c>
      <c r="B988" s="2" t="str">
        <f>IFERROR(__xludf.DUMMYFUNCTION("""COMPUTED_VALUE"""),"Please enter valid number")</f>
        <v>Please enter valid number</v>
      </c>
      <c r="C988" s="2"/>
      <c r="D988" s="2" t="str">
        <f>IFERROR(__xludf.DUMMYFUNCTION("""COMPUTED_VALUE"""),"ଦୟାକରି ବ valid ଧ ସଂଖ୍ୟା ପ୍ରବେଶ କରନ୍ତୁ |")</f>
        <v>ଦୟାକରି ବ valid ଧ ସଂଖ୍ୟା ପ୍ରବେଶ କରନ୍ତୁ |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 t="str">
        <f>IFERROR(__xludf.DUMMYFUNCTION("""COMPUTED_VALUE"""),"Payment : Pending")</f>
        <v>Payment : Pending</v>
      </c>
      <c r="B989" s="2" t="str">
        <f>IFERROR(__xludf.DUMMYFUNCTION("""COMPUTED_VALUE"""),"Payment : Pending")</f>
        <v>Payment : Pending</v>
      </c>
      <c r="C989" s="2"/>
      <c r="D989" s="2" t="str">
        <f>IFERROR(__xludf.DUMMYFUNCTION("""COMPUTED_VALUE"""),"ଦେୟ: ବିଚାରାଧୀନ |")</f>
        <v>ଦେୟ: ବିଚାରାଧୀନ |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 t="str">
        <f>IFERROR(__xludf.DUMMYFUNCTION("""COMPUTED_VALUE"""),"Start Delivery")</f>
        <v>Start Delivery</v>
      </c>
      <c r="B990" s="2" t="str">
        <f>IFERROR(__xludf.DUMMYFUNCTION("""COMPUTED_VALUE"""),"Start Delivery")</f>
        <v>Start Delivery</v>
      </c>
      <c r="C990" s="2"/>
      <c r="D990" s="2" t="str">
        <f>IFERROR(__xludf.DUMMYFUNCTION("""COMPUTED_VALUE"""),"ବିତରଣ ଆରମ୍ଭ କରନ୍ତୁ |")</f>
        <v>ବିତରଣ ଆରମ୍ଭ କରନ୍ତୁ |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 t="str">
        <f>IFERROR(__xludf.DUMMYFUNCTION("""COMPUTED_VALUE"""),"Order dispatch")</f>
        <v>Order dispatch</v>
      </c>
      <c r="B991" s="2" t="str">
        <f>IFERROR(__xludf.DUMMYFUNCTION("""COMPUTED_VALUE"""),"Order dispatch")</f>
        <v>Order dispatch</v>
      </c>
      <c r="C991" s="2"/>
      <c r="D991" s="2" t="str">
        <f>IFERROR(__xludf.DUMMYFUNCTION("""COMPUTED_VALUE"""),"ପଠାଇବା ଅର୍ଡର କରନ୍ତୁ |")</f>
        <v>ପଠାଇବା ଅର୍ଡର କରନ୍ତୁ |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 t="str">
        <f>IFERROR(__xludf.DUMMYFUNCTION("""COMPUTED_VALUE"""),"Order dispatched")</f>
        <v>Order dispatched</v>
      </c>
      <c r="B992" s="2" t="str">
        <f>IFERROR(__xludf.DUMMYFUNCTION("""COMPUTED_VALUE"""),"Order dispatched")</f>
        <v>Order dispatched</v>
      </c>
      <c r="C992" s="2"/>
      <c r="D992" s="2" t="str">
        <f>IFERROR(__xludf.DUMMYFUNCTION("""COMPUTED_VALUE"""),"ଅର୍ଡର ପଠାଯାଇଛି |")</f>
        <v>ଅର୍ଡର ପଠାଯାଇଛି |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 t="str">
        <f>IFERROR(__xludf.DUMMYFUNCTION("""COMPUTED_VALUE"""),"Reached Delivery Location")</f>
        <v>Reached Delivery Location</v>
      </c>
      <c r="B993" s="2" t="str">
        <f>IFERROR(__xludf.DUMMYFUNCTION("""COMPUTED_VALUE"""),"Reached Delivery Location")</f>
        <v>Reached Delivery Location</v>
      </c>
      <c r="C993" s="2"/>
      <c r="D993" s="2" t="str">
        <f>IFERROR(__xludf.DUMMYFUNCTION("""COMPUTED_VALUE"""),"ବିତରଣ ସ୍ଥାନରେ ପହଞ୍ଚିଲା |")</f>
        <v>ବିତରଣ ସ୍ଥାନରେ ପହଞ୍ଚିଲା |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 t="str">
        <f>IFERROR(__xludf.DUMMYFUNCTION("""COMPUTED_VALUE"""),"Order Pickedup")</f>
        <v>Order Pickedup</v>
      </c>
      <c r="B994" s="2" t="str">
        <f>IFERROR(__xludf.DUMMYFUNCTION("""COMPUTED_VALUE"""),"Order Pickedup")</f>
        <v>Order Pickedup</v>
      </c>
      <c r="C994" s="2"/>
      <c r="D994" s="2" t="str">
        <f>IFERROR(__xludf.DUMMYFUNCTION("""COMPUTED_VALUE"""),"ଅର୍ଡର ପିଲ୍ୟୁପ୍ |")</f>
        <v>ଅର୍ଡର ପିଲ୍ୟୁପ୍ |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 t="str">
        <f>IFERROR(__xludf.DUMMYFUNCTION("""COMPUTED_VALUE"""),"OrderIDorCustomerNumber")</f>
        <v>OrderIDorCustomerNumber</v>
      </c>
      <c r="B995" s="2" t="str">
        <f>IFERROR(__xludf.DUMMYFUNCTION("""COMPUTED_VALUE"""),"Order ID or Customer Number")</f>
        <v>Order ID or Customer Number</v>
      </c>
      <c r="C995" s="2"/>
      <c r="D995" s="2" t="str">
        <f>IFERROR(__xludf.DUMMYFUNCTION("""COMPUTED_VALUE"""),"ଅର୍ଡର ID କିମ୍ବା ଗ୍ରାହକ ସଂଖ୍ୟା |")</f>
        <v>ଅର୍ଡର ID କିମ୍ବା ଗ୍ରାହକ ସଂଖ୍ୟା |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 t="str">
        <f>IFERROR(__xludf.DUMMYFUNCTION("""COMPUTED_VALUE"""),"OrderRejected")</f>
        <v>OrderRejected</v>
      </c>
      <c r="B996" s="2" t="str">
        <f>IFERROR(__xludf.DUMMYFUNCTION("""COMPUTED_VALUE"""),"Order Rejected")</f>
        <v>Order Rejected</v>
      </c>
      <c r="C996" s="2"/>
      <c r="D996" s="2" t="str">
        <f>IFERROR(__xludf.DUMMYFUNCTION("""COMPUTED_VALUE"""),"ଅର୍ଡର ପ୍ରତ୍ୟାଖ୍ୟାନ |")</f>
        <v>ଅର୍ଡର ପ୍ରତ୍ୟାଖ୍ୟାନ |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 t="str">
        <f>IFERROR(__xludf.DUMMYFUNCTION("""COMPUTED_VALUE"""),"OrderCompleted")</f>
        <v>OrderCompleted</v>
      </c>
      <c r="B997" s="2" t="str">
        <f>IFERROR(__xludf.DUMMYFUNCTION("""COMPUTED_VALUE"""),"Order Completed")</f>
        <v>Order Completed</v>
      </c>
      <c r="C997" s="2"/>
      <c r="D997" s="2" t="str">
        <f>IFERROR(__xludf.DUMMYFUNCTION("""COMPUTED_VALUE"""),"ଅର୍ଡର ସମାପ୍ତ")</f>
        <v>ଅର୍ଡର ସମାପ୍ତ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 t="str">
        <f>IFERROR(__xludf.DUMMYFUNCTION("""COMPUTED_VALUE"""),"OrderCancelled")</f>
        <v>OrderCancelled</v>
      </c>
      <c r="B998" s="2" t="str">
        <f>IFERROR(__xludf.DUMMYFUNCTION("""COMPUTED_VALUE"""),"Order Cancelled")</f>
        <v>Order Cancelled</v>
      </c>
      <c r="C998" s="2"/>
      <c r="D998" s="2" t="str">
        <f>IFERROR(__xludf.DUMMYFUNCTION("""COMPUTED_VALUE"""),"ଅର୍ଡର ବାତିଲ ହୋଇଛି |")</f>
        <v>ଅର୍ଡର ବାତିଲ ହୋଇଛି |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 t="str">
        <f>IFERROR(__xludf.DUMMYFUNCTION("""COMPUTED_VALUE"""),"CustomerPickedup")</f>
        <v>CustomerPickedup</v>
      </c>
      <c r="B999" s="2" t="str">
        <f>IFERROR(__xludf.DUMMYFUNCTION("""COMPUTED_VALUE"""),"Customer Picked up")</f>
        <v>Customer Picked up</v>
      </c>
      <c r="C999" s="2"/>
      <c r="D999" s="2" t="str">
        <f>IFERROR(__xludf.DUMMYFUNCTION("""COMPUTED_VALUE"""),"ଗ୍ରାହକ ଉଠାଇଲେ |")</f>
        <v>ଗ୍ରାହକ ଉଠାଇଲେ |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 t="str">
        <f>IFERROR(__xludf.DUMMYFUNCTION("""COMPUTED_VALUE"""),"DeliveryBoy")</f>
        <v>DeliveryBoy</v>
      </c>
      <c r="B1000" s="2" t="str">
        <f>IFERROR(__xludf.DUMMYFUNCTION("""COMPUTED_VALUE"""),"Delivery Boy")</f>
        <v>Delivery Boy</v>
      </c>
      <c r="C1000" s="2"/>
      <c r="D1000" s="2" t="str">
        <f>IFERROR(__xludf.DUMMYFUNCTION("""COMPUTED_VALUE"""),"ବିତରଣ ବାଳକ")</f>
        <v>ବିତରଣ ବାଳକ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 t="str">
        <f>IFERROR(__xludf.DUMMYFUNCTION("""COMPUTED_VALUE"""),"Removefromfavourites")</f>
        <v>Removefromfavourites</v>
      </c>
      <c r="B1001" s="2" t="str">
        <f>IFERROR(__xludf.DUMMYFUNCTION("""COMPUTED_VALUE"""),"Remove from favourites")</f>
        <v>Remove from favourites</v>
      </c>
      <c r="C1001" s="2"/>
      <c r="D1001" s="2" t="str">
        <f>IFERROR(__xludf.DUMMYFUNCTION("""COMPUTED_VALUE"""),"ପୂଜାପାଠରୁ ହଟାନ୍ତୁ |")</f>
        <v>ପୂଜାପାଠରୁ ହଟାନ୍ତୁ |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 t="str">
        <f>IFERROR(__xludf.DUMMYFUNCTION("""COMPUTED_VALUE"""),"Searchforproductname")</f>
        <v>Searchforproductname</v>
      </c>
      <c r="B1002" s="2" t="str">
        <f>IFERROR(__xludf.DUMMYFUNCTION("""COMPUTED_VALUE"""),"Search for product name")</f>
        <v>Search for product name</v>
      </c>
      <c r="C1002" s="2"/>
      <c r="D1002" s="2" t="str">
        <f>IFERROR(__xludf.DUMMYFUNCTION("""COMPUTED_VALUE"""),"ଉତ୍ପାଦ ନାମ ଖୋଜ |")</f>
        <v>ଉତ୍ପାଦ ନାମ ଖୋଜ |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 t="str">
        <f>IFERROR(__xludf.DUMMYFUNCTION("""COMPUTED_VALUE"""),"Apply")</f>
        <v>Apply</v>
      </c>
      <c r="B1003" s="2" t="str">
        <f>IFERROR(__xludf.DUMMYFUNCTION("""COMPUTED_VALUE"""),"Apply")</f>
        <v>Apply</v>
      </c>
      <c r="C1003" s="2"/>
      <c r="D1003" s="2" t="str">
        <f>IFERROR(__xludf.DUMMYFUNCTION("""COMPUTED_VALUE"""),"ପ୍ରୟୋଗ କରନ୍ତୁ |")</f>
        <v>ପ୍ରୟୋଗ କରନ୍ତୁ |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 t="str">
        <f>IFERROR(__xludf.DUMMYFUNCTION("""COMPUTED_VALUE"""),"for")</f>
        <v>for</v>
      </c>
      <c r="B1004" s="2" t="str">
        <f>IFERROR(__xludf.DUMMYFUNCTION("""COMPUTED_VALUE"""),"for")</f>
        <v>for</v>
      </c>
      <c r="C1004" s="2"/>
      <c r="D1004" s="2" t="str">
        <f>IFERROR(__xludf.DUMMYFUNCTION("""COMPUTED_VALUE"""),"ପାଇଁ")</f>
        <v>ପାଇଁ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 t="str">
        <f>IFERROR(__xludf.DUMMYFUNCTION("""COMPUTED_VALUE"""),"Readyfordelivery")</f>
        <v>Readyfordelivery</v>
      </c>
      <c r="B1005" s="2" t="str">
        <f>IFERROR(__xludf.DUMMYFUNCTION("""COMPUTED_VALUE"""),"Ready for delivery")</f>
        <v>Ready for delivery</v>
      </c>
      <c r="C1005" s="2"/>
      <c r="D1005" s="2" t="str">
        <f>IFERROR(__xludf.DUMMYFUNCTION("""COMPUTED_VALUE"""),"ବିତରଣ ପାଇଁ ପ୍ରସ୍ତୁତ |")</f>
        <v>ବିତରଣ ପାଇଁ ପ୍ରସ୍ତୁତ |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 t="str">
        <f>IFERROR(__xludf.DUMMYFUNCTION("""COMPUTED_VALUE"""),"Pickedupfordelivery")</f>
        <v>Pickedupfordelivery</v>
      </c>
      <c r="B1006" s="2" t="str">
        <f>IFERROR(__xludf.DUMMYFUNCTION("""COMPUTED_VALUE"""),"Picked up for delivery")</f>
        <v>Picked up for delivery</v>
      </c>
      <c r="C1006" s="2"/>
      <c r="D1006" s="2" t="str">
        <f>IFERROR(__xludf.DUMMYFUNCTION("""COMPUTED_VALUE"""),"ବିତରଣ ପାଇଁ ଉଠାଇଲେ |")</f>
        <v>ବିତରଣ ପାଇଁ ଉଠାଇଲେ |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 t="str">
        <f>IFERROR(__xludf.DUMMYFUNCTION("""COMPUTED_VALUE"""),"AsmaaIndia")</f>
        <v>AsmaaIndia</v>
      </c>
      <c r="B1007" s="2" t="str">
        <f>IFERROR(__xludf.DUMMYFUNCTION("""COMPUTED_VALUE"""),"Asmaa India")</f>
        <v>Asmaa India</v>
      </c>
      <c r="C1007" s="2"/>
      <c r="D1007" s="2" t="str">
        <f>IFERROR(__xludf.DUMMYFUNCTION("""COMPUTED_VALUE"""),"ଆସମା ଇଣ୍ଡିଆ")</f>
        <v>ଆସମା ଇଣ୍ଡିଆ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 t="str">
        <f>IFERROR(__xludf.DUMMYFUNCTION("""COMPUTED_VALUE"""),"JyotiEnterprises")</f>
        <v>JyotiEnterprises</v>
      </c>
      <c r="B1008" s="2" t="str">
        <f>IFERROR(__xludf.DUMMYFUNCTION("""COMPUTED_VALUE"""),"Jyoti Enterprises")</f>
        <v>Jyoti Enterprises</v>
      </c>
      <c r="C1008" s="2"/>
      <c r="D1008" s="2" t="str">
        <f>IFERROR(__xludf.DUMMYFUNCTION("""COMPUTED_VALUE"""),"ଜ୍ୟୋତି ଉଦ୍ୟୋଗଗୁଡିକ |")</f>
        <v>ଜ୍ୟୋତି ଉଦ୍ୟୋଗଗୁଡିକ |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 t="str">
        <f>IFERROR(__xludf.DUMMYFUNCTION("""COMPUTED_VALUE"""),"CleanTech")</f>
        <v>CleanTech</v>
      </c>
      <c r="B1009" s="2" t="str">
        <f>IFERROR(__xludf.DUMMYFUNCTION("""COMPUTED_VALUE"""),"Clean Tech")</f>
        <v>Clean Tech</v>
      </c>
      <c r="C1009" s="2"/>
      <c r="D1009" s="2" t="str">
        <f>IFERROR(__xludf.DUMMYFUNCTION("""COMPUTED_VALUE"""),"ପରିଷ୍କାର ବେକ୍")</f>
        <v>ପରିଷ୍କାର ବେକ୍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 t="str">
        <f>IFERROR(__xludf.DUMMYFUNCTION("""COMPUTED_VALUE"""),"Agency-Excelience")</f>
        <v>Agency-Excelience</v>
      </c>
      <c r="B1010" s="2" t="str">
        <f>IFERROR(__xludf.DUMMYFUNCTION("""COMPUTED_VALUE"""),"Agency - Excelience")</f>
        <v>Agency - Excelience</v>
      </c>
      <c r="C1010" s="2"/>
      <c r="D1010" s="2" t="str">
        <f>IFERROR(__xludf.DUMMYFUNCTION("""COMPUTED_VALUE"""),"ଏଜେନ୍ସି - Excialce |")</f>
        <v>ଏଜେନ୍ସି - Excialce |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 t="str">
        <f>IFERROR(__xludf.DUMMYFUNCTION("""COMPUTED_VALUE"""),"within")</f>
        <v>within</v>
      </c>
      <c r="B1011" s="2" t="str">
        <f>IFERROR(__xludf.DUMMYFUNCTION("""COMPUTED_VALUE"""),"within")</f>
        <v>within</v>
      </c>
      <c r="C1011" s="2"/>
      <c r="D1011" s="2" t="str">
        <f>IFERROR(__xludf.DUMMYFUNCTION("""COMPUTED_VALUE"""),"ଭିତରେ")</f>
        <v>ଭିତରେ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 t="str">
        <f>IFERROR(__xludf.DUMMYFUNCTION("""COMPUTED_VALUE"""),"kms")</f>
        <v>kms</v>
      </c>
      <c r="B1012" s="2" t="str">
        <f>IFERROR(__xludf.DUMMYFUNCTION("""COMPUTED_VALUE"""),"kms")</f>
        <v>kms</v>
      </c>
      <c r="C1012" s="2"/>
      <c r="D1012" s="2" t="str">
        <f>IFERROR(__xludf.DUMMYFUNCTION("""COMPUTED_VALUE"""),"କିଲ୍ସ")</f>
        <v>କିଲ୍ସ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 t="str">
        <f>IFERROR(__xludf.DUMMYFUNCTION("""COMPUTED_VALUE"""),"EnterIDCardNo")</f>
        <v>EnterIDCardNo</v>
      </c>
      <c r="B1013" s="2" t="str">
        <f>IFERROR(__xludf.DUMMYFUNCTION("""COMPUTED_VALUE"""),"Enter ID Card No")</f>
        <v>Enter ID Card No</v>
      </c>
      <c r="C1013" s="2"/>
      <c r="D1013" s="2" t="str">
        <f>IFERROR(__xludf.DUMMYFUNCTION("""COMPUTED_VALUE"""),"ID କାର୍ଡ ନାହିଁ")</f>
        <v>ID କାର୍ଡ ନାହିଁ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 t="str">
        <f>IFERROR(__xludf.DUMMYFUNCTION("""COMPUTED_VALUE"""),"EnterName")</f>
        <v>EnterName</v>
      </c>
      <c r="B1014" s="2" t="str">
        <f>IFERROR(__xludf.DUMMYFUNCTION("""COMPUTED_VALUE"""),"Enter Name")</f>
        <v>Enter Name</v>
      </c>
      <c r="C1014" s="2"/>
      <c r="D1014" s="2" t="str">
        <f>IFERROR(__xludf.DUMMYFUNCTION("""COMPUTED_VALUE"""),"ନାମ ପ୍ରବେଶ କରନ୍ତୁ |")</f>
        <v>ନାମ ପ୍ରବେଶ କରନ୍ତୁ |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 t="str">
        <f>IFERROR(__xludf.DUMMYFUNCTION("""COMPUTED_VALUE"""),"EnterShopNoorBuilding")</f>
        <v>EnterShopNoorBuilding</v>
      </c>
      <c r="B1015" s="2" t="str">
        <f>IFERROR(__xludf.DUMMYFUNCTION("""COMPUTED_VALUE"""),"Enter Shop No or Building")</f>
        <v>Enter Shop No or Building</v>
      </c>
      <c r="C1015" s="2"/>
      <c r="D1015" s="2" t="str">
        <f>IFERROR(__xludf.DUMMYFUNCTION("""COMPUTED_VALUE"""),"ଦୋକାନ ନଂ କିମ୍ବା ବିଲ୍ଡିଂରେ ପ୍ରବେଶ କରନ୍ତୁ |")</f>
        <v>ଦୋକାନ ନଂ କିମ୍ବା ବିଲ୍ଡିଂରେ ପ୍ରବେଶ କରନ୍ତୁ |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 t="str">
        <f>IFERROR(__xludf.DUMMYFUNCTION("""COMPUTED_VALUE"""),"EnterLocalityorArea")</f>
        <v>EnterLocalityorArea</v>
      </c>
      <c r="B1016" s="2" t="str">
        <f>IFERROR(__xludf.DUMMYFUNCTION("""COMPUTED_VALUE"""),"Enter Locality or Area")</f>
        <v>Enter Locality or Area</v>
      </c>
      <c r="C1016" s="2"/>
      <c r="D1016" s="2" t="str">
        <f>IFERROR(__xludf.DUMMYFUNCTION("""COMPUTED_VALUE"""),"ସ୍ଥାନ କିମ୍ବା କ୍ଷେତ୍ର ପ୍ରବେଶ କରନ୍ତୁ |")</f>
        <v>ସ୍ଥାନ କିମ୍ବା କ୍ଷେତ୍ର ପ୍ରବେଶ କରନ୍ତୁ |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 t="str">
        <f>IFERROR(__xludf.DUMMYFUNCTION("""COMPUTED_VALUE"""),"EnterStreetno")</f>
        <v>EnterStreetno</v>
      </c>
      <c r="B1017" s="2" t="str">
        <f>IFERROR(__xludf.DUMMYFUNCTION("""COMPUTED_VALUE"""),"Enter Street no")</f>
        <v>Enter Street no</v>
      </c>
      <c r="C1017" s="2"/>
      <c r="D1017" s="2" t="str">
        <f>IFERROR(__xludf.DUMMYFUNCTION("""COMPUTED_VALUE"""),"ରାସ୍ତାରେ ପ୍ରବେଶ କର ନାହିଁ")</f>
        <v>ରାସ୍ତାରେ ପ୍ରବେଶ କର ନାହିଁ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 t="str">
        <f>IFERROR(__xludf.DUMMYFUNCTION("""COMPUTED_VALUE"""),"EnterLandmark")</f>
        <v>EnterLandmark</v>
      </c>
      <c r="B1018" s="2" t="str">
        <f>IFERROR(__xludf.DUMMYFUNCTION("""COMPUTED_VALUE"""),"Enter Landmark")</f>
        <v>Enter Landmark</v>
      </c>
      <c r="C1018" s="2"/>
      <c r="D1018" s="2" t="str">
        <f>IFERROR(__xludf.DUMMYFUNCTION("""COMPUTED_VALUE"""),"ଲ୍ୟାଣ୍ଡମାର୍କ ପ୍ରବେଶ କରନ୍ତୁ |")</f>
        <v>ଲ୍ୟାଣ୍ଡମାର୍କ ପ୍ରବେଶ କରନ୍ତୁ |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 t="str">
        <f>IFERROR(__xludf.DUMMYFUNCTION("""COMPUTED_VALUE"""),"EnterCityorState")</f>
        <v>EnterCityorState</v>
      </c>
      <c r="B1019" s="2" t="str">
        <f>IFERROR(__xludf.DUMMYFUNCTION("""COMPUTED_VALUE"""),"Enter City or State")</f>
        <v>Enter City or State</v>
      </c>
      <c r="C1019" s="2"/>
      <c r="D1019" s="2" t="str">
        <f>IFERROR(__xludf.DUMMYFUNCTION("""COMPUTED_VALUE"""),"ସହର କିମ୍ବା ରାଜ୍ୟ ପ୍ରବେଶ କରନ୍ତୁ |")</f>
        <v>ସହର କିମ୍ବା ରାଜ୍ୟ ପ୍ରବେଶ କରନ୍ତୁ |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 t="str">
        <f>IFERROR(__xludf.DUMMYFUNCTION("""COMPUTED_VALUE"""),"EnterPincode")</f>
        <v>EnterPincode</v>
      </c>
      <c r="B1020" s="2" t="str">
        <f>IFERROR(__xludf.DUMMYFUNCTION("""COMPUTED_VALUE"""),"Enter Pincode")</f>
        <v>Enter Pincode</v>
      </c>
      <c r="C1020" s="2"/>
      <c r="D1020" s="2" t="str">
        <f>IFERROR(__xludf.DUMMYFUNCTION("""COMPUTED_VALUE"""),"ପିନ୍code ପ୍ରବେଶ କରନ୍ତୁ |")</f>
        <v>ପିନ୍code ପ୍ରବେଶ କରନ୍ତୁ |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 t="str">
        <f>IFERROR(__xludf.DUMMYFUNCTION("""COMPUTED_VALUE"""),"EnterPANCardNo")</f>
        <v>EnterPANCardNo</v>
      </c>
      <c r="B1021" s="2" t="str">
        <f>IFERROR(__xludf.DUMMYFUNCTION("""COMPUTED_VALUE"""),"Enter PAN Card No")</f>
        <v>Enter PAN Card No</v>
      </c>
      <c r="C1021" s="2"/>
      <c r="D1021" s="2" t="str">
        <f>IFERROR(__xludf.DUMMYFUNCTION("""COMPUTED_VALUE"""),"ପାନ୍ କାର୍ଡ ନଂ ପ୍ରବେଶ କରନ୍ତୁ |")</f>
        <v>ପାନ୍ କାର୍ଡ ନଂ ପ୍ରବେଶ କରନ୍ତୁ |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 t="str">
        <f>IFERROR(__xludf.DUMMYFUNCTION("""COMPUTED_VALUE"""),"EnterNameasperPANcard")</f>
        <v>EnterNameasperPANcard</v>
      </c>
      <c r="B1022" s="2" t="str">
        <f>IFERROR(__xludf.DUMMYFUNCTION("""COMPUTED_VALUE"""),"Enter Name as per PAN card")</f>
        <v>Enter Name as per PAN card</v>
      </c>
      <c r="C1022" s="2"/>
      <c r="D1022" s="2" t="str">
        <f>IFERROR(__xludf.DUMMYFUNCTION("""COMPUTED_VALUE"""),"ପାନ୍ କାର୍ଡ ଅନୁଯାୟୀ ନାମ ପ୍ରବେଶ କରନ୍ତୁ |")</f>
        <v>ପାନ୍ କାର୍ଡ ଅନୁଯାୟୀ ନାମ ପ୍ରବେଶ କରନ୍ତୁ |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 t="str">
        <f>IFERROR(__xludf.DUMMYFUNCTION("""COMPUTED_VALUE"""),"EnterFather’sName")</f>
        <v>EnterFather’sName</v>
      </c>
      <c r="B1023" s="2" t="str">
        <f>IFERROR(__xludf.DUMMYFUNCTION("""COMPUTED_VALUE"""),"Enter Father’s Name")</f>
        <v>Enter Father’s Name</v>
      </c>
      <c r="C1023" s="2"/>
      <c r="D1023" s="2" t="str">
        <f>IFERROR(__xludf.DUMMYFUNCTION("""COMPUTED_VALUE"""),"ପିତାଙ୍କ ନାମ ପ୍ରବେଶ କରନ୍ତୁ |")</f>
        <v>ପିତାଙ୍କ ନାମ ପ୍ରବେଶ କରନ୍ତୁ |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 t="str">
        <f>IFERROR(__xludf.DUMMYFUNCTION("""COMPUTED_VALUE"""),"findthedate")</f>
        <v>findthedate</v>
      </c>
      <c r="B1024" s="2" t="str">
        <f>IFERROR(__xludf.DUMMYFUNCTION("""COMPUTED_VALUE"""),"find the date")</f>
        <v>find the date</v>
      </c>
      <c r="C1024" s="2"/>
      <c r="D1024" s="2" t="str">
        <f>IFERROR(__xludf.DUMMYFUNCTION("""COMPUTED_VALUE"""),"ତାରିଖ ଖୋଜ |")</f>
        <v>ତାରିଖ ଖୋଜ |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 t="str">
        <f>IFERROR(__xludf.DUMMYFUNCTION("""COMPUTED_VALUE"""),"scanmyshop")</f>
        <v>scanmyshop</v>
      </c>
      <c r="B1025" s="2" t="str">
        <f>IFERROR(__xludf.DUMMYFUNCTION("""COMPUTED_VALUE"""),"scan my shop")</f>
        <v>scan my shop</v>
      </c>
      <c r="C1025" s="2"/>
      <c r="D1025" s="2" t="str">
        <f>IFERROR(__xludf.DUMMYFUNCTION("""COMPUTED_VALUE"""),"ମୋ ଦୋକାନକୁ ସ୍କାନ୍ କରନ୍ତୁ |")</f>
        <v>ମୋ ଦୋକାନକୁ ସ୍କାନ୍ କରନ୍ତୁ |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 t="str">
        <f>IFERROR(__xludf.DUMMYFUNCTION("""COMPUTED_VALUE"""),"MyShopQRCode")</f>
        <v>MyShopQRCode</v>
      </c>
      <c r="B1026" s="2" t="str">
        <f>IFERROR(__xludf.DUMMYFUNCTION("""COMPUTED_VALUE"""),"My Shop QR Code")</f>
        <v>My Shop QR Code</v>
      </c>
      <c r="C1026" s="2"/>
      <c r="D1026" s="2" t="str">
        <f>IFERROR(__xludf.DUMMYFUNCTION("""COMPUTED_VALUE"""),"ମୋ ଦୋକାନ QR କୋଡ୍ |")</f>
        <v>ମୋ ଦୋକାନ QR କୋଡ୍ |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 t="str">
        <f>IFERROR(__xludf.DUMMYFUNCTION("""COMPUTED_VALUE"""),"Comment")</f>
        <v>Comment</v>
      </c>
      <c r="B1027" s="2" t="str">
        <f>IFERROR(__xludf.DUMMYFUNCTION("""COMPUTED_VALUE"""),"Comment")</f>
        <v>Comment</v>
      </c>
      <c r="C1027" s="2"/>
      <c r="D1027" s="2" t="str">
        <f>IFERROR(__xludf.DUMMYFUNCTION("""COMPUTED_VALUE"""),"ମନ୍ତବ୍ୟ ଦିଅନ୍ତୁ |")</f>
        <v>ମନ୍ତବ୍ୟ ଦିଅନ୍ତୁ |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 t="str">
        <f>IFERROR(__xludf.DUMMYFUNCTION("""COMPUTED_VALUE"""),"Download")</f>
        <v>Download</v>
      </c>
      <c r="B1028" s="2" t="str">
        <f>IFERROR(__xludf.DUMMYFUNCTION("""COMPUTED_VALUE"""),"Download")</f>
        <v>Download</v>
      </c>
      <c r="C1028" s="2"/>
      <c r="D1028" s="2" t="str">
        <f>IFERROR(__xludf.DUMMYFUNCTION("""COMPUTED_VALUE"""),"ଡାଉନଲୋଡ୍ କରନ୍ତୁ |")</f>
        <v>ଡାଉନଲୋଡ୍ କରନ୍ତୁ |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 t="str">
        <f>IFERROR(__xludf.DUMMYFUNCTION("""COMPUTED_VALUE"""),"Environment")</f>
        <v>Environment</v>
      </c>
      <c r="B1029" s="2" t="str">
        <f>IFERROR(__xludf.DUMMYFUNCTION("""COMPUTED_VALUE"""),"Environment")</f>
        <v>Environment</v>
      </c>
      <c r="C1029" s="2"/>
      <c r="D1029" s="2" t="str">
        <f>IFERROR(__xludf.DUMMYFUNCTION("""COMPUTED_VALUE"""),"ପରିବେଶ")</f>
        <v>ପରିବେଶ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 t="str">
        <f>IFERROR(__xludf.DUMMYFUNCTION("""COMPUTED_VALUE"""),"Map")</f>
        <v>Map</v>
      </c>
      <c r="B1030" s="2" t="str">
        <f>IFERROR(__xludf.DUMMYFUNCTION("""COMPUTED_VALUE"""),"Map")</f>
        <v>Map</v>
      </c>
      <c r="C1030" s="2"/>
      <c r="D1030" s="2" t="str">
        <f>IFERROR(__xludf.DUMMYFUNCTION("""COMPUTED_VALUE"""),"ମାନଚିତ୍ର")</f>
        <v>ମାନଚିତ୍ର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 t="str">
        <f>IFERROR(__xludf.DUMMYFUNCTION("""COMPUTED_VALUE"""),"Satellite")</f>
        <v>Satellite</v>
      </c>
      <c r="B1031" s="2" t="str">
        <f>IFERROR(__xludf.DUMMYFUNCTION("""COMPUTED_VALUE"""),"Satellite")</f>
        <v>Satellite</v>
      </c>
      <c r="C1031" s="2"/>
      <c r="D1031" s="2" t="str">
        <f>IFERROR(__xludf.DUMMYFUNCTION("""COMPUTED_VALUE"""),"ଉପଗ୍ରହ")</f>
        <v>ଉପଗ୍ରହ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 t="str">
        <f>IFERROR(__xludf.DUMMYFUNCTION("""COMPUTED_VALUE"""),"BHIM")</f>
        <v>BHIM</v>
      </c>
      <c r="B1032" s="2" t="str">
        <f>IFERROR(__xludf.DUMMYFUNCTION("""COMPUTED_VALUE"""),"BHIM")</f>
        <v>BHIM</v>
      </c>
      <c r="C1032" s="2"/>
      <c r="D1032" s="2" t="str">
        <f>IFERROR(__xludf.DUMMYFUNCTION("""COMPUTED_VALUE"""),"ଭିମ୍")</f>
        <v>ଭିମ୍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 t="str">
        <f>IFERROR(__xludf.DUMMYFUNCTION("""COMPUTED_VALUE"""),"Uber")</f>
        <v>Uber</v>
      </c>
      <c r="B1033" s="2" t="str">
        <f>IFERROR(__xludf.DUMMYFUNCTION("""COMPUTED_VALUE"""),"Uber")</f>
        <v>Uber</v>
      </c>
      <c r="C1033" s="2"/>
      <c r="D1033" s="2" t="str">
        <f>IFERROR(__xludf.DUMMYFUNCTION("""COMPUTED_VALUE"""),"ଉବର")</f>
        <v>ଉବର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 t="str">
        <f>IFERROR(__xludf.DUMMYFUNCTION("""COMPUTED_VALUE"""),"Gpay")</f>
        <v>Gpay</v>
      </c>
      <c r="B1034" s="2" t="str">
        <f>IFERROR(__xludf.DUMMYFUNCTION("""COMPUTED_VALUE"""),"G pay")</f>
        <v>G pay</v>
      </c>
      <c r="C1034" s="2"/>
      <c r="D1034" s="2" t="str">
        <f>IFERROR(__xludf.DUMMYFUNCTION("""COMPUTED_VALUE"""),"G ଦରମା")</f>
        <v>G ଦରମା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 t="str">
        <f>IFERROR(__xludf.DUMMYFUNCTION("""COMPUTED_VALUE"""),"Axispay")</f>
        <v>Axispay</v>
      </c>
      <c r="B1035" s="2" t="str">
        <f>IFERROR(__xludf.DUMMYFUNCTION("""COMPUTED_VALUE"""),"Axis pay")</f>
        <v>Axis pay</v>
      </c>
      <c r="C1035" s="2"/>
      <c r="D1035" s="2" t="str">
        <f>IFERROR(__xludf.DUMMYFUNCTION("""COMPUTED_VALUE"""),"ଅକ୍ଷ ଦେୟ")</f>
        <v>ଅକ୍ଷ ଦେୟ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 t="str">
        <f>IFERROR(__xludf.DUMMYFUNCTION("""COMPUTED_VALUE"""),"Mobikwik")</f>
        <v>Mobikwik</v>
      </c>
      <c r="B1036" s="2" t="str">
        <f>IFERROR(__xludf.DUMMYFUNCTION("""COMPUTED_VALUE"""),"Mobikwik")</f>
        <v>Mobikwik</v>
      </c>
      <c r="C1036" s="2"/>
      <c r="D1036" s="2" t="str">
        <f>IFERROR(__xludf.DUMMYFUNCTION("""COMPUTED_VALUE"""),"ମୋବିକୱିକ୍ |")</f>
        <v>ମୋବିକୱିକ୍ |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 t="str">
        <f>IFERROR(__xludf.DUMMYFUNCTION("""COMPUTED_VALUE"""),"SBIpay")</f>
        <v>SBIpay</v>
      </c>
      <c r="B1037" s="2" t="str">
        <f>IFERROR(__xludf.DUMMYFUNCTION("""COMPUTED_VALUE"""),"SBI pay")</f>
        <v>SBI pay</v>
      </c>
      <c r="C1037" s="2"/>
      <c r="D1037" s="2" t="str">
        <f>IFERROR(__xludf.DUMMYFUNCTION("""COMPUTED_VALUE"""),"SBI ଦେୟ")</f>
        <v>SBI ଦେୟ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 t="str">
        <f>IFERROR(__xludf.DUMMYFUNCTION("""COMPUTED_VALUE"""),"Existing")</f>
        <v>Existing</v>
      </c>
      <c r="B1038" s="2" t="str">
        <f>IFERROR(__xludf.DUMMYFUNCTION("""COMPUTED_VALUE"""),"Existing")</f>
        <v>Existing</v>
      </c>
      <c r="C1038" s="2"/>
      <c r="D1038" s="2" t="str">
        <f>IFERROR(__xludf.DUMMYFUNCTION("""COMPUTED_VALUE"""),"ବିଦ୍ୟମାନ |")</f>
        <v>ବିଦ୍ୟମାନ |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 t="str">
        <f>IFERROR(__xludf.DUMMYFUNCTION("""COMPUTED_VALUE"""),"Active")</f>
        <v>Active</v>
      </c>
      <c r="B1039" s="2" t="str">
        <f>IFERROR(__xludf.DUMMYFUNCTION("""COMPUTED_VALUE"""),"Active")</f>
        <v>Active</v>
      </c>
      <c r="C1039" s="2"/>
      <c r="D1039" s="2" t="str">
        <f>IFERROR(__xludf.DUMMYFUNCTION("""COMPUTED_VALUE"""),"ସକ୍ରିୟ")</f>
        <v>ସକ୍ରିୟ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 t="str">
        <f>IFERROR(__xludf.DUMMYFUNCTION("""COMPUTED_VALUE"""),"InActive")</f>
        <v>InActive</v>
      </c>
      <c r="B1040" s="2" t="str">
        <f>IFERROR(__xludf.DUMMYFUNCTION("""COMPUTED_VALUE"""),"InActive")</f>
        <v>InActive</v>
      </c>
      <c r="C1040" s="2"/>
      <c r="D1040" s="2" t="str">
        <f>IFERROR(__xludf.DUMMYFUNCTION("""COMPUTED_VALUE"""),"ନିଷ୍କ୍ରିୟ |")</f>
        <v>ନିଷ୍କ୍ରିୟ |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 t="str">
        <f>IFERROR(__xludf.DUMMYFUNCTION("""COMPUTED_VALUE"""),"3days")</f>
        <v>3days</v>
      </c>
      <c r="B1041" s="2" t="str">
        <f>IFERROR(__xludf.DUMMYFUNCTION("""COMPUTED_VALUE"""),"3 days")</f>
        <v>3 days</v>
      </c>
      <c r="C1041" s="2"/>
      <c r="D1041" s="2" t="str">
        <f>IFERROR(__xludf.DUMMYFUNCTION("""COMPUTED_VALUE"""),"3 ଦିନ")</f>
        <v>3 ଦିନ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 t="str">
        <f>IFERROR(__xludf.DUMMYFUNCTION("""COMPUTED_VALUE"""),"5days")</f>
        <v>5days</v>
      </c>
      <c r="B1042" s="2" t="str">
        <f>IFERROR(__xludf.DUMMYFUNCTION("""COMPUTED_VALUE"""),"5 days")</f>
        <v>5 days</v>
      </c>
      <c r="C1042" s="2"/>
      <c r="D1042" s="2" t="str">
        <f>IFERROR(__xludf.DUMMYFUNCTION("""COMPUTED_VALUE"""),"5 ଦିନ")</f>
        <v>5 ଦିନ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 t="str">
        <f>IFERROR(__xludf.DUMMYFUNCTION("""COMPUTED_VALUE"""),"7days")</f>
        <v>7days</v>
      </c>
      <c r="B1043" s="2" t="str">
        <f>IFERROR(__xludf.DUMMYFUNCTION("""COMPUTED_VALUE"""),"7 days")</f>
        <v>7 days</v>
      </c>
      <c r="C1043" s="2"/>
      <c r="D1043" s="2" t="str">
        <f>IFERROR(__xludf.DUMMYFUNCTION("""COMPUTED_VALUE"""),"7 ଦିନ")</f>
        <v>7 ଦିନ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 t="str">
        <f>IFERROR(__xludf.DUMMYFUNCTION("""COMPUTED_VALUE"""),"Pushnotification")</f>
        <v>Pushnotification</v>
      </c>
      <c r="B1044" s="2" t="str">
        <f>IFERROR(__xludf.DUMMYFUNCTION("""COMPUTED_VALUE"""),"Push notification")</f>
        <v>Push notification</v>
      </c>
      <c r="C1044" s="2"/>
      <c r="D1044" s="2" t="str">
        <f>IFERROR(__xludf.DUMMYFUNCTION("""COMPUTED_VALUE"""),"ପୁସ୍ ବିଜ୍ଞପ୍ତି |")</f>
        <v>ପୁସ୍ ବିଜ୍ଞପ୍ତି |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 t="str">
        <f>IFERROR(__xludf.DUMMYFUNCTION("""COMPUTED_VALUE"""),"Remainder")</f>
        <v>Remainder</v>
      </c>
      <c r="B1045" s="2" t="str">
        <f>IFERROR(__xludf.DUMMYFUNCTION("""COMPUTED_VALUE"""),"Remainder")</f>
        <v>Remainder</v>
      </c>
      <c r="C1045" s="2"/>
      <c r="D1045" s="2" t="str">
        <f>IFERROR(__xludf.DUMMYFUNCTION("""COMPUTED_VALUE"""),"ଅବଶିଷ୍ଟ")</f>
        <v>ଅବଶିଷ୍ଟ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 t="str">
        <f>IFERROR(__xludf.DUMMYFUNCTION("""COMPUTED_VALUE"""),"ProcessOrder")</f>
        <v>ProcessOrder</v>
      </c>
      <c r="B1046" s="2" t="str">
        <f>IFERROR(__xludf.DUMMYFUNCTION("""COMPUTED_VALUE"""),"Process Order")</f>
        <v>Process Order</v>
      </c>
      <c r="C1046" s="2"/>
      <c r="D1046" s="2" t="str">
        <f>IFERROR(__xludf.DUMMYFUNCTION("""COMPUTED_VALUE"""),"ପ୍ରକ୍ରିୟା କ୍ରମ")</f>
        <v>ପ୍ରକ୍ରିୟା କ୍ରମ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 t="str">
        <f>IFERROR(__xludf.DUMMYFUNCTION("""COMPUTED_VALUE"""),"DispatchOrder")</f>
        <v>DispatchOrder</v>
      </c>
      <c r="B1047" s="2" t="str">
        <f>IFERROR(__xludf.DUMMYFUNCTION("""COMPUTED_VALUE"""),"Dispatch Order")</f>
        <v>Dispatch Order</v>
      </c>
      <c r="C1047" s="2"/>
      <c r="D1047" s="2" t="str">
        <f>IFERROR(__xludf.DUMMYFUNCTION("""COMPUTED_VALUE"""),"ପଠାଇବା ଆଦେଶ |")</f>
        <v>ପଠାଇବା ଆଦେଶ |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 t="str">
        <f>IFERROR(__xludf.DUMMYFUNCTION("""COMPUTED_VALUE"""),"Complaint")</f>
        <v>Complaint</v>
      </c>
      <c r="B1048" s="2" t="str">
        <f>IFERROR(__xludf.DUMMYFUNCTION("""COMPUTED_VALUE"""),"Complaint")</f>
        <v>Complaint</v>
      </c>
      <c r="C1048" s="2"/>
      <c r="D1048" s="2" t="str">
        <f>IFERROR(__xludf.DUMMYFUNCTION("""COMPUTED_VALUE"""),"ଅଭିଯୋଗ")</f>
        <v>ଅଭିଯୋଗ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 t="str">
        <f>IFERROR(__xludf.DUMMYFUNCTION("""COMPUTED_VALUE"""),"QR Code")</f>
        <v>QR Code</v>
      </c>
      <c r="B1049" s="2" t="str">
        <f>IFERROR(__xludf.DUMMYFUNCTION("""COMPUTED_VALUE"""),"QR Code")</f>
        <v>QR Code</v>
      </c>
      <c r="C1049" s="2"/>
      <c r="D1049" s="2" t="str">
        <f>IFERROR(__xludf.DUMMYFUNCTION("""COMPUTED_VALUE"""),"QR କୋଡ୍ |")</f>
        <v>QR କୋଡ୍ |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 t="str">
        <f>IFERROR(__xludf.DUMMYFUNCTION("""COMPUTED_VALUE"""),"Environment:Dev")</f>
        <v>Environment:Dev</v>
      </c>
      <c r="B1050" s="2" t="str">
        <f>IFERROR(__xludf.DUMMYFUNCTION("""COMPUTED_VALUE"""),"Environment: Dev")</f>
        <v>Environment: Dev</v>
      </c>
      <c r="C1050" s="2"/>
      <c r="D1050" s="2" t="str">
        <f>IFERROR(__xludf.DUMMYFUNCTION("""COMPUTED_VALUE"""),"ପରିବେଶ: ଦେୟ")</f>
        <v>ପରିବେଶ: ଦେୟ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 t="str">
        <f>IFERROR(__xludf.DUMMYFUNCTION("""COMPUTED_VALUE"""),"Paid")</f>
        <v>Paid</v>
      </c>
      <c r="B1051" s="2" t="str">
        <f>IFERROR(__xludf.DUMMYFUNCTION("""COMPUTED_VALUE"""),"Paid")</f>
        <v>Paid</v>
      </c>
      <c r="C1051" s="2"/>
      <c r="D1051" s="2" t="str">
        <f>IFERROR(__xludf.DUMMYFUNCTION("""COMPUTED_VALUE"""),"ଦେୟ")</f>
        <v>ଦେୟ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 t="str">
        <f>IFERROR(__xludf.DUMMYFUNCTION("""COMPUTED_VALUE"""),"﻿Theuserhasalreadyanactivereferral")</f>
        <v>﻿Theuserhasalreadyanactivereferral</v>
      </c>
      <c r="B1052" s="2" t="str">
        <f>IFERROR(__xludf.DUMMYFUNCTION("""COMPUTED_VALUE"""),"﻿The user has already an active referral")</f>
        <v>﻿The user has already an active referral</v>
      </c>
      <c r="C1052" s="2"/>
      <c r="D1052" s="2" t="str">
        <f>IFERROR(__xludf.DUMMYFUNCTION("""COMPUTED_VALUE"""),"ଉପଭୋକ୍ତା ପୂର୍ବରୁ ଏକ ସକ୍ରିୟ ରେଫରାଲ୍ ଅଛି |")</f>
        <v>ଉପଭୋକ୍ତା ପୂର୍ବରୁ ଏକ ସକ୍ରିୟ ରେଫରାଲ୍ ଅଛି |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 t="str">
        <f>IFERROR(__xludf.DUMMYFUNCTION("""COMPUTED_VALUE"""),"Thedicountcannotbegreaterthan99%")</f>
        <v>Thedicountcannotbegreaterthan99%</v>
      </c>
      <c r="B1053" s="2" t="str">
        <f>IFERROR(__xludf.DUMMYFUNCTION("""COMPUTED_VALUE"""),"The dicount cannot be greater than 99%")</f>
        <v>The dicount cannot be greater than 99%</v>
      </c>
      <c r="C1053" s="2"/>
      <c r="D1053" s="2" t="str">
        <f>IFERROR(__xludf.DUMMYFUNCTION("""COMPUTED_VALUE"""),"ଡିକୋଏଣ୍ଟ 99% ରୁ ଅଧିକ ହୋଇପାରିବ ନାହିଁ |")</f>
        <v>ଡିକୋଏଣ୍ଟ 99% ରୁ ଅଧିକ ହୋଇପାରିବ ନାହିଁ |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 t="str">
        <f>IFERROR(__xludf.DUMMYFUNCTION("""COMPUTED_VALUE"""),"Minimumorderquantity")</f>
        <v>Minimumorderquantity</v>
      </c>
      <c r="B1054" s="2" t="str">
        <f>IFERROR(__xludf.DUMMYFUNCTION("""COMPUTED_VALUE"""),"Minimum order quantity")</f>
        <v>Minimum order quantity</v>
      </c>
      <c r="C1054" s="2"/>
      <c r="D1054" s="2" t="str">
        <f>IFERROR(__xludf.DUMMYFUNCTION("""COMPUTED_VALUE"""),"ସର୍ବନିମ୍ନ ଅର୍ଡର ପରିମାଣ |")</f>
        <v>ସର୍ବନିମ୍ନ ଅର୍ଡର ପରିମାଣ |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 t="str">
        <f>IFERROR(__xludf.DUMMYFUNCTION("""COMPUTED_VALUE"""),"Gram")</f>
        <v>Gram</v>
      </c>
      <c r="B1055" s="2" t="str">
        <f>IFERROR(__xludf.DUMMYFUNCTION("""COMPUTED_VALUE"""),"Gram")</f>
        <v>Gram</v>
      </c>
      <c r="C1055" s="2"/>
      <c r="D1055" s="2" t="str">
        <f>IFERROR(__xludf.DUMMYFUNCTION("""COMPUTED_VALUE"""),"ଗ୍ରାମ")</f>
        <v>ଗ୍ରାମ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 t="str">
        <f>IFERROR(__xludf.DUMMYFUNCTION("""COMPUTED_VALUE"""),"OrderAggregation")</f>
        <v>OrderAggregation</v>
      </c>
      <c r="B1056" s="2" t="str">
        <f>IFERROR(__xludf.DUMMYFUNCTION("""COMPUTED_VALUE"""),"Order Aggregation")</f>
        <v>Order Aggregation</v>
      </c>
      <c r="C1056" s="2"/>
      <c r="D1056" s="2" t="str">
        <f>IFERROR(__xludf.DUMMYFUNCTION("""COMPUTED_VALUE"""),"ସଂଗଠନ")</f>
        <v>ସଂଗଠନ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 t="str">
        <f>IFERROR(__xludf.DUMMYFUNCTION("""COMPUTED_VALUE"""),"TotalWeight")</f>
        <v>TotalWeight</v>
      </c>
      <c r="B1057" s="2" t="str">
        <f>IFERROR(__xludf.DUMMYFUNCTION("""COMPUTED_VALUE"""),"Total Weight")</f>
        <v>Total Weight</v>
      </c>
      <c r="C1057" s="2"/>
      <c r="D1057" s="2" t="str">
        <f>IFERROR(__xludf.DUMMYFUNCTION("""COMPUTED_VALUE"""),"ସମୁଦାୟ ଓଜନ")</f>
        <v>ସମୁଦାୟ ଓଜନ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 t="str">
        <f>IFERROR(__xludf.DUMMYFUNCTION("""COMPUTED_VALUE"""),"TotalLitres")</f>
        <v>TotalLitres</v>
      </c>
      <c r="B1058" s="2" t="str">
        <f>IFERROR(__xludf.DUMMYFUNCTION("""COMPUTED_VALUE"""),"Total Litres")</f>
        <v>Total Litres</v>
      </c>
      <c r="C1058" s="2"/>
      <c r="D1058" s="2" t="str">
        <f>IFERROR(__xludf.DUMMYFUNCTION("""COMPUTED_VALUE"""),"ସମୁଦାୟ ଲିଟର |")</f>
        <v>ସମୁଦାୟ ଲିଟର |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 t="str">
        <f>IFERROR(__xludf.DUMMYFUNCTION("""COMPUTED_VALUE"""),"TotalPieces")</f>
        <v>TotalPieces</v>
      </c>
      <c r="B1059" s="2" t="str">
        <f>IFERROR(__xludf.DUMMYFUNCTION("""COMPUTED_VALUE"""),"Total Pieces")</f>
        <v>Total Pieces</v>
      </c>
      <c r="C1059" s="2"/>
      <c r="D1059" s="2" t="str">
        <f>IFERROR(__xludf.DUMMYFUNCTION("""COMPUTED_VALUE"""),"ସମୁଦାୟ ଖଣ୍ଡଗୁଡ଼ିକ")</f>
        <v>ସମୁଦାୟ ଖଣ୍ଡଗୁଡ଼ିକ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 t="str">
        <f>IFERROR(__xludf.DUMMYFUNCTION("""COMPUTED_VALUE"""),"TotalPlates")</f>
        <v>TotalPlates</v>
      </c>
      <c r="B1060" s="2" t="str">
        <f>IFERROR(__xludf.DUMMYFUNCTION("""COMPUTED_VALUE"""),"Total Plates")</f>
        <v>Total Plates</v>
      </c>
      <c r="C1060" s="2"/>
      <c r="D1060" s="2" t="str">
        <f>IFERROR(__xludf.DUMMYFUNCTION("""COMPUTED_VALUE"""),"ସମୁଦାୟ ପ୍ଲେଟଗୁଡିକ |")</f>
        <v>ସମୁଦାୟ ପ୍ଲେଟଗୁଡିକ |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 t="str">
        <f>IFERROR(__xludf.DUMMYFUNCTION("""COMPUTED_VALUE"""),"Itemstobedelivered")</f>
        <v>Itemstobedelivered</v>
      </c>
      <c r="B1061" s="2" t="str">
        <f>IFERROR(__xludf.DUMMYFUNCTION("""COMPUTED_VALUE"""),"Items to be delivered")</f>
        <v>Items to be delivered</v>
      </c>
      <c r="C1061" s="2"/>
      <c r="D1061" s="2" t="str">
        <f>IFERROR(__xludf.DUMMYFUNCTION("""COMPUTED_VALUE"""),"ବିତରଣ କରିବାକୁ ଥିବା ଆଇଟମ୍ |")</f>
        <v>ବିତରଣ କରିବାକୁ ଥିବା ଆଇଟମ୍ |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 t="str">
        <f>IFERROR(__xludf.DUMMYFUNCTION("""COMPUTED_VALUE"""),"Lastorder")</f>
        <v>Lastorder</v>
      </c>
      <c r="B1062" s="2" t="str">
        <f>IFERROR(__xludf.DUMMYFUNCTION("""COMPUTED_VALUE"""),"Last order")</f>
        <v>Last order</v>
      </c>
      <c r="C1062" s="2"/>
      <c r="D1062" s="2" t="str">
        <f>IFERROR(__xludf.DUMMYFUNCTION("""COMPUTED_VALUE"""),"ଶେଷ କ୍ରମ")</f>
        <v>ଶେଷ କ୍ରମ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 t="str">
        <f>IFERROR(__xludf.DUMMYFUNCTION("""COMPUTED_VALUE"""),"Paymentprocessingcancelledbyuse")</f>
        <v>Paymentprocessingcancelledbyuse</v>
      </c>
      <c r="B1063" s="2" t="str">
        <f>IFERROR(__xludf.DUMMYFUNCTION("""COMPUTED_VALUE"""),"Payment processing cancelled by use")</f>
        <v>Payment processing cancelled by use</v>
      </c>
      <c r="C1063" s="2"/>
      <c r="D1063" s="2" t="str">
        <f>IFERROR(__xludf.DUMMYFUNCTION("""COMPUTED_VALUE"""),"ବ୍ୟବହାର ଦ୍ୱାରା ଦେୟ ପ୍ରକ୍ରିୟାକରଣ ବାତିଲ୍ |")</f>
        <v>ବ୍ୟବହାର ଦ୍ୱାରା ଦେୟ ପ୍ରକ୍ରିୟାକରଣ ବାତିଲ୍ |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 t="str">
        <f>IFERROR(__xludf.DUMMYFUNCTION("""COMPUTED_VALUE"""),"PleasescanthereferralQRcode")</f>
        <v>PleasescanthereferralQRcode</v>
      </c>
      <c r="B1064" s="2" t="str">
        <f>IFERROR(__xludf.DUMMYFUNCTION("""COMPUTED_VALUE"""),"Please scan the referral QR code")</f>
        <v>Please scan the referral QR code</v>
      </c>
      <c r="C1064" s="2"/>
      <c r="D1064" s="2" t="str">
        <f>IFERROR(__xludf.DUMMYFUNCTION("""COMPUTED_VALUE"""),"ଦୟାକରି ରେଫରାଲ୍ QR କୋଡ୍ ସ୍କାନ୍ କରନ୍ତୁ |")</f>
        <v>ଦୟାକରି ରେଫରାଲ୍ QR କୋଡ୍ ସ୍କାନ୍ କରନ୍ତୁ |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 t="str">
        <f>IFERROR(__xludf.DUMMYFUNCTION("""COMPUTED_VALUE"""),"imagesavedsuccessfully")</f>
        <v>imagesavedsuccessfully</v>
      </c>
      <c r="B1065" s="2" t="str">
        <f>IFERROR(__xludf.DUMMYFUNCTION("""COMPUTED_VALUE"""),"image saved successfully")</f>
        <v>image saved successfully</v>
      </c>
      <c r="C1065" s="2"/>
      <c r="D1065" s="2" t="str">
        <f>IFERROR(__xludf.DUMMYFUNCTION("""COMPUTED_VALUE"""),"ପ୍ରତିଛବି ସଫଳତାର ସହିତ ସଞ୍ଚୟ ହେଲା |")</f>
        <v>ପ୍ରତିଛବି ସଫଳତାର ସହିତ ସଞ୍ଚୟ ହେଲା |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 t="str">
        <f>IFERROR(__xludf.DUMMYFUNCTION("""COMPUTED_VALUE"""),"SaveYourLocation!")</f>
        <v>SaveYourLocation!</v>
      </c>
      <c r="B1066" s="2" t="str">
        <f>IFERROR(__xludf.DUMMYFUNCTION("""COMPUTED_VALUE"""),"Save Your Location!")</f>
        <v>Save Your Location!</v>
      </c>
      <c r="C1066" s="2"/>
      <c r="D1066" s="2" t="str">
        <f>IFERROR(__xludf.DUMMYFUNCTION("""COMPUTED_VALUE"""),"ତୁମର ଅବସ୍ଥାନ ସଞ୍ଚୟ କର!")</f>
        <v>ତୁମର ଅବସ୍ଥାନ ସଞ୍ଚୟ କର!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 t="str">
        <f>IFERROR(__xludf.DUMMYFUNCTION("""COMPUTED_VALUE"""),"Pleaseenteryourlocationtohelpusfindtheshopsnearyou")</f>
        <v>Pleaseenteryourlocationtohelpusfindtheshopsnearyou</v>
      </c>
      <c r="B1067" s="2" t="str">
        <f>IFERROR(__xludf.DUMMYFUNCTION("""COMPUTED_VALUE"""),"Please enter your location to help us find the shops near you")</f>
        <v>Please enter your location to help us find the shops near you</v>
      </c>
      <c r="C1067" s="2"/>
      <c r="D1067" s="2" t="str">
        <f>IFERROR(__xludf.DUMMYFUNCTION("""COMPUTED_VALUE"""),"ଆପଣଙ୍କ ନିକଟରେ ଦୋକାନ ଖୋଜିବାରେ ସାହାଯ୍ୟ କରିବାକୁ ଦୟାକରି ଆପଣଙ୍କର ଅବସ୍ଥାନ ପ୍ରବେଶ କରନ୍ତୁ |")</f>
        <v>ଆପଣଙ୍କ ନିକଟରେ ଦୋକାନ ଖୋଜିବାରେ ସାହାଯ୍ୟ କରିବାକୁ ଦୟାକରି ଆପଣଙ୍କର ଅବସ୍ଥାନ ପ୍ରବେଶ କରନ୍ତୁ |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 t="str">
        <f>IFERROR(__xludf.DUMMYFUNCTION("""COMPUTED_VALUE"""),"DoYouHave")</f>
        <v>DoYouHave</v>
      </c>
      <c r="B1068" s="2" t="str">
        <f>IFERROR(__xludf.DUMMYFUNCTION("""COMPUTED_VALUE"""),"Do You Have")</f>
        <v>Do You Have</v>
      </c>
      <c r="C1068" s="2"/>
      <c r="D1068" s="2" t="str">
        <f>IFERROR(__xludf.DUMMYFUNCTION("""COMPUTED_VALUE"""),"ଆପଣ୍ଂକ ପାଖରେ ଅଛି କି")</f>
        <v>ଆପଣ୍ଂକ ପାଖରେ ଅଛି କି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 t="str">
        <f>IFERROR(__xludf.DUMMYFUNCTION("""COMPUTED_VALUE"""),"refferalcode?")</f>
        <v>refferalcode?</v>
      </c>
      <c r="B1069" s="2" t="str">
        <f>IFERROR(__xludf.DUMMYFUNCTION("""COMPUTED_VALUE"""),"refferal code?")</f>
        <v>refferal code?</v>
      </c>
      <c r="C1069" s="2"/>
      <c r="D1069" s="2" t="str">
        <f>IFERROR(__xludf.DUMMYFUNCTION("""COMPUTED_VALUE"""),"ରେଫରାଲ୍ କୋଡ୍?")</f>
        <v>ରେଫରାଲ୍ କୋଡ୍?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 t="str">
        <f>IFERROR(__xludf.DUMMYFUNCTION("""COMPUTED_VALUE"""),"FavouritesShops")</f>
        <v>FavouritesShops</v>
      </c>
      <c r="B1070" s="2" t="str">
        <f>IFERROR(__xludf.DUMMYFUNCTION("""COMPUTED_VALUE"""),"Favourites Shops")</f>
        <v>Favourites Shops</v>
      </c>
      <c r="C1070" s="2"/>
      <c r="D1070" s="2" t="str">
        <f>IFERROR(__xludf.DUMMYFUNCTION("""COMPUTED_VALUE"""),"ପ୍ରିୟ ଦୋକାନଗୁଡିକ ଦୋକାନଗୁଡିକ |")</f>
        <v>ପ୍ରିୟ ଦୋକାନଗୁଡିକ ଦୋକାନଗୁଡିକ |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 t="str">
        <f>IFERROR(__xludf.DUMMYFUNCTION("""COMPUTED_VALUE"""),"AddressAdded!!")</f>
        <v>AddressAdded!!</v>
      </c>
      <c r="B1071" s="2" t="str">
        <f>IFERROR(__xludf.DUMMYFUNCTION("""COMPUTED_VALUE"""),"Address Added !!")</f>
        <v>Address Added !!</v>
      </c>
      <c r="C1071" s="2"/>
      <c r="D1071" s="2" t="str">
        <f>IFERROR(__xludf.DUMMYFUNCTION("""COMPUTED_VALUE"""),"ଠିକଣା ଯୋଡା ଯାଇଛି !!")</f>
        <v>ଠିକଣା ଯୋଡା ଯାଇଛି !!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 t="str">
        <f>IFERROR(__xludf.DUMMYFUNCTION("""COMPUTED_VALUE"""),"ratingsuccess")</f>
        <v>ratingsuccess</v>
      </c>
      <c r="B1072" s="2" t="str">
        <f>IFERROR(__xludf.DUMMYFUNCTION("""COMPUTED_VALUE"""),"rating success")</f>
        <v>rating success</v>
      </c>
      <c r="C1072" s="2"/>
      <c r="D1072" s="2" t="str">
        <f>IFERROR(__xludf.DUMMYFUNCTION("""COMPUTED_VALUE"""),"ମୂଲ୍ୟାୟନ ସଫଳତା |")</f>
        <v>ମୂଲ୍ୟାୟନ ସଫଳତା |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 t="str">
        <f>IFERROR(__xludf.DUMMYFUNCTION("""COMPUTED_VALUE"""),"employeestatusupdated!!")</f>
        <v>employeestatusupdated!!</v>
      </c>
      <c r="B1073" s="2" t="str">
        <f>IFERROR(__xludf.DUMMYFUNCTION("""COMPUTED_VALUE"""),"employee status updated!!")</f>
        <v>employee status updated!!</v>
      </c>
      <c r="C1073" s="2"/>
      <c r="D1073" s="2" t="str">
        <f>IFERROR(__xludf.DUMMYFUNCTION("""COMPUTED_VALUE"""),"କର୍ମଚାରୀ ସ୍ଥିତି ଅପଡେଟ୍ ହୋଇଛି !!")</f>
        <v>କର୍ମଚାରୀ ସ୍ଥିତି ଅପଡେଟ୍ ହୋଇଛି !!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 t="str">
        <f>IFERROR(__xludf.DUMMYFUNCTION("""COMPUTED_VALUE"""),"areyousureyouwanttodeactivate?")</f>
        <v>areyousureyouwanttodeactivate?</v>
      </c>
      <c r="B1074" s="2" t="str">
        <f>IFERROR(__xludf.DUMMYFUNCTION("""COMPUTED_VALUE"""),"are you sure you want to deactivate?")</f>
        <v>are you sure you want to deactivate?</v>
      </c>
      <c r="C1074" s="2"/>
      <c r="D1074" s="2" t="str">
        <f>IFERROR(__xludf.DUMMYFUNCTION("""COMPUTED_VALUE"""),"ଆପଣ ନିଶ୍ଚିତ କି ଆପଣ ନିଷ୍କ୍ରିୟ କରିବାକୁ ଚାହୁଁଛନ୍ତି?")</f>
        <v>ଆପଣ ନିଶ୍ଚିତ କି ଆପଣ ନିଷ୍କ୍ରିୟ କରିବାକୁ ଚାହୁଁଛନ୍ତି?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 t="str">
        <f>IFERROR(__xludf.DUMMYFUNCTION("""COMPUTED_VALUE"""),"Areyousureyouwanttoleavethepagewithoutsavingchanges?Changenotsaved!")</f>
        <v>Areyousureyouwanttoleavethepagewithoutsavingchanges?Changenotsaved!</v>
      </c>
      <c r="B1075" s="2" t="str">
        <f>IFERROR(__xludf.DUMMYFUNCTION("""COMPUTED_VALUE"""),"Are you sure you want to leave the page without saving changes?")</f>
        <v>Are you sure you want to leave the page without saving changes?</v>
      </c>
      <c r="C1075" s="2"/>
      <c r="D1075" s="2" t="str">
        <f>IFERROR(__xludf.DUMMYFUNCTION("""COMPUTED_VALUE"""),"ଆପଣ ନିଶ୍ଚିତ ଭାବରେ ପରିବର୍ତ୍ତନ ନକରି ପୃଷ୍ଠା ଛାଡିବାକୁ ଚାହୁଁଛନ୍ତି କି?")</f>
        <v>ଆପଣ ନିଶ୍ଚିତ ଭାବରେ ପରିବର୍ତ୍ତନ ନକରି ପୃଷ୍ଠା ଛାଡିବାକୁ ଚାହୁଁଛନ୍ତି କି?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 t="str">
        <f>IFERROR(__xludf.DUMMYFUNCTION("""COMPUTED_VALUE"""),"Changenotsaved!")</f>
        <v>Changenotsaved!</v>
      </c>
      <c r="B1076" s="2" t="str">
        <f>IFERROR(__xludf.DUMMYFUNCTION("""COMPUTED_VALUE"""),"Change not saved!")</f>
        <v>Change not saved!</v>
      </c>
      <c r="C1076" s="2"/>
      <c r="D1076" s="2" t="str">
        <f>IFERROR(__xludf.DUMMYFUNCTION("""COMPUTED_VALUE"""),"ପରିବର୍ତ୍ତନ ସଞ୍ଚୟ ହୋଇନାହିଁ!")</f>
        <v>ପରିବର୍ତ୍ତନ ସଞ୍ଚୟ ହୋଇନାହିଁ!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 t="str">
        <f>IFERROR(__xludf.DUMMYFUNCTION("""COMPUTED_VALUE"""),"Userdatauploaded!")</f>
        <v>Userdatauploaded!</v>
      </c>
      <c r="B1077" s="2" t="str">
        <f>IFERROR(__xludf.DUMMYFUNCTION("""COMPUTED_VALUE"""),"User data uploaded!")</f>
        <v>User data uploaded!</v>
      </c>
      <c r="C1077" s="2"/>
      <c r="D1077" s="2" t="str">
        <f>IFERROR(__xludf.DUMMYFUNCTION("""COMPUTED_VALUE"""),"ଉପଯୋଗକର୍ତ୍ତା ତଥ୍ୟ ଅପଲୋଡ୍ ହୋଇଛି!")</f>
        <v>ଉପଯୋଗକର୍ତ୍ତା ତଥ୍ୟ ଅପଲୋଡ୍ ହୋଇଛି!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 t="str">
        <f>IFERROR(__xludf.DUMMYFUNCTION("""COMPUTED_VALUE"""),"MinOrderQuantity")</f>
        <v>MinOrderQuantity</v>
      </c>
      <c r="B1078" s="2" t="str">
        <f>IFERROR(__xludf.DUMMYFUNCTION("""COMPUTED_VALUE"""),"Min Order Quantity")</f>
        <v>Min Order Quantity</v>
      </c>
      <c r="C1078" s="2"/>
      <c r="D1078" s="2" t="str">
        <f>IFERROR(__xludf.DUMMYFUNCTION("""COMPUTED_VALUE"""),"ମିନି ଅର୍ଡର ପରିମାଣ |")</f>
        <v>ମିନି ଅର୍ଡର ପରିମାଣ |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 t="str">
        <f>IFERROR(__xludf.DUMMYFUNCTION("""COMPUTED_VALUE"""),"PaymentDone-AcknowledgementPending")</f>
        <v>PaymentDone-AcknowledgementPending</v>
      </c>
      <c r="B1079" s="2" t="str">
        <f>IFERROR(__xludf.DUMMYFUNCTION("""COMPUTED_VALUE"""),"Payment Done-Acknowledgement Pending")</f>
        <v>Payment Done-Acknowledgement Pending</v>
      </c>
      <c r="C1079" s="2"/>
      <c r="D1079" s="2" t="str">
        <f>IFERROR(__xludf.DUMMYFUNCTION("""COMPUTED_VALUE"""),"ଦେୟ-ସ୍ୱୀକୃତି ବିଚାରାଧୀନ ଅଛି |")</f>
        <v>ଦେୟ-ସ୍ୱୀକୃତି ବିଚାରାଧୀନ ଅଛି |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 t="str">
        <f>IFERROR(__xludf.DUMMYFUNCTION("""COMPUTED_VALUE"""),"DateofPickup")</f>
        <v>DateofPickup</v>
      </c>
      <c r="B1080" s="2" t="str">
        <f>IFERROR(__xludf.DUMMYFUNCTION("""COMPUTED_VALUE"""),"Date of Pickup")</f>
        <v>Date of Pickup</v>
      </c>
      <c r="C1080" s="2"/>
      <c r="D1080" s="2" t="str">
        <f>IFERROR(__xludf.DUMMYFUNCTION("""COMPUTED_VALUE"""),"ପିକଅପ୍ ତାରିଖ")</f>
        <v>ପିକଅପ୍ ତାରିଖ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 t="str">
        <f>IFERROR(__xludf.DUMMYFUNCTION("""COMPUTED_VALUE"""),"06AM-10PM")</f>
        <v>06AM-10PM</v>
      </c>
      <c r="B1081" s="2" t="str">
        <f>IFERROR(__xludf.DUMMYFUNCTION("""COMPUTED_VALUE"""),"06AM-10PM")</f>
        <v>06AM-10PM</v>
      </c>
      <c r="C1081" s="2"/>
      <c r="D1081" s="2" t="str">
        <f>IFERROR(__xludf.DUMMYFUNCTION("""COMPUTED_VALUE"""),"06 AM-10PM")</f>
        <v>06 AM-10PM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 t="str">
        <f>IFERROR(__xludf.DUMMYFUNCTION("""COMPUTED_VALUE"""),"Logistic")</f>
        <v>Logistic</v>
      </c>
      <c r="B1082" s="2" t="str">
        <f>IFERROR(__xludf.DUMMYFUNCTION("""COMPUTED_VALUE"""),"Logistic")</f>
        <v>Logistic</v>
      </c>
      <c r="C1082" s="2"/>
      <c r="D1082" s="2" t="str">
        <f>IFERROR(__xludf.DUMMYFUNCTION("""COMPUTED_VALUE"""),"ଲଜିଷ୍ଟିଷ୍ଟ୍ |")</f>
        <v>ଲଜିଷ୍ଟିଷ୍ଟ୍ |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 t="str">
        <f>IFERROR(__xludf.DUMMYFUNCTION("""COMPUTED_VALUE"""),"NoOrderFound")</f>
        <v>NoOrderFound</v>
      </c>
      <c r="B1083" s="2" t="str">
        <f>IFERROR(__xludf.DUMMYFUNCTION("""COMPUTED_VALUE"""),"No Order Found")</f>
        <v>No Order Found</v>
      </c>
      <c r="C1083" s="2"/>
      <c r="D1083" s="2" t="str">
        <f>IFERROR(__xludf.DUMMYFUNCTION("""COMPUTED_VALUE"""),"କ something ଣସି ଅର୍ଡର ମିଳିଲା ନାହିଁ |")</f>
        <v>କ something ଣସି ଅର୍ଡର ମିଳିଲା ନାହିଁ |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 t="str">
        <f>IFERROR(__xludf.DUMMYFUNCTION("""COMPUTED_VALUE"""),"ProcurementManagement")</f>
        <v>ProcurementManagement</v>
      </c>
      <c r="B1084" s="2" t="str">
        <f>IFERROR(__xludf.DUMMYFUNCTION("""COMPUTED_VALUE"""),"Procurement Management")</f>
        <v>Procurement Management</v>
      </c>
      <c r="C1084" s="2"/>
      <c r="D1084" s="2" t="str">
        <f>IFERROR(__xludf.DUMMYFUNCTION("""COMPUTED_VALUE"""),"ପ୍ରକାଶନ ପରିଚାଳନା")</f>
        <v>ପ୍ରକାଶନ ପରିଚାଳନା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 t="str">
        <f>IFERROR(__xludf.DUMMYFUNCTION("""COMPUTED_VALUE"""),"sortby")</f>
        <v>sortby</v>
      </c>
      <c r="B1085" s="2" t="str">
        <f>IFERROR(__xludf.DUMMYFUNCTION("""COMPUTED_VALUE"""),"sortby")</f>
        <v>sortby</v>
      </c>
      <c r="C1085" s="2"/>
      <c r="D1085" s="2" t="str">
        <f>IFERROR(__xludf.DUMMYFUNCTION("""COMPUTED_VALUE"""),"ସର୍ଟବାଇ")</f>
        <v>ସର୍ଟବାଇ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 t="str">
        <f>IFERROR(__xludf.DUMMYFUNCTION("""COMPUTED_VALUE"""),"NewTrip")</f>
        <v>NewTrip</v>
      </c>
      <c r="B1086" s="2" t="str">
        <f>IFERROR(__xludf.DUMMYFUNCTION("""COMPUTED_VALUE"""),"New Trip")</f>
        <v>New Trip</v>
      </c>
      <c r="C1086" s="2"/>
      <c r="D1086" s="2" t="str">
        <f>IFERROR(__xludf.DUMMYFUNCTION("""COMPUTED_VALUE"""),"ନୂତନ ଯାତ୍ରା")</f>
        <v>ନୂତନ ଯାତ୍ରା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 t="str">
        <f>IFERROR(__xludf.DUMMYFUNCTION("""COMPUTED_VALUE"""),"OngoingTrips")</f>
        <v>OngoingTrips</v>
      </c>
      <c r="B1087" s="2" t="str">
        <f>IFERROR(__xludf.DUMMYFUNCTION("""COMPUTED_VALUE"""),"Ongoing Trips")</f>
        <v>Ongoing Trips</v>
      </c>
      <c r="C1087" s="2"/>
      <c r="D1087" s="2" t="str">
        <f>IFERROR(__xludf.DUMMYFUNCTION("""COMPUTED_VALUE"""),"ଚାଲୁଥିବା ଯାତ୍ରା")</f>
        <v>ଚାଲୁଥିବା ଯାତ୍ରା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 t="str">
        <f>IFERROR(__xludf.DUMMYFUNCTION("""COMPUTED_VALUE"""),"TodaysEarnings:")</f>
        <v>TodaysEarnings:</v>
      </c>
      <c r="B1088" s="2" t="str">
        <f>IFERROR(__xludf.DUMMYFUNCTION("""COMPUTED_VALUE"""),"Todays Earnings:")</f>
        <v>Todays Earnings:</v>
      </c>
      <c r="C1088" s="2"/>
      <c r="D1088" s="2" t="str">
        <f>IFERROR(__xludf.DUMMYFUNCTION("""COMPUTED_VALUE"""),"ଆଜିର ରୋଜଗାର:")</f>
        <v>ଆଜିର ରୋଜଗାର: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 t="str">
        <f>IFERROR(__xludf.DUMMYFUNCTION("""COMPUTED_VALUE"""),"Earningson")</f>
        <v>Earningson</v>
      </c>
      <c r="B1089" s="2" t="str">
        <f>IFERROR(__xludf.DUMMYFUNCTION("""COMPUTED_VALUE"""),"Earnings on")</f>
        <v>Earnings on</v>
      </c>
      <c r="C1089" s="2"/>
      <c r="D1089" s="2" t="str">
        <f>IFERROR(__xludf.DUMMYFUNCTION("""COMPUTED_VALUE"""),"ରୋଜଗାର")</f>
        <v>ରୋଜଗାର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 t="str">
        <f>IFERROR(__xludf.DUMMYFUNCTION("""COMPUTED_VALUE"""),"Week")</f>
        <v>Week</v>
      </c>
      <c r="B1090" s="2" t="str">
        <f>IFERROR(__xludf.DUMMYFUNCTION("""COMPUTED_VALUE"""),"Week")</f>
        <v>Week</v>
      </c>
      <c r="C1090" s="2"/>
      <c r="D1090" s="2" t="str">
        <f>IFERROR(__xludf.DUMMYFUNCTION("""COMPUTED_VALUE"""),"ସପ୍ତାହ")</f>
        <v>ସପ୍ତାହ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 t="str">
        <f>IFERROR(__xludf.DUMMYFUNCTION("""COMPUTED_VALUE"""),"Month")</f>
        <v>Month</v>
      </c>
      <c r="B1091" s="2" t="str">
        <f>IFERROR(__xludf.DUMMYFUNCTION("""COMPUTED_VALUE"""),"Month")</f>
        <v>Month</v>
      </c>
      <c r="C1091" s="2"/>
      <c r="D1091" s="2" t="str">
        <f>IFERROR(__xludf.DUMMYFUNCTION("""COMPUTED_VALUE"""),"ମାସ")</f>
        <v>ମାସ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 t="str">
        <f>IFERROR(__xludf.DUMMYFUNCTION("""COMPUTED_VALUE"""),"CustomerManagement")</f>
        <v>CustomerManagement</v>
      </c>
      <c r="B1092" s="2" t="str">
        <f>IFERROR(__xludf.DUMMYFUNCTION("""COMPUTED_VALUE"""),"Customer Management")</f>
        <v>Customer Management</v>
      </c>
      <c r="C1092" s="2"/>
      <c r="D1092" s="2" t="str">
        <f>IFERROR(__xludf.DUMMYFUNCTION("""COMPUTED_VALUE"""),"ଗ୍ରାହକ ପରିଚାଳନା")</f>
        <v>ଗ୍ରାହକ ପରିଚାଳନା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 t="str">
        <f>IFERROR(__xludf.DUMMYFUNCTION("""COMPUTED_VALUE"""),"About")</f>
        <v>About</v>
      </c>
      <c r="B1093" s="2" t="str">
        <f>IFERROR(__xludf.DUMMYFUNCTION("""COMPUTED_VALUE"""),"About")</f>
        <v>About</v>
      </c>
      <c r="C1093" s="2"/>
      <c r="D1093" s="2" t="str">
        <f>IFERROR(__xludf.DUMMYFUNCTION("""COMPUTED_VALUE"""),"ବିଷୟରେ")</f>
        <v>ବିଷୟରେ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 t="str">
        <f>IFERROR(__xludf.DUMMYFUNCTION("""COMPUTED_VALUE"""),"KYCForm")</f>
        <v>KYCForm</v>
      </c>
      <c r="B1094" s="2" t="str">
        <f>IFERROR(__xludf.DUMMYFUNCTION("""COMPUTED_VALUE"""),"KYC Form")</f>
        <v>KYC Form</v>
      </c>
      <c r="C1094" s="2"/>
      <c r="D1094" s="2" t="str">
        <f>IFERROR(__xludf.DUMMYFUNCTION("""COMPUTED_VALUE"""),"Kyc ফৰ্ম")</f>
        <v>Kyc ফৰ্ম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 t="str">
        <f>IFERROR(__xludf.DUMMYFUNCTION("""COMPUTED_VALUE"""),"PoliceVerification")</f>
        <v>PoliceVerification</v>
      </c>
      <c r="B1095" s="2" t="str">
        <f>IFERROR(__xludf.DUMMYFUNCTION("""COMPUTED_VALUE"""),"Police Verification")</f>
        <v>Police Verification</v>
      </c>
      <c r="C1095" s="2"/>
      <c r="D1095" s="2" t="str">
        <f>IFERROR(__xludf.DUMMYFUNCTION("""COMPUTED_VALUE"""),"ପୋଲିସ ଯାଞ୍ଚ")</f>
        <v>ପୋଲିସ ଯାଞ୍ଚ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 t="str">
        <f>IFERROR(__xludf.DUMMYFUNCTION("""COMPUTED_VALUE"""),"AadharCardNo.")</f>
        <v>AadharCardNo.</v>
      </c>
      <c r="B1096" s="2" t="str">
        <f>IFERROR(__xludf.DUMMYFUNCTION("""COMPUTED_VALUE"""),"Aadhar Card No.")</f>
        <v>Aadhar Card No.</v>
      </c>
      <c r="C1096" s="2"/>
      <c r="D1096" s="2" t="str">
        <f>IFERROR(__xludf.DUMMYFUNCTION("""COMPUTED_VALUE"""),"ଆଧାର କାର୍ଡ ନମ୍ବର")</f>
        <v>ଆଧାର କାର୍ଡ ନମ୍ବର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 t="str">
        <f>IFERROR(__xludf.DUMMYFUNCTION("""COMPUTED_VALUE"""),"PoliceStationName")</f>
        <v>PoliceStationName</v>
      </c>
      <c r="B1097" s="2" t="str">
        <f>IFERROR(__xludf.DUMMYFUNCTION("""COMPUTED_VALUE"""),"Police Station Name")</f>
        <v>Police Station Name</v>
      </c>
      <c r="C1097" s="2"/>
      <c r="D1097" s="2" t="str">
        <f>IFERROR(__xludf.DUMMYFUNCTION("""COMPUTED_VALUE"""),"ପୋଲିସ ଷ୍ଟେସନ ନାମ |")</f>
        <v>ପୋଲିସ ଷ୍ଟେସନ ନାମ |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 t="str">
        <f>IFERROR(__xludf.DUMMYFUNCTION("""COMPUTED_VALUE"""),"LocalityorArea")</f>
        <v>LocalityorArea</v>
      </c>
      <c r="B1098" s="2" t="str">
        <f>IFERROR(__xludf.DUMMYFUNCTION("""COMPUTED_VALUE"""),"Locality or Area")</f>
        <v>Locality or Area</v>
      </c>
      <c r="C1098" s="2"/>
      <c r="D1098" s="2" t="str">
        <f>IFERROR(__xludf.DUMMYFUNCTION("""COMPUTED_VALUE"""),"ସ୍ଥାନୀୟ କିମ୍ବା କ୍ଷେତ୍ର")</f>
        <v>ସ୍ଥାନୀୟ କିମ୍ବା କ୍ଷେତ୍ର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 t="str">
        <f>IFERROR(__xludf.DUMMYFUNCTION("""COMPUTED_VALUE"""),"UploadPoliceVerificationCard")</f>
        <v>UploadPoliceVerificationCard</v>
      </c>
      <c r="B1099" s="2" t="str">
        <f>IFERROR(__xludf.DUMMYFUNCTION("""COMPUTED_VALUE"""),"Upload Police Verification Card")</f>
        <v>Upload Police Verification Card</v>
      </c>
      <c r="C1099" s="2"/>
      <c r="D1099" s="2" t="str">
        <f>IFERROR(__xludf.DUMMYFUNCTION("""COMPUTED_VALUE"""),"ପୋଲିସ ଯାଞ୍ଚ କାର୍ଡ ଅପଲୋଡ୍ କରନ୍ତୁ |")</f>
        <v>ପୋଲିସ ଯାଞ୍ଚ କାର୍ଡ ଅପଲୋଡ୍ କରନ୍ତୁ |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 t="str">
        <f>IFERROR(__xludf.DUMMYFUNCTION("""COMPUTED_VALUE"""),"VehicleDetails")</f>
        <v>VehicleDetails</v>
      </c>
      <c r="B1100" s="2" t="str">
        <f>IFERROR(__xludf.DUMMYFUNCTION("""COMPUTED_VALUE"""),"Vehicle Details")</f>
        <v>Vehicle Details</v>
      </c>
      <c r="C1100" s="2"/>
      <c r="D1100" s="2" t="str">
        <f>IFERROR(__xludf.DUMMYFUNCTION("""COMPUTED_VALUE"""),"ଯାନବାହାହୀନ ବିବରଣୀ")</f>
        <v>ଯାନବାହାହୀନ ବିବରଣୀ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 t="str">
        <f>IFERROR(__xludf.DUMMYFUNCTION("""COMPUTED_VALUE"""),"LicenseType")</f>
        <v>LicenseType</v>
      </c>
      <c r="B1101" s="2" t="str">
        <f>IFERROR(__xludf.DUMMYFUNCTION("""COMPUTED_VALUE"""),"License Type")</f>
        <v>License Type</v>
      </c>
      <c r="C1101" s="2"/>
      <c r="D1101" s="2" t="str">
        <f>IFERROR(__xludf.DUMMYFUNCTION("""COMPUTED_VALUE"""),"ଲାଇସେନ୍ସ ପ୍ରକାର |")</f>
        <v>ଲାଇସେନ୍ସ ପ୍ରକାର |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 t="str">
        <f>IFERROR(__xludf.DUMMYFUNCTION("""COMPUTED_VALUE"""),"ValidUpto")</f>
        <v>ValidUpto</v>
      </c>
      <c r="B1102" s="2" t="str">
        <f>IFERROR(__xludf.DUMMYFUNCTION("""COMPUTED_VALUE"""),"Valid Upto")</f>
        <v>Valid Upto</v>
      </c>
      <c r="C1102" s="2"/>
      <c r="D1102" s="2" t="str">
        <f>IFERROR(__xludf.DUMMYFUNCTION("""COMPUTED_VALUE"""),"ବ valid ଧ ଅନ୍ଟୋ |")</f>
        <v>ବ valid ଧ ଅନ୍ଟୋ |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 t="str">
        <f>IFERROR(__xludf.DUMMYFUNCTION("""COMPUTED_VALUE"""),"IssuingState")</f>
        <v>IssuingState</v>
      </c>
      <c r="B1103" s="2" t="str">
        <f>IFERROR(__xludf.DUMMYFUNCTION("""COMPUTED_VALUE"""),"Issuing State")</f>
        <v>Issuing State</v>
      </c>
      <c r="C1103" s="2"/>
      <c r="D1103" s="2" t="str">
        <f>IFERROR(__xludf.DUMMYFUNCTION("""COMPUTED_VALUE"""),"ରାଜ୍ୟ ପ୍ରଦାନ")</f>
        <v>ରାଜ୍ୟ ପ୍ରଦାନ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 t="str">
        <f>IFERROR(__xludf.DUMMYFUNCTION("""COMPUTED_VALUE"""),"VehicleNumber")</f>
        <v>VehicleNumber</v>
      </c>
      <c r="B1104" s="2" t="str">
        <f>IFERROR(__xludf.DUMMYFUNCTION("""COMPUTED_VALUE"""),"Vehicle Number")</f>
        <v>Vehicle Number</v>
      </c>
      <c r="C1104" s="2"/>
      <c r="D1104" s="2" t="str">
        <f>IFERROR(__xludf.DUMMYFUNCTION("""COMPUTED_VALUE"""),"ଯାନ ସଂଖ୍ୟା")</f>
        <v>ଯାନ ସଂଖ୍ୟା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 t="str">
        <f>IFERROR(__xludf.DUMMYFUNCTION("""COMPUTED_VALUE"""),"ValidFrom")</f>
        <v>ValidFrom</v>
      </c>
      <c r="B1105" s="2" t="str">
        <f>IFERROR(__xludf.DUMMYFUNCTION("""COMPUTED_VALUE"""),"Valid From")</f>
        <v>Valid From</v>
      </c>
      <c r="C1105" s="2"/>
      <c r="D1105" s="2" t="str">
        <f>IFERROR(__xludf.DUMMYFUNCTION("""COMPUTED_VALUE"""),"ଠାରୁ ବ valid ଧ |")</f>
        <v>ଠାରୁ ବ valid ଧ |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 t="str">
        <f>IFERROR(__xludf.DUMMYFUNCTION("""COMPUTED_VALUE"""),"DewormingCertificate")</f>
        <v>DewormingCertificate</v>
      </c>
      <c r="B1106" s="2" t="str">
        <f>IFERROR(__xludf.DUMMYFUNCTION("""COMPUTED_VALUE"""),"Deworming Certificate")</f>
        <v>Deworming Certificate</v>
      </c>
      <c r="C1106" s="2"/>
      <c r="D1106" s="2" t="str">
        <f>IFERROR(__xludf.DUMMYFUNCTION("""COMPUTED_VALUE"""),"ଡିଉମୋର୍ମିଙ୍ଗ୍ ସାର୍ଟିଫିକେଟ୍ |")</f>
        <v>ଡିଉମୋର୍ମିଙ୍ଗ୍ ସାର୍ଟିଫିକେଟ୍ |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 t="str">
        <f>IFERROR(__xludf.DUMMYFUNCTION("""COMPUTED_VALUE"""),"UploadDewormingCertificate")</f>
        <v>UploadDewormingCertificate</v>
      </c>
      <c r="B1107" s="2" t="str">
        <f>IFERROR(__xludf.DUMMYFUNCTION("""COMPUTED_VALUE"""),"Upload Deworming Certificate")</f>
        <v>Upload Deworming Certificate</v>
      </c>
      <c r="C1107" s="2"/>
      <c r="D1107" s="2" t="str">
        <f>IFERROR(__xludf.DUMMYFUNCTION("""COMPUTED_VALUE"""),"Deworming ସାର୍ଟିଫିକେଟ୍ ଅପଲୋଡ୍ କରନ୍ତୁ |")</f>
        <v>Deworming ସାର୍ଟିଫିକେଟ୍ ଅପଲୋଡ୍ କରନ୍ତୁ |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 t="str">
        <f>IFERROR(__xludf.DUMMYFUNCTION("""COMPUTED_VALUE"""),"EditProfileDocs")</f>
        <v>EditProfileDocs</v>
      </c>
      <c r="B1108" s="2" t="str">
        <f>IFERROR(__xludf.DUMMYFUNCTION("""COMPUTED_VALUE"""),"Edit Profile Docs")</f>
        <v>Edit Profile Docs</v>
      </c>
      <c r="C1108" s="2"/>
      <c r="D1108" s="2" t="str">
        <f>IFERROR(__xludf.DUMMYFUNCTION("""COMPUTED_VALUE"""),"ପ୍ରୋଫାଇଲ୍ ଡକସ୍ ସଂପାଦନ କରନ୍ତୁ |")</f>
        <v>ପ୍ରୋଫାଇଲ୍ ଡକସ୍ ସଂପାଦନ କରନ୍ତୁ |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 t="str">
        <f>IFERROR(__xludf.DUMMYFUNCTION("""COMPUTED_VALUE"""),"UploadVehicleInsurance")</f>
        <v>UploadVehicleInsurance</v>
      </c>
      <c r="B1109" s="2" t="str">
        <f>IFERROR(__xludf.DUMMYFUNCTION("""COMPUTED_VALUE"""),"Upload Vehicle Insurance")</f>
        <v>Upload Vehicle Insurance</v>
      </c>
      <c r="C1109" s="2"/>
      <c r="D1109" s="2" t="str">
        <f>IFERROR(__xludf.DUMMYFUNCTION("""COMPUTED_VALUE"""),"ଯାନବାହାନ ବୀମା ଅପଲୋଡ୍ କରନ୍ତୁ |")</f>
        <v>ଯାନବାହାନ ବୀମା ଅପଲୋଡ୍ କରନ୍ତୁ |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 t="str">
        <f>IFERROR(__xludf.DUMMYFUNCTION("""COMPUTED_VALUE"""),"UploadRCLicense")</f>
        <v>UploadRCLicense</v>
      </c>
      <c r="B1110" s="2" t="str">
        <f>IFERROR(__xludf.DUMMYFUNCTION("""COMPUTED_VALUE"""),"Upload RC License")</f>
        <v>Upload RC License</v>
      </c>
      <c r="C1110" s="2"/>
      <c r="D1110" s="2" t="str">
        <f>IFERROR(__xludf.DUMMYFUNCTION("""COMPUTED_VALUE"""),"RC ଲାଇସେନ୍ସ ଅପଲୋଡ୍ କରନ୍ତୁ |")</f>
        <v>RC ଲାଇସେନ୍ସ ଅପଲୋଡ୍ କରନ୍ତୁ |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 t="str">
        <f>IFERROR(__xludf.DUMMYFUNCTION("""COMPUTED_VALUE"""),"FlatRate")</f>
        <v>FlatRate</v>
      </c>
      <c r="B1111" s="2" t="str">
        <f>IFERROR(__xludf.DUMMYFUNCTION("""COMPUTED_VALUE"""),"Flat Rate")</f>
        <v>Flat Rate</v>
      </c>
      <c r="C1111" s="2"/>
      <c r="D1111" s="2" t="str">
        <f>IFERROR(__xludf.DUMMYFUNCTION("""COMPUTED_VALUE"""),"ସମାନ ମୂଲ୍ୟ")</f>
        <v>ସମାନ ମୂଲ୍ୟ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 t="str">
        <f>IFERROR(__xludf.DUMMYFUNCTION("""COMPUTED_VALUE"""),"EditVehicleDocs")</f>
        <v>EditVehicleDocs</v>
      </c>
      <c r="B1112" s="2" t="str">
        <f>IFERROR(__xludf.DUMMYFUNCTION("""COMPUTED_VALUE"""),"Edit Vehicle Docs")</f>
        <v>Edit Vehicle Docs</v>
      </c>
      <c r="C1112" s="2"/>
      <c r="D1112" s="2" t="str">
        <f>IFERROR(__xludf.DUMMYFUNCTION("""COMPUTED_VALUE"""),"ଯାନ ଡକସ୍ ସଂପାଦନ କରନ୍ତୁ |")</f>
        <v>ଯାନ ଡକସ୍ ସଂପାଦନ କରନ୍ତୁ |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 t="str">
        <f>IFERROR(__xludf.DUMMYFUNCTION("""COMPUTED_VALUE"""),"DoYouWanttoLogOut?")</f>
        <v>DoYouWanttoLogOut?</v>
      </c>
      <c r="B1113" s="2" t="str">
        <f>IFERROR(__xludf.DUMMYFUNCTION("""COMPUTED_VALUE"""),"Do You Want to Log Out?")</f>
        <v>Do You Want to Log Out?</v>
      </c>
      <c r="C1113" s="2"/>
      <c r="D1113" s="2" t="str">
        <f>IFERROR(__xludf.DUMMYFUNCTION("""COMPUTED_VALUE"""),"ଆପଣ ଲଗ୍ ଆଉଟ୍ କରିବାକୁ ଚାହୁଁଛନ୍ତି କି?")</f>
        <v>ଆପଣ ଲଗ୍ ଆଉଟ୍ କରିବାକୁ ଚାହୁଁଛନ୍ତି କି?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</sheetData>
  <hyperlinks>
    <hyperlink r:id="rId1" ref="A983"/>
    <hyperlink r:id="rId2" ref="B983"/>
    <hyperlink r:id="rId3" ref="D983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IFERROR(__xludf.DUMMYFUNCTION("IMPORTRANGE(""https://docs.google.com/spreadsheets/d/1-xMWtbM8VwlM_yPQB8AEBkGO0uJ6piGIyDDsO8zqSpk"",""Kannada!A:z"")"),"Sr")</f>
        <v>Sr</v>
      </c>
      <c r="B1" s="2" t="str">
        <f>IFERROR(__xludf.DUMMYFUNCTION("""COMPUTED_VALUE"""),"Eng")</f>
        <v>Eng</v>
      </c>
      <c r="C1" s="2" t="str">
        <f>IFERROR(__xludf.DUMMYFUNCTION("""COMPUTED_VALUE"""),"Kannada")</f>
        <v>Kannada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tr">
        <f>IFERROR(__xludf.DUMMYFUNCTION("""COMPUTED_VALUE"""),"item")</f>
        <v>item</v>
      </c>
      <c r="B2" s="2" t="str">
        <f>IFERROR(__xludf.DUMMYFUNCTION("""COMPUTED_VALUE"""),"Item")</f>
        <v>Item</v>
      </c>
      <c r="C2" s="2" t="str">
        <f>IFERROR(__xludf.DUMMYFUNCTION("""COMPUTED_VALUE"""),"ವಾಸ್ತು")</f>
        <v>ವಾಸ್ತು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tr">
        <f>IFERROR(__xludf.DUMMYFUNCTION("""COMPUTED_VALUE"""),"productItem")</f>
        <v>productItem</v>
      </c>
      <c r="B3" s="2" t="str">
        <f>IFERROR(__xludf.DUMMYFUNCTION("""COMPUTED_VALUE"""),"Product Item")</f>
        <v>Product Item</v>
      </c>
      <c r="C3" s="2" t="str">
        <f>IFERROR(__xludf.DUMMYFUNCTION("""COMPUTED_VALUE"""),"ಉತ್ಪನ್ನದ ವಸ್ತುಗಳು")</f>
        <v>ಉತ್ಪನ್ನದ ವಸ್ತುಗಳು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tr">
        <f>IFERROR(__xludf.DUMMYFUNCTION("""COMPUTED_VALUE"""),"price")</f>
        <v>price</v>
      </c>
      <c r="B4" s="2" t="str">
        <f>IFERROR(__xludf.DUMMYFUNCTION("""COMPUTED_VALUE"""),"Price")</f>
        <v>Price</v>
      </c>
      <c r="C4" s="2" t="str">
        <f>IFERROR(__xludf.DUMMYFUNCTION("""COMPUTED_VALUE"""),"ಬೆಲೆ")</f>
        <v>ಬೆಲೆ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tr">
        <f>IFERROR(__xludf.DUMMYFUNCTION("""COMPUTED_VALUE"""),"cost")</f>
        <v>cost</v>
      </c>
      <c r="B5" s="2" t="str">
        <f>IFERROR(__xludf.DUMMYFUNCTION("""COMPUTED_VALUE"""),"Cost")</f>
        <v>Cost</v>
      </c>
      <c r="C5" s="2" t="str">
        <f>IFERROR(__xludf.DUMMYFUNCTION("""COMPUTED_VALUE"""),"ಬೆಲೆ")</f>
        <v>ಬೆಲೆ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tr">
        <f>IFERROR(__xludf.DUMMYFUNCTION("""COMPUTED_VALUE"""),"favourities")</f>
        <v>favourities</v>
      </c>
      <c r="B6" s="2" t="str">
        <f>IFERROR(__xludf.DUMMYFUNCTION("""COMPUTED_VALUE"""),"Favourites")</f>
        <v>Favourites</v>
      </c>
      <c r="C6" s="2" t="str">
        <f>IFERROR(__xludf.DUMMYFUNCTION("""COMPUTED_VALUE"""),"ಮೆಚ್ಚಿನವುಗಳು")</f>
        <v>ಮೆಚ್ಚಿನವುಗಳು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tr">
        <f>IFERROR(__xludf.DUMMYFUNCTION("""COMPUTED_VALUE"""),"mobile")</f>
        <v>mobile</v>
      </c>
      <c r="B7" s="2" t="str">
        <f>IFERROR(__xludf.DUMMYFUNCTION("""COMPUTED_VALUE"""),"Mobile")</f>
        <v>Mobile</v>
      </c>
      <c r="C7" s="2" t="str">
        <f>IFERROR(__xludf.DUMMYFUNCTION("""COMPUTED_VALUE"""),"ಮೊಬೈರಿ")</f>
        <v>ಮೊಬೈರಿ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tr">
        <f>IFERROR(__xludf.DUMMYFUNCTION("""COMPUTED_VALUE"""),"address")</f>
        <v>address</v>
      </c>
      <c r="B8" s="2" t="str">
        <f>IFERROR(__xludf.DUMMYFUNCTION("""COMPUTED_VALUE"""),"Address")</f>
        <v>Address</v>
      </c>
      <c r="C8" s="2" t="str">
        <f>IFERROR(__xludf.DUMMYFUNCTION("""COMPUTED_VALUE"""),"ಭಾಷಣ")</f>
        <v>ಭಾಷಣ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tr">
        <f>IFERROR(__xludf.DUMMYFUNCTION("""COMPUTED_VALUE"""),"error")</f>
        <v>error</v>
      </c>
      <c r="B9" s="2" t="str">
        <f>IFERROR(__xludf.DUMMYFUNCTION("""COMPUTED_VALUE"""),"Error ")</f>
        <v>Error </v>
      </c>
      <c r="C9" s="2" t="str">
        <f>IFERROR(__xludf.DUMMYFUNCTION("""COMPUTED_VALUE"""),"ದೋಷ")</f>
        <v>ದೋಷ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tr">
        <f>IFERROR(__xludf.DUMMYFUNCTION("""COMPUTED_VALUE"""),"selectLanguage")</f>
        <v>selectLanguage</v>
      </c>
      <c r="B10" s="2" t="str">
        <f>IFERROR(__xludf.DUMMYFUNCTION("""COMPUTED_VALUE"""),"Select Language")</f>
        <v>Select Language</v>
      </c>
      <c r="C10" s="2" t="str">
        <f>IFERROR(__xludf.DUMMYFUNCTION("""COMPUTED_VALUE"""),"ಭಾಷೆಯನ್ನು ಆಯ್ಕೆಮಾಡಿ")</f>
        <v>ಭಾಷೆಯನ್ನು ಆಯ್ಕೆಮಾಡಿ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tr">
        <f>IFERROR(__xludf.DUMMYFUNCTION("""COMPUTED_VALUE"""),"alternatemobile")</f>
        <v>alternatemobile</v>
      </c>
      <c r="B11" s="2" t="str">
        <f>IFERROR(__xludf.DUMMYFUNCTION("""COMPUTED_VALUE"""),"Alternate Mobile")</f>
        <v>Alternate Mobile</v>
      </c>
      <c r="C11" s="2" t="str">
        <f>IFERROR(__xludf.DUMMYFUNCTION("""COMPUTED_VALUE"""),"ಪರ್ಯಾಯ ಮೊಬೈಲ್")</f>
        <v>ಪರ್ಯಾಯ ಮೊಬೈಲ್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tr">
        <f>IFERROR(__xludf.DUMMYFUNCTION("""COMPUTED_VALUE"""),"vegetarian")</f>
        <v>vegetarian</v>
      </c>
      <c r="B12" s="2" t="str">
        <f>IFERROR(__xludf.DUMMYFUNCTION("""COMPUTED_VALUE"""),"Vegetarian")</f>
        <v>Vegetarian</v>
      </c>
      <c r="C12" s="2" t="str">
        <f>IFERROR(__xludf.DUMMYFUNCTION("""COMPUTED_VALUE"""),"ಸಸ್ಯಾಹಾರಿ")</f>
        <v>ಸಸ್ಯಾಹಾರಿ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tr">
        <f>IFERROR(__xludf.DUMMYFUNCTION("""COMPUTED_VALUE"""),"nonVegetarian")</f>
        <v>nonVegetarian</v>
      </c>
      <c r="B13" s="2" t="str">
        <f>IFERROR(__xludf.DUMMYFUNCTION("""COMPUTED_VALUE"""),"Non-Vegetarian")</f>
        <v>Non-Vegetarian</v>
      </c>
      <c r="C13" s="2" t="str">
        <f>IFERROR(__xludf.DUMMYFUNCTION("""COMPUTED_VALUE"""),"ಮಾಂಸಾಹಾರಿ")</f>
        <v>ಮಾಂಸಾಹಾರಿ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tr">
        <f>IFERROR(__xludf.DUMMYFUNCTION("""COMPUTED_VALUE"""),"manageemployee")</f>
        <v>manageemployee</v>
      </c>
      <c r="B14" s="2" t="str">
        <f>IFERROR(__xludf.DUMMYFUNCTION("""COMPUTED_VALUE"""),"Manage Employee")</f>
        <v>Manage Employee</v>
      </c>
      <c r="C14" s="2" t="str">
        <f>IFERROR(__xludf.DUMMYFUNCTION("""COMPUTED_VALUE"""),"ಉದ್ಯೋಗಿಯನ್ನು ನಿರ್ವಹಿಸಿ")</f>
        <v>ಉದ್ಯೋಗಿಯನ್ನು ನಿರ್ವಹಿಸಿ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tr">
        <f>IFERROR(__xludf.DUMMYFUNCTION("""COMPUTED_VALUE"""),"compliant")</f>
        <v>compliant</v>
      </c>
      <c r="B15" s="2" t="str">
        <f>IFERROR(__xludf.DUMMYFUNCTION("""COMPUTED_VALUE"""),"Compliant")</f>
        <v>Compliant</v>
      </c>
      <c r="C15" s="2" t="str">
        <f>IFERROR(__xludf.DUMMYFUNCTION("""COMPUTED_VALUE"""),"ಅನುಸರಣಾ")</f>
        <v>ಅನುಸರಣಾ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tr">
        <f>IFERROR(__xludf.DUMMYFUNCTION("""COMPUTED_VALUE"""),"proceed")</f>
        <v>proceed</v>
      </c>
      <c r="B16" s="2" t="str">
        <f>IFERROR(__xludf.DUMMYFUNCTION("""COMPUTED_VALUE"""),"Proceed")</f>
        <v>Proceed</v>
      </c>
      <c r="C16" s="2" t="str">
        <f>IFERROR(__xludf.DUMMYFUNCTION("""COMPUTED_VALUE"""),"ಮುಂದುವರೆಯಲು")</f>
        <v>ಮುಂದುವರೆಯಲು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tr">
        <f>IFERROR(__xludf.DUMMYFUNCTION("""COMPUTED_VALUE"""),"filters")</f>
        <v>filters</v>
      </c>
      <c r="B17" s="2" t="str">
        <f>IFERROR(__xludf.DUMMYFUNCTION("""COMPUTED_VALUE"""),"Filters")</f>
        <v>Filters</v>
      </c>
      <c r="C17" s="2" t="str">
        <f>IFERROR(__xludf.DUMMYFUNCTION("""COMPUTED_VALUE"""),"ಕಸಾಯಿಖಾನೆ")</f>
        <v>ಕಸಾಯಿಖಾನೆ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tr">
        <f>IFERROR(__xludf.DUMMYFUNCTION("""COMPUTED_VALUE"""),"sortBy")</f>
        <v>sortBy</v>
      </c>
      <c r="B18" s="2" t="str">
        <f>IFERROR(__xludf.DUMMYFUNCTION("""COMPUTED_VALUE"""),"Sort By")</f>
        <v>Sort By</v>
      </c>
      <c r="C18" s="2" t="str">
        <f>IFERROR(__xludf.DUMMYFUNCTION("""COMPUTED_VALUE"""),"ವಿಂಗಡಿಸು")</f>
        <v>ವಿಂಗಡಿಸು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tr">
        <f>IFERROR(__xludf.DUMMYFUNCTION("""COMPUTED_VALUE"""),"expiresin")</f>
        <v>expiresin</v>
      </c>
      <c r="B19" s="2" t="str">
        <f>IFERROR(__xludf.DUMMYFUNCTION("""COMPUTED_VALUE"""),"Expires in")</f>
        <v>Expires in</v>
      </c>
      <c r="C19" s="2" t="str">
        <f>IFERROR(__xludf.DUMMYFUNCTION("""COMPUTED_VALUE"""),"ಮುಕ್ತಾಯಗೊಳ್ಳುತ್ತದೆ")</f>
        <v>ಮುಕ್ತಾಯಗೊಳ್ಳುತ್ತದೆ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tr">
        <f>IFERROR(__xludf.DUMMYFUNCTION("""COMPUTED_VALUE"""),"ratings")</f>
        <v>ratings</v>
      </c>
      <c r="B20" s="2" t="str">
        <f>IFERROR(__xludf.DUMMYFUNCTION("""COMPUTED_VALUE"""),"Ratings")</f>
        <v>Ratings</v>
      </c>
      <c r="C20" s="2" t="str">
        <f>IFERROR(__xludf.DUMMYFUNCTION("""COMPUTED_VALUE"""),"ರೇಟಿಂಗ್")</f>
        <v>ರೇಟಿಂಗ್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tr">
        <f>IFERROR(__xludf.DUMMYFUNCTION("""COMPUTED_VALUE"""),"nearYou")</f>
        <v>nearYou</v>
      </c>
      <c r="B21" s="2" t="str">
        <f>IFERROR(__xludf.DUMMYFUNCTION("""COMPUTED_VALUE"""),"Near You")</f>
        <v>Near You</v>
      </c>
      <c r="C21" s="2" t="str">
        <f>IFERROR(__xludf.DUMMYFUNCTION("""COMPUTED_VALUE"""),"ನಿನ್ನ ಹತ್ತಿರ")</f>
        <v>ನಿನ್ನ ಹತ್ತಿರ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tr">
        <f>IFERROR(__xludf.DUMMYFUNCTION("""COMPUTED_VALUE"""),"mobileNumber")</f>
        <v>mobileNumber</v>
      </c>
      <c r="B22" s="2" t="str">
        <f>IFERROR(__xludf.DUMMYFUNCTION("""COMPUTED_VALUE"""),"Mobile Number")</f>
        <v>Mobile Number</v>
      </c>
      <c r="C22" s="2" t="str">
        <f>IFERROR(__xludf.DUMMYFUNCTION("""COMPUTED_VALUE"""),"ಮೊಬೈಲ್ ನಂಬರ")</f>
        <v>ಮೊಬೈಲ್ ನಂಬರ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tr">
        <f>IFERROR(__xludf.DUMMYFUNCTION("""COMPUTED_VALUE"""),"otp")</f>
        <v>otp</v>
      </c>
      <c r="B23" s="2" t="str">
        <f>IFERROR(__xludf.DUMMYFUNCTION("""COMPUTED_VALUE"""),"OTP")</f>
        <v>OTP</v>
      </c>
      <c r="C23" s="2" t="str">
        <f>IFERROR(__xludf.DUMMYFUNCTION("""COMPUTED_VALUE"""),"ಒತ್ತು")</f>
        <v>ಒತ್ತು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tr">
        <f>IFERROR(__xludf.DUMMYFUNCTION("""COMPUTED_VALUE"""),"uploadidentityproof")</f>
        <v>uploadidentityproof</v>
      </c>
      <c r="B24" s="2" t="str">
        <f>IFERROR(__xludf.DUMMYFUNCTION("""COMPUTED_VALUE"""),"Upload Identity Proof")</f>
        <v>Upload Identity Proof</v>
      </c>
      <c r="C24" s="2" t="str">
        <f>IFERROR(__xludf.DUMMYFUNCTION("""COMPUTED_VALUE"""),"ಗುರುತಿನ ಪುರಾವೆ ಅಪ್‌ಲೋಡ್ ಮಾಡಿ")</f>
        <v>ಗುರುತಿನ ಪುರಾವೆ ಅಪ್‌ಲೋಡ್ ಮಾಡಿ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tr">
        <f>IFERROR(__xludf.DUMMYFUNCTION("""COMPUTED_VALUE"""),"call")</f>
        <v>call</v>
      </c>
      <c r="B25" s="2" t="str">
        <f>IFERROR(__xludf.DUMMYFUNCTION("""COMPUTED_VALUE"""),"Call")</f>
        <v>Call</v>
      </c>
      <c r="C25" s="2" t="str">
        <f>IFERROR(__xludf.DUMMYFUNCTION("""COMPUTED_VALUE"""),"ಕರೆಯಿಸು")</f>
        <v>ಕರೆಯಿಸು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tr">
        <f>IFERROR(__xludf.DUMMYFUNCTION("""COMPUTED_VALUE"""),"sms")</f>
        <v>sms</v>
      </c>
      <c r="B26" s="2" t="str">
        <f>IFERROR(__xludf.DUMMYFUNCTION("""COMPUTED_VALUE"""),"SMS")</f>
        <v>SMS</v>
      </c>
      <c r="C26" s="2" t="str">
        <f>IFERROR(__xludf.DUMMYFUNCTION("""COMPUTED_VALUE"""),"ಎಸ್‌ಎಂಎಸ್")</f>
        <v>ಎಸ್‌ಎಂಎಸ್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tr">
        <f>IFERROR(__xludf.DUMMYFUNCTION("""COMPUTED_VALUE"""),"whatsApp")</f>
        <v>whatsApp</v>
      </c>
      <c r="B27" s="2" t="str">
        <f>IFERROR(__xludf.DUMMYFUNCTION("""COMPUTED_VALUE"""),"WhatsApp")</f>
        <v>WhatsApp</v>
      </c>
      <c r="C27" s="2" t="str">
        <f>IFERROR(__xludf.DUMMYFUNCTION("""COMPUTED_VALUE"""),"ವಾಟ್ಸಾಪ್")</f>
        <v>ವಾಟ್ಸಾಪ್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tr">
        <f>IFERROR(__xludf.DUMMYFUNCTION("""COMPUTED_VALUE"""),"orderAgain")</f>
        <v>orderAgain</v>
      </c>
      <c r="B28" s="2" t="str">
        <f>IFERROR(__xludf.DUMMYFUNCTION("""COMPUTED_VALUE"""),"Order Again")</f>
        <v>Order Again</v>
      </c>
      <c r="C28" s="2" t="str">
        <f>IFERROR(__xludf.DUMMYFUNCTION("""COMPUTED_VALUE"""),"ಮತ್ತೆ ಆದೇಶಿಸಿ")</f>
        <v>ಮತ್ತೆ ಆದೇಶಿಸಿ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tr">
        <f>IFERROR(__xludf.DUMMYFUNCTION("""COMPUTED_VALUE"""),"currentLocation")</f>
        <v>currentLocation</v>
      </c>
      <c r="B29" s="2" t="str">
        <f>IFERROR(__xludf.DUMMYFUNCTION("""COMPUTED_VALUE"""),"Current Location")</f>
        <v>Current Location</v>
      </c>
      <c r="C29" s="2" t="str">
        <f>IFERROR(__xludf.DUMMYFUNCTION("""COMPUTED_VALUE"""),"ಈಗಿನ ಸ್ಥಳ")</f>
        <v>ಈಗಿನ ಸ್ಥಳ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tr">
        <f>IFERROR(__xludf.DUMMYFUNCTION("""COMPUTED_VALUE"""),"usingGps")</f>
        <v>usingGps</v>
      </c>
      <c r="B30" s="2" t="str">
        <f>IFERROR(__xludf.DUMMYFUNCTION("""COMPUTED_VALUE"""),"Using GPS")</f>
        <v>Using GPS</v>
      </c>
      <c r="C30" s="2" t="str">
        <f>IFERROR(__xludf.DUMMYFUNCTION("""COMPUTED_VALUE"""),"ಜಿಪಿಎಸ್ ಬಳಸುವುದು")</f>
        <v>ಜಿಪಿಎಸ್ ಬಳಸುವುದು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tr">
        <f>IFERROR(__xludf.DUMMYFUNCTION("""COMPUTED_VALUE"""),"frequentlyUsed")</f>
        <v>frequentlyUsed</v>
      </c>
      <c r="B31" s="2" t="str">
        <f>IFERROR(__xludf.DUMMYFUNCTION("""COMPUTED_VALUE"""),"Frequently Used")</f>
        <v>Frequently Used</v>
      </c>
      <c r="C31" s="2" t="str">
        <f>IFERROR(__xludf.DUMMYFUNCTION("""COMPUTED_VALUE"""),"ಆಗಾಗ್ಗೆ ಬಳಸಲಾಗುತ್ತದೆ")</f>
        <v>ಆಗಾಗ್ಗೆ ಬಳಸಲಾಗುತ್ತದೆ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tr">
        <f>IFERROR(__xludf.DUMMYFUNCTION("""COMPUTED_VALUE"""),"other")</f>
        <v>other</v>
      </c>
      <c r="B32" s="2" t="str">
        <f>IFERROR(__xludf.DUMMYFUNCTION("""COMPUTED_VALUE"""),"Other ")</f>
        <v>Other </v>
      </c>
      <c r="C32" s="2" t="str">
        <f>IFERROR(__xludf.DUMMYFUNCTION("""COMPUTED_VALUE"""),"ಬೇರೆ")</f>
        <v>ಬೇರೆ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tr">
        <f>IFERROR(__xludf.DUMMYFUNCTION("""COMPUTED_VALUE"""),"work")</f>
        <v>work</v>
      </c>
      <c r="B33" s="2" t="str">
        <f>IFERROR(__xludf.DUMMYFUNCTION("""COMPUTED_VALUE"""),"Work ")</f>
        <v>Work </v>
      </c>
      <c r="C33" s="2" t="str">
        <f>IFERROR(__xludf.DUMMYFUNCTION("""COMPUTED_VALUE"""),"ಕೆಲಸ")</f>
        <v>ಕೆಲಸ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tr">
        <f>IFERROR(__xludf.DUMMYFUNCTION("""COMPUTED_VALUE"""),"home")</f>
        <v>home</v>
      </c>
      <c r="B34" s="2" t="str">
        <f>IFERROR(__xludf.DUMMYFUNCTION("""COMPUTED_VALUE"""),"Home ")</f>
        <v>Home </v>
      </c>
      <c r="C34" s="2" t="str">
        <f>IFERROR(__xludf.DUMMYFUNCTION("""COMPUTED_VALUE"""),"ಮನೆ")</f>
        <v>ಮನೆ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tr">
        <f>IFERROR(__xludf.DUMMYFUNCTION("""COMPUTED_VALUE"""),"recentSearch")</f>
        <v>recentSearch</v>
      </c>
      <c r="B35" s="2" t="str">
        <f>IFERROR(__xludf.DUMMYFUNCTION("""COMPUTED_VALUE"""),"Recent Search ")</f>
        <v>Recent Search </v>
      </c>
      <c r="C35" s="2" t="str">
        <f>IFERROR(__xludf.DUMMYFUNCTION("""COMPUTED_VALUE"""),"ಇತ್ತೀಚಿನ ಹುಡುಕಾಟ")</f>
        <v>ಇತ್ತೀಚಿನ ಹುಡುಕಾಟ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tr">
        <f>IFERROR(__xludf.DUMMYFUNCTION("""COMPUTED_VALUE"""),"selectLocation")</f>
        <v>selectLocation</v>
      </c>
      <c r="B36" s="2" t="str">
        <f>IFERROR(__xludf.DUMMYFUNCTION("""COMPUTED_VALUE"""),"Select Location")</f>
        <v>Select Location</v>
      </c>
      <c r="C36" s="2" t="str">
        <f>IFERROR(__xludf.DUMMYFUNCTION("""COMPUTED_VALUE"""),"ಸ್ಥಳವನ್ನು ಆಯ್ಕೆಮಾಡಿ")</f>
        <v>ಸ್ಥಳವನ್ನು ಆಯ್ಕೆಮಾಡಿ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tr">
        <f>IFERROR(__xludf.DUMMYFUNCTION("""COMPUTED_VALUE"""),"change")</f>
        <v>change</v>
      </c>
      <c r="B37" s="2" t="str">
        <f>IFERROR(__xludf.DUMMYFUNCTION("""COMPUTED_VALUE"""),"Change")</f>
        <v>Change</v>
      </c>
      <c r="C37" s="2" t="str">
        <f>IFERROR(__xludf.DUMMYFUNCTION("""COMPUTED_VALUE"""),"ಬದಲಾವಣೆ")</f>
        <v>ಬದಲಾವಣೆ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tr">
        <f>IFERROR(__xludf.DUMMYFUNCTION("""COMPUTED_VALUE"""),"confirmLocation")</f>
        <v>confirmLocation</v>
      </c>
      <c r="B38" s="2" t="str">
        <f>IFERROR(__xludf.DUMMYFUNCTION("""COMPUTED_VALUE"""),"Confirm Location")</f>
        <v>Confirm Location</v>
      </c>
      <c r="C38" s="2" t="str">
        <f>IFERROR(__xludf.DUMMYFUNCTION("""COMPUTED_VALUE"""),"ಸ್ಥಳವನ್ನು ದೃ irm ೀಕರಿಸಿ")</f>
        <v>ಸ್ಥಳವನ್ನು ದೃ irm ೀಕರಿಸಿ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tr">
        <f>IFERROR(__xludf.DUMMYFUNCTION("""COMPUTED_VALUE"""),"distanceLessThan")</f>
        <v>distanceLessThan</v>
      </c>
      <c r="B39" s="2" t="str">
        <f>IFERROR(__xludf.DUMMYFUNCTION("""COMPUTED_VALUE"""),"Distance less than ")</f>
        <v>Distance less than </v>
      </c>
      <c r="C39" s="2" t="str">
        <f>IFERROR(__xludf.DUMMYFUNCTION("""COMPUTED_VALUE"""),"ಕಡಿಮೆ ದೂರ")</f>
        <v>ಕಡಿಮೆ ದೂರ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tr">
        <f>IFERROR(__xludf.DUMMYFUNCTION("""COMPUTED_VALUE"""),"km")</f>
        <v>km</v>
      </c>
      <c r="B40" s="2" t="str">
        <f>IFERROR(__xludf.DUMMYFUNCTION("""COMPUTED_VALUE"""),"KM")</f>
        <v>KM</v>
      </c>
      <c r="C40" s="2" t="str">
        <f>IFERROR(__xludf.DUMMYFUNCTION("""COMPUTED_VALUE"""),"ಕಿಮೀ")</f>
        <v>ಕಿಮೀ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tr">
        <f>IFERROR(__xludf.DUMMYFUNCTION("""COMPUTED_VALUE"""),"moreThan")</f>
        <v>moreThan</v>
      </c>
      <c r="B41" s="2" t="str">
        <f>IFERROR(__xludf.DUMMYFUNCTION("""COMPUTED_VALUE"""),"More than")</f>
        <v>More than</v>
      </c>
      <c r="C41" s="2" t="str">
        <f>IFERROR(__xludf.DUMMYFUNCTION("""COMPUTED_VALUE"""),"ಹೆಚ್ಚು")</f>
        <v>ಹೆಚ್ಚು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tr">
        <f>IFERROR(__xludf.DUMMYFUNCTION("""COMPUTED_VALUE"""),"all")</f>
        <v>all</v>
      </c>
      <c r="B42" s="2" t="str">
        <f>IFERROR(__xludf.DUMMYFUNCTION("""COMPUTED_VALUE"""),"All")</f>
        <v>All</v>
      </c>
      <c r="C42" s="2" t="str">
        <f>IFERROR(__xludf.DUMMYFUNCTION("""COMPUTED_VALUE"""),"ಎಲ್ಲರೂ")</f>
        <v>ಎಲ್ಲರೂ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tr">
        <f>IFERROR(__xludf.DUMMYFUNCTION("""COMPUTED_VALUE"""),"delivery")</f>
        <v>delivery</v>
      </c>
      <c r="B43" s="2" t="str">
        <f>IFERROR(__xludf.DUMMYFUNCTION("""COMPUTED_VALUE"""),"Delivery ")</f>
        <v>Delivery </v>
      </c>
      <c r="C43" s="2" t="str">
        <f>IFERROR(__xludf.DUMMYFUNCTION("""COMPUTED_VALUE"""),"ವಿತರಣೆ")</f>
        <v>ವಿತರಣೆ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tr">
        <f>IFERROR(__xludf.DUMMYFUNCTION("""COMPUTED_VALUE"""),"pickUp")</f>
        <v>pickUp</v>
      </c>
      <c r="B44" s="2" t="str">
        <f>IFERROR(__xludf.DUMMYFUNCTION("""COMPUTED_VALUE"""),"Pickup")</f>
        <v>Pickup</v>
      </c>
      <c r="C44" s="2" t="str">
        <f>IFERROR(__xludf.DUMMYFUNCTION("""COMPUTED_VALUE"""),"ತಿಕ್ಕಲು")</f>
        <v>ತಿಕ್ಕಲು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tr">
        <f>IFERROR(__xludf.DUMMYFUNCTION("""COMPUTED_VALUE"""),"previousOrder")</f>
        <v>previousOrder</v>
      </c>
      <c r="B45" s="2" t="str">
        <f>IFERROR(__xludf.DUMMYFUNCTION("""COMPUTED_VALUE"""),"Previous Order")</f>
        <v>Previous Order</v>
      </c>
      <c r="C45" s="2" t="str">
        <f>IFERROR(__xludf.DUMMYFUNCTION("""COMPUTED_VALUE"""),"ಹಿಂದಿನ ಕ್ರಮ")</f>
        <v>ಹಿಂದಿನ ಕ್ರಮ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tr">
        <f>IFERROR(__xludf.DUMMYFUNCTION("""COMPUTED_VALUE"""),"frequentlyBought")</f>
        <v>frequentlyBought</v>
      </c>
      <c r="B46" s="2" t="str">
        <f>IFERROR(__xludf.DUMMYFUNCTION("""COMPUTED_VALUE"""),"Frequently Bought")</f>
        <v>Frequently Bought</v>
      </c>
      <c r="C46" s="2" t="str">
        <f>IFERROR(__xludf.DUMMYFUNCTION("""COMPUTED_VALUE"""),"ಆಗಾಗ್ಗೆ ಖರೀದಿಸಲಾಗುತ್ತದೆ")</f>
        <v>ಆಗಾಗ್ಗೆ ಖರೀದಿಸಲಾಗುತ್ತದೆ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tr">
        <f>IFERROR(__xludf.DUMMYFUNCTION("""COMPUTED_VALUE"""),"recommended")</f>
        <v>recommended</v>
      </c>
      <c r="B47" s="2" t="str">
        <f>IFERROR(__xludf.DUMMYFUNCTION("""COMPUTED_VALUE"""),"Recommended")</f>
        <v>Recommended</v>
      </c>
      <c r="C47" s="2" t="str">
        <f>IFERROR(__xludf.DUMMYFUNCTION("""COMPUTED_VALUE"""),"ಶಿಫಾರಸುಮಾಡಿದ")</f>
        <v>ಶಿಫಾರಸುಮಾಡಿದ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tr">
        <f>IFERROR(__xludf.DUMMYFUNCTION("""COMPUTED_VALUE"""),"aboutSeller")</f>
        <v>aboutSeller</v>
      </c>
      <c r="B48" s="2" t="str">
        <f>IFERROR(__xludf.DUMMYFUNCTION("""COMPUTED_VALUE"""),"About Seller ")</f>
        <v>About Seller </v>
      </c>
      <c r="C48" s="2" t="str">
        <f>IFERROR(__xludf.DUMMYFUNCTION("""COMPUTED_VALUE"""),"ಮಾರಾಟಗಾರರ ಬಗ್ಗೆ")</f>
        <v>ಮಾರಾಟಗಾರರ ಬಗ್ಗೆ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tr">
        <f>IFERROR(__xludf.DUMMYFUNCTION("""COMPUTED_VALUE"""),"sellingItems")</f>
        <v>sellingItems</v>
      </c>
      <c r="B49" s="2" t="str">
        <f>IFERROR(__xludf.DUMMYFUNCTION("""COMPUTED_VALUE"""),"Selling Items")</f>
        <v>Selling Items</v>
      </c>
      <c r="C49" s="2" t="str">
        <f>IFERROR(__xludf.DUMMYFUNCTION("""COMPUTED_VALUE"""),"ವಸ್ತುಗಳನ್ನು ಮಾರಾಟ ಮಾಡುವುದು")</f>
        <v>ವಸ್ತುಗಳನ್ನು ಮಾರಾಟ ಮಾಡುವುದು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tr">
        <f>IFERROR(__xludf.DUMMYFUNCTION("""COMPUTED_VALUE"""),"menu")</f>
        <v>menu</v>
      </c>
      <c r="B50" s="2" t="str">
        <f>IFERROR(__xludf.DUMMYFUNCTION("""COMPUTED_VALUE"""),"Menu ")</f>
        <v>Menu </v>
      </c>
      <c r="C50" s="2" t="str">
        <f>IFERROR(__xludf.DUMMYFUNCTION("""COMPUTED_VALUE"""),"ಮೆಳ್ಳಿ")</f>
        <v>ಮೆಳ್ಳಿ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tr">
        <f>IFERROR(__xludf.DUMMYFUNCTION("""COMPUTED_VALUE"""),"addToFavourites")</f>
        <v>addToFavourites</v>
      </c>
      <c r="B51" s="2" t="str">
        <f>IFERROR(__xludf.DUMMYFUNCTION("""COMPUTED_VALUE"""),"Add to favourites")</f>
        <v>Add to favourites</v>
      </c>
      <c r="C51" s="2" t="str">
        <f>IFERROR(__xludf.DUMMYFUNCTION("""COMPUTED_VALUE"""),"ಮೆಚ್ಚಿನವುಗಳಿಗೆ ಸೇರಿಸಿ")</f>
        <v>ಮೆಚ್ಚಿನವುಗಳಿಗೆ ಸೇರಿಸಿ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tr">
        <f>IFERROR(__xludf.DUMMYFUNCTION("""COMPUTED_VALUE"""),"share")</f>
        <v>share</v>
      </c>
      <c r="B52" s="2" t="str">
        <f>IFERROR(__xludf.DUMMYFUNCTION("""COMPUTED_VALUE"""),"Share ")</f>
        <v>Share </v>
      </c>
      <c r="C52" s="2" t="str">
        <f>IFERROR(__xludf.DUMMYFUNCTION("""COMPUTED_VALUE"""),"ಹಂಚು")</f>
        <v>ಹಂಚು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tr">
        <f>IFERROR(__xludf.DUMMYFUNCTION("""COMPUTED_VALUE"""),"shopInformation")</f>
        <v>shopInformation</v>
      </c>
      <c r="B53" s="2" t="str">
        <f>IFERROR(__xludf.DUMMYFUNCTION("""COMPUTED_VALUE"""),"Shop Information")</f>
        <v>Shop Information</v>
      </c>
      <c r="C53" s="2" t="str">
        <f>IFERROR(__xludf.DUMMYFUNCTION("""COMPUTED_VALUE"""),"ಶಾಪಿಂಗ್ ಮಾಹಿತಿ")</f>
        <v>ಶಾಪಿಂಗ್ ಮಾಹಿತಿ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tr">
        <f>IFERROR(__xludf.DUMMYFUNCTION("""COMPUTED_VALUE"""),"more")</f>
        <v>more</v>
      </c>
      <c r="B54" s="2" t="str">
        <f>IFERROR(__xludf.DUMMYFUNCTION("""COMPUTED_VALUE"""),"More ")</f>
        <v>More </v>
      </c>
      <c r="C54" s="2" t="str">
        <f>IFERROR(__xludf.DUMMYFUNCTION("""COMPUTED_VALUE"""),"ಆಫ್")</f>
        <v>ಆಫ್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tr">
        <f>IFERROR(__xludf.DUMMYFUNCTION("""COMPUTED_VALUE"""),"no.of pieces")</f>
        <v>no.of pieces</v>
      </c>
      <c r="B55" s="2" t="str">
        <f>IFERROR(__xludf.DUMMYFUNCTION("""COMPUTED_VALUE"""),"No.of Pieces")</f>
        <v>No.of Pieces</v>
      </c>
      <c r="C55" s="2" t="str">
        <f>IFERROR(__xludf.DUMMYFUNCTION("""COMPUTED_VALUE"""),"ತುಣುಕುಗಳು")</f>
        <v>ತುಣುಕುಗಳು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tr">
        <f>IFERROR(__xludf.DUMMYFUNCTION("""COMPUTED_VALUE"""),"vegetables")</f>
        <v>vegetables</v>
      </c>
      <c r="B56" s="2" t="str">
        <f>IFERROR(__xludf.DUMMYFUNCTION("""COMPUTED_VALUE"""),"Vegetables ")</f>
        <v>Vegetables </v>
      </c>
      <c r="C56" s="2" t="str">
        <f>IFERROR(__xludf.DUMMYFUNCTION("""COMPUTED_VALUE"""),"ತರಕಾರಿಗಳು")</f>
        <v>ತರಕಾರಿಗಳು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tr">
        <f>IFERROR(__xludf.DUMMYFUNCTION("""COMPUTED_VALUE"""),"today")</f>
        <v>today</v>
      </c>
      <c r="B57" s="2" t="str">
        <f>IFERROR(__xludf.DUMMYFUNCTION("""COMPUTED_VALUE"""),"Today")</f>
        <v>Today</v>
      </c>
      <c r="C57" s="2" t="str">
        <f>IFERROR(__xludf.DUMMYFUNCTION("""COMPUTED_VALUE"""),"ಇಂದು")</f>
        <v>ಇಂದು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tr">
        <f>IFERROR(__xludf.DUMMYFUNCTION("""COMPUTED_VALUE"""),"tomorrow")</f>
        <v>tomorrow</v>
      </c>
      <c r="B58" s="2" t="str">
        <f>IFERROR(__xludf.DUMMYFUNCTION("""COMPUTED_VALUE"""),"Tomorrow")</f>
        <v>Tomorrow</v>
      </c>
      <c r="C58" s="2" t="str">
        <f>IFERROR(__xludf.DUMMYFUNCTION("""COMPUTED_VALUE"""),"ನಾಳೆ")</f>
        <v>ನಾಳೆ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tr">
        <f>IFERROR(__xludf.DUMMYFUNCTION("""COMPUTED_VALUE"""),"addQuantity")</f>
        <v>addQuantity</v>
      </c>
      <c r="B59" s="2" t="str">
        <f>IFERROR(__xludf.DUMMYFUNCTION("""COMPUTED_VALUE"""),"Add Quantity ")</f>
        <v>Add Quantity </v>
      </c>
      <c r="C59" s="2" t="str">
        <f>IFERROR(__xludf.DUMMYFUNCTION("""COMPUTED_VALUE"""),"ಪ್ರಮಾಣವನ್ನು ಸೇರಿಸಿ")</f>
        <v>ಪ್ರಮಾಣವನ್ನು ಸೇರಿಸಿ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tr">
        <f>IFERROR(__xludf.DUMMYFUNCTION("""COMPUTED_VALUE"""),"pieces")</f>
        <v>pieces</v>
      </c>
      <c r="B60" s="2" t="str">
        <f>IFERROR(__xludf.DUMMYFUNCTION("""COMPUTED_VALUE"""),"Pieces")</f>
        <v>Pieces</v>
      </c>
      <c r="C60" s="2" t="str">
        <f>IFERROR(__xludf.DUMMYFUNCTION("""COMPUTED_VALUE"""),"ತುಂಡು")</f>
        <v>ತುಂಡು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tr">
        <f>IFERROR(__xludf.DUMMYFUNCTION("""COMPUTED_VALUE"""),"numberOfpieces")</f>
        <v>numberOfpieces</v>
      </c>
      <c r="B61" s="2" t="str">
        <f>IFERROR(__xludf.DUMMYFUNCTION("""COMPUTED_VALUE"""),"Number of Pieces")</f>
        <v>Number of Pieces</v>
      </c>
      <c r="C61" s="2" t="str">
        <f>IFERROR(__xludf.DUMMYFUNCTION("""COMPUTED_VALUE"""),"ತುಣುಕುಗಳ ಸಂಖ್ಯೆ")</f>
        <v>ತುಣುಕುಗಳ ಸಂಖ್ಯೆ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tr">
        <f>IFERROR(__xludf.DUMMYFUNCTION("""COMPUTED_VALUE"""),"amount")</f>
        <v>amount</v>
      </c>
      <c r="B62" s="2" t="str">
        <f>IFERROR(__xludf.DUMMYFUNCTION("""COMPUTED_VALUE"""),"Amount ")</f>
        <v>Amount </v>
      </c>
      <c r="C62" s="2" t="str">
        <f>IFERROR(__xludf.DUMMYFUNCTION("""COMPUTED_VALUE"""),"ಮೊತ್ತ")</f>
        <v>ಮೊತ್ತ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tr">
        <f>IFERROR(__xludf.DUMMYFUNCTION("""COMPUTED_VALUE"""),"viewCart")</f>
        <v>viewCart</v>
      </c>
      <c r="B63" s="2" t="str">
        <f>IFERROR(__xludf.DUMMYFUNCTION("""COMPUTED_VALUE"""),"View Cart")</f>
        <v>View Cart</v>
      </c>
      <c r="C63" s="2" t="str">
        <f>IFERROR(__xludf.DUMMYFUNCTION("""COMPUTED_VALUE"""),"ಕಾರ್ಟ್ ವೀಕ್ಷಿಸಿ")</f>
        <v>ಕಾರ್ಟ್ ವೀಕ್ಷಿಸಿ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tr">
        <f>IFERROR(__xludf.DUMMYFUNCTION("""COMPUTED_VALUE"""),"orderSummary")</f>
        <v>orderSummary</v>
      </c>
      <c r="B64" s="2" t="str">
        <f>IFERROR(__xludf.DUMMYFUNCTION("""COMPUTED_VALUE"""),"Order Summary")</f>
        <v>Order Summary</v>
      </c>
      <c r="C64" s="2" t="str">
        <f>IFERROR(__xludf.DUMMYFUNCTION("""COMPUTED_VALUE"""),"ಆದೇಶ ಸಾರಾಂಶ")</f>
        <v>ಆದೇಶ ಸಾರಾಂಶ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tr">
        <f>IFERROR(__xludf.DUMMYFUNCTION("""COMPUTED_VALUE"""),"detailedBill")</f>
        <v>detailedBill</v>
      </c>
      <c r="B65" s="2" t="str">
        <f>IFERROR(__xludf.DUMMYFUNCTION("""COMPUTED_VALUE"""),"Detailed Bill")</f>
        <v>Detailed Bill</v>
      </c>
      <c r="C65" s="2" t="str">
        <f>IFERROR(__xludf.DUMMYFUNCTION("""COMPUTED_VALUE"""),"ವಿವರವಾದ ಬಿಲ್")</f>
        <v>ವಿವರವಾದ ಬಿಲ್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tr">
        <f>IFERROR(__xludf.DUMMYFUNCTION("""COMPUTED_VALUE"""),"cartTotal")</f>
        <v>cartTotal</v>
      </c>
      <c r="B66" s="2" t="str">
        <f>IFERROR(__xludf.DUMMYFUNCTION("""COMPUTED_VALUE"""),"Cart Total")</f>
        <v>Cart Total</v>
      </c>
      <c r="C66" s="2" t="str">
        <f>IFERROR(__xludf.DUMMYFUNCTION("""COMPUTED_VALUE"""),"ಕಾರ್ಟ್ ಒಟ್ಟು")</f>
        <v>ಕಾರ್ಟ್ ಒಟ್ಟು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tr">
        <f>IFERROR(__xludf.DUMMYFUNCTION("""COMPUTED_VALUE"""),"discount")</f>
        <v>discount</v>
      </c>
      <c r="B67" s="2" t="str">
        <f>IFERROR(__xludf.DUMMYFUNCTION("""COMPUTED_VALUE"""),"Discount")</f>
        <v>Discount</v>
      </c>
      <c r="C67" s="2" t="str">
        <f>IFERROR(__xludf.DUMMYFUNCTION("""COMPUTED_VALUE"""),"ರಿಯಾಯಿತಿ")</f>
        <v>ರಿಯಾಯಿತಿ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tr">
        <f>IFERROR(__xludf.DUMMYFUNCTION("""COMPUTED_VALUE"""),"total")</f>
        <v>total</v>
      </c>
      <c r="B68" s="2" t="str">
        <f>IFERROR(__xludf.DUMMYFUNCTION("""COMPUTED_VALUE"""),"Total")</f>
        <v>Total</v>
      </c>
      <c r="C68" s="2" t="str">
        <f>IFERROR(__xludf.DUMMYFUNCTION("""COMPUTED_VALUE"""),"ಒಟ್ಟು")</f>
        <v>ಒಟ್ಟು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tr">
        <f>IFERROR(__xludf.DUMMYFUNCTION("""COMPUTED_VALUE"""),"selfPickup")</f>
        <v>selfPickup</v>
      </c>
      <c r="B69" s="2" t="str">
        <f>IFERROR(__xludf.DUMMYFUNCTION("""COMPUTED_VALUE"""),"Self Pickup")</f>
        <v>Self Pickup</v>
      </c>
      <c r="C69" s="2" t="str">
        <f>IFERROR(__xludf.DUMMYFUNCTION("""COMPUTED_VALUE"""),"ಸ್ವಸಹಾಯ")</f>
        <v>ಸ್ವಸಹಾಯ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tr">
        <f>IFERROR(__xludf.DUMMYFUNCTION("""COMPUTED_VALUE"""),"totalPayable")</f>
        <v>totalPayable</v>
      </c>
      <c r="B70" s="2" t="str">
        <f>IFERROR(__xludf.DUMMYFUNCTION("""COMPUTED_VALUE"""),"Total Payable")</f>
        <v>Total Payable</v>
      </c>
      <c r="C70" s="2" t="str">
        <f>IFERROR(__xludf.DUMMYFUNCTION("""COMPUTED_VALUE"""),"ಪಾವತಿಸಬೇಕಾದ ಒಟ್ಟು")</f>
        <v>ಪಾವತಿಸಬೇಕಾದ ಒಟ್ಟು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tr">
        <f>IFERROR(__xludf.DUMMYFUNCTION("""COMPUTED_VALUE"""),"payAtPickup")</f>
        <v>payAtPickup</v>
      </c>
      <c r="B71" s="2" t="str">
        <f>IFERROR(__xludf.DUMMYFUNCTION("""COMPUTED_VALUE"""),"Pay at Pickup")</f>
        <v>Pay at Pickup</v>
      </c>
      <c r="C71" s="2" t="str">
        <f>IFERROR(__xludf.DUMMYFUNCTION("""COMPUTED_VALUE"""),"ಪಿಕಪ್ನಲ್ಲಿ ಪಾವತಿಸಿ")</f>
        <v>ಪಿಕಪ್ನಲ್ಲಿ ಪಾವತಿಸಿ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tr">
        <f>IFERROR(__xludf.DUMMYFUNCTION("""COMPUTED_VALUE"""),"savedDetails")</f>
        <v>savedDetails</v>
      </c>
      <c r="B72" s="2" t="str">
        <f>IFERROR(__xludf.DUMMYFUNCTION("""COMPUTED_VALUE"""),"Saved Details")</f>
        <v>Saved Details</v>
      </c>
      <c r="C72" s="2" t="str">
        <f>IFERROR(__xludf.DUMMYFUNCTION("""COMPUTED_VALUE"""),"ಉಳಿಸಿದ ವಿವರಗಳು")</f>
        <v>ಉಳಿಸಿದ ವಿವರಗಳು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tr">
        <f>IFERROR(__xludf.DUMMYFUNCTION("""COMPUTED_VALUE"""),"debitAtmCard")</f>
        <v>debitAtmCard</v>
      </c>
      <c r="B73" s="2" t="str">
        <f>IFERROR(__xludf.DUMMYFUNCTION("""COMPUTED_VALUE"""),"Debit/ATM Card")</f>
        <v>Debit/ATM Card</v>
      </c>
      <c r="C73" s="2" t="str">
        <f>IFERROR(__xludf.DUMMYFUNCTION("""COMPUTED_VALUE"""),"ಡೆಬಿಟ್/ಎಟಿಎಂ ಕಾರ್ಡ್")</f>
        <v>ಡೆಬಿಟ್/ಎಟಿಎಂ ಕಾರ್ಡ್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tr">
        <f>IFERROR(__xludf.DUMMYFUNCTION("""COMPUTED_VALUE"""),"netBanking")</f>
        <v>netBanking</v>
      </c>
      <c r="B74" s="2" t="str">
        <f>IFERROR(__xludf.DUMMYFUNCTION("""COMPUTED_VALUE"""),"Net Banking")</f>
        <v>Net Banking</v>
      </c>
      <c r="C74" s="2" t="str">
        <f>IFERROR(__xludf.DUMMYFUNCTION("""COMPUTED_VALUE"""),"ನಿವ್ವಳ ಬ್ಯಾಂಕಿಂಗ್")</f>
        <v>ನಿವ್ವಳ ಬ್ಯಾಂಕಿಂಗ್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tr">
        <f>IFERROR(__xludf.DUMMYFUNCTION("""COMPUTED_VALUE"""),"addDebitCreditCard")</f>
        <v>addDebitCreditCard</v>
      </c>
      <c r="B75" s="2" t="str">
        <f>IFERROR(__xludf.DUMMYFUNCTION("""COMPUTED_VALUE"""),"Add Debit/Credit Card")</f>
        <v>Add Debit/Credit Card</v>
      </c>
      <c r="C75" s="2" t="str">
        <f>IFERROR(__xludf.DUMMYFUNCTION("""COMPUTED_VALUE"""),"ಡೆಬಿಟ್/ಕ್ರೆಡಿಟ್ ಕಾರ್ಡ್ ಸೇರಿಸಿ")</f>
        <v>ಡೆಬಿಟ್/ಕ್ರೆಡಿಟ್ ಕಾರ್ಡ್ ಸೇರಿಸಿ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tr">
        <f>IFERROR(__xludf.DUMMYFUNCTION("""COMPUTED_VALUE"""),"wallets&amp;Upi")</f>
        <v>wallets&amp;Upi</v>
      </c>
      <c r="B76" s="2" t="str">
        <f>IFERROR(__xludf.DUMMYFUNCTION("""COMPUTED_VALUE"""),"Wallets &amp; UPI")</f>
        <v>Wallets &amp; UPI</v>
      </c>
      <c r="C76" s="2" t="str">
        <f>IFERROR(__xludf.DUMMYFUNCTION("""COMPUTED_VALUE"""),"ಕೈಚೀಲಗಳು ಮತ್ತು ಯುಪಿಐ")</f>
        <v>ಕೈಚೀಲಗಳು ಮತ್ತು ಯುಪಿಐ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tr">
        <f>IFERROR(__xludf.DUMMYFUNCTION("""COMPUTED_VALUE"""),"phonepe")</f>
        <v>phonepe</v>
      </c>
      <c r="B77" s="2" t="str">
        <f>IFERROR(__xludf.DUMMYFUNCTION("""COMPUTED_VALUE"""),"PhonePe")</f>
        <v>PhonePe</v>
      </c>
      <c r="C77" s="2" t="str">
        <f>IFERROR(__xludf.DUMMYFUNCTION("""COMPUTED_VALUE"""),"ಫನ್‌ಪೆ")</f>
        <v>ಫನ್‌ಪೆ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tr">
        <f>IFERROR(__xludf.DUMMYFUNCTION("""COMPUTED_VALUE"""),"paytm")</f>
        <v>paytm</v>
      </c>
      <c r="B78" s="2" t="str">
        <f>IFERROR(__xludf.DUMMYFUNCTION("""COMPUTED_VALUE"""),"Paytm")</f>
        <v>Paytm</v>
      </c>
      <c r="C78" s="2" t="str">
        <f>IFERROR(__xludf.DUMMYFUNCTION("""COMPUTED_VALUE"""),"ಪೇಟಿಎಂ")</f>
        <v>ಪೇಟಿಎಂ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tr">
        <f>IFERROR(__xludf.DUMMYFUNCTION("""COMPUTED_VALUE"""),"otherUpi")</f>
        <v>otherUpi</v>
      </c>
      <c r="B79" s="2" t="str">
        <f>IFERROR(__xludf.DUMMYFUNCTION("""COMPUTED_VALUE"""),"Other UPI")</f>
        <v>Other UPI</v>
      </c>
      <c r="C79" s="2" t="str">
        <f>IFERROR(__xludf.DUMMYFUNCTION("""COMPUTED_VALUE"""),"ಇತರ ಯುಪಿಐ")</f>
        <v>ಇತರ ಯುಪಿಐ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tr">
        <f>IFERROR(__xludf.DUMMYFUNCTION("""COMPUTED_VALUE"""),"payNow")</f>
        <v>payNow</v>
      </c>
      <c r="B80" s="2" t="str">
        <f>IFERROR(__xludf.DUMMYFUNCTION("""COMPUTED_VALUE"""),"Pay Now")</f>
        <v>Pay Now</v>
      </c>
      <c r="C80" s="2" t="str">
        <f>IFERROR(__xludf.DUMMYFUNCTION("""COMPUTED_VALUE"""),"ಈಗ ಪಾವತಿಸಿ")</f>
        <v>ಈಗ ಪಾವತಿಸಿ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tr">
        <f>IFERROR(__xludf.DUMMYFUNCTION("""COMPUTED_VALUE"""),"deliverAt")</f>
        <v>deliverAt</v>
      </c>
      <c r="B81" s="2" t="str">
        <f>IFERROR(__xludf.DUMMYFUNCTION("""COMPUTED_VALUE"""),"Deliver at")</f>
        <v>Deliver at</v>
      </c>
      <c r="C81" s="2" t="str">
        <f>IFERROR(__xludf.DUMMYFUNCTION("""COMPUTED_VALUE"""),"ನಲ್ಲಿ ತಲುಪಿಸಿ")</f>
        <v>ನಲ್ಲಿ ತಲುಪಿಸಿ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tr">
        <f>IFERROR(__xludf.DUMMYFUNCTION("""COMPUTED_VALUE"""),"noContact")</f>
        <v>noContact</v>
      </c>
      <c r="B82" s="2" t="str">
        <f>IFERROR(__xludf.DUMMYFUNCTION("""COMPUTED_VALUE"""),"No Contact")</f>
        <v>No Contact</v>
      </c>
      <c r="C82" s="2" t="str">
        <f>IFERROR(__xludf.DUMMYFUNCTION("""COMPUTED_VALUE"""),"ಸಂಪರ್ಕವಿಲ್ಲ")</f>
        <v>ಸಂಪರ್ಕವಿಲ್ಲ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tr">
        <f>IFERROR(__xludf.DUMMYFUNCTION("""COMPUTED_VALUE"""),"scheduleDelivery")</f>
        <v>scheduleDelivery</v>
      </c>
      <c r="B83" s="2" t="str">
        <f>IFERROR(__xludf.DUMMYFUNCTION("""COMPUTED_VALUE"""),"Schedule Delivery")</f>
        <v>Schedule Delivery</v>
      </c>
      <c r="C83" s="2" t="str">
        <f>IFERROR(__xludf.DUMMYFUNCTION("""COMPUTED_VALUE"""),"ವೇಳಾಪಟ್ಟಿ ವಿತರಣೆ")</f>
        <v>ವೇಳಾಪಟ್ಟಿ ವಿತರಣೆ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tr">
        <f>IFERROR(__xludf.DUMMYFUNCTION("""COMPUTED_VALUE"""),"am")</f>
        <v>am</v>
      </c>
      <c r="B84" s="2" t="str">
        <f>IFERROR(__xludf.DUMMYFUNCTION("""COMPUTED_VALUE"""),"AM")</f>
        <v>AM</v>
      </c>
      <c r="C84" s="2" t="str">
        <f>IFERROR(__xludf.DUMMYFUNCTION("""COMPUTED_VALUE"""),"ಅಮ್")</f>
        <v>ಅಮ್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tr">
        <f>IFERROR(__xludf.DUMMYFUNCTION("""COMPUTED_VALUE"""),"pm")</f>
        <v>pm</v>
      </c>
      <c r="B85" s="2" t="str">
        <f>IFERROR(__xludf.DUMMYFUNCTION("""COMPUTED_VALUE"""),"PM")</f>
        <v>PM</v>
      </c>
      <c r="C85" s="2" t="str">
        <f>IFERROR(__xludf.DUMMYFUNCTION("""COMPUTED_VALUE"""),"ಮಧ್ಯಾಹ್ನ")</f>
        <v>ಮಧ್ಯಾಹ್ನ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tr">
        <f>IFERROR(__xludf.DUMMYFUNCTION("""COMPUTED_VALUE"""),"hour")</f>
        <v>hour</v>
      </c>
      <c r="B86" s="2" t="str">
        <f>IFERROR(__xludf.DUMMYFUNCTION("""COMPUTED_VALUE"""),"Hour")</f>
        <v>Hour</v>
      </c>
      <c r="C86" s="2" t="str">
        <f>IFERROR(__xludf.DUMMYFUNCTION("""COMPUTED_VALUE"""),"ಗಂಟೆ")</f>
        <v>ಗಂಟೆ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tr">
        <f>IFERROR(__xludf.DUMMYFUNCTION("""COMPUTED_VALUE"""),"freeDelivery")</f>
        <v>freeDelivery</v>
      </c>
      <c r="B87" s="2" t="str">
        <f>IFERROR(__xludf.DUMMYFUNCTION("""COMPUTED_VALUE"""),"Free Delivery")</f>
        <v>Free Delivery</v>
      </c>
      <c r="C87" s="2" t="str">
        <f>IFERROR(__xludf.DUMMYFUNCTION("""COMPUTED_VALUE"""),"ಉಚಿತ ವಿತರಣೆ")</f>
        <v>ಉಚಿತ ವಿತರಣೆ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tr">
        <f>IFERROR(__xludf.DUMMYFUNCTION("""COMPUTED_VALUE"""),"enterCvv")</f>
        <v>enterCvv</v>
      </c>
      <c r="B88" s="2" t="str">
        <f>IFERROR(__xludf.DUMMYFUNCTION("""COMPUTED_VALUE"""),"Enter CVV")</f>
        <v>Enter CVV</v>
      </c>
      <c r="C88" s="2" t="str">
        <f>IFERROR(__xludf.DUMMYFUNCTION("""COMPUTED_VALUE"""),"ಸಿವಿವಿ ನಮೂದಿಸಿ")</f>
        <v>ಸಿವಿವಿ ನಮೂದಿಸಿ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tr">
        <f>IFERROR(__xludf.DUMMYFUNCTION("""COMPUTED_VALUE"""),"cardNumber")</f>
        <v>cardNumber</v>
      </c>
      <c r="B89" s="2" t="str">
        <f>IFERROR(__xludf.DUMMYFUNCTION("""COMPUTED_VALUE"""),"Card Number")</f>
        <v>Card Number</v>
      </c>
      <c r="C89" s="2" t="str">
        <f>IFERROR(__xludf.DUMMYFUNCTION("""COMPUTED_VALUE"""),"ಕಾರ್ಡ್ ಸಂಖ್ಯೆ")</f>
        <v>ಕಾರ್ಡ್ ಸಂಖ್ಯೆ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tr">
        <f>IFERROR(__xludf.DUMMYFUNCTION("""COMPUTED_VALUE"""),"expiry")</f>
        <v>expiry</v>
      </c>
      <c r="B90" s="2" t="str">
        <f>IFERROR(__xludf.DUMMYFUNCTION("""COMPUTED_VALUE"""),"Expiry")</f>
        <v>Expiry</v>
      </c>
      <c r="C90" s="2" t="str">
        <f>IFERROR(__xludf.DUMMYFUNCTION("""COMPUTED_VALUE"""),"ಅವಧಿ ಮೀರಿದ")</f>
        <v>ಅವಧಿ ಮೀರಿದ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tr">
        <f>IFERROR(__xludf.DUMMYFUNCTION("""COMPUTED_VALUE"""),"nameOnCard")</f>
        <v>nameOnCard</v>
      </c>
      <c r="B91" s="2" t="str">
        <f>IFERROR(__xludf.DUMMYFUNCTION("""COMPUTED_VALUE"""),"Name on Card")</f>
        <v>Name on Card</v>
      </c>
      <c r="C91" s="2" t="str">
        <f>IFERROR(__xludf.DUMMYFUNCTION("""COMPUTED_VALUE"""),"ಕಾರ್ಡ್ನಲ್ಲಿ ಹೆಸರು")</f>
        <v>ಕಾರ್ಡ್ನಲ್ಲಿ ಹೆಸರು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tr">
        <f>IFERROR(__xludf.DUMMYFUNCTION("""COMPUTED_VALUE"""),"saveCardDetails")</f>
        <v>saveCardDetails</v>
      </c>
      <c r="B92" s="2" t="str">
        <f>IFERROR(__xludf.DUMMYFUNCTION("""COMPUTED_VALUE"""),"Save Card Details")</f>
        <v>Save Card Details</v>
      </c>
      <c r="C92" s="2" t="str">
        <f>IFERROR(__xludf.DUMMYFUNCTION("""COMPUTED_VALUE"""),"ಕಾರ್ಡ್ ವಿವರಗಳನ್ನು ಉಳಿಸಿ")</f>
        <v>ಕಾರ್ಡ್ ವಿವರಗಳನ್ನು ಉಳಿಸಿ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tr">
        <f>IFERROR(__xludf.DUMMYFUNCTION("""COMPUTED_VALUE"""),"icici")</f>
        <v>icici</v>
      </c>
      <c r="B93" s="2" t="str">
        <f>IFERROR(__xludf.DUMMYFUNCTION("""COMPUTED_VALUE"""),"ICICI")</f>
        <v>ICICI</v>
      </c>
      <c r="C93" s="2" t="str">
        <f>IFERROR(__xludf.DUMMYFUNCTION("""COMPUTED_VALUE"""),"ಐಸಿಐಸಿ")</f>
        <v>ಐಸಿಐಸಿ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tr">
        <f>IFERROR(__xludf.DUMMYFUNCTION("""COMPUTED_VALUE"""),"sbi")</f>
        <v>sbi</v>
      </c>
      <c r="B94" s="2" t="str">
        <f>IFERROR(__xludf.DUMMYFUNCTION("""COMPUTED_VALUE"""),"SBI")</f>
        <v>SBI</v>
      </c>
      <c r="C94" s="2" t="str">
        <f>IFERROR(__xludf.DUMMYFUNCTION("""COMPUTED_VALUE"""),"ಸೇನೆಯ")</f>
        <v>ಸೇನೆಯ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tr">
        <f>IFERROR(__xludf.DUMMYFUNCTION("""COMPUTED_VALUE"""),"hdfc")</f>
        <v>hdfc</v>
      </c>
      <c r="B95" s="2" t="str">
        <f>IFERROR(__xludf.DUMMYFUNCTION("""COMPUTED_VALUE"""),"HDFC")</f>
        <v>HDFC</v>
      </c>
      <c r="C95" s="2" t="str">
        <f>IFERROR(__xludf.DUMMYFUNCTION("""COMPUTED_VALUE"""),"ಎಚ್ಡಿಎಫ್ಸಿ")</f>
        <v>ಎಚ್ಡಿಎಫ್ಸಿ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tr">
        <f>IFERROR(__xludf.DUMMYFUNCTION("""COMPUTED_VALUE"""),"moreBanks")</f>
        <v>moreBanks</v>
      </c>
      <c r="B96" s="2" t="str">
        <f>IFERROR(__xludf.DUMMYFUNCTION("""COMPUTED_VALUE"""),"More Banks")</f>
        <v>More Banks</v>
      </c>
      <c r="C96" s="2" t="str">
        <f>IFERROR(__xludf.DUMMYFUNCTION("""COMPUTED_VALUE"""),"ಹೆಚ್ಚು ಬ್ಯಾಂಕುಗಳು")</f>
        <v>ಹೆಚ್ಚು ಬ್ಯಾಂಕುಗಳು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tr">
        <f>IFERROR(__xludf.DUMMYFUNCTION("""COMPUTED_VALUE"""),"orderConfirmed")</f>
        <v>orderConfirmed</v>
      </c>
      <c r="B97" s="2" t="str">
        <f>IFERROR(__xludf.DUMMYFUNCTION("""COMPUTED_VALUE"""),"Order Confirmed")</f>
        <v>Order Confirmed</v>
      </c>
      <c r="C97" s="2" t="str">
        <f>IFERROR(__xludf.DUMMYFUNCTION("""COMPUTED_VALUE"""),"ಆದೇಶವನ್ನು ದೃ confirmed ಪಡಿಸಲಾಗಿದೆ")</f>
        <v>ಆದೇಶವನ್ನು ದೃ confirmed ಪಡಿಸಲಾಗಿದೆ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tr">
        <f>IFERROR(__xludf.DUMMYFUNCTION("""COMPUTED_VALUE"""),"orderNumber")</f>
        <v>orderNumber</v>
      </c>
      <c r="B98" s="2" t="str">
        <f>IFERROR(__xludf.DUMMYFUNCTION("""COMPUTED_VALUE"""),"Order Number")</f>
        <v>Order Number</v>
      </c>
      <c r="C98" s="2" t="str">
        <f>IFERROR(__xludf.DUMMYFUNCTION("""COMPUTED_VALUE"""),"ಆದೇಶ ಸಂಖ್ಯೆ")</f>
        <v>ಆದೇಶ ಸಂಖ್ಯೆ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tr">
        <f>IFERROR(__xludf.DUMMYFUNCTION("""COMPUTED_VALUE"""),"payment")</f>
        <v>payment</v>
      </c>
      <c r="B99" s="2" t="str">
        <f>IFERROR(__xludf.DUMMYFUNCTION("""COMPUTED_VALUE"""),"Payment ")</f>
        <v>Payment </v>
      </c>
      <c r="C99" s="2" t="str">
        <f>IFERROR(__xludf.DUMMYFUNCTION("""COMPUTED_VALUE"""),"ಪಾವತಿ")</f>
        <v>ಪಾವತಿ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tr">
        <f>IFERROR(__xludf.DUMMYFUNCTION("""COMPUTED_VALUE"""),"dateOfOrder")</f>
        <v>dateOfOrder</v>
      </c>
      <c r="B100" s="2" t="str">
        <f>IFERROR(__xludf.DUMMYFUNCTION("""COMPUTED_VALUE"""),"Date of Order")</f>
        <v>Date of Order</v>
      </c>
      <c r="C100" s="2" t="str">
        <f>IFERROR(__xludf.DUMMYFUNCTION("""COMPUTED_VALUE"""),"ಆದೇಶದ ದಿನಾಂಕ")</f>
        <v>ಆದೇಶದ ದಿನಾಂಕ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tr">
        <f>IFERROR(__xludf.DUMMYFUNCTION("""COMPUTED_VALUE"""),"terms&amp;conditionsandprivacypolicy")</f>
        <v>terms&amp;conditionsandprivacypolicy</v>
      </c>
      <c r="B101" s="2" t="str">
        <f>IFERROR(__xludf.DUMMYFUNCTION("""COMPUTED_VALUE"""),"Terms &amp; Conditions and Privacy Policy")</f>
        <v>Terms &amp; Conditions and Privacy Policy</v>
      </c>
      <c r="C101" s="2" t="str">
        <f>IFERROR(__xludf.DUMMYFUNCTION("""COMPUTED_VALUE"""),"ನಿಯಮಗಳು ಮತ್ತು ಷರತ್ತುಗಳು ಮತ್ತು ಗೌಪ್ಯತೆ ನೀತಿ")</f>
        <v>ನಿಯಮಗಳು ಮತ್ತು ಷರತ್ತುಗಳು ಮತ್ತು ಗೌಪ್ಯತೆ ನೀತಿ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tr">
        <f>IFERROR(__xludf.DUMMYFUNCTION("""COMPUTED_VALUE"""),"trackOrder")</f>
        <v>trackOrder</v>
      </c>
      <c r="B102" s="2" t="str">
        <f>IFERROR(__xludf.DUMMYFUNCTION("""COMPUTED_VALUE"""),"Track Order")</f>
        <v>Track Order</v>
      </c>
      <c r="C102" s="2" t="str">
        <f>IFERROR(__xludf.DUMMYFUNCTION("""COMPUTED_VALUE"""),"ಟ್ರ್ಯಾಕ್ ಆದೇಶ")</f>
        <v>ಟ್ರ್ಯಾಕ್ ಆದೇಶ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tr">
        <f>IFERROR(__xludf.DUMMYFUNCTION("""COMPUTED_VALUE"""),"activeOrders")</f>
        <v>activeOrders</v>
      </c>
      <c r="B103" s="2" t="str">
        <f>IFERROR(__xludf.DUMMYFUNCTION("""COMPUTED_VALUE"""),"Active Orders")</f>
        <v>Active Orders</v>
      </c>
      <c r="C103" s="2" t="str">
        <f>IFERROR(__xludf.DUMMYFUNCTION("""COMPUTED_VALUE"""),"ಸಕ್ರಿಯ ಆದೇಶಗಳು")</f>
        <v>ಸಕ್ರಿಯ ಆದೇಶಗಳು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tr">
        <f>IFERROR(__xludf.DUMMYFUNCTION("""COMPUTED_VALUE"""),"view")</f>
        <v>view</v>
      </c>
      <c r="B104" s="2" t="str">
        <f>IFERROR(__xludf.DUMMYFUNCTION("""COMPUTED_VALUE"""),"View")</f>
        <v>View</v>
      </c>
      <c r="C104" s="2" t="str">
        <f>IFERROR(__xludf.DUMMYFUNCTION("""COMPUTED_VALUE"""),"ನೋಟ")</f>
        <v>ನೋಟ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tr">
        <f>IFERROR(__xludf.DUMMYFUNCTION("""COMPUTED_VALUE"""),"chat")</f>
        <v>chat</v>
      </c>
      <c r="B105" s="2" t="str">
        <f>IFERROR(__xludf.DUMMYFUNCTION("""COMPUTED_VALUE"""),"Chat")</f>
        <v>Chat</v>
      </c>
      <c r="C105" s="2" t="str">
        <f>IFERROR(__xludf.DUMMYFUNCTION("""COMPUTED_VALUE"""),"ಚಾಚು")</f>
        <v>ಚಾಚು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tr">
        <f>IFERROR(__xludf.DUMMYFUNCTION("""COMPUTED_VALUE"""),"orderDetails")</f>
        <v>orderDetails</v>
      </c>
      <c r="B106" s="2" t="str">
        <f>IFERROR(__xludf.DUMMYFUNCTION("""COMPUTED_VALUE"""),"Order Details")</f>
        <v>Order Details</v>
      </c>
      <c r="C106" s="2" t="str">
        <f>IFERROR(__xludf.DUMMYFUNCTION("""COMPUTED_VALUE"""),"ಆದೇಶದ ವಿವರಗಳು")</f>
        <v>ಆದೇಶದ ವಿವರಗಳು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tr">
        <f>IFERROR(__xludf.DUMMYFUNCTION("""COMPUTED_VALUE"""),"cancel")</f>
        <v>cancel</v>
      </c>
      <c r="B107" s="2" t="str">
        <f>IFERROR(__xludf.DUMMYFUNCTION("""COMPUTED_VALUE"""),"Cancel ")</f>
        <v>Cancel </v>
      </c>
      <c r="C107" s="2" t="str">
        <f>IFERROR(__xludf.DUMMYFUNCTION("""COMPUTED_VALUE"""),"ರದ್ದುಮಾಡು")</f>
        <v>ರದ್ದುಮಾಡು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tr">
        <f>IFERROR(__xludf.DUMMYFUNCTION("""COMPUTED_VALUE"""),"PaymentPending")</f>
        <v>PaymentPending</v>
      </c>
      <c r="B108" s="2" t="str">
        <f>IFERROR(__xludf.DUMMYFUNCTION("""COMPUTED_VALUE"""),"Payment Pending")</f>
        <v>Payment Pending</v>
      </c>
      <c r="C108" s="2" t="str">
        <f>IFERROR(__xludf.DUMMYFUNCTION("""COMPUTED_VALUE"""),"ಪಾವತಿ ಬಾಕಿ ಇದೆ")</f>
        <v>ಪಾವತಿ ಬಾಕಿ ಇದೆ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tr">
        <f>IFERROR(__xludf.DUMMYFUNCTION("""COMPUTED_VALUE"""),"support")</f>
        <v>support</v>
      </c>
      <c r="B109" s="2" t="str">
        <f>IFERROR(__xludf.DUMMYFUNCTION("""COMPUTED_VALUE"""),"Support")</f>
        <v>Support</v>
      </c>
      <c r="C109" s="2" t="str">
        <f>IFERROR(__xludf.DUMMYFUNCTION("""COMPUTED_VALUE"""),"ಬೆಂಬಲ")</f>
        <v>ಬೆಂಬಲ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tr">
        <f>IFERROR(__xludf.DUMMYFUNCTION("""COMPUTED_VALUE"""),"payment")</f>
        <v>payment</v>
      </c>
      <c r="B110" s="2" t="str">
        <f>IFERROR(__xludf.DUMMYFUNCTION("""COMPUTED_VALUE"""),"Payment")</f>
        <v>Payment</v>
      </c>
      <c r="C110" s="2" t="str">
        <f>IFERROR(__xludf.DUMMYFUNCTION("""COMPUTED_VALUE"""),"ಪಾವತಿ")</f>
        <v>ಪಾವತಿ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tr">
        <f>IFERROR(__xludf.DUMMYFUNCTION("""COMPUTED_VALUE"""),"orderTotal")</f>
        <v>orderTotal</v>
      </c>
      <c r="B111" s="2" t="str">
        <f>IFERROR(__xludf.DUMMYFUNCTION("""COMPUTED_VALUE"""),"Order Total")</f>
        <v>Order Total</v>
      </c>
      <c r="C111" s="2" t="str">
        <f>IFERROR(__xludf.DUMMYFUNCTION("""COMPUTED_VALUE"""),"ಆದೇಶದ ಒಟ್ಟು")</f>
        <v>ಆದೇಶದ ಒಟ್ಟು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tr">
        <f>IFERROR(__xludf.DUMMYFUNCTION("""COMPUTED_VALUE"""),"orderPlaced")</f>
        <v>orderPlaced</v>
      </c>
      <c r="B112" s="2" t="str">
        <f>IFERROR(__xludf.DUMMYFUNCTION("""COMPUTED_VALUE"""),"Order Placed")</f>
        <v>Order Placed</v>
      </c>
      <c r="C112" s="2" t="str">
        <f>IFERROR(__xludf.DUMMYFUNCTION("""COMPUTED_VALUE"""),"ಆದೇಶವನ್ನು ಇರಿಸಲಾಗಿದೆ")</f>
        <v>ಆದೇಶವನ್ನು ಇರಿಸಲಾಗಿದೆ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tr">
        <f>IFERROR(__xludf.DUMMYFUNCTION("""COMPUTED_VALUE"""),"orderAccepted")</f>
        <v>orderAccepted</v>
      </c>
      <c r="B113" s="2" t="str">
        <f>IFERROR(__xludf.DUMMYFUNCTION("""COMPUTED_VALUE"""),"Order Accepted")</f>
        <v>Order Accepted</v>
      </c>
      <c r="C113" s="2" t="str">
        <f>IFERROR(__xludf.DUMMYFUNCTION("""COMPUTED_VALUE"""),"ಆದೇಶವನ್ನು ಸ್ವೀಕರಿಸಲಾಗಿದೆ")</f>
        <v>ಆದೇಶವನ್ನು ಸ್ವೀಕರಿಸಲಾಗಿದೆ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tr">
        <f>IFERROR(__xludf.DUMMYFUNCTION("""COMPUTED_VALUE"""),"processing")</f>
        <v>processing</v>
      </c>
      <c r="B114" s="2" t="str">
        <f>IFERROR(__xludf.DUMMYFUNCTION("""COMPUTED_VALUE"""),"Processing")</f>
        <v>Processing</v>
      </c>
      <c r="C114" s="2" t="str">
        <f>IFERROR(__xludf.DUMMYFUNCTION("""COMPUTED_VALUE"""),"ಸಂಸ್ಕರಣೆ")</f>
        <v>ಸಂಸ್ಕರಣೆ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tr">
        <f>IFERROR(__xludf.DUMMYFUNCTION("""COMPUTED_VALUE"""),"ready")</f>
        <v>ready</v>
      </c>
      <c r="B115" s="2" t="str">
        <f>IFERROR(__xludf.DUMMYFUNCTION("""COMPUTED_VALUE"""),"Ready")</f>
        <v>Ready</v>
      </c>
      <c r="C115" s="2" t="str">
        <f>IFERROR(__xludf.DUMMYFUNCTION("""COMPUTED_VALUE"""),"ಸಿದ್ಧವಾದ")</f>
        <v>ಸಿದ್ಧವಾದ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tr">
        <f>IFERROR(__xludf.DUMMYFUNCTION("""COMPUTED_VALUE"""),"dispatched")</f>
        <v>dispatched</v>
      </c>
      <c r="B116" s="2" t="str">
        <f>IFERROR(__xludf.DUMMYFUNCTION("""COMPUTED_VALUE"""),"Dispatched")</f>
        <v>Dispatched</v>
      </c>
      <c r="C116" s="2" t="str">
        <f>IFERROR(__xludf.DUMMYFUNCTION("""COMPUTED_VALUE"""),"ರವಾನಿಸಿದ")</f>
        <v>ರವಾನಿಸಿದ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tr">
        <f>IFERROR(__xludf.DUMMYFUNCTION("""COMPUTED_VALUE"""),"contactSeller")</f>
        <v>contactSeller</v>
      </c>
      <c r="B117" s="2" t="str">
        <f>IFERROR(__xludf.DUMMYFUNCTION("""COMPUTED_VALUE"""),"Contact Seller")</f>
        <v>Contact Seller</v>
      </c>
      <c r="C117" s="2" t="str">
        <f>IFERROR(__xludf.DUMMYFUNCTION("""COMPUTED_VALUE"""),"ಸಂಪರ್ಕ ಮಾರಾಟಗಾರ")</f>
        <v>ಸಂಪರ್ಕ ಮಾರಾಟಗಾರ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tr">
        <f>IFERROR(__xludf.DUMMYFUNCTION("""COMPUTED_VALUE"""),"viewOrderSummary")</f>
        <v>viewOrderSummary</v>
      </c>
      <c r="B118" s="2" t="str">
        <f>IFERROR(__xludf.DUMMYFUNCTION("""COMPUTED_VALUE"""),"View Order Summary")</f>
        <v>View Order Summary</v>
      </c>
      <c r="C118" s="2" t="str">
        <f>IFERROR(__xludf.DUMMYFUNCTION("""COMPUTED_VALUE"""),"ಆದೇಶದ ಸಾರಾಂಶವನ್ನು ವೀಕ್ಷಿಸಿ")</f>
        <v>ಆದೇಶದ ಸಾರಾಂಶವನ್ನು ವೀಕ್ಷಿಸಿ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tr">
        <f>IFERROR(__xludf.DUMMYFUNCTION("""COMPUTED_VALUE"""),"addInstructions")</f>
        <v>addInstructions</v>
      </c>
      <c r="B119" s="2" t="str">
        <f>IFERROR(__xludf.DUMMYFUNCTION("""COMPUTED_VALUE"""),"Add Instructions")</f>
        <v>Add Instructions</v>
      </c>
      <c r="C119" s="2" t="str">
        <f>IFERROR(__xludf.DUMMYFUNCTION("""COMPUTED_VALUE"""),"ಸೂಚನೆಗಳನ್ನು ಸೇರಿಸಿ")</f>
        <v>ಸೂಚನೆಗಳನ್ನು ಸೇರಿಸಿ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tr">
        <f>IFERROR(__xludf.DUMMYFUNCTION("""COMPUTED_VALUE"""),"myAccount")</f>
        <v>myAccount</v>
      </c>
      <c r="B120" s="2" t="str">
        <f>IFERROR(__xludf.DUMMYFUNCTION("""COMPUTED_VALUE"""),"My Account ")</f>
        <v>My Account </v>
      </c>
      <c r="C120" s="2" t="str">
        <f>IFERROR(__xludf.DUMMYFUNCTION("""COMPUTED_VALUE"""),"ನನ್ನ ಖಾತೆ")</f>
        <v>ನನ್ನ ಖಾತೆ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tr">
        <f>IFERROR(__xludf.DUMMYFUNCTION("""COMPUTED_VALUE"""),"favourite")</f>
        <v>favourite</v>
      </c>
      <c r="B121" s="2" t="str">
        <f>IFERROR(__xludf.DUMMYFUNCTION("""COMPUTED_VALUE"""),"Favourite")</f>
        <v>Favourite</v>
      </c>
      <c r="C121" s="2" t="str">
        <f>IFERROR(__xludf.DUMMYFUNCTION("""COMPUTED_VALUE"""),"ನೆಚ್ಚಿನ")</f>
        <v>ನೆಚ್ಚಿನ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tr">
        <f>IFERROR(__xludf.DUMMYFUNCTION("""COMPUTED_VALUE"""),"settings")</f>
        <v>settings</v>
      </c>
      <c r="B122" s="2" t="str">
        <f>IFERROR(__xludf.DUMMYFUNCTION("""COMPUTED_VALUE"""),"Settings")</f>
        <v>Settings</v>
      </c>
      <c r="C122" s="2" t="str">
        <f>IFERROR(__xludf.DUMMYFUNCTION("""COMPUTED_VALUE"""),"ಸಂಯೋಜನೆಗಳು")</f>
        <v>ಸಂಯೋಜನೆಗಳು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tr">
        <f>IFERROR(__xludf.DUMMYFUNCTION("""COMPUTED_VALUE"""),"myAddress")</f>
        <v>myAddress</v>
      </c>
      <c r="B123" s="2" t="str">
        <f>IFERROR(__xludf.DUMMYFUNCTION("""COMPUTED_VALUE"""),"My Address")</f>
        <v>My Address</v>
      </c>
      <c r="C123" s="2" t="str">
        <f>IFERROR(__xludf.DUMMYFUNCTION("""COMPUTED_VALUE"""),"ನನ್ನ ವಿಳಾಸ")</f>
        <v>ನನ್ನ ವಿಳಾಸ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tr">
        <f>IFERROR(__xludf.DUMMYFUNCTION("""COMPUTED_VALUE"""),"myFamily")</f>
        <v>myFamily</v>
      </c>
      <c r="B124" s="2" t="str">
        <f>IFERROR(__xludf.DUMMYFUNCTION("""COMPUTED_VALUE"""),"My Family")</f>
        <v>My Family</v>
      </c>
      <c r="C124" s="2" t="str">
        <f>IFERROR(__xludf.DUMMYFUNCTION("""COMPUTED_VALUE"""),"ನನ್ನ ಕುಟುಂಬ")</f>
        <v>ನನ್ನ ಕುಟುಂಬ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tr">
        <f>IFERROR(__xludf.DUMMYFUNCTION("""COMPUTED_VALUE"""),"refer")</f>
        <v>refer</v>
      </c>
      <c r="B125" s="2" t="str">
        <f>IFERROR(__xludf.DUMMYFUNCTION("""COMPUTED_VALUE"""),"Refer")</f>
        <v>Refer</v>
      </c>
      <c r="C125" s="2" t="str">
        <f>IFERROR(__xludf.DUMMYFUNCTION("""COMPUTED_VALUE"""),"ಉಲ್ಲೇಖಿಸು")</f>
        <v>ಉಲ್ಲೇಖಿಸು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tr">
        <f>IFERROR(__xludf.DUMMYFUNCTION("""COMPUTED_VALUE"""),"consumer")</f>
        <v>consumer</v>
      </c>
      <c r="B126" s="2" t="str">
        <f>IFERROR(__xludf.DUMMYFUNCTION("""COMPUTED_VALUE"""),"Consumer")</f>
        <v>Consumer</v>
      </c>
      <c r="C126" s="2" t="str">
        <f>IFERROR(__xludf.DUMMYFUNCTION("""COMPUTED_VALUE"""),"ಗ್ರಾಹಕ")</f>
        <v>ಗ್ರಾಹಕ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tr">
        <f>IFERROR(__xludf.DUMMYFUNCTION("""COMPUTED_VALUE"""),"business")</f>
        <v>business</v>
      </c>
      <c r="B127" s="2" t="str">
        <f>IFERROR(__xludf.DUMMYFUNCTION("""COMPUTED_VALUE"""),"Business")</f>
        <v>Business</v>
      </c>
      <c r="C127" s="2" t="str">
        <f>IFERROR(__xludf.DUMMYFUNCTION("""COMPUTED_VALUE"""),"ವ್ಯವಹಾರ")</f>
        <v>ವ್ಯವಹಾರ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tr">
        <f>IFERROR(__xludf.DUMMYFUNCTION("""COMPUTED_VALUE"""),"postOrder")</f>
        <v>postOrder</v>
      </c>
      <c r="B128" s="2" t="str">
        <f>IFERROR(__xludf.DUMMYFUNCTION("""COMPUTED_VALUE"""),"Post Order")</f>
        <v>Post Order</v>
      </c>
      <c r="C128" s="2" t="str">
        <f>IFERROR(__xludf.DUMMYFUNCTION("""COMPUTED_VALUE"""),"ಪೋಸ್ಟ್ ಆದೇಶ")</f>
        <v>ಪೋಸ್ಟ್ ಆದೇಶ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tr">
        <f>IFERROR(__xludf.DUMMYFUNCTION("""COMPUTED_VALUE"""),"logout")</f>
        <v>logout</v>
      </c>
      <c r="B129" s="2" t="str">
        <f>IFERROR(__xludf.DUMMYFUNCTION("""COMPUTED_VALUE"""),"Log Out")</f>
        <v>Log Out</v>
      </c>
      <c r="C129" s="2" t="str">
        <f>IFERROR(__xludf.DUMMYFUNCTION("""COMPUTED_VALUE"""),"ಲಾಗ್ ಔಟ್")</f>
        <v>ಲಾಗ್ ಔಟ್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tr">
        <f>IFERROR(__xludf.DUMMYFUNCTION("""COMPUTED_VALUE"""),"me")</f>
        <v>me</v>
      </c>
      <c r="B130" s="2" t="str">
        <f>IFERROR(__xludf.DUMMYFUNCTION("""COMPUTED_VALUE"""),"Me")</f>
        <v>Me</v>
      </c>
      <c r="C130" s="2" t="str">
        <f>IFERROR(__xludf.DUMMYFUNCTION("""COMPUTED_VALUE"""),"ನಾನು")</f>
        <v>ನಾನು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tr">
        <f>IFERROR(__xludf.DUMMYFUNCTION("""COMPUTED_VALUE"""),"contactNumber")</f>
        <v>contactNumber</v>
      </c>
      <c r="B131" s="2" t="str">
        <f>IFERROR(__xludf.DUMMYFUNCTION("""COMPUTED_VALUE"""),"Contact Number")</f>
        <v>Contact Number</v>
      </c>
      <c r="C131" s="2" t="str">
        <f>IFERROR(__xludf.DUMMYFUNCTION("""COMPUTED_VALUE"""),"ಸಂಪರ್ಕ ಸಂಖ್ಯೆ")</f>
        <v>ಸಂಪರ್ಕ ಸಂಖ್ಯೆ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tr">
        <f>IFERROR(__xludf.DUMMYFUNCTION("""COMPUTED_VALUE"""),"relation")</f>
        <v>relation</v>
      </c>
      <c r="B132" s="2" t="str">
        <f>IFERROR(__xludf.DUMMYFUNCTION("""COMPUTED_VALUE"""),"Relation")</f>
        <v>Relation</v>
      </c>
      <c r="C132" s="2" t="str">
        <f>IFERROR(__xludf.DUMMYFUNCTION("""COMPUTED_VALUE"""),"ಸಂಬಂಧ")</f>
        <v>ಸಂಬಂಧ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tr">
        <f>IFERROR(__xludf.DUMMYFUNCTION("""COMPUTED_VALUE"""),"getOtp")</f>
        <v>getOtp</v>
      </c>
      <c r="B133" s="2" t="str">
        <f>IFERROR(__xludf.DUMMYFUNCTION("""COMPUTED_VALUE"""),"Get OTP")</f>
        <v>Get OTP</v>
      </c>
      <c r="C133" s="2" t="str">
        <f>IFERROR(__xludf.DUMMYFUNCTION("""COMPUTED_VALUE"""),"ಒಟಿಪಿ ಪಡೆಯಿರಿ")</f>
        <v>ಒಟಿಪಿ ಪಡೆಯಿರಿ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tr">
        <f>IFERROR(__xludf.DUMMYFUNCTION("""COMPUTED_VALUE"""),"enterOtp")</f>
        <v>enterOtp</v>
      </c>
      <c r="B134" s="2" t="str">
        <f>IFERROR(__xludf.DUMMYFUNCTION("""COMPUTED_VALUE"""),"Enter OTP")</f>
        <v>Enter OTP</v>
      </c>
      <c r="C134" s="2" t="str">
        <f>IFERROR(__xludf.DUMMYFUNCTION("""COMPUTED_VALUE"""),"ಒಟಿಪಿ ನಮೂದಿಸಿ")</f>
        <v>ಒಟಿಪಿ ನಮೂದಿಸಿ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tr">
        <f>IFERROR(__xludf.DUMMYFUNCTION("""COMPUTED_VALUE"""),"mail")</f>
        <v>mail</v>
      </c>
      <c r="B135" s="2" t="str">
        <f>IFERROR(__xludf.DUMMYFUNCTION("""COMPUTED_VALUE"""),"Mail")</f>
        <v>Mail</v>
      </c>
      <c r="C135" s="2" t="str">
        <f>IFERROR(__xludf.DUMMYFUNCTION("""COMPUTED_VALUE"""),"ಮೇಲ್ಕಡೆ")</f>
        <v>ಮೇಲ್ಕಡೆ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tr">
        <f>IFERROR(__xludf.DUMMYFUNCTION("""COMPUTED_VALUE"""),"facebook")</f>
        <v>facebook</v>
      </c>
      <c r="B136" s="2" t="str">
        <f>IFERROR(__xludf.DUMMYFUNCTION("""COMPUTED_VALUE"""),"Facebook")</f>
        <v>Facebook</v>
      </c>
      <c r="C136" s="2" t="str">
        <f>IFERROR(__xludf.DUMMYFUNCTION("""COMPUTED_VALUE"""),"ಫೇಸ್‌ಫೆಕ್")</f>
        <v>ಫೇಸ್‌ಫೆಕ್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tr">
        <f>IFERROR(__xludf.DUMMYFUNCTION("""COMPUTED_VALUE"""),"newaddress")</f>
        <v>newaddress</v>
      </c>
      <c r="B137" s="2" t="str">
        <f>IFERROR(__xludf.DUMMYFUNCTION("""COMPUTED_VALUE"""),"New Address")</f>
        <v>New Address</v>
      </c>
      <c r="C137" s="2" t="str">
        <f>IFERROR(__xludf.DUMMYFUNCTION("""COMPUTED_VALUE"""),"ಹೊಸ ವಿಳಾಸ")</f>
        <v>ಹೊಸ ವಿಳಾಸ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tr">
        <f>IFERROR(__xludf.DUMMYFUNCTION("""COMPUTED_VALUE"""),"reorder ")</f>
        <v>reorder </v>
      </c>
      <c r="B138" s="2" t="str">
        <f>IFERROR(__xludf.DUMMYFUNCTION("""COMPUTED_VALUE"""),"Reorder")</f>
        <v>Reorder</v>
      </c>
      <c r="C138" s="2" t="str">
        <f>IFERROR(__xludf.DUMMYFUNCTION("""COMPUTED_VALUE"""),"ಪುನಃ ಕೋರಿಕೆ")</f>
        <v>ಪುನಃ ಕೋರಿಕೆ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tr">
        <f>IFERROR(__xludf.DUMMYFUNCTION("""COMPUTED_VALUE"""),"contact")</f>
        <v>contact</v>
      </c>
      <c r="B139" s="2" t="str">
        <f>IFERROR(__xludf.DUMMYFUNCTION("""COMPUTED_VALUE"""),"Contact ")</f>
        <v>Contact </v>
      </c>
      <c r="C139" s="2" t="str">
        <f>IFERROR(__xludf.DUMMYFUNCTION("""COMPUTED_VALUE"""),"ಸಂಪರ್ಕ")</f>
        <v>ಸಂಪರ್ಕ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tr">
        <f>IFERROR(__xludf.DUMMYFUNCTION("""COMPUTED_VALUE"""),"update")</f>
        <v>update</v>
      </c>
      <c r="B140" s="2" t="str">
        <f>IFERROR(__xludf.DUMMYFUNCTION("""COMPUTED_VALUE"""),"Update ")</f>
        <v>Update </v>
      </c>
      <c r="C140" s="2" t="str">
        <f>IFERROR(__xludf.DUMMYFUNCTION("""COMPUTED_VALUE"""),"ನವೀಕರಿಸು")</f>
        <v>ನವೀಕರಿಸು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tr">
        <f>IFERROR(__xludf.DUMMYFUNCTION("""COMPUTED_VALUE"""),"OrderNotification")</f>
        <v>OrderNotification</v>
      </c>
      <c r="B141" s="2" t="str">
        <f>IFERROR(__xludf.DUMMYFUNCTION("""COMPUTED_VALUE"""),"Order Notification")</f>
        <v>Order Notification</v>
      </c>
      <c r="C141" s="2" t="str">
        <f>IFERROR(__xludf.DUMMYFUNCTION("""COMPUTED_VALUE"""),"ಆದೇಶ ಅಧಿಸೂಚನೆ")</f>
        <v>ಆದೇಶ ಅಧಿಸೂಚನೆ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tr">
        <f>IFERROR(__xludf.DUMMYFUNCTION("""COMPUTED_VALUE"""),"items")</f>
        <v>items</v>
      </c>
      <c r="B142" s="2" t="str">
        <f>IFERROR(__xludf.DUMMYFUNCTION("""COMPUTED_VALUE"""),"Items")</f>
        <v>Items</v>
      </c>
      <c r="C142" s="2" t="str">
        <f>IFERROR(__xludf.DUMMYFUNCTION("""COMPUTED_VALUE"""),"ವಸ್ತುಗಳು")</f>
        <v>ವಸ್ತುಗಳು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tr">
        <f>IFERROR(__xludf.DUMMYFUNCTION("""COMPUTED_VALUE"""),"shops")</f>
        <v>shops</v>
      </c>
      <c r="B143" s="2" t="str">
        <f>IFERROR(__xludf.DUMMYFUNCTION("""COMPUTED_VALUE"""),"Shops")</f>
        <v>Shops</v>
      </c>
      <c r="C143" s="2" t="str">
        <f>IFERROR(__xludf.DUMMYFUNCTION("""COMPUTED_VALUE"""),"ಅಂಗಡಿಗಳು")</f>
        <v>ಅಂಗಡಿಗಳು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tr">
        <f>IFERROR(__xludf.DUMMYFUNCTION("""COMPUTED_VALUE"""),"allowLocation")</f>
        <v>allowLocation</v>
      </c>
      <c r="B144" s="2" t="str">
        <f>IFERROR(__xludf.DUMMYFUNCTION("""COMPUTED_VALUE"""),"Allow Location")</f>
        <v>Allow Location</v>
      </c>
      <c r="C144" s="2" t="str">
        <f>IFERROR(__xludf.DUMMYFUNCTION("""COMPUTED_VALUE"""),"ಸ್ಥಳವನ್ನು ಅನುಮತಿಸಿ")</f>
        <v>ಸ್ಥಳವನ್ನು ಅನುಮತಿಸಿ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tr">
        <f>IFERROR(__xludf.DUMMYFUNCTION("""COMPUTED_VALUE"""),"allowNotification")</f>
        <v>allowNotification</v>
      </c>
      <c r="B145" s="2" t="str">
        <f>IFERROR(__xludf.DUMMYFUNCTION("""COMPUTED_VALUE"""),"Allow Notification")</f>
        <v>Allow Notification</v>
      </c>
      <c r="C145" s="2" t="str">
        <f>IFERROR(__xludf.DUMMYFUNCTION("""COMPUTED_VALUE"""),"ಅಧಿಸೂಚನೆಯನ್ನು ಅನುಮತಿಸಿ")</f>
        <v>ಅಧಿಸೂಚನೆಯನ್ನು ಅನುಮತಿಸಿ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tr">
        <f>IFERROR(__xludf.DUMMYFUNCTION("""COMPUTED_VALUE"""),"History")</f>
        <v>History</v>
      </c>
      <c r="B146" s="2" t="str">
        <f>IFERROR(__xludf.DUMMYFUNCTION("""COMPUTED_VALUE"""),"History")</f>
        <v>History</v>
      </c>
      <c r="C146" s="2" t="str">
        <f>IFERROR(__xludf.DUMMYFUNCTION("""COMPUTED_VALUE"""),"ಇತಿಹಾಸ")</f>
        <v>ಇತಿಹಾಸ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tr">
        <f>IFERROR(__xludf.DUMMYFUNCTION("""COMPUTED_VALUE"""),"homeWork")</f>
        <v>homeWork</v>
      </c>
      <c r="B147" s="2" t="str">
        <f>IFERROR(__xludf.DUMMYFUNCTION("""COMPUTED_VALUE"""),"Home Work")</f>
        <v>Home Work</v>
      </c>
      <c r="C147" s="2" t="str">
        <f>IFERROR(__xludf.DUMMYFUNCTION("""COMPUTED_VALUE"""),"ಮನೆಕೆಲಸ")</f>
        <v>ಮನೆಕೆಲಸ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 t="str">
        <f>IFERROR(__xludf.DUMMYFUNCTION("""COMPUTED_VALUE"""),"addNewAddress")</f>
        <v>addNewAddress</v>
      </c>
      <c r="B148" s="2" t="str">
        <f>IFERROR(__xludf.DUMMYFUNCTION("""COMPUTED_VALUE"""),"Add New Address")</f>
        <v>Add New Address</v>
      </c>
      <c r="C148" s="2" t="str">
        <f>IFERROR(__xludf.DUMMYFUNCTION("""COMPUTED_VALUE"""),"ಹೊಸ ವಿಳಾಸವನ್ನು ಸೇರಿಸಿ")</f>
        <v>ಹೊಸ ವಿಳಾಸವನ್ನು ಸೇರಿಸಿ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tr">
        <f>IFERROR(__xludf.DUMMYFUNCTION("""COMPUTED_VALUE"""),"landMark")</f>
        <v>landMark</v>
      </c>
      <c r="B149" s="2" t="str">
        <f>IFERROR(__xludf.DUMMYFUNCTION("""COMPUTED_VALUE"""),"Landmark")</f>
        <v>Landmark</v>
      </c>
      <c r="C149" s="2" t="str">
        <f>IFERROR(__xludf.DUMMYFUNCTION("""COMPUTED_VALUE"""),"ಹೆಗ್ಗುರುತು")</f>
        <v>ಹೆಗ್ಗುರುತು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tr">
        <f>IFERROR(__xludf.DUMMYFUNCTION("""COMPUTED_VALUE"""),"saveAndProceed")</f>
        <v>saveAndProceed</v>
      </c>
      <c r="B150" s="2" t="str">
        <f>IFERROR(__xludf.DUMMYFUNCTION("""COMPUTED_VALUE"""),"Save and Proceed")</f>
        <v>Save and Proceed</v>
      </c>
      <c r="C150" s="2" t="str">
        <f>IFERROR(__xludf.DUMMYFUNCTION("""COMPUTED_VALUE"""),"ಉಳಿಸಿ ಮತ್ತು ಮುಂದುವರಿಯಿರಿ")</f>
        <v>ಉಳಿಸಿ ಮತ್ತು ಮುಂದುವರಿಯಿರಿ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tr">
        <f>IFERROR(__xludf.DUMMYFUNCTION("""COMPUTED_VALUE"""),"termsAndConditions")</f>
        <v>termsAndConditions</v>
      </c>
      <c r="B151" s="2" t="str">
        <f>IFERROR(__xludf.DUMMYFUNCTION("""COMPUTED_VALUE"""),"Terms and Conditions ")</f>
        <v>Terms and Conditions </v>
      </c>
      <c r="C151" s="2" t="str">
        <f>IFERROR(__xludf.DUMMYFUNCTION("""COMPUTED_VALUE"""),"ನಿಯಮಗಳು ಮತ್ತು ಷರತ್ತುಗಳು")</f>
        <v>ನಿಯಮಗಳು ಮತ್ತು ಷರತ್ತುಗಳು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 t="str">
        <f>IFERROR(__xludf.DUMMYFUNCTION("""COMPUTED_VALUE"""),"faqs")</f>
        <v>faqs</v>
      </c>
      <c r="B152" s="2" t="str">
        <f>IFERROR(__xludf.DUMMYFUNCTION("""COMPUTED_VALUE"""),"FAQs")</f>
        <v>FAQs</v>
      </c>
      <c r="C152" s="2" t="str">
        <f>IFERROR(__xludf.DUMMYFUNCTION("""COMPUTED_VALUE"""),"FAQ ಗಳು")</f>
        <v>FAQ ಗಳು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 t="str">
        <f>IFERROR(__xludf.DUMMYFUNCTION("""COMPUTED_VALUE"""),"privacyPolicy")</f>
        <v>privacyPolicy</v>
      </c>
      <c r="B153" s="2" t="str">
        <f>IFERROR(__xludf.DUMMYFUNCTION("""COMPUTED_VALUE"""),"Privacy Policy ")</f>
        <v>Privacy Policy </v>
      </c>
      <c r="C153" s="2" t="str">
        <f>IFERROR(__xludf.DUMMYFUNCTION("""COMPUTED_VALUE"""),"ಗೌಪ್ಯತಾ ನೀತಿ")</f>
        <v>ಗೌಪ್ಯತಾ ನೀತಿ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tr">
        <f>IFERROR(__xludf.DUMMYFUNCTION("""COMPUTED_VALUE"""),"contactUs")</f>
        <v>contactUs</v>
      </c>
      <c r="B154" s="2" t="str">
        <f>IFERROR(__xludf.DUMMYFUNCTION("""COMPUTED_VALUE"""),"Contact Us")</f>
        <v>Contact Us</v>
      </c>
      <c r="C154" s="2" t="str">
        <f>IFERROR(__xludf.DUMMYFUNCTION("""COMPUTED_VALUE"""),"ನಮ್ಮನ್ನು ಸಂಪರ್ಕಿಸಿ")</f>
        <v>ನಮ್ಮನ್ನು ಸಂಪರ್ಕಿಸಿ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 t="str">
        <f>IFERROR(__xludf.DUMMYFUNCTION("""COMPUTED_VALUE"""),"customerCare")</f>
        <v>customerCare</v>
      </c>
      <c r="B155" s="2" t="str">
        <f>IFERROR(__xludf.DUMMYFUNCTION("""COMPUTED_VALUE"""),"Customer Care")</f>
        <v>Customer Care</v>
      </c>
      <c r="C155" s="2" t="str">
        <f>IFERROR(__xludf.DUMMYFUNCTION("""COMPUTED_VALUE"""),"ಗ್ರಾಹಕ ಆರೈಕೆ")</f>
        <v>ಗ್ರಾಹಕ ಆರೈಕೆ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 t="str">
        <f>IFERROR(__xludf.DUMMYFUNCTION("""COMPUTED_VALUE"""),"customerCareNumber")</f>
        <v>customerCareNumber</v>
      </c>
      <c r="B156" s="2" t="str">
        <f>IFERROR(__xludf.DUMMYFUNCTION("""COMPUTED_VALUE"""),"Customer Care Number ")</f>
        <v>Customer Care Number </v>
      </c>
      <c r="C156" s="2" t="str">
        <f>IFERROR(__xludf.DUMMYFUNCTION("""COMPUTED_VALUE"""),"ಗ್ರಾಹಕ ಆರೈಕೆ ಸಂಖ್ಯೆ")</f>
        <v>ಗ್ರಾಹಕ ಆರೈಕೆ ಸಂಖ್ಯೆ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 t="str">
        <f>IFERROR(__xludf.DUMMYFUNCTION("""COMPUTED_VALUE"""),"yes")</f>
        <v>yes</v>
      </c>
      <c r="B157" s="2" t="str">
        <f>IFERROR(__xludf.DUMMYFUNCTION("""COMPUTED_VALUE"""),"Yes")</f>
        <v>Yes</v>
      </c>
      <c r="C157" s="2" t="str">
        <f>IFERROR(__xludf.DUMMYFUNCTION("""COMPUTED_VALUE"""),"ಹೌದು")</f>
        <v>ಹೌದು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 t="str">
        <f>IFERROR(__xludf.DUMMYFUNCTION("""COMPUTED_VALUE"""),"no")</f>
        <v>no</v>
      </c>
      <c r="B158" s="2" t="str">
        <f>IFERROR(__xludf.DUMMYFUNCTION("""COMPUTED_VALUE"""),"No ")</f>
        <v>No </v>
      </c>
      <c r="C158" s="2" t="str">
        <f>IFERROR(__xludf.DUMMYFUNCTION("""COMPUTED_VALUE"""),"ಇಲ್ಲ")</f>
        <v>ಇಲ್ಲ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 t="str">
        <f>IFERROR(__xludf.DUMMYFUNCTION("""COMPUTED_VALUE"""),"validateAgain")</f>
        <v>validateAgain</v>
      </c>
      <c r="B159" s="2" t="str">
        <f>IFERROR(__xludf.DUMMYFUNCTION("""COMPUTED_VALUE"""),"Validate Again")</f>
        <v>Validate Again</v>
      </c>
      <c r="C159" s="2" t="str">
        <f>IFERROR(__xludf.DUMMYFUNCTION("""COMPUTED_VALUE"""),"ಮತ್ತೆ ಮೌಲ್ಯೀಕರಿಸಿ")</f>
        <v>ಮತ್ತೆ ಮೌಲ್ಯೀಕರಿಸಿ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 t="str">
        <f>IFERROR(__xludf.DUMMYFUNCTION("""COMPUTED_VALUE"""),"employee")</f>
        <v>employee</v>
      </c>
      <c r="B160" s="2" t="str">
        <f>IFERROR(__xludf.DUMMYFUNCTION("""COMPUTED_VALUE"""),"Employee ")</f>
        <v>Employee </v>
      </c>
      <c r="C160" s="2" t="str">
        <f>IFERROR(__xludf.DUMMYFUNCTION("""COMPUTED_VALUE"""),"ಉದ್ಯೋಗಿ")</f>
        <v>ಉದ್ಯೋಗಿ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 t="str">
        <f>IFERROR(__xludf.DUMMYFUNCTION("""COMPUTED_VALUE"""),"ConfirmPayment")</f>
        <v>ConfirmPayment</v>
      </c>
      <c r="B161" s="2" t="str">
        <f>IFERROR(__xludf.DUMMYFUNCTION("""COMPUTED_VALUE"""),"Confirm Payment")</f>
        <v>Confirm Payment</v>
      </c>
      <c r="C161" s="2" t="str">
        <f>IFERROR(__xludf.DUMMYFUNCTION("""COMPUTED_VALUE"""),"ಪಾವತಿಯನ್ನು ದೃ irm ೀಕರಿಸಿ")</f>
        <v>ಪಾವತಿಯನ್ನು ದೃ irm ೀಕರಿಸಿ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 t="str">
        <f>IFERROR(__xludf.DUMMYFUNCTION("""COMPUTED_VALUE"""),"rateorder")</f>
        <v>rateorder</v>
      </c>
      <c r="B162" s="2" t="str">
        <f>IFERROR(__xludf.DUMMYFUNCTION("""COMPUTED_VALUE"""),"Rate Order")</f>
        <v>Rate Order</v>
      </c>
      <c r="C162" s="2" t="str">
        <f>IFERROR(__xludf.DUMMYFUNCTION("""COMPUTED_VALUE"""),"ದಾಟದ ಆದೇಶ")</f>
        <v>ದಾಟದ ಆದೇಶ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 t="str">
        <f>IFERROR(__xludf.DUMMYFUNCTION("""COMPUTED_VALUE"""),"onboard")</f>
        <v>onboard</v>
      </c>
      <c r="B163" s="2" t="str">
        <f>IFERROR(__xludf.DUMMYFUNCTION("""COMPUTED_VALUE"""),"Onboard ")</f>
        <v>Onboard </v>
      </c>
      <c r="C163" s="2" t="str">
        <f>IFERROR(__xludf.DUMMYFUNCTION("""COMPUTED_VALUE"""),"ಹಡಗಿನಲ್ಲಿ")</f>
        <v>ಹಡಗಿನಲ್ಲಿ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 t="str">
        <f>IFERROR(__xludf.DUMMYFUNCTION("""COMPUTED_VALUE"""),"selfOnBoard")</f>
        <v>selfOnBoard</v>
      </c>
      <c r="B164" s="2" t="str">
        <f>IFERROR(__xludf.DUMMYFUNCTION("""COMPUTED_VALUE"""),"Self Onboard ")</f>
        <v>Self Onboard </v>
      </c>
      <c r="C164" s="2" t="str">
        <f>IFERROR(__xludf.DUMMYFUNCTION("""COMPUTED_VALUE"""),"ಸ್ವಯಂ ಆನ್‌ಬೋರ್ಡ್")</f>
        <v>ಸ್ವಯಂ ಆನ್‌ಬೋರ್ಡ್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 t="str">
        <f>IFERROR(__xludf.DUMMYFUNCTION("""COMPUTED_VALUE"""),"onboardByBusiness")</f>
        <v>onboardByBusiness</v>
      </c>
      <c r="B165" s="2" t="str">
        <f>IFERROR(__xludf.DUMMYFUNCTION("""COMPUTED_VALUE"""),"Onboard by Business")</f>
        <v>Onboard by Business</v>
      </c>
      <c r="C165" s="2" t="str">
        <f>IFERROR(__xludf.DUMMYFUNCTION("""COMPUTED_VALUE"""),"ವ್ಯವಹಾರದಿಂದ ಆನ್‌ಬೋರ್ಡ್")</f>
        <v>ವ್ಯವಹಾರದಿಂದ ಆನ್‌ಬೋರ್ಡ್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 t="str">
        <f>IFERROR(__xludf.DUMMYFUNCTION("""COMPUTED_VALUE"""),"retailer")</f>
        <v>retailer</v>
      </c>
      <c r="B166" s="2" t="str">
        <f>IFERROR(__xludf.DUMMYFUNCTION("""COMPUTED_VALUE"""),"Retailer")</f>
        <v>Retailer</v>
      </c>
      <c r="C166" s="2" t="str">
        <f>IFERROR(__xludf.DUMMYFUNCTION("""COMPUTED_VALUE"""),"ಚಿಲ್ಲರೆ ವ್ಯಾಪಾರಿ")</f>
        <v>ಚಿಲ್ಲರೆ ವ್ಯಾಪಾರಿ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 t="str">
        <f>IFERROR(__xludf.DUMMYFUNCTION("""COMPUTED_VALUE"""),"middleMan")</f>
        <v>middleMan</v>
      </c>
      <c r="B167" s="2" t="str">
        <f>IFERROR(__xludf.DUMMYFUNCTION("""COMPUTED_VALUE"""),"Middleman")</f>
        <v>Middleman</v>
      </c>
      <c r="C167" s="2" t="str">
        <f>IFERROR(__xludf.DUMMYFUNCTION("""COMPUTED_VALUE"""),"ಮಧ್ಯವರ್ತಿ")</f>
        <v>ಮಧ್ಯವರ್ತಿ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 t="str">
        <f>IFERROR(__xludf.DUMMYFUNCTION("""COMPUTED_VALUE"""),"farmer")</f>
        <v>farmer</v>
      </c>
      <c r="B168" s="2" t="str">
        <f>IFERROR(__xludf.DUMMYFUNCTION("""COMPUTED_VALUE"""),"Farmer")</f>
        <v>Farmer</v>
      </c>
      <c r="C168" s="2" t="str">
        <f>IFERROR(__xludf.DUMMYFUNCTION("""COMPUTED_VALUE"""),"ರೈತ")</f>
        <v>ರೈತ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 t="str">
        <f>IFERROR(__xludf.DUMMYFUNCTION("""COMPUTED_VALUE"""),"phoneNumber")</f>
        <v>phoneNumber</v>
      </c>
      <c r="B169" s="2" t="str">
        <f>IFERROR(__xludf.DUMMYFUNCTION("""COMPUTED_VALUE"""),"Phone Number ")</f>
        <v>Phone Number </v>
      </c>
      <c r="C169" s="2" t="str">
        <f>IFERROR(__xludf.DUMMYFUNCTION("""COMPUTED_VALUE"""),"ದೂರವಾಣಿ ಸಂಖ್ಯೆ")</f>
        <v>ದೂರವಾಣಿ ಸಂಖ್ಯೆ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 t="str">
        <f>IFERROR(__xludf.DUMMYFUNCTION("""COMPUTED_VALUE"""),"houseNo")</f>
        <v>houseNo</v>
      </c>
      <c r="B170" s="2" t="str">
        <f>IFERROR(__xludf.DUMMYFUNCTION("""COMPUTED_VALUE"""),"House No")</f>
        <v>House No</v>
      </c>
      <c r="C170" s="2" t="str">
        <f>IFERROR(__xludf.DUMMYFUNCTION("""COMPUTED_VALUE"""),"ಮನೆ ಇಲ್ಲ")</f>
        <v>ಮನೆ ಇಲ್ಲ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 t="str">
        <f>IFERROR(__xludf.DUMMYFUNCTION("""COMPUTED_VALUE"""),"building")</f>
        <v>building</v>
      </c>
      <c r="B171" s="2" t="str">
        <f>IFERROR(__xludf.DUMMYFUNCTION("""COMPUTED_VALUE"""),"Building ")</f>
        <v>Building </v>
      </c>
      <c r="C171" s="2" t="str">
        <f>IFERROR(__xludf.DUMMYFUNCTION("""COMPUTED_VALUE"""),"ಕಟ್ಟಡ")</f>
        <v>ಕಟ್ಟಡ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 t="str">
        <f>IFERROR(__xludf.DUMMYFUNCTION("""COMPUTED_VALUE"""),"streetno")</f>
        <v>streetno</v>
      </c>
      <c r="B172" s="2" t="str">
        <f>IFERROR(__xludf.DUMMYFUNCTION("""COMPUTED_VALUE"""),"Street no ")</f>
        <v>Street no </v>
      </c>
      <c r="C172" s="2" t="str">
        <f>IFERROR(__xludf.DUMMYFUNCTION("""COMPUTED_VALUE"""),"ರಸ್ತೆ ಸಂಖ್ಯೆ")</f>
        <v>ರಸ್ತೆ ಸಂಖ್ಯೆ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 t="str">
        <f>IFERROR(__xludf.DUMMYFUNCTION("""COMPUTED_VALUE"""),"upi")</f>
        <v>upi</v>
      </c>
      <c r="B173" s="2" t="str">
        <f>IFERROR(__xludf.DUMMYFUNCTION("""COMPUTED_VALUE"""),"UPI")</f>
        <v>UPI</v>
      </c>
      <c r="C173" s="2" t="str">
        <f>IFERROR(__xludf.DUMMYFUNCTION("""COMPUTED_VALUE"""),"ಉಷ್ಣವಲಯ")</f>
        <v>ಉಷ್ಣವಲಯ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 t="str">
        <f>IFERROR(__xludf.DUMMYFUNCTION("""COMPUTED_VALUE"""),"state")</f>
        <v>state</v>
      </c>
      <c r="B174" s="2" t="str">
        <f>IFERROR(__xludf.DUMMYFUNCTION("""COMPUTED_VALUE"""),"State")</f>
        <v>State</v>
      </c>
      <c r="C174" s="2" t="str">
        <f>IFERROR(__xludf.DUMMYFUNCTION("""COMPUTED_VALUE"""),"ರಾಜ್ಯ")</f>
        <v>ರಾಜ್ಯ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 t="str">
        <f>IFERROR(__xludf.DUMMYFUNCTION("""COMPUTED_VALUE"""),"city")</f>
        <v>city</v>
      </c>
      <c r="B175" s="2" t="str">
        <f>IFERROR(__xludf.DUMMYFUNCTION("""COMPUTED_VALUE"""),"City ")</f>
        <v>City </v>
      </c>
      <c r="C175" s="2" t="str">
        <f>IFERROR(__xludf.DUMMYFUNCTION("""COMPUTED_VALUE"""),"ನಗರ")</f>
        <v>ನಗರ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 t="str">
        <f>IFERROR(__xludf.DUMMYFUNCTION("""COMPUTED_VALUE"""),"pincode")</f>
        <v>pincode</v>
      </c>
      <c r="B176" s="2" t="str">
        <f>IFERROR(__xludf.DUMMYFUNCTION("""COMPUTED_VALUE"""),"Pin Code ")</f>
        <v>Pin Code </v>
      </c>
      <c r="C176" s="2" t="str">
        <f>IFERROR(__xludf.DUMMYFUNCTION("""COMPUTED_VALUE"""),"ಪಿನ್ ಕೋಡ್")</f>
        <v>ಪಿನ್ ಕೋಡ್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 t="str">
        <f>IFERROR(__xludf.DUMMYFUNCTION("""COMPUTED_VALUE"""),"location")</f>
        <v>location</v>
      </c>
      <c r="B177" s="2" t="str">
        <f>IFERROR(__xludf.DUMMYFUNCTION("""COMPUTED_VALUE"""),"Location ")</f>
        <v>Location </v>
      </c>
      <c r="C177" s="2" t="str">
        <f>IFERROR(__xludf.DUMMYFUNCTION("""COMPUTED_VALUE"""),"ಸ್ಥಳ")</f>
        <v>ಸ್ಥಳ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 t="str">
        <f>IFERROR(__xludf.DUMMYFUNCTION("""COMPUTED_VALUE"""),"submit")</f>
        <v>submit</v>
      </c>
      <c r="B178" s="2" t="str">
        <f>IFERROR(__xludf.DUMMYFUNCTION("""COMPUTED_VALUE"""),"Submit ")</f>
        <v>Submit </v>
      </c>
      <c r="C178" s="2" t="str">
        <f>IFERROR(__xludf.DUMMYFUNCTION("""COMPUTED_VALUE"""),"ಸಲ್ಲಿಸು")</f>
        <v>ಸಲ್ಲಿಸು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 t="str">
        <f>IFERROR(__xludf.DUMMYFUNCTION("""COMPUTED_VALUE"""),"editAddress")</f>
        <v>editAddress</v>
      </c>
      <c r="B179" s="2" t="str">
        <f>IFERROR(__xludf.DUMMYFUNCTION("""COMPUTED_VALUE"""),"Edit Address")</f>
        <v>Edit Address</v>
      </c>
      <c r="C179" s="2" t="str">
        <f>IFERROR(__xludf.DUMMYFUNCTION("""COMPUTED_VALUE"""),"ವಿಳಾಸವನ್ನು ಸಂಪಾದಿಸಿ")</f>
        <v>ವಿಳಾಸವನ್ನು ಸಂಪಾದಿಸಿ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 t="str">
        <f>IFERROR(__xludf.DUMMYFUNCTION("""COMPUTED_VALUE"""),"addMember")</f>
        <v>addMember</v>
      </c>
      <c r="B180" s="2" t="str">
        <f>IFERROR(__xludf.DUMMYFUNCTION("""COMPUTED_VALUE"""),"Add Member")</f>
        <v>Add Member</v>
      </c>
      <c r="C180" s="2" t="str">
        <f>IFERROR(__xludf.DUMMYFUNCTION("""COMPUTED_VALUE"""),"ಸದಸ್ಯರನ್ನು ಸೇರಿಸಿ")</f>
        <v>ಸದಸ್ಯರನ್ನು ಸೇರಿಸಿ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 t="str">
        <f>IFERROR(__xludf.DUMMYFUNCTION("""COMPUTED_VALUE"""),"deliveryWithin")</f>
        <v>deliveryWithin</v>
      </c>
      <c r="B181" s="2" t="str">
        <f>IFERROR(__xludf.DUMMYFUNCTION("""COMPUTED_VALUE"""),"Delivery within")</f>
        <v>Delivery within</v>
      </c>
      <c r="C181" s="2" t="str">
        <f>IFERROR(__xludf.DUMMYFUNCTION("""COMPUTED_VALUE"""),"ಒಳಗೆ ವಿತರಣೆ")</f>
        <v>ಒಳಗೆ ವಿತರಣೆ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 t="str">
        <f>IFERROR(__xludf.DUMMYFUNCTION("""COMPUTED_VALUE"""),"home")</f>
        <v>home</v>
      </c>
      <c r="B182" s="2" t="str">
        <f>IFERROR(__xludf.DUMMYFUNCTION("""COMPUTED_VALUE"""),"Home")</f>
        <v>Home</v>
      </c>
      <c r="C182" s="2" t="str">
        <f>IFERROR(__xludf.DUMMYFUNCTION("""COMPUTED_VALUE"""),"ಮನೆ")</f>
        <v>ಮನೆ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 t="str">
        <f>IFERROR(__xludf.DUMMYFUNCTION("""COMPUTED_VALUE"""),"notification")</f>
        <v>notification</v>
      </c>
      <c r="B183" s="2" t="str">
        <f>IFERROR(__xludf.DUMMYFUNCTION("""COMPUTED_VALUE"""),"Notification")</f>
        <v>Notification</v>
      </c>
      <c r="C183" s="2" t="str">
        <f>IFERROR(__xludf.DUMMYFUNCTION("""COMPUTED_VALUE"""),"ಅಧೀನೀಕರಣ")</f>
        <v>ಅಧೀನೀಕರಣ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 t="str">
        <f>IFERROR(__xludf.DUMMYFUNCTION("""COMPUTED_VALUE"""),"voice")</f>
        <v>voice</v>
      </c>
      <c r="B184" s="2" t="str">
        <f>IFERROR(__xludf.DUMMYFUNCTION("""COMPUTED_VALUE"""),"Voice")</f>
        <v>Voice</v>
      </c>
      <c r="C184" s="2" t="str">
        <f>IFERROR(__xludf.DUMMYFUNCTION("""COMPUTED_VALUE"""),"ಧ್ವನಿ")</f>
        <v>ಧ್ವನಿ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 t="str">
        <f>IFERROR(__xludf.DUMMYFUNCTION("""COMPUTED_VALUE"""),"anotphasbeensentatyourregisteredmobilenumber")</f>
        <v>anotphasbeensentatyourregisteredmobilenumber</v>
      </c>
      <c r="B185" s="2" t="str">
        <f>IFERROR(__xludf.DUMMYFUNCTION("""COMPUTED_VALUE"""),"An OTP has been sent at your registered mobile number")</f>
        <v>An OTP has been sent at your registered mobile number</v>
      </c>
      <c r="C185" s="2" t="str">
        <f>IFERROR(__xludf.DUMMYFUNCTION("""COMPUTED_VALUE"""),"ನಿಮ್ಮ ನೋಂದಾಯಿತ ಮೊಬೈಲ್ ಸಂಖ್ಯೆಯಲ್ಲಿ ಒಟಿಪಿಯನ್ನು ಕಳುಹಿಸಲಾಗಿದೆ")</f>
        <v>ನಿಮ್ಮ ನೋಂದಾಯಿತ ಮೊಬೈಲ್ ಸಂಖ್ಯೆಯಲ್ಲಿ ಒಟಿಪಿಯನ್ನು ಕಳುಹಿಸಲಾಗಿದೆ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 t="str">
        <f>IFERROR(__xludf.DUMMYFUNCTION("""COMPUTED_VALUE"""),"delivering")</f>
        <v>delivering</v>
      </c>
      <c r="B186" s="2" t="str">
        <f>IFERROR(__xludf.DUMMYFUNCTION("""COMPUTED_VALUE"""),"Delivering ")</f>
        <v>Delivering </v>
      </c>
      <c r="C186" s="2" t="str">
        <f>IFERROR(__xludf.DUMMYFUNCTION("""COMPUTED_VALUE"""),"ವಿಪರ್ಯ")</f>
        <v>ವಿಪರ್ಯ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 t="str">
        <f>IFERROR(__xludf.DUMMYFUNCTION("""COMPUTED_VALUE"""),"notDelivering")</f>
        <v>notDelivering</v>
      </c>
      <c r="B187" s="2" t="str">
        <f>IFERROR(__xludf.DUMMYFUNCTION("""COMPUTED_VALUE"""),"Not delivering")</f>
        <v>Not delivering</v>
      </c>
      <c r="C187" s="2" t="str">
        <f>IFERROR(__xludf.DUMMYFUNCTION("""COMPUTED_VALUE"""),"ತಲುಪಿಸುತ್ತಿಲ್ಲ")</f>
        <v>ತಲುಪಿಸುತ್ತಿಲ್ಲ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 t="str">
        <f>IFERROR(__xludf.DUMMYFUNCTION("""COMPUTED_VALUE"""),"sellerProfile")</f>
        <v>sellerProfile</v>
      </c>
      <c r="B188" s="2" t="str">
        <f>IFERROR(__xludf.DUMMYFUNCTION("""COMPUTED_VALUE"""),"Seller profile")</f>
        <v>Seller profile</v>
      </c>
      <c r="C188" s="2" t="str">
        <f>IFERROR(__xludf.DUMMYFUNCTION("""COMPUTED_VALUE"""),"ಮಾರಾಟಗಾರರ ಪ್ರೊಫೈಲ್")</f>
        <v>ಮಾರಾಟಗಾರರ ಪ್ರೊಫೈಲ್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 t="str">
        <f>IFERROR(__xludf.DUMMYFUNCTION("""COMPUTED_VALUE"""),"fabulous")</f>
        <v>fabulous</v>
      </c>
      <c r="B189" s="2" t="str">
        <f>IFERROR(__xludf.DUMMYFUNCTION("""COMPUTED_VALUE"""),"Fabulous")</f>
        <v>Fabulous</v>
      </c>
      <c r="C189" s="2" t="str">
        <f>IFERROR(__xludf.DUMMYFUNCTION("""COMPUTED_VALUE"""),"ಅದ್ಭುತ")</f>
        <v>ಅದ್ಭುತ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 t="str">
        <f>IFERROR(__xludf.DUMMYFUNCTION("""COMPUTED_VALUE"""),"customerRated")</f>
        <v>customerRated</v>
      </c>
      <c r="B190" s="2" t="str">
        <f>IFERROR(__xludf.DUMMYFUNCTION("""COMPUTED_VALUE"""),"Customer Rated")</f>
        <v>Customer Rated</v>
      </c>
      <c r="C190" s="2" t="str">
        <f>IFERROR(__xludf.DUMMYFUNCTION("""COMPUTED_VALUE"""),"ಗ್ರಾಹಕ ರೇಟ್ ಮಾಡಲಾಗಿದೆ")</f>
        <v>ಗ್ರಾಹಕ ರೇಟ್ ಮಾಡಲಾಗಿದೆ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 t="str">
        <f>IFERROR(__xludf.DUMMYFUNCTION("""COMPUTED_VALUE"""),"searchlocation")</f>
        <v>searchlocation</v>
      </c>
      <c r="B191" s="2" t="str">
        <f>IFERROR(__xludf.DUMMYFUNCTION("""COMPUTED_VALUE"""),"Search Location")</f>
        <v>Search Location</v>
      </c>
      <c r="C191" s="2" t="str">
        <f>IFERROR(__xludf.DUMMYFUNCTION("""COMPUTED_VALUE"""),"ಸ್ಥಳವನ್ನು ಹುಡುಕಿ")</f>
        <v>ಸ್ಥಳವನ್ನು ಹುಡುಕಿ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 t="str">
        <f>IFERROR(__xludf.DUMMYFUNCTION("""COMPUTED_VALUE"""),"shopByCategories")</f>
        <v>shopByCategories</v>
      </c>
      <c r="B192" s="2" t="str">
        <f>IFERROR(__xludf.DUMMYFUNCTION("""COMPUTED_VALUE"""),"Shop by Categories")</f>
        <v>Shop by Categories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 t="str">
        <f>IFERROR(__xludf.DUMMYFUNCTION("""COMPUTED_VALUE"""),"next")</f>
        <v>next</v>
      </c>
      <c r="B193" s="2" t="str">
        <f>IFERROR(__xludf.DUMMYFUNCTION("""COMPUTED_VALUE"""),"Next")</f>
        <v>Next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 t="str">
        <f>IFERROR(__xludf.DUMMYFUNCTION("""COMPUTED_VALUE"""),"taptorecordclosingnote")</f>
        <v>taptorecordclosingnote</v>
      </c>
      <c r="B194" s="2" t="str">
        <f>IFERROR(__xludf.DUMMYFUNCTION("""COMPUTED_VALUE"""),"Tap to record closing note")</f>
        <v>Tap to record closing note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 t="str">
        <f>IFERROR(__xludf.DUMMYFUNCTION("""COMPUTED_VALUE"""),"shopInfo")</f>
        <v>shopInfo</v>
      </c>
      <c r="B195" s="2" t="str">
        <f>IFERROR(__xludf.DUMMYFUNCTION("""COMPUTED_VALUE"""),"Shop Info")</f>
        <v>Shop Info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 t="str">
        <f>IFERROR(__xludf.DUMMYFUNCTION("""COMPUTED_VALUE"""),"enablelocation")</f>
        <v>enablelocation</v>
      </c>
      <c r="B196" s="2" t="str">
        <f>IFERROR(__xludf.DUMMYFUNCTION("""COMPUTED_VALUE"""),"Enable Location")</f>
        <v>Enable Location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 t="str">
        <f>IFERROR(__xludf.DUMMYFUNCTION("""COMPUTED_VALUE"""),"vegatables")</f>
        <v>vegatables</v>
      </c>
      <c r="B197" s="2" t="str">
        <f>IFERROR(__xludf.DUMMYFUNCTION("""COMPUTED_VALUE"""),"Vegetables")</f>
        <v>Vegetables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 t="str">
        <f>IFERROR(__xludf.DUMMYFUNCTION("""COMPUTED_VALUE"""),"enablenotification")</f>
        <v>enablenotification</v>
      </c>
      <c r="B198" s="2" t="str">
        <f>IFERROR(__xludf.DUMMYFUNCTION("""COMPUTED_VALUE"""),"Enable Notification")</f>
        <v>Enable Notification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 t="str">
        <f>IFERROR(__xludf.DUMMYFUNCTION("""COMPUTED_VALUE"""),"changelanguage")</f>
        <v>changelanguage</v>
      </c>
      <c r="B199" s="2" t="str">
        <f>IFERROR(__xludf.DUMMYFUNCTION("""COMPUTED_VALUE"""),"Change Language")</f>
        <v>Change Language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 t="str">
        <f>IFERROR(__xludf.DUMMYFUNCTION("""COMPUTED_VALUE"""),"confirm")</f>
        <v>confirm</v>
      </c>
      <c r="B200" s="2" t="str">
        <f>IFERROR(__xludf.DUMMYFUNCTION("""COMPUTED_VALUE"""),"Confirm")</f>
        <v>Confirm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 t="str">
        <f>IFERROR(__xludf.DUMMYFUNCTION("""COMPUTED_VALUE"""),"byallowingthelocationyouwillgetallyournearbyrestaurants")</f>
        <v>byallowingthelocationyouwillgetallyournearbyrestaurants</v>
      </c>
      <c r="B201" s="2" t="str">
        <f>IFERROR(__xludf.DUMMYFUNCTION("""COMPUTED_VALUE"""),"By allowing the location you will get all your nearby restaurants")</f>
        <v>By allowing the location you will get all your nearby restaurants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 t="str">
        <f>IFERROR(__xludf.DUMMYFUNCTION("""COMPUTED_VALUE"""),"byallowingthenotificationyouwillgetnotifiedbyyourfavouriterestaurants")</f>
        <v>byallowingthenotificationyouwillgetnotifiedbyyourfavouriterestaurants</v>
      </c>
      <c r="B202" s="2" t="str">
        <f>IFERROR(__xludf.DUMMYFUNCTION("""COMPUTED_VALUE"""),"By allowing the notification you will get notified by your favourite restaurants")</f>
        <v>By allowing the notification you will get notified by your favourite restaurants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 t="str">
        <f>IFERROR(__xludf.DUMMYFUNCTION("""COMPUTED_VALUE"""),"nowyoucanchooseyoursuitablelanguage")</f>
        <v>nowyoucanchooseyoursuitablelanguage</v>
      </c>
      <c r="B203" s="2" t="str">
        <f>IFERROR(__xludf.DUMMYFUNCTION("""COMPUTED_VALUE"""),"Now you can choose your suitable language ")</f>
        <v>Now you can choose your suitable language 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 t="str">
        <f>IFERROR(__xludf.DUMMYFUNCTION("""COMPUTED_VALUE"""),"savethisaddressas")</f>
        <v>savethisaddressas</v>
      </c>
      <c r="B204" s="2" t="str">
        <f>IFERROR(__xludf.DUMMYFUNCTION("""COMPUTED_VALUE"""),"Save this address as")</f>
        <v>Save this address as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 t="str">
        <f>IFERROR(__xludf.DUMMYFUNCTION("""COMPUTED_VALUE"""),"yourlocation")</f>
        <v>yourlocation</v>
      </c>
      <c r="B205" s="2" t="str">
        <f>IFERROR(__xludf.DUMMYFUNCTION("""COMPUTED_VALUE"""),"Your Location")</f>
        <v>Your Location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 t="str">
        <f>IFERROR(__xludf.DUMMYFUNCTION("""COMPUTED_VALUE"""),"help")</f>
        <v>help</v>
      </c>
      <c r="B206" s="2" t="str">
        <f>IFERROR(__xludf.DUMMYFUNCTION("""COMPUTED_VALUE"""),"Help")</f>
        <v>Help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 t="str">
        <f>IFERROR(__xludf.DUMMYFUNCTION("""COMPUTED_VALUE"""),"areyousureyouwanttologout")</f>
        <v>areyousureyouwanttologout</v>
      </c>
      <c r="B207" s="2" t="str">
        <f>IFERROR(__xludf.DUMMYFUNCTION("""COMPUTED_VALUE"""),"Are you sure you want to log out?")</f>
        <v>Are you sure you want to log out?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 t="str">
        <f>IFERROR(__xludf.DUMMYFUNCTION("""COMPUTED_VALUE"""),"son")</f>
        <v>son</v>
      </c>
      <c r="B208" s="2" t="str">
        <f>IFERROR(__xludf.DUMMYFUNCTION("""COMPUTED_VALUE"""),"Son")</f>
        <v>Son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 t="str">
        <f>IFERROR(__xludf.DUMMYFUNCTION("""COMPUTED_VALUE"""),"onboardbysales")</f>
        <v>onboardbysales</v>
      </c>
      <c r="B209" s="2" t="str">
        <f>IFERROR(__xludf.DUMMYFUNCTION("""COMPUTED_VALUE"""),"Onboard by Sales")</f>
        <v>Onboard by Sales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 t="str">
        <f>IFERROR(__xludf.DUMMYFUNCTION("""COMPUTED_VALUE"""),"ratings")</f>
        <v>ratings</v>
      </c>
      <c r="B210" s="2" t="str">
        <f>IFERROR(__xludf.DUMMYFUNCTION("""COMPUTED_VALUE"""),"Ratings")</f>
        <v>Ratings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 t="str">
        <f>IFERROR(__xludf.DUMMYFUNCTION("""COMPUTED_VALUE"""),"cancelOrder")</f>
        <v>cancelOrder</v>
      </c>
      <c r="B211" s="2" t="str">
        <f>IFERROR(__xludf.DUMMYFUNCTION("""COMPUTED_VALUE"""),"Cancel Order")</f>
        <v>Cancel Order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 t="str">
        <f>IFERROR(__xludf.DUMMYFUNCTION("""COMPUTED_VALUE"""),"recommendedforyou")</f>
        <v>recommendedforyou</v>
      </c>
      <c r="B212" s="2" t="str">
        <f>IFERROR(__xludf.DUMMYFUNCTION("""COMPUTED_VALUE"""),"Recommended for You ")</f>
        <v>Recommended for You 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 t="str">
        <f>IFERROR(__xludf.DUMMYFUNCTION("""COMPUTED_VALUE"""),"remove")</f>
        <v>remove</v>
      </c>
      <c r="B213" s="2" t="str">
        <f>IFERROR(__xludf.DUMMYFUNCTION("""COMPUTED_VALUE"""),"Remove")</f>
        <v>Remove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 t="str">
        <f>IFERROR(__xludf.DUMMYFUNCTION("""COMPUTED_VALUE"""),"adddetails")</f>
        <v>adddetails</v>
      </c>
      <c r="B214" s="2" t="str">
        <f>IFERROR(__xludf.DUMMYFUNCTION("""COMPUTED_VALUE"""),"Add Details")</f>
        <v>Add Details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 t="str">
        <f>IFERROR(__xludf.DUMMYFUNCTION("""COMPUTED_VALUE"""),"updateuser")</f>
        <v>updateuser</v>
      </c>
      <c r="B215" s="2" t="str">
        <f>IFERROR(__xludf.DUMMYFUNCTION("""COMPUTED_VALUE"""),"Update User")</f>
        <v>Update User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 t="str">
        <f>IFERROR(__xludf.DUMMYFUNCTION("""COMPUTED_VALUE"""),"nouserscreatedyet")</f>
        <v>nouserscreatedyet</v>
      </c>
      <c r="B216" s="2" t="str">
        <f>IFERROR(__xludf.DUMMYFUNCTION("""COMPUTED_VALUE"""),"No Users Created Yet")</f>
        <v>No Users Created Yet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 t="str">
        <f>IFERROR(__xludf.DUMMYFUNCTION("""COMPUTED_VALUE"""),"advance")</f>
        <v>advance</v>
      </c>
      <c r="B217" s="2" t="str">
        <f>IFERROR(__xludf.DUMMYFUNCTION("""COMPUTED_VALUE"""),"Advance")</f>
        <v>Advance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 t="str">
        <f>IFERROR(__xludf.DUMMYFUNCTION("""COMPUTED_VALUE"""),"pastOrders")</f>
        <v>pastOrders</v>
      </c>
      <c r="B218" s="2" t="str">
        <f>IFERROR(__xludf.DUMMYFUNCTION("""COMPUTED_VALUE"""),"Past Orders")</f>
        <v>Past Orders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 t="str">
        <f>IFERROR(__xludf.DUMMYFUNCTION("""COMPUTED_VALUE"""),"viewMoreOrders")</f>
        <v>viewMoreOrders</v>
      </c>
      <c r="B219" s="2" t="str">
        <f>IFERROR(__xludf.DUMMYFUNCTION("""COMPUTED_VALUE"""),"View More Orders")</f>
        <v>View More Orders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 t="str">
        <f>IFERROR(__xludf.DUMMYFUNCTION("""COMPUTED_VALUE"""),"ordermanger")</f>
        <v>ordermanger</v>
      </c>
      <c r="B220" s="2" t="str">
        <f>IFERROR(__xludf.DUMMYFUNCTION("""COMPUTED_VALUE"""),"Order Manager")</f>
        <v>Order Manager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 t="str">
        <f>IFERROR(__xludf.DUMMYFUNCTION("""COMPUTED_VALUE"""),"name")</f>
        <v>name</v>
      </c>
      <c r="B221" s="2" t="str">
        <f>IFERROR(__xludf.DUMMYFUNCTION("""COMPUTED_VALUE"""),"Name")</f>
        <v>Name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 t="str">
        <f>IFERROR(__xludf.DUMMYFUNCTION("""COMPUTED_VALUE"""),"mycomplaints")</f>
        <v>mycomplaints</v>
      </c>
      <c r="B222" s="2" t="str">
        <f>IFERROR(__xludf.DUMMYFUNCTION("""COMPUTED_VALUE"""),"My Complaints")</f>
        <v>My Complaints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 t="str">
        <f>IFERROR(__xludf.DUMMYFUNCTION("""COMPUTED_VALUE"""),"complainid")</f>
        <v>complainid</v>
      </c>
      <c r="B223" s="2" t="str">
        <f>IFERROR(__xludf.DUMMYFUNCTION("""COMPUTED_VALUE"""),"Complain ID")</f>
        <v>Complain ID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 t="str">
        <f>IFERROR(__xludf.DUMMYFUNCTION("""COMPUTED_VALUE"""),"assignedtoaccountmanager")</f>
        <v>assignedtoaccountmanager</v>
      </c>
      <c r="B224" s="2" t="str">
        <f>IFERROR(__xludf.DUMMYFUNCTION("""COMPUTED_VALUE"""),"Assigned to Account Manager")</f>
        <v>Assigned to Account Manager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 t="str">
        <f>IFERROR(__xludf.DUMMYFUNCTION("""COMPUTED_VALUE"""),"complainraised")</f>
        <v>complainraised</v>
      </c>
      <c r="B225" s="2" t="str">
        <f>IFERROR(__xludf.DUMMYFUNCTION("""COMPUTED_VALUE"""),"Complaint Raised")</f>
        <v>Complaint Raised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 t="str">
        <f>IFERROR(__xludf.DUMMYFUNCTION("""COMPUTED_VALUE"""),"verify")</f>
        <v>verify</v>
      </c>
      <c r="B226" s="2" t="str">
        <f>IFERROR(__xludf.DUMMYFUNCTION("""COMPUTED_VALUE"""),"Verify")</f>
        <v>Verify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 t="str">
        <f>IFERROR(__xludf.DUMMYFUNCTION("""COMPUTED_VALUE"""),"yesterday")</f>
        <v>yesterday</v>
      </c>
      <c r="B227" s="2" t="str">
        <f>IFERROR(__xludf.DUMMYFUNCTION("""COMPUTED_VALUE"""),"Yesterday")</f>
        <v>Yesterday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 t="str">
        <f>IFERROR(__xludf.DUMMYFUNCTION("""COMPUTED_VALUE"""),"referBy")</f>
        <v>referBy</v>
      </c>
      <c r="B228" s="2" t="str">
        <f>IFERROR(__xludf.DUMMYFUNCTION("""COMPUTED_VALUE"""),"Refer by")</f>
        <v>Refer by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 t="str">
        <f>IFERROR(__xludf.DUMMYFUNCTION("""COMPUTED_VALUE"""),"email")</f>
        <v>email</v>
      </c>
      <c r="B229" s="2" t="str">
        <f>IFERROR(__xludf.DUMMYFUNCTION("""COMPUTED_VALUE"""),"Email")</f>
        <v>Email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 t="str">
        <f>IFERROR(__xludf.DUMMYFUNCTION("""COMPUTED_VALUE"""),"escalatedtostatehead")</f>
        <v>escalatedtostatehead</v>
      </c>
      <c r="B230" s="2" t="str">
        <f>IFERROR(__xludf.DUMMYFUNCTION("""COMPUTED_VALUE"""),"Escalated to State Head")</f>
        <v>Escalated to State Head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 t="str">
        <f>IFERROR(__xludf.DUMMYFUNCTION("""COMPUTED_VALUE"""),"escalated to city officer")</f>
        <v>escalated to city officer</v>
      </c>
      <c r="B231" s="2" t="str">
        <f>IFERROR(__xludf.DUMMYFUNCTION("""COMPUTED_VALUE"""),"Escalated to City Officer")</f>
        <v>Escalated to City Officer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 t="str">
        <f>IFERROR(__xludf.DUMMYFUNCTION("""COMPUTED_VALUE"""),"message")</f>
        <v>message</v>
      </c>
      <c r="B232" s="2" t="str">
        <f>IFERROR(__xludf.DUMMYFUNCTION("""COMPUTED_VALUE"""),"Message")</f>
        <v>Message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 t="str">
        <f>IFERROR(__xludf.DUMMYFUNCTION("""COMPUTED_VALUE"""),"editProfile")</f>
        <v>editProfile</v>
      </c>
      <c r="B233" s="2" t="str">
        <f>IFERROR(__xludf.DUMMYFUNCTION("""COMPUTED_VALUE"""),"Edit Profile")</f>
        <v>Edit Profile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 t="str">
        <f>IFERROR(__xludf.DUMMYFUNCTION("""COMPUTED_VALUE"""),"orderdelivered")</f>
        <v>orderdelivered</v>
      </c>
      <c r="B234" s="2" t="str">
        <f>IFERROR(__xludf.DUMMYFUNCTION("""COMPUTED_VALUE"""),"Order Delivered")</f>
        <v>Order Delivered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 t="str">
        <f>IFERROR(__xludf.DUMMYFUNCTION("""COMPUTED_VALUE"""),"favoruites")</f>
        <v>favoruites</v>
      </c>
      <c r="B235" s="2" t="str">
        <f>IFERROR(__xludf.DUMMYFUNCTION("""COMPUTED_VALUE"""),"Favourites")</f>
        <v>Favourites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 t="str">
        <f>IFERROR(__xludf.DUMMYFUNCTION("""COMPUTED_VALUE"""),"shops")</f>
        <v>shops</v>
      </c>
      <c r="B236" s="2" t="str">
        <f>IFERROR(__xludf.DUMMYFUNCTION("""COMPUTED_VALUE"""),"Shops")</f>
        <v>Shops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 t="str">
        <f>IFERROR(__xludf.DUMMYFUNCTION("""COMPUTED_VALUE"""),"savedAddress")</f>
        <v>savedAddress</v>
      </c>
      <c r="B237" s="2" t="str">
        <f>IFERROR(__xludf.DUMMYFUNCTION("""COMPUTED_VALUE"""),"Saved Address")</f>
        <v>Saved Address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 t="str">
        <f>IFERROR(__xludf.DUMMYFUNCTION("""COMPUTED_VALUE"""),"yourorderhasbeendeliveredsuccessully")</f>
        <v>yourorderhasbeendeliveredsuccessully</v>
      </c>
      <c r="B238" s="2" t="str">
        <f>IFERROR(__xludf.DUMMYFUNCTION("""COMPUTED_VALUE"""),"Your order has been Delivered Successfully ")</f>
        <v>Your order has been Delivered Successfully 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 t="str">
        <f>IFERROR(__xludf.DUMMYFUNCTION("""COMPUTED_VALUE"""),"makepayment")</f>
        <v>makepayment</v>
      </c>
      <c r="B239" s="2" t="str">
        <f>IFERROR(__xludf.DUMMYFUNCTION("""COMPUTED_VALUE"""),"Make Payment")</f>
        <v>Make Payment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 t="str">
        <f>IFERROR(__xludf.DUMMYFUNCTION("""COMPUTED_VALUE"""),"privacyPolicies")</f>
        <v>privacyPolicies</v>
      </c>
      <c r="B240" s="2" t="str">
        <f>IFERROR(__xludf.DUMMYFUNCTION("""COMPUTED_VALUE"""),"Privacy policies")</f>
        <v>Privacy policies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 t="str">
        <f>IFERROR(__xludf.DUMMYFUNCTION("""COMPUTED_VALUE"""),"doyouwanttodelete")</f>
        <v>doyouwanttodelete</v>
      </c>
      <c r="B241" s="2" t="str">
        <f>IFERROR(__xludf.DUMMYFUNCTION("""COMPUTED_VALUE"""),"Do you want to delete?")</f>
        <v>Do you want to delete?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 t="str">
        <f>IFERROR(__xludf.DUMMYFUNCTION("""COMPUTED_VALUE"""),"iddetails")</f>
        <v>iddetails</v>
      </c>
      <c r="B242" s="2" t="str">
        <f>IFERROR(__xludf.DUMMYFUNCTION("""COMPUTED_VALUE"""),"ID Details")</f>
        <v>ID Details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 t="str">
        <f>IFERROR(__xludf.DUMMYFUNCTION("""COMPUTED_VALUE"""),"byClickingIaccepttheterms&amp;conditionsandprivacypolicy")</f>
        <v>byClickingIaccepttheterms&amp;conditionsandprivacypolicy</v>
      </c>
      <c r="B243" s="2" t="str">
        <f>IFERROR(__xludf.DUMMYFUNCTION("""COMPUTED_VALUE"""),"By clicking, I accept the Terms &amp; conditions and Privacy Policy")</f>
        <v>By clicking, I accept the Terms &amp; conditions and Privacy Policy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 t="str">
        <f>IFERROR(__xludf.DUMMYFUNCTION("""COMPUTED_VALUE"""),"building/locality")</f>
        <v>building/locality</v>
      </c>
      <c r="B244" s="2" t="str">
        <f>IFERROR(__xludf.DUMMYFUNCTION("""COMPUTED_VALUE"""),"Building/Locality")</f>
        <v>Building/Locality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 t="str">
        <f>IFERROR(__xludf.DUMMYFUNCTION("""COMPUTED_VALUE"""),"restaurant")</f>
        <v>restaurant</v>
      </c>
      <c r="B245" s="2" t="str">
        <f>IFERROR(__xludf.DUMMYFUNCTION("""COMPUTED_VALUE"""),"Restaurant")</f>
        <v>Restaurant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 t="str">
        <f>IFERROR(__xludf.DUMMYFUNCTION("""COMPUTED_VALUE"""),"re-upload")</f>
        <v>re-upload</v>
      </c>
      <c r="B246" s="2" t="str">
        <f>IFERROR(__xludf.DUMMYFUNCTION("""COMPUTED_VALUE"""),"Re-upload ")</f>
        <v>Re-upload 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 t="str">
        <f>IFERROR(__xludf.DUMMYFUNCTION("""COMPUTED_VALUE"""),"individual")</f>
        <v>individual</v>
      </c>
      <c r="B247" s="2" t="str">
        <f>IFERROR(__xludf.DUMMYFUNCTION("""COMPUTED_VALUE"""),"Individual")</f>
        <v>Individual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 t="str">
        <f>IFERROR(__xludf.DUMMYFUNCTION("""COMPUTED_VALUE"""),"didntReceivetheOTP")</f>
        <v>didntReceivetheOTP</v>
      </c>
      <c r="B248" s="2" t="str">
        <f>IFERROR(__xludf.DUMMYFUNCTION("""COMPUTED_VALUE"""),"Didnt receive the OTP?")</f>
        <v>Didnt receive the OTP?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 t="str">
        <f>IFERROR(__xludf.DUMMYFUNCTION("""COMPUTED_VALUE"""),"verifyVia")</f>
        <v>verifyVia</v>
      </c>
      <c r="B249" s="2" t="str">
        <f>IFERROR(__xludf.DUMMYFUNCTION("""COMPUTED_VALUE"""),"Verify Via")</f>
        <v>Verify Via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 t="str">
        <f>IFERROR(__xludf.DUMMYFUNCTION("""COMPUTED_VALUE"""),"howdoyoufeel")</f>
        <v>howdoyoufeel</v>
      </c>
      <c r="B250" s="2" t="str">
        <f>IFERROR(__xludf.DUMMYFUNCTION("""COMPUTED_VALUE"""),"How Do You Feel?")</f>
        <v>How Do You Feel?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 t="str">
        <f>IFERROR(__xludf.DUMMYFUNCTION("""COMPUTED_VALUE"""),"uploadvoterid")</f>
        <v>uploadvoterid</v>
      </c>
      <c r="B251" s="2" t="str">
        <f>IFERROR(__xludf.DUMMYFUNCTION("""COMPUTED_VALUE"""),"Upload Voter ID")</f>
        <v>Upload Voter ID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 t="str">
        <f>IFERROR(__xludf.DUMMYFUNCTION("""COMPUTED_VALUE"""),"pickupWithin")</f>
        <v>pickupWithin</v>
      </c>
      <c r="B252" s="2" t="str">
        <f>IFERROR(__xludf.DUMMYFUNCTION("""COMPUTED_VALUE"""),"Pickup within")</f>
        <v>Pickup within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 t="str">
        <f>IFERROR(__xludf.DUMMYFUNCTION("""COMPUTED_VALUE"""),"addDebit")</f>
        <v>addDebit</v>
      </c>
      <c r="B253" s="2" t="str">
        <f>IFERROR(__xludf.DUMMYFUNCTION("""COMPUTED_VALUE"""),"Add Debit")</f>
        <v>Add Debit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 t="str">
        <f>IFERROR(__xludf.DUMMYFUNCTION("""COMPUTED_VALUE"""),"creditCard")</f>
        <v>creditCard</v>
      </c>
      <c r="B254" s="2" t="str">
        <f>IFERROR(__xludf.DUMMYFUNCTION("""COMPUTED_VALUE"""),"Credit Card")</f>
        <v>Credit Card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 t="str">
        <f>IFERROR(__xludf.DUMMYFUNCTION("""COMPUTED_VALUE"""),"yourOrder")</f>
        <v>yourOrder</v>
      </c>
      <c r="B255" s="2" t="str">
        <f>IFERROR(__xludf.DUMMYFUNCTION("""COMPUTED_VALUE"""),"Your Order")</f>
        <v>Your Order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 t="str">
        <f>IFERROR(__xludf.DUMMYFUNCTION("""COMPUTED_VALUE"""),"willBe")</f>
        <v>willBe</v>
      </c>
      <c r="B256" s="2" t="str">
        <f>IFERROR(__xludf.DUMMYFUNCTION("""COMPUTED_VALUE"""),"Will Be")</f>
        <v>Will Be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 t="str">
        <f>IFERROR(__xludf.DUMMYFUNCTION("""COMPUTED_VALUE"""),"15digitalphanumericnumber")</f>
        <v>15digitalphanumericnumber</v>
      </c>
      <c r="B257" s="2" t="str">
        <f>IFERROR(__xludf.DUMMYFUNCTION("""COMPUTED_VALUE"""),"15-digit Alpha Numeric Number")</f>
        <v>15-digit Alpha Numeric Number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 t="str">
        <f>IFERROR(__xludf.DUMMYFUNCTION("""COMPUTED_VALUE"""),"deliver")</f>
        <v>deliver</v>
      </c>
      <c r="B258" s="2" t="str">
        <f>IFERROR(__xludf.DUMMYFUNCTION("""COMPUTED_VALUE"""),"Deliver")</f>
        <v>Deliver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 t="str">
        <f>IFERROR(__xludf.DUMMYFUNCTION("""COMPUTED_VALUE"""),"pickupNoShow")</f>
        <v>pickupNoShow</v>
      </c>
      <c r="B259" s="2" t="str">
        <f>IFERROR(__xludf.DUMMYFUNCTION("""COMPUTED_VALUE"""),"Pickup No Show")</f>
        <v>Pickup No Show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 t="str">
        <f>IFERROR(__xludf.DUMMYFUNCTION("""COMPUTED_VALUE"""),"house")</f>
        <v>house</v>
      </c>
      <c r="B260" s="2" t="str">
        <f>IFERROR(__xludf.DUMMYFUNCTION("""COMPUTED_VALUE"""),"House")</f>
        <v>House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 t="str">
        <f>IFERROR(__xludf.DUMMYFUNCTION("""COMPUTED_VALUE"""),"flat")</f>
        <v>flat</v>
      </c>
      <c r="B261" s="2" t="str">
        <f>IFERROR(__xludf.DUMMYFUNCTION("""COMPUTED_VALUE"""),"Flat")</f>
        <v>Flat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 t="str">
        <f>IFERROR(__xludf.DUMMYFUNCTION("""COMPUTED_VALUE"""),"block")</f>
        <v>block</v>
      </c>
      <c r="B262" s="2" t="str">
        <f>IFERROR(__xludf.DUMMYFUNCTION("""COMPUTED_VALUE"""),"Block")</f>
        <v>Block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 t="str">
        <f>IFERROR(__xludf.DUMMYFUNCTION("""COMPUTED_VALUE"""),"blockNumber")</f>
        <v>blockNumber</v>
      </c>
      <c r="B263" s="2" t="str">
        <f>IFERROR(__xludf.DUMMYFUNCTION("""COMPUTED_VALUE"""),"Block Number")</f>
        <v>Block Number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 t="str">
        <f>IFERROR(__xludf.DUMMYFUNCTION("""COMPUTED_VALUE"""),"appartment")</f>
        <v>appartment</v>
      </c>
      <c r="B264" s="2" t="str">
        <f>IFERROR(__xludf.DUMMYFUNCTION("""COMPUTED_VALUE"""),"Apartment")</f>
        <v>Apartment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 t="str">
        <f>IFERROR(__xludf.DUMMYFUNCTION("""COMPUTED_VALUE"""),"road")</f>
        <v>road</v>
      </c>
      <c r="B265" s="2" t="str">
        <f>IFERROR(__xludf.DUMMYFUNCTION("""COMPUTED_VALUE"""),"Road")</f>
        <v>Road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 t="str">
        <f>IFERROR(__xludf.DUMMYFUNCTION("""COMPUTED_VALUE"""),"area")</f>
        <v>area</v>
      </c>
      <c r="B266" s="2" t="str">
        <f>IFERROR(__xludf.DUMMYFUNCTION("""COMPUTED_VALUE"""),"Area")</f>
        <v>Area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 t="str">
        <f>IFERROR(__xludf.DUMMYFUNCTION("""COMPUTED_VALUE"""),"saveThis")</f>
        <v>saveThis</v>
      </c>
      <c r="B267" s="2" t="str">
        <f>IFERROR(__xludf.DUMMYFUNCTION("""COMPUTED_VALUE"""),"Save this ")</f>
        <v>Save this 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 t="str">
        <f>IFERROR(__xludf.DUMMYFUNCTION("""COMPUTED_VALUE"""),"addressAs")</f>
        <v>addressAs</v>
      </c>
      <c r="B268" s="2" t="str">
        <f>IFERROR(__xludf.DUMMYFUNCTION("""COMPUTED_VALUE"""),"Address as")</f>
        <v>Address as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 t="str">
        <f>IFERROR(__xludf.DUMMYFUNCTION("""COMPUTED_VALUE"""),"areYou")</f>
        <v>areYou</v>
      </c>
      <c r="B269" s="2" t="str">
        <f>IFERROR(__xludf.DUMMYFUNCTION("""COMPUTED_VALUE"""),"Are you")</f>
        <v>Are you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 t="str">
        <f>IFERROR(__xludf.DUMMYFUNCTION("""COMPUTED_VALUE"""),"sureYou")</f>
        <v>sureYou</v>
      </c>
      <c r="B270" s="2" t="str">
        <f>IFERROR(__xludf.DUMMYFUNCTION("""COMPUTED_VALUE"""),"sure you ")</f>
        <v>sure you 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 t="str">
        <f>IFERROR(__xludf.DUMMYFUNCTION("""COMPUTED_VALUE"""),"wantTo")</f>
        <v>wantTo</v>
      </c>
      <c r="B271" s="2" t="str">
        <f>IFERROR(__xludf.DUMMYFUNCTION("""COMPUTED_VALUE"""),"want to")</f>
        <v>want to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 t="str">
        <f>IFERROR(__xludf.DUMMYFUNCTION("""COMPUTED_VALUE"""),"logOut")</f>
        <v>logOut</v>
      </c>
      <c r="B272" s="2" t="str">
        <f>IFERROR(__xludf.DUMMYFUNCTION("""COMPUTED_VALUE"""),"LOGOUT")</f>
        <v>LOGOUT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 t="str">
        <f>IFERROR(__xludf.DUMMYFUNCTION("""COMPUTED_VALUE"""),"smsSent")</f>
        <v>smsSent</v>
      </c>
      <c r="B273" s="2" t="str">
        <f>IFERROR(__xludf.DUMMYFUNCTION("""COMPUTED_VALUE"""),"SMS sent")</f>
        <v>SMS sent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 t="str">
        <f>IFERROR(__xludf.DUMMYFUNCTION("""COMPUTED_VALUE"""),"successfully")</f>
        <v>successfully</v>
      </c>
      <c r="B274" s="2" t="str">
        <f>IFERROR(__xludf.DUMMYFUNCTION("""COMPUTED_VALUE"""),"Successfully")</f>
        <v>Successfully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 t="str">
        <f>IFERROR(__xludf.DUMMYFUNCTION("""COMPUTED_VALUE"""),"deliverymanager")</f>
        <v>deliverymanager</v>
      </c>
      <c r="B275" s="2" t="str">
        <f>IFERROR(__xludf.DUMMYFUNCTION("""COMPUTED_VALUE"""),"Delivery Manager")</f>
        <v>Delivery Manager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 t="str">
        <f>IFERROR(__xludf.DUMMYFUNCTION("""COMPUTED_VALUE"""),"hasBeen")</f>
        <v>hasBeen</v>
      </c>
      <c r="B276" s="2" t="str">
        <f>IFERROR(__xludf.DUMMYFUNCTION("""COMPUTED_VALUE"""),"has been")</f>
        <v>has been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 t="str">
        <f>IFERROR(__xludf.DUMMYFUNCTION("""COMPUTED_VALUE"""),"sentAt")</f>
        <v>sentAt</v>
      </c>
      <c r="B277" s="2" t="str">
        <f>IFERROR(__xludf.DUMMYFUNCTION("""COMPUTED_VALUE"""),"sent at")</f>
        <v>sent at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 t="str">
        <f>IFERROR(__xludf.DUMMYFUNCTION("""COMPUTED_VALUE"""),"yourRegistered")</f>
        <v>yourRegistered</v>
      </c>
      <c r="B278" s="2" t="str">
        <f>IFERROR(__xludf.DUMMYFUNCTION("""COMPUTED_VALUE"""),"your registered")</f>
        <v>your registered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 t="str">
        <f>IFERROR(__xludf.DUMMYFUNCTION("""COMPUTED_VALUE"""),"House/Flat/Blockno.")</f>
        <v>House/Flat/Blockno.</v>
      </c>
      <c r="B279" s="2" t="str">
        <f>IFERROR(__xludf.DUMMYFUNCTION("""COMPUTED_VALUE"""),"House/Flat/Block no.")</f>
        <v>House/Flat/Block no.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 t="str">
        <f>IFERROR(__xludf.DUMMYFUNCTION("""COMPUTED_VALUE"""),"Apartment/Road/Area")</f>
        <v>Apartment/Road/Area</v>
      </c>
      <c r="B280" s="2" t="str">
        <f>IFERROR(__xludf.DUMMYFUNCTION("""COMPUTED_VALUE"""),"Apartment/Road/Area")</f>
        <v>Apartment/Road/Area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 t="str">
        <f>IFERROR(__xludf.DUMMYFUNCTION("""COMPUTED_VALUE"""),"OrderSubmitted")</f>
        <v>OrderSubmitted</v>
      </c>
      <c r="B281" s="2" t="str">
        <f>IFERROR(__xludf.DUMMYFUNCTION("""COMPUTED_VALUE"""),"Order Submitted")</f>
        <v>Order Submitted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 t="str">
        <f>IFERROR(__xludf.DUMMYFUNCTION("""COMPUTED_VALUE"""),"saveas")</f>
        <v>saveas</v>
      </c>
      <c r="B282" s="2" t="str">
        <f>IFERROR(__xludf.DUMMYFUNCTION("""COMPUTED_VALUE"""),"Save as")</f>
        <v>Save as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 t="str">
        <f>IFERROR(__xludf.DUMMYFUNCTION("""COMPUTED_VALUE"""),"sendTo")</f>
        <v>sendTo</v>
      </c>
      <c r="B283" s="2" t="str">
        <f>IFERROR(__xludf.DUMMYFUNCTION("""COMPUTED_VALUE"""),"Send To")</f>
        <v>Send To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 t="str">
        <f>IFERROR(__xludf.DUMMYFUNCTION("""COMPUTED_VALUE"""),"managereferral")</f>
        <v>managereferral</v>
      </c>
      <c r="B284" s="2" t="str">
        <f>IFERROR(__xludf.DUMMYFUNCTION("""COMPUTED_VALUE"""),"Manage Referral")</f>
        <v>Manage Referral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 t="str">
        <f>IFERROR(__xludf.DUMMYFUNCTION("""COMPUTED_VALUE"""),"in00.30Secs")</f>
        <v>in00.30Secs</v>
      </c>
      <c r="B285" s="2" t="str">
        <f>IFERROR(__xludf.DUMMYFUNCTION("""COMPUTED_VALUE"""),"in 00.30 secs")</f>
        <v>in 00.30 secs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 t="str">
        <f>IFERROR(__xludf.DUMMYFUNCTION("""COMPUTED_VALUE"""),"fristOrder")</f>
        <v>fristOrder</v>
      </c>
      <c r="B286" s="2" t="str">
        <f>IFERROR(__xludf.DUMMYFUNCTION("""COMPUTED_VALUE"""),"First Order")</f>
        <v>First Order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 t="str">
        <f>IFERROR(__xludf.DUMMYFUNCTION("""COMPUTED_VALUE"""),"entermobilenumberforotpverification")</f>
        <v>entermobilenumberforotpverification</v>
      </c>
      <c r="B287" s="2" t="str">
        <f>IFERROR(__xludf.DUMMYFUNCTION("""COMPUTED_VALUE"""),"Enter Mobile number for OTP Verification")</f>
        <v>Enter Mobile number for OTP Verification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 t="str">
        <f>IFERROR(__xludf.DUMMYFUNCTION("""COMPUTED_VALUE"""),"welcome")</f>
        <v>welcome</v>
      </c>
      <c r="B288" s="2" t="str">
        <f>IFERROR(__xludf.DUMMYFUNCTION("""COMPUTED_VALUE"""),"Welcome ")</f>
        <v>Welcome 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 t="str">
        <f>IFERROR(__xludf.DUMMYFUNCTION("""COMPUTED_VALUE"""),"toSarvmai")</f>
        <v>toSarvmai</v>
      </c>
      <c r="B289" s="2" t="str">
        <f>IFERROR(__xludf.DUMMYFUNCTION("""COMPUTED_VALUE"""),"to SarVM.ai")</f>
        <v>to SarVM.ai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 t="str">
        <f>IFERROR(__xludf.DUMMYFUNCTION("""COMPUTED_VALUE"""),"selectYourLanguage")</f>
        <v>selectYourLanguage</v>
      </c>
      <c r="B290" s="2" t="str">
        <f>IFERROR(__xludf.DUMMYFUNCTION("""COMPUTED_VALUE"""),"Select Your Language")</f>
        <v>Select Your Language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 t="str">
        <f>IFERROR(__xludf.DUMMYFUNCTION("""COMPUTED_VALUE"""),"gstincluded")</f>
        <v>gstincluded</v>
      </c>
      <c r="B291" s="2" t="str">
        <f>IFERROR(__xludf.DUMMYFUNCTION("""COMPUTED_VALUE"""),"GST included")</f>
        <v>GST included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 t="str">
        <f>IFERROR(__xludf.DUMMYFUNCTION("""COMPUTED_VALUE"""),"limitedoffer")</f>
        <v>limitedoffer</v>
      </c>
      <c r="B292" s="2" t="str">
        <f>IFERROR(__xludf.DUMMYFUNCTION("""COMPUTED_VALUE"""),"Limited Offer")</f>
        <v>Limited Offer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 t="str">
        <f>IFERROR(__xludf.DUMMYFUNCTION("""COMPUTED_VALUE"""),"entityname")</f>
        <v>entityname</v>
      </c>
      <c r="B293" s="2" t="str">
        <f>IFERROR(__xludf.DUMMYFUNCTION("""COMPUTED_VALUE"""),"Entity Name")</f>
        <v>Entity Name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 t="str">
        <f>IFERROR(__xludf.DUMMYFUNCTION("""COMPUTED_VALUE"""),"verificationCode")</f>
        <v>verificationCode</v>
      </c>
      <c r="B294" s="2" t="str">
        <f>IFERROR(__xludf.DUMMYFUNCTION("""COMPUTED_VALUE"""),"Verification Code")</f>
        <v>Verification Code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 t="str">
        <f>IFERROR(__xludf.DUMMYFUNCTION("""COMPUTED_VALUE"""),"back")</f>
        <v>back</v>
      </c>
      <c r="B295" s="2" t="str">
        <f>IFERROR(__xludf.DUMMYFUNCTION("""COMPUTED_VALUE"""),"Back")</f>
        <v>Back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 t="str">
        <f>IFERROR(__xludf.DUMMYFUNCTION("""COMPUTED_VALUE"""),"resendOtp")</f>
        <v>resendOtp</v>
      </c>
      <c r="B296" s="2" t="str">
        <f>IFERROR(__xludf.DUMMYFUNCTION("""COMPUTED_VALUE"""),"Resend OTP")</f>
        <v>Resend OTP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 t="str">
        <f>IFERROR(__xludf.DUMMYFUNCTION("""COMPUTED_VALUE"""),"reorder ")</f>
        <v>reorder </v>
      </c>
      <c r="B297" s="2" t="str">
        <f>IFERROR(__xludf.DUMMYFUNCTION("""COMPUTED_VALUE"""),"Re Order")</f>
        <v>Re Order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 t="str">
        <f>IFERROR(__xludf.DUMMYFUNCTION("""COMPUTED_VALUE"""),"shopAddress")</f>
        <v>shopAddress</v>
      </c>
      <c r="B298" s="2" t="str">
        <f>IFERROR(__xludf.DUMMYFUNCTION("""COMPUTED_VALUE"""),"Shop Address")</f>
        <v>Shop Address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 t="str">
        <f>IFERROR(__xludf.DUMMYFUNCTION("""COMPUTED_VALUE"""),"searchYourAddress")</f>
        <v>searchYourAddress</v>
      </c>
      <c r="B299" s="2" t="str">
        <f>IFERROR(__xludf.DUMMYFUNCTION("""COMPUTED_VALUE"""),"Search your Address")</f>
        <v>Search your Address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 t="str">
        <f>IFERROR(__xludf.DUMMYFUNCTION("""COMPUTED_VALUE"""),"enterDetails")</f>
        <v>enterDetails</v>
      </c>
      <c r="B300" s="2" t="str">
        <f>IFERROR(__xludf.DUMMYFUNCTION("""COMPUTED_VALUE"""),"Enter Details   ")</f>
        <v>Enter Details   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 t="str">
        <f>IFERROR(__xludf.DUMMYFUNCTION("""COMPUTED_VALUE"""),"businessName")</f>
        <v>businessName</v>
      </c>
      <c r="B301" s="2" t="str">
        <f>IFERROR(__xludf.DUMMYFUNCTION("""COMPUTED_VALUE"""),"Business Name")</f>
        <v>Business Name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 t="str">
        <f>IFERROR(__xludf.DUMMYFUNCTION("""COMPUTED_VALUE"""),"shopno./building")</f>
        <v>shopno./building</v>
      </c>
      <c r="B302" s="2" t="str">
        <f>IFERROR(__xludf.DUMMYFUNCTION("""COMPUTED_VALUE"""),"Shop no./Building ")</f>
        <v>Shop no./Building 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 t="str">
        <f>IFERROR(__xludf.DUMMYFUNCTION("""COMPUTED_VALUE"""),"locality/area")</f>
        <v>locality/area</v>
      </c>
      <c r="B303" s="2" t="str">
        <f>IFERROR(__xludf.DUMMYFUNCTION("""COMPUTED_VALUE"""),"Locality/Area")</f>
        <v>Locality/Area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 t="str">
        <f>IFERROR(__xludf.DUMMYFUNCTION("""COMPUTED_VALUE"""),"once+9101234xxxxxorder")</f>
        <v>once+9101234xxxxxorder</v>
      </c>
      <c r="B304" s="2" t="str">
        <f>IFERROR(__xludf.DUMMYFUNCTION("""COMPUTED_VALUE"""),"Once +91 01234xxxxx Order")</f>
        <v>Once +91 01234xxxxx Order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 t="str">
        <f>IFERROR(__xludf.DUMMYFUNCTION("""COMPUTED_VALUE"""),"GST Number")</f>
        <v>GST Number</v>
      </c>
      <c r="B305" s="2" t="str">
        <f>IFERROR(__xludf.DUMMYFUNCTION("""COMPUTED_VALUE"""),"GST Number")</f>
        <v>GST Number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 t="str">
        <f>IFERROR(__xludf.DUMMYFUNCTION("""COMPUTED_VALUE"""),"city/state")</f>
        <v>city/state</v>
      </c>
      <c r="B306" s="2" t="str">
        <f>IFERROR(__xludf.DUMMYFUNCTION("""COMPUTED_VALUE"""),"City/state")</f>
        <v>City/state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 t="str">
        <f>IFERROR(__xludf.DUMMYFUNCTION("""COMPUTED_VALUE"""),"pincode")</f>
        <v>pincode</v>
      </c>
      <c r="B307" s="2" t="str">
        <f>IFERROR(__xludf.DUMMYFUNCTION("""COMPUTED_VALUE"""),"Pincode")</f>
        <v>Pincode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 t="str">
        <f>IFERROR(__xludf.DUMMYFUNCTION("""COMPUTED_VALUE"""),"saveAndContinue")</f>
        <v>saveAndContinue</v>
      </c>
      <c r="B308" s="2" t="str">
        <f>IFERROR(__xludf.DUMMYFUNCTION("""COMPUTED_VALUE"""),"Save and Continue")</f>
        <v>Save and Continue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 t="str">
        <f>IFERROR(__xludf.DUMMYFUNCTION("""COMPUTED_VALUE"""),"specifyWorkingTime")</f>
        <v>specifyWorkingTime</v>
      </c>
      <c r="B309" s="2" t="str">
        <f>IFERROR(__xludf.DUMMYFUNCTION("""COMPUTED_VALUE"""),"Specify Working Time")</f>
        <v>Specify Working Time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 t="str">
        <f>IFERROR(__xludf.DUMMYFUNCTION("""COMPUTED_VALUE"""),"sameForEveryDay")</f>
        <v>sameForEveryDay</v>
      </c>
      <c r="B310" s="2" t="str">
        <f>IFERROR(__xludf.DUMMYFUNCTION("""COMPUTED_VALUE"""),"Same for Every Day")</f>
        <v>Same for Every Day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 t="str">
        <f>IFERROR(__xludf.DUMMYFUNCTION("""COMPUTED_VALUE"""),"skip")</f>
        <v>skip</v>
      </c>
      <c r="B311" s="2" t="str">
        <f>IFERROR(__xludf.DUMMYFUNCTION("""COMPUTED_VALUE"""),"Skip")</f>
        <v>Skip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 t="str">
        <f>IFERROR(__xludf.DUMMYFUNCTION("""COMPUTED_VALUE"""),"save&amp;Continue")</f>
        <v>save&amp;Continue</v>
      </c>
      <c r="B312" s="2" t="str">
        <f>IFERROR(__xludf.DUMMYFUNCTION("""COMPUTED_VALUE"""),"Save &amp; Continue")</f>
        <v>Save &amp; Continue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 t="str">
        <f>IFERROR(__xludf.DUMMYFUNCTION("""COMPUTED_VALUE"""),"sendreferralinvite")</f>
        <v>sendreferralinvite</v>
      </c>
      <c r="B313" s="2" t="str">
        <f>IFERROR(__xludf.DUMMYFUNCTION("""COMPUTED_VALUE"""),"Send Referral Invite")</f>
        <v>Send Referral Invite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 t="str">
        <f>IFERROR(__xludf.DUMMYFUNCTION("""COMPUTED_VALUE"""),"track")</f>
        <v>track</v>
      </c>
      <c r="B314" s="2" t="str">
        <f>IFERROR(__xludf.DUMMYFUNCTION("""COMPUTED_VALUE"""),"Track")</f>
        <v>Track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 t="str">
        <f>IFERROR(__xludf.DUMMYFUNCTION("""COMPUTED_VALUE"""),"done")</f>
        <v>done</v>
      </c>
      <c r="B315" s="2" t="str">
        <f>IFERROR(__xludf.DUMMYFUNCTION("""COMPUTED_VALUE"""),"Done")</f>
        <v>Done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 t="str">
        <f>IFERROR(__xludf.DUMMYFUNCTION("""COMPUTED_VALUE"""),"Kyc")</f>
        <v>Kyc</v>
      </c>
      <c r="B316" s="2" t="str">
        <f>IFERROR(__xludf.DUMMYFUNCTION("""COMPUTED_VALUE"""),"KYC")</f>
        <v>KYC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 t="str">
        <f>IFERROR(__xludf.DUMMYFUNCTION("""COMPUTED_VALUE"""),"fathersName")</f>
        <v>fathersName</v>
      </c>
      <c r="B317" s="2" t="str">
        <f>IFERROR(__xludf.DUMMYFUNCTION("""COMPUTED_VALUE"""),"Father’s Name")</f>
        <v>Father’s Name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 t="str">
        <f>IFERROR(__xludf.DUMMYFUNCTION("""COMPUTED_VALUE"""),"dob")</f>
        <v>dob</v>
      </c>
      <c r="B318" s="2" t="str">
        <f>IFERROR(__xludf.DUMMYFUNCTION("""COMPUTED_VALUE"""),"DOB")</f>
        <v>DOB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 t="str">
        <f>IFERROR(__xludf.DUMMYFUNCTION("""COMPUTED_VALUE"""),"uploadProofIdentity")</f>
        <v>uploadProofIdentity</v>
      </c>
      <c r="B319" s="2" t="str">
        <f>IFERROR(__xludf.DUMMYFUNCTION("""COMPUTED_VALUE"""),"Upload Proof identity")</f>
        <v>Upload Proof identity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 t="str">
        <f>IFERROR(__xludf.DUMMYFUNCTION("""COMPUTED_VALUE"""),"AadharCard")</f>
        <v>AadharCard</v>
      </c>
      <c r="B320" s="2" t="str">
        <f>IFERROR(__xludf.DUMMYFUNCTION("""COMPUTED_VALUE"""),"Aadhar Card")</f>
        <v>Aadhar Card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 t="str">
        <f>IFERROR(__xludf.DUMMYFUNCTION("""COMPUTED_VALUE"""),"idCardNo.")</f>
        <v>idCardNo.</v>
      </c>
      <c r="B321" s="2" t="str">
        <f>IFERROR(__xludf.DUMMYFUNCTION("""COMPUTED_VALUE"""),"ID Card No.")</f>
        <v>ID Card No.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 t="str">
        <f>IFERROR(__xludf.DUMMYFUNCTION("""COMPUTED_VALUE"""),"uploadPanCard")</f>
        <v>uploadPanCard</v>
      </c>
      <c r="B322" s="2" t="str">
        <f>IFERROR(__xludf.DUMMYFUNCTION("""COMPUTED_VALUE"""),"Upload PAN Card")</f>
        <v>Upload PAN Card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 t="str">
        <f>IFERROR(__xludf.DUMMYFUNCTION("""COMPUTED_VALUE"""),"panCardNo")</f>
        <v>panCardNo</v>
      </c>
      <c r="B323" s="2" t="str">
        <f>IFERROR(__xludf.DUMMYFUNCTION("""COMPUTED_VALUE"""),"PAN Card No.")</f>
        <v>PAN Card No.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 t="str">
        <f>IFERROR(__xludf.DUMMYFUNCTION("""COMPUTED_VALUE"""),"uploadFileForm")</f>
        <v>uploadFileForm</v>
      </c>
      <c r="B324" s="2" t="str">
        <f>IFERROR(__xludf.DUMMYFUNCTION("""COMPUTED_VALUE"""),"Upload file from")</f>
        <v>Upload file from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 t="str">
        <f>IFERROR(__xludf.DUMMYFUNCTION("""COMPUTED_VALUE"""),"bankDetails")</f>
        <v>bankDetails</v>
      </c>
      <c r="B325" s="2" t="str">
        <f>IFERROR(__xludf.DUMMYFUNCTION("""COMPUTED_VALUE"""),"Bank Details")</f>
        <v>Bank Details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 t="str">
        <f>IFERROR(__xludf.DUMMYFUNCTION("""COMPUTED_VALUE"""),"BeneficiaryName")</f>
        <v>BeneficiaryName</v>
      </c>
      <c r="B326" s="2" t="str">
        <f>IFERROR(__xludf.DUMMYFUNCTION("""COMPUTED_VALUE"""),"Beneficiary Name")</f>
        <v>Beneficiary Name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 t="str">
        <f>IFERROR(__xludf.DUMMYFUNCTION("""COMPUTED_VALUE"""),"bankName")</f>
        <v>bankName</v>
      </c>
      <c r="B327" s="2" t="str">
        <f>IFERROR(__xludf.DUMMYFUNCTION("""COMPUTED_VALUE"""),"Bank Name")</f>
        <v>Bank Name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 t="str">
        <f>IFERROR(__xludf.DUMMYFUNCTION("""COMPUTED_VALUE"""),"accountNo")</f>
        <v>accountNo</v>
      </c>
      <c r="B328" s="2" t="str">
        <f>IFERROR(__xludf.DUMMYFUNCTION("""COMPUTED_VALUE"""),"Account No.")</f>
        <v>Account No.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 t="str">
        <f>IFERROR(__xludf.DUMMYFUNCTION("""COMPUTED_VALUE"""),"ifsc")</f>
        <v>ifsc</v>
      </c>
      <c r="B329" s="2" t="str">
        <f>IFERROR(__xludf.DUMMYFUNCTION("""COMPUTED_VALUE"""),"IFSC")</f>
        <v>IFSC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 t="str">
        <f>IFERROR(__xludf.DUMMYFUNCTION("""COMPUTED_VALUE"""),"uploadPassbookPhoto")</f>
        <v>uploadPassbookPhoto</v>
      </c>
      <c r="B330" s="2" t="str">
        <f>IFERROR(__xludf.DUMMYFUNCTION("""COMPUTED_VALUE"""),"Upload Passbook photo")</f>
        <v>Upload Passbook photo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 t="str">
        <f>IFERROR(__xludf.DUMMYFUNCTION("""COMPUTED_VALUE"""),"passbookphoto")</f>
        <v>passbookphoto</v>
      </c>
      <c r="B331" s="2" t="str">
        <f>IFERROR(__xludf.DUMMYFUNCTION("""COMPUTED_VALUE"""),"Passbook Photo")</f>
        <v>Passbook Photo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 t="str">
        <f>IFERROR(__xludf.DUMMYFUNCTION("""COMPUTED_VALUE"""),"pendingOrders")</f>
        <v>pendingOrders</v>
      </c>
      <c r="B332" s="2" t="str">
        <f>IFERROR(__xludf.DUMMYFUNCTION("""COMPUTED_VALUE"""),"Pending Orders")</f>
        <v>Pending Orders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 t="str">
        <f>IFERROR(__xludf.DUMMYFUNCTION("""COMPUTED_VALUE"""),"details")</f>
        <v>details</v>
      </c>
      <c r="B333" s="2" t="str">
        <f>IFERROR(__xludf.DUMMYFUNCTION("""COMPUTED_VALUE"""),"Details")</f>
        <v>Details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 t="str">
        <f>IFERROR(__xludf.DUMMYFUNCTION("""COMPUTED_VALUE"""),"reEnterAccountNo")</f>
        <v>reEnterAccountNo</v>
      </c>
      <c r="B334" s="2" t="str">
        <f>IFERROR(__xludf.DUMMYFUNCTION("""COMPUTED_VALUE"""),"Re-enter Account No.")</f>
        <v>Re-enter Account No.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 t="str">
        <f>IFERROR(__xludf.DUMMYFUNCTION("""COMPUTED_VALUE"""),"reenteraccountnumber")</f>
        <v>reenteraccountnumber</v>
      </c>
      <c r="B335" s="2" t="str">
        <f>IFERROR(__xludf.DUMMYFUNCTION("""COMPUTED_VALUE"""),"Re-enter Account Number ")</f>
        <v>Re-enter Account Number 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 t="str">
        <f>IFERROR(__xludf.DUMMYFUNCTION("""COMPUTED_VALUE"""),"accountNumber")</f>
        <v>accountNumber</v>
      </c>
      <c r="B336" s="2" t="str">
        <f>IFERROR(__xludf.DUMMYFUNCTION("""COMPUTED_VALUE"""),"Account Number")</f>
        <v>Account Number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 t="str">
        <f>IFERROR(__xludf.DUMMYFUNCTION("""COMPUTED_VALUE"""),"ifsccode")</f>
        <v>ifsccode</v>
      </c>
      <c r="B337" s="2" t="str">
        <f>IFERROR(__xludf.DUMMYFUNCTION("""COMPUTED_VALUE"""),"IFSC Code")</f>
        <v>IFSC Code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 t="str">
        <f>IFERROR(__xludf.DUMMYFUNCTION("""COMPUTED_VALUE"""),"pannumber")</f>
        <v>pannumber</v>
      </c>
      <c r="B338" s="2" t="str">
        <f>IFERROR(__xludf.DUMMYFUNCTION("""COMPUTED_VALUE"""),"PAN Number ")</f>
        <v>PAN Number 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 t="str">
        <f>IFERROR(__xludf.DUMMYFUNCTION("""COMPUTED_VALUE"""),"selling")</f>
        <v>selling</v>
      </c>
      <c r="B339" s="2" t="str">
        <f>IFERROR(__xludf.DUMMYFUNCTION("""COMPUTED_VALUE"""),"Selling")</f>
        <v>Selling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 t="str">
        <f>IFERROR(__xludf.DUMMYFUNCTION("""COMPUTED_VALUE"""),"areyoysure?youwanttosendreferralinvitetothisnumber?")</f>
        <v>areyoysure?youwanttosendreferralinvitetothisnumber?</v>
      </c>
      <c r="B340" s="2" t="str">
        <f>IFERROR(__xludf.DUMMYFUNCTION("""COMPUTED_VALUE"""),"Are you sure? You want to send referral invite to this number?")</f>
        <v>Are you sure? You want to send referral invite to this number?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 t="str">
        <f>IFERROR(__xludf.DUMMYFUNCTION("""COMPUTED_VALUE"""),"addproductdetails")</f>
        <v>addproductdetails</v>
      </c>
      <c r="B341" s="2" t="str">
        <f>IFERROR(__xludf.DUMMYFUNCTION("""COMPUTED_VALUE"""),"Add Product Details")</f>
        <v>Add Product Details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 t="str">
        <f>IFERROR(__xludf.DUMMYFUNCTION("""COMPUTED_VALUE"""),"expenses")</f>
        <v>expenses</v>
      </c>
      <c r="B342" s="2" t="str">
        <f>IFERROR(__xludf.DUMMYFUNCTION("""COMPUTED_VALUE"""),"Expenses")</f>
        <v>Expenses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 t="str">
        <f>IFERROR(__xludf.DUMMYFUNCTION("""COMPUTED_VALUE"""),"orderhistory")</f>
        <v>orderhistory</v>
      </c>
      <c r="B343" s="2" t="str">
        <f>IFERROR(__xludf.DUMMYFUNCTION("""COMPUTED_VALUE"""),"Order History")</f>
        <v>Order History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 t="str">
        <f>IFERROR(__xludf.DUMMYFUNCTION("""COMPUTED_VALUE"""),"crm")</f>
        <v>crm</v>
      </c>
      <c r="B344" s="2" t="str">
        <f>IFERROR(__xludf.DUMMYFUNCTION("""COMPUTED_VALUE"""),"CRM")</f>
        <v>CRM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 t="str">
        <f>IFERROR(__xludf.DUMMYFUNCTION("""COMPUTED_VALUE"""),"customer")</f>
        <v>customer</v>
      </c>
      <c r="B345" s="2" t="str">
        <f>IFERROR(__xludf.DUMMYFUNCTION("""COMPUTED_VALUE"""),"Customer")</f>
        <v>Customer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 t="str">
        <f>IFERROR(__xludf.DUMMYFUNCTION("""COMPUTED_VALUE"""),"service")</f>
        <v>service</v>
      </c>
      <c r="B346" s="2" t="str">
        <f>IFERROR(__xludf.DUMMYFUNCTION("""COMPUTED_VALUE"""),"Service")</f>
        <v>Service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 t="str">
        <f>IFERROR(__xludf.DUMMYFUNCTION("""COMPUTED_VALUE"""),"b2bBuy")</f>
        <v>b2bBuy</v>
      </c>
      <c r="B347" s="2" t="str">
        <f>IFERROR(__xludf.DUMMYFUNCTION("""COMPUTED_VALUE"""),"B2B Buy")</f>
        <v>B2B Buy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 t="str">
        <f>IFERROR(__xludf.DUMMYFUNCTION("""COMPUTED_VALUE"""),"promote")</f>
        <v>promote</v>
      </c>
      <c r="B348" s="2" t="str">
        <f>IFERROR(__xludf.DUMMYFUNCTION("""COMPUTED_VALUE"""),"Promote")</f>
        <v>Promote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 t="str">
        <f>IFERROR(__xludf.DUMMYFUNCTION("""COMPUTED_VALUE"""),"usermanagement")</f>
        <v>usermanagement</v>
      </c>
      <c r="B349" s="2" t="str">
        <f>IFERROR(__xludf.DUMMYFUNCTION("""COMPUTED_VALUE"""),"User Management ")</f>
        <v>User Management 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 t="str">
        <f>IFERROR(__xludf.DUMMYFUNCTION("""COMPUTED_VALUE"""),"referralmanagement")</f>
        <v>referralmanagement</v>
      </c>
      <c r="B350" s="2" t="str">
        <f>IFERROR(__xludf.DUMMYFUNCTION("""COMPUTED_VALUE"""),"Referral Management")</f>
        <v>Referral Management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 t="str">
        <f>IFERROR(__xludf.DUMMYFUNCTION("""COMPUTED_VALUE"""),"P&amp;L")</f>
        <v>P&amp;L</v>
      </c>
      <c r="B351" s="2" t="str">
        <f>IFERROR(__xludf.DUMMYFUNCTION("""COMPUTED_VALUE"""),"P &amp; L")</f>
        <v>P &amp; L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 t="str">
        <f>IFERROR(__xludf.DUMMYFUNCTION("""COMPUTED_VALUE"""),"subscription")</f>
        <v>subscription</v>
      </c>
      <c r="B352" s="2" t="str">
        <f>IFERROR(__xludf.DUMMYFUNCTION("""COMPUTED_VALUE"""),"Subscription")</f>
        <v>Subscription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 t="str">
        <f>IFERROR(__xludf.DUMMYFUNCTION("""COMPUTED_VALUE"""),"catalog")</f>
        <v>catalog</v>
      </c>
      <c r="B353" s="2" t="str">
        <f>IFERROR(__xludf.DUMMYFUNCTION("""COMPUTED_VALUE"""),"Catalog")</f>
        <v>Catalog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 t="str">
        <f>IFERROR(__xludf.DUMMYFUNCTION("""COMPUTED_VALUE"""),"financemanager")</f>
        <v>financemanager</v>
      </c>
      <c r="B354" s="2" t="str">
        <f>IFERROR(__xludf.DUMMYFUNCTION("""COMPUTED_VALUE"""),"Finance Manager")</f>
        <v>Finance Manager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 t="str">
        <f>IFERROR(__xludf.DUMMYFUNCTION("""COMPUTED_VALUE"""),"posexecutive")</f>
        <v>posexecutive</v>
      </c>
      <c r="B355" s="2" t="str">
        <f>IFERROR(__xludf.DUMMYFUNCTION("""COMPUTED_VALUE"""),"PoS Executive")</f>
        <v>PoS Executive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 t="str">
        <f>IFERROR(__xludf.DUMMYFUNCTION("""COMPUTED_VALUE"""),"add")</f>
        <v>add</v>
      </c>
      <c r="B356" s="2" t="str">
        <f>IFERROR(__xludf.DUMMYFUNCTION("""COMPUTED_VALUE"""),"Add")</f>
        <v>Add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 t="str">
        <f>IFERROR(__xludf.DUMMYFUNCTION("""COMPUTED_VALUE"""),"storemanager")</f>
        <v>storemanager</v>
      </c>
      <c r="B357" s="2" t="str">
        <f>IFERROR(__xludf.DUMMYFUNCTION("""COMPUTED_VALUE"""),"Store Manager")</f>
        <v>Store Manager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 t="str">
        <f>IFERROR(__xludf.DUMMYFUNCTION("""COMPUTED_VALUE"""),"order")</f>
        <v>order</v>
      </c>
      <c r="B358" s="2" t="str">
        <f>IFERROR(__xludf.DUMMYFUNCTION("""COMPUTED_VALUE"""),"Order")</f>
        <v>Order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 t="str">
        <f>IFERROR(__xludf.DUMMYFUNCTION("""COMPUTED_VALUE"""),"dispatchedintransit")</f>
        <v>dispatchedintransit</v>
      </c>
      <c r="B359" s="2" t="str">
        <f>IFERROR(__xludf.DUMMYFUNCTION("""COMPUTED_VALUE"""),"Dispatched(In Transit)")</f>
        <v>Dispatched(In Transit)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 t="str">
        <f>IFERROR(__xludf.DUMMYFUNCTION("""COMPUTED_VALUE"""),"YourOrderWillBeDelivered")</f>
        <v>YourOrderWillBeDelivered</v>
      </c>
      <c r="B360" s="2" t="str">
        <f>IFERROR(__xludf.DUMMYFUNCTION("""COMPUTED_VALUE"""),"Your Order Will Be Delivered")</f>
        <v>Your Order Will Be Delivered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 t="str">
        <f>IFERROR(__xludf.DUMMYFUNCTION("""COMPUTED_VALUE"""),"search")</f>
        <v>search</v>
      </c>
      <c r="B361" s="2" t="str">
        <f>IFERROR(__xludf.DUMMYFUNCTION("""COMPUTED_VALUE"""),"Search")</f>
        <v>Search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 t="str">
        <f>IFERROR(__xludf.DUMMYFUNCTION("""COMPUTED_VALUE"""),"addUser")</f>
        <v>addUser</v>
      </c>
      <c r="B362" s="2" t="str">
        <f>IFERROR(__xludf.DUMMYFUNCTION("""COMPUTED_VALUE"""),"Add User")</f>
        <v>Add User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 t="str">
        <f>IFERROR(__xludf.DUMMYFUNCTION("""COMPUTED_VALUE"""),"reset")</f>
        <v>reset</v>
      </c>
      <c r="B363" s="2" t="str">
        <f>IFERROR(__xludf.DUMMYFUNCTION("""COMPUTED_VALUE"""),"Reset ")</f>
        <v>Reset 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 t="str">
        <f>IFERROR(__xludf.DUMMYFUNCTION("""COMPUTED_VALUE"""),"personal")</f>
        <v>personal</v>
      </c>
      <c r="B364" s="2" t="str">
        <f>IFERROR(__xludf.DUMMYFUNCTION("""COMPUTED_VALUE"""),"Personal")</f>
        <v>Personal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 t="str">
        <f>IFERROR(__xludf.DUMMYFUNCTION("""COMPUTED_VALUE"""),"identity")</f>
        <v>identity</v>
      </c>
      <c r="B365" s="2" t="str">
        <f>IFERROR(__xludf.DUMMYFUNCTION("""COMPUTED_VALUE"""),"Identity")</f>
        <v>Identity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 t="str">
        <f>IFERROR(__xludf.DUMMYFUNCTION("""COMPUTED_VALUE"""),"description")</f>
        <v>description</v>
      </c>
      <c r="B366" s="2" t="str">
        <f>IFERROR(__xludf.DUMMYFUNCTION("""COMPUTED_VALUE"""),"Description")</f>
        <v>Description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 t="str">
        <f>IFERROR(__xludf.DUMMYFUNCTION("""COMPUTED_VALUE"""),"employeeId")</f>
        <v>employeeId</v>
      </c>
      <c r="B367" s="2" t="str">
        <f>IFERROR(__xludf.DUMMYFUNCTION("""COMPUTED_VALUE"""),"Employee ID")</f>
        <v>Employee ID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 t="str">
        <f>IFERROR(__xludf.DUMMYFUNCTION("""COMPUTED_VALUE"""),"fullName")</f>
        <v>fullName</v>
      </c>
      <c r="B368" s="2" t="str">
        <f>IFERROR(__xludf.DUMMYFUNCTION("""COMPUTED_VALUE"""),"Full Name")</f>
        <v>Full Name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 t="str">
        <f>IFERROR(__xludf.DUMMYFUNCTION("""COMPUTED_VALUE"""),"assignRoles")</f>
        <v>assignRoles</v>
      </c>
      <c r="B369" s="2" t="str">
        <f>IFERROR(__xludf.DUMMYFUNCTION("""COMPUTED_VALUE"""),"Assign Roles")</f>
        <v>Assign Roles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 t="str">
        <f>IFERROR(__xludf.DUMMYFUNCTION("""COMPUTED_VALUE"""),"emailAddress*")</f>
        <v>emailAddress*</v>
      </c>
      <c r="B370" s="2" t="str">
        <f>IFERROR(__xludf.DUMMYFUNCTION("""COMPUTED_VALUE"""),"Email Address")</f>
        <v>Email Address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 t="str">
        <f>IFERROR(__xludf.DUMMYFUNCTION("""COMPUTED_VALUE"""),"drupefruit10")</f>
        <v>drupefruit10</v>
      </c>
      <c r="B371" s="2" t="str">
        <f>IFERROR(__xludf.DUMMYFUNCTION("""COMPUTED_VALUE"""),"Drupe Fruit (10)")</f>
        <v>Drupe Fruit (10)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 t="str">
        <f>IFERROR(__xludf.DUMMYFUNCTION("""COMPUTED_VALUE"""),"education")</f>
        <v>education</v>
      </c>
      <c r="B372" s="2" t="str">
        <f>IFERROR(__xludf.DUMMYFUNCTION("""COMPUTED_VALUE"""),"Education")</f>
        <v>Education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 t="str">
        <f>IFERROR(__xludf.DUMMYFUNCTION("""COMPUTED_VALUE"""),"AddressLine")</f>
        <v>AddressLine</v>
      </c>
      <c r="B373" s="2" t="str">
        <f>IFERROR(__xludf.DUMMYFUNCTION("""COMPUTED_VALUE"""),"Address line ")</f>
        <v>Address line 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 t="str">
        <f>IFERROR(__xludf.DUMMYFUNCTION("""COMPUTED_VALUE"""),"initiatepayment")</f>
        <v>initiatepayment</v>
      </c>
      <c r="B374" s="2" t="str">
        <f>IFERROR(__xludf.DUMMYFUNCTION("""COMPUTED_VALUE"""),"Initiate Payment")</f>
        <v>Initiate Payment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 t="str">
        <f>IFERROR(__xludf.DUMMYFUNCTION("""COMPUTED_VALUE"""),"roles")</f>
        <v>roles</v>
      </c>
      <c r="B375" s="2" t="str">
        <f>IFERROR(__xludf.DUMMYFUNCTION("""COMPUTED_VALUE"""),"Roles")</f>
        <v>Roles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 t="str">
        <f>IFERROR(__xludf.DUMMYFUNCTION("""COMPUTED_VALUE"""),"distancekm")</f>
        <v>distancekm</v>
      </c>
      <c r="B376" s="2" t="str">
        <f>IFERROR(__xludf.DUMMYFUNCTION("""COMPUTED_VALUE"""),"Distance(km)")</f>
        <v>Distance(km)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 t="str">
        <f>IFERROR(__xludf.DUMMYFUNCTION("""COMPUTED_VALUE"""),"mandatoryitem")</f>
        <v>mandatoryitem</v>
      </c>
      <c r="B377" s="2" t="str">
        <f>IFERROR(__xludf.DUMMYFUNCTION("""COMPUTED_VALUE"""),"Mandatory Item")</f>
        <v>Mandatory Item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 t="str">
        <f>IFERROR(__xludf.DUMMYFUNCTION("""COMPUTED_VALUE"""),"emergencyContact")</f>
        <v>emergencyContact</v>
      </c>
      <c r="B378" s="2" t="str">
        <f>IFERROR(__xludf.DUMMYFUNCTION("""COMPUTED_VALUE"""),"Emergency Contact")</f>
        <v>Emergency Contact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 t="str">
        <f>IFERROR(__xludf.DUMMYFUNCTION("""COMPUTED_VALUE"""),"uploadAdhaarCard")</f>
        <v>uploadAdhaarCard</v>
      </c>
      <c r="B379" s="2" t="str">
        <f>IFERROR(__xludf.DUMMYFUNCTION("""COMPUTED_VALUE"""),"Upload Adhaar Card")</f>
        <v>Upload Adhaar Card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 t="str">
        <f>IFERROR(__xludf.DUMMYFUNCTION("""COMPUTED_VALUE"""),"PayOnDelivery")</f>
        <v>PayOnDelivery</v>
      </c>
      <c r="B380" s="2" t="str">
        <f>IFERROR(__xludf.DUMMYFUNCTION("""COMPUTED_VALUE"""),"Pay On Delivery")</f>
        <v>Pay On Delivery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 t="str">
        <f>IFERROR(__xludf.DUMMYFUNCTION("""COMPUTED_VALUE"""),"profilePhoto")</f>
        <v>profilePhoto</v>
      </c>
      <c r="B381" s="2" t="str">
        <f>IFERROR(__xludf.DUMMYFUNCTION("""COMPUTED_VALUE"""),"Profile Photo")</f>
        <v>Profile Photo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 t="str">
        <f>IFERROR(__xludf.DUMMYFUNCTION("""COMPUTED_VALUE"""),"DeliveryPickup Within")</f>
        <v>DeliveryPickup Within</v>
      </c>
      <c r="B382" s="2" t="str">
        <f>IFERROR(__xludf.DUMMYFUNCTION("""COMPUTED_VALUE"""),"Delivery/Pickup Within")</f>
        <v>Delivery/Pickup Within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 t="str">
        <f>IFERROR(__xludf.DUMMYFUNCTION("""COMPUTED_VALUE"""),"previous")</f>
        <v>previous</v>
      </c>
      <c r="B383" s="2" t="str">
        <f>IFERROR(__xludf.DUMMYFUNCTION("""COMPUTED_VALUE"""),"Previous")</f>
        <v>Previous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 t="str">
        <f>IFERROR(__xludf.DUMMYFUNCTION("""COMPUTED_VALUE"""),"EmergencyContactNumber*")</f>
        <v>EmergencyContactNumber*</v>
      </c>
      <c r="B384" s="2" t="str">
        <f>IFERROR(__xludf.DUMMYFUNCTION("""COMPUTED_VALUE"""),"Emergency Contact Number *")</f>
        <v>Emergency Contact Number *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 t="str">
        <f>IFERROR(__xludf.DUMMYFUNCTION("""COMPUTED_VALUE"""),"contactName*")</f>
        <v>contactName*</v>
      </c>
      <c r="B385" s="2" t="str">
        <f>IFERROR(__xludf.DUMMYFUNCTION("""COMPUTED_VALUE"""),"Contact Name *")</f>
        <v>Contact Name *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 t="str">
        <f>IFERROR(__xludf.DUMMYFUNCTION("""COMPUTED_VALUE"""),"relationship")</f>
        <v>relationship</v>
      </c>
      <c r="B386" s="2" t="str">
        <f>IFERROR(__xludf.DUMMYFUNCTION("""COMPUTED_VALUE"""),"Relationship")</f>
        <v>Relationship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 t="str">
        <f>IFERROR(__xludf.DUMMYFUNCTION("""COMPUTED_VALUE"""),"userCreatedSuccessfullyyay!")</f>
        <v>userCreatedSuccessfullyyay!</v>
      </c>
      <c r="B387" s="2" t="str">
        <f>IFERROR(__xludf.DUMMYFUNCTION("""COMPUTED_VALUE"""),"User Created Successfully  Yay!")</f>
        <v>User Created Successfully  Yay!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 t="str">
        <f>IFERROR(__xludf.DUMMYFUNCTION("""COMPUTED_VALUE"""),"yay!")</f>
        <v>yay!</v>
      </c>
      <c r="B388" s="2" t="str">
        <f>IFERROR(__xludf.DUMMYFUNCTION("""COMPUTED_VALUE"""),"YAY!")</f>
        <v>YAY!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 t="str">
        <f>IFERROR(__xludf.DUMMYFUNCTION("""COMPUTED_VALUE"""),"DateofJoining ")</f>
        <v>DateofJoining </v>
      </c>
      <c r="B389" s="2" t="str">
        <f>IFERROR(__xludf.DUMMYFUNCTION("""COMPUTED_VALUE"""),"Date of Joining ")</f>
        <v>Date of Joining 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 t="str">
        <f>IFERROR(__xludf.DUMMYFUNCTION("""COMPUTED_VALUE"""),"selecteditems")</f>
        <v>selecteditems</v>
      </c>
      <c r="B390" s="2" t="str">
        <f>IFERROR(__xludf.DUMMYFUNCTION("""COMPUTED_VALUE"""),"Selected Items")</f>
        <v>Selected Items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 t="str">
        <f>IFERROR(__xludf.DUMMYFUNCTION("""COMPUTED_VALUE"""),"inventoryManager")</f>
        <v>inventoryManager</v>
      </c>
      <c r="B391" s="2" t="str">
        <f>IFERROR(__xludf.DUMMYFUNCTION("""COMPUTED_VALUE"""),"Inventory Manager")</f>
        <v>Inventory Manager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 t="str">
        <f>IFERROR(__xludf.DUMMYFUNCTION("""COMPUTED_VALUE"""),"empId")</f>
        <v>empId</v>
      </c>
      <c r="B392" s="2" t="str">
        <f>IFERROR(__xludf.DUMMYFUNCTION("""COMPUTED_VALUE"""),"Emp ID ")</f>
        <v>Emp ID 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 t="str">
        <f>IFERROR(__xludf.DUMMYFUNCTION("""COMPUTED_VALUE"""),"activate")</f>
        <v>activate</v>
      </c>
      <c r="B393" s="2" t="str">
        <f>IFERROR(__xludf.DUMMYFUNCTION("""COMPUTED_VALUE"""),"Activate")</f>
        <v>Activate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 t="str">
        <f>IFERROR(__xludf.DUMMYFUNCTION("""COMPUTED_VALUE"""),"deactivate")</f>
        <v>deactivate</v>
      </c>
      <c r="B394" s="2" t="str">
        <f>IFERROR(__xludf.DUMMYFUNCTION("""COMPUTED_VALUE"""),"Deactivate")</f>
        <v>Deactivate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 t="str">
        <f>IFERROR(__xludf.DUMMYFUNCTION("""COMPUTED_VALUE"""),"phone")</f>
        <v>phone</v>
      </c>
      <c r="B395" s="2" t="str">
        <f>IFERROR(__xludf.DUMMYFUNCTION("""COMPUTED_VALUE"""),"Phone")</f>
        <v>Phone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 t="str">
        <f>IFERROR(__xludf.DUMMYFUNCTION("""COMPUTED_VALUE"""),"published")</f>
        <v>published</v>
      </c>
      <c r="B396" s="2" t="str">
        <f>IFERROR(__xludf.DUMMYFUNCTION("""COMPUTED_VALUE"""),"Published")</f>
        <v>Published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 t="str">
        <f>IFERROR(__xludf.DUMMYFUNCTION("""COMPUTED_VALUE"""),"aadharcard/voterid/bplid/drivinglicense")</f>
        <v>aadharcard/voterid/bplid/drivinglicense</v>
      </c>
      <c r="B397" s="2" t="str">
        <f>IFERROR(__xludf.DUMMYFUNCTION("""COMPUTED_VALUE"""),"Aadhar Card/ Voter ID/BPL ID/Driving License")</f>
        <v>Aadhar Card/ Voter ID/BPL ID/Driving License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 t="str">
        <f>IFERROR(__xludf.DUMMYFUNCTION("""COMPUTED_VALUE"""),"voterId")</f>
        <v>voterId</v>
      </c>
      <c r="B398" s="2" t="str">
        <f>IFERROR(__xludf.DUMMYFUNCTION("""COMPUTED_VALUE"""),"Voter ID")</f>
        <v>Voter ID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 t="str">
        <f>IFERROR(__xludf.DUMMYFUNCTION("""COMPUTED_VALUE"""),"drivingLicense")</f>
        <v>drivingLicense</v>
      </c>
      <c r="B399" s="2" t="str">
        <f>IFERROR(__xludf.DUMMYFUNCTION("""COMPUTED_VALUE"""),"Driving License")</f>
        <v>Driving License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 t="str">
        <f>IFERROR(__xludf.DUMMYFUNCTION("""COMPUTED_VALUE"""),"updateChanges")</f>
        <v>updateChanges</v>
      </c>
      <c r="B400" s="2" t="str">
        <f>IFERROR(__xludf.DUMMYFUNCTION("""COMPUTED_VALUE"""),"Update Changes")</f>
        <v>Update Changes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 t="str">
        <f>IFERROR(__xludf.DUMMYFUNCTION("""COMPUTED_VALUE"""),"basicSalaryPerMonth")</f>
        <v>basicSalaryPerMonth</v>
      </c>
      <c r="B401" s="2" t="str">
        <f>IFERROR(__xludf.DUMMYFUNCTION("""COMPUTED_VALUE"""),"Basic Salary per month")</f>
        <v>Basic Salary per month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 t="str">
        <f>IFERROR(__xludf.DUMMYFUNCTION("""COMPUTED_VALUE"""),"youcannotdeleteactiveuser")</f>
        <v>youcannotdeleteactiveuser</v>
      </c>
      <c r="B402" s="2" t="str">
        <f>IFERROR(__xludf.DUMMYFUNCTION("""COMPUTED_VALUE"""),"You cannot delete Active User!")</f>
        <v>You cannot delete Active User!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 t="str">
        <f>IFERROR(__xludf.DUMMYFUNCTION("""COMPUTED_VALUE"""),"deactiveToDelete")</f>
        <v>deactiveToDelete</v>
      </c>
      <c r="B403" s="2" t="str">
        <f>IFERROR(__xludf.DUMMYFUNCTION("""COMPUTED_VALUE"""),"Deactive to Delete")</f>
        <v>Deactive to Delete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 t="str">
        <f>IFERROR(__xludf.DUMMYFUNCTION("""COMPUTED_VALUE"""),"fruits")</f>
        <v>fruits</v>
      </c>
      <c r="B404" s="2" t="str">
        <f>IFERROR(__xludf.DUMMYFUNCTION("""COMPUTED_VALUE"""),"Fruits")</f>
        <v>Fruits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 t="str">
        <f>IFERROR(__xludf.DUMMYFUNCTION("""COMPUTED_VALUE"""),"vegetables")</f>
        <v>vegetables</v>
      </c>
      <c r="B405" s="2" t="str">
        <f>IFERROR(__xludf.DUMMYFUNCTION("""COMPUTED_VALUE"""),"Vegetables")</f>
        <v>Vegetables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 t="str">
        <f>IFERROR(__xludf.DUMMYFUNCTION("""COMPUTED_VALUE"""),"groceries")</f>
        <v>groceries</v>
      </c>
      <c r="B406" s="2" t="str">
        <f>IFERROR(__xludf.DUMMYFUNCTION("""COMPUTED_VALUE"""),"Groceries")</f>
        <v>Groceries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 t="str">
        <f>IFERROR(__xludf.DUMMYFUNCTION("""COMPUTED_VALUE"""),"fishes")</f>
        <v>fishes</v>
      </c>
      <c r="B407" s="2" t="str">
        <f>IFERROR(__xludf.DUMMYFUNCTION("""COMPUTED_VALUE"""),"Fishes")</f>
        <v>Fishes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 t="str">
        <f>IFERROR(__xludf.DUMMYFUNCTION("""COMPUTED_VALUE"""),"meat")</f>
        <v>meat</v>
      </c>
      <c r="B408" s="2" t="str">
        <f>IFERROR(__xludf.DUMMYFUNCTION("""COMPUTED_VALUE"""),"Meat")</f>
        <v>Meat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 t="str">
        <f>IFERROR(__xludf.DUMMYFUNCTION("""COMPUTED_VALUE"""),"dairy")</f>
        <v>dairy</v>
      </c>
      <c r="B409" s="2" t="str">
        <f>IFERROR(__xludf.DUMMYFUNCTION("""COMPUTED_VALUE"""),"Dairy")</f>
        <v>Dairy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 t="str">
        <f>IFERROR(__xludf.DUMMYFUNCTION("""COMPUTED_VALUE"""),"uploadBPLcard")</f>
        <v>uploadBPLcard</v>
      </c>
      <c r="B410" s="2" t="str">
        <f>IFERROR(__xludf.DUMMYFUNCTION("""COMPUTED_VALUE"""),"Upload BPL card")</f>
        <v>Upload BPL card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 t="str">
        <f>IFERROR(__xludf.DUMMYFUNCTION("""COMPUTED_VALUE"""),"uploaddrivinglicence")</f>
        <v>uploaddrivinglicence</v>
      </c>
      <c r="B411" s="2" t="str">
        <f>IFERROR(__xludf.DUMMYFUNCTION("""COMPUTED_VALUE"""),"Upload Driving Licence")</f>
        <v>Upload Driving Licence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 t="str">
        <f>IFERROR(__xludf.DUMMYFUNCTION("""COMPUTED_VALUE"""),"shopno")</f>
        <v>shopno</v>
      </c>
      <c r="B412" s="2" t="str">
        <f>IFERROR(__xludf.DUMMYFUNCTION("""COMPUTED_VALUE"""),"Shop no")</f>
        <v>Shop no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 t="str">
        <f>IFERROR(__xludf.DUMMYFUNCTION("""COMPUTED_VALUE"""),"pleaseprovidealltherequiredvalue")</f>
        <v>pleaseprovidealltherequiredvalue</v>
      </c>
      <c r="B413" s="2" t="str">
        <f>IFERROR(__xludf.DUMMYFUNCTION("""COMPUTED_VALUE"""),"Please provide all the required value")</f>
        <v>Please provide all the required value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 t="str">
        <f>IFERROR(__xludf.DUMMYFUNCTION("""COMPUTED_VALUE"""),"unpublish")</f>
        <v>unpublish</v>
      </c>
      <c r="B414" s="2" t="str">
        <f>IFERROR(__xludf.DUMMYFUNCTION("""COMPUTED_VALUE"""),"Unpublish")</f>
        <v>Unpublish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 t="str">
        <f>IFERROR(__xludf.DUMMYFUNCTION("""COMPUTED_VALUE"""),"publish")</f>
        <v>publish</v>
      </c>
      <c r="B415" s="2" t="str">
        <f>IFERROR(__xludf.DUMMYFUNCTION("""COMPUTED_VALUE"""),"Publish")</f>
        <v>Publish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 t="str">
        <f>IFERROR(__xludf.DUMMYFUNCTION("""COMPUTED_VALUE"""),"orders")</f>
        <v>orders</v>
      </c>
      <c r="B416" s="2" t="str">
        <f>IFERROR(__xludf.DUMMYFUNCTION("""COMPUTED_VALUE"""),"Orders")</f>
        <v>Orders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 t="str">
        <f>IFERROR(__xludf.DUMMYFUNCTION("""COMPUTED_VALUE"""),"others")</f>
        <v>others</v>
      </c>
      <c r="B417" s="2" t="str">
        <f>IFERROR(__xludf.DUMMYFUNCTION("""COMPUTED_VALUE"""),"Others")</f>
        <v>Others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 t="str">
        <f>IFERROR(__xludf.DUMMYFUNCTION("""COMPUTED_VALUE"""),"bakery")</f>
        <v>bakery</v>
      </c>
      <c r="B418" s="2" t="str">
        <f>IFERROR(__xludf.DUMMYFUNCTION("""COMPUTED_VALUE"""),"Bakery")</f>
        <v>Bakery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 t="str">
        <f>IFERROR(__xludf.DUMMYFUNCTION("""COMPUTED_VALUE"""),"flowers")</f>
        <v>flowers</v>
      </c>
      <c r="B419" s="2" t="str">
        <f>IFERROR(__xludf.DUMMYFUNCTION("""COMPUTED_VALUE"""),"Flowers")</f>
        <v>Flowers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 t="str">
        <f>IFERROR(__xludf.DUMMYFUNCTION("""COMPUTED_VALUE"""),"appversion:")</f>
        <v>appversion:</v>
      </c>
      <c r="B420" s="2" t="str">
        <f>IFERROR(__xludf.DUMMYFUNCTION("""COMPUTED_VALUE"""),"App Version:")</f>
        <v>App Version: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 t="str">
        <f>IFERROR(__xludf.DUMMYFUNCTION("""COMPUTED_VALUE"""),"Deliveryat")</f>
        <v>Deliveryat</v>
      </c>
      <c r="B421" s="2" t="str">
        <f>IFERROR(__xludf.DUMMYFUNCTION("""COMPUTED_VALUE"""),"Delivery at")</f>
        <v>Delivery at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 t="str">
        <f>IFERROR(__xludf.DUMMYFUNCTION("""COMPUTED_VALUE"""),"capsules")</f>
        <v>capsules</v>
      </c>
      <c r="B422" s="2" t="str">
        <f>IFERROR(__xludf.DUMMYFUNCTION("""COMPUTED_VALUE"""),"Capsules")</f>
        <v>Capsules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 t="str">
        <f>IFERROR(__xludf.DUMMYFUNCTION("""COMPUTED_VALUE"""),"invalidmanagerid")</f>
        <v>invalidmanagerid</v>
      </c>
      <c r="B423" s="2" t="str">
        <f>IFERROR(__xludf.DUMMYFUNCTION("""COMPUTED_VALUE"""),"Invalid Manager id")</f>
        <v>Invalid Manager id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 t="str">
        <f>IFERROR(__xludf.DUMMYFUNCTION("""COMPUTED_VALUE"""),"invalidmobilenumber")</f>
        <v>invalidmobilenumber</v>
      </c>
      <c r="B424" s="2" t="str">
        <f>IFERROR(__xludf.DUMMYFUNCTION("""COMPUTED_VALUE"""),"Invalid Mobile Number")</f>
        <v>Invalid Mobile Number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 t="str">
        <f>IFERROR(__xludf.DUMMYFUNCTION("""COMPUTED_VALUE"""),"update")</f>
        <v>update</v>
      </c>
      <c r="B425" s="2" t="str">
        <f>IFERROR(__xludf.DUMMYFUNCTION("""COMPUTED_VALUE"""),"Update")</f>
        <v>Update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 t="str">
        <f>IFERROR(__xludf.DUMMYFUNCTION("""COMPUTED_VALUE"""),"product")</f>
        <v>product</v>
      </c>
      <c r="B426" s="2" t="str">
        <f>IFERROR(__xludf.DUMMYFUNCTION("""COMPUTED_VALUE"""),"Product")</f>
        <v>Product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 t="str">
        <f>IFERROR(__xludf.DUMMYFUNCTION("""COMPUTED_VALUE"""),"updateExisting")</f>
        <v>updateExisting</v>
      </c>
      <c r="B427" s="2" t="str">
        <f>IFERROR(__xludf.DUMMYFUNCTION("""COMPUTED_VALUE"""),"Update Existing")</f>
        <v>Update Existing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 t="str">
        <f>IFERROR(__xludf.DUMMYFUNCTION("""COMPUTED_VALUE"""),"continue")</f>
        <v>continue</v>
      </c>
      <c r="B428" s="2" t="str">
        <f>IFERROR(__xludf.DUMMYFUNCTION("""COMPUTED_VALUE"""),"Continue")</f>
        <v>Continue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 t="str">
        <f>IFERROR(__xludf.DUMMYFUNCTION("""COMPUTED_VALUE"""),"showAll")</f>
        <v>showAll</v>
      </c>
      <c r="B429" s="2" t="str">
        <f>IFERROR(__xludf.DUMMYFUNCTION("""COMPUTED_VALUE"""),"Show all")</f>
        <v>Show all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 t="str">
        <f>IFERROR(__xludf.DUMMYFUNCTION("""COMPUTED_VALUE"""),"procurementmanager")</f>
        <v>procurementmanager</v>
      </c>
      <c r="B430" s="2" t="str">
        <f>IFERROR(__xludf.DUMMYFUNCTION("""COMPUTED_VALUE"""),"Procurement Manager")</f>
        <v>Procurement Manager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 t="str">
        <f>IFERROR(__xludf.DUMMYFUNCTION("""COMPUTED_VALUE"""),"to")</f>
        <v>to</v>
      </c>
      <c r="B431" s="2" t="str">
        <f>IFERROR(__xludf.DUMMYFUNCTION("""COMPUTED_VALUE"""),"To")</f>
        <v>To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 t="str">
        <f>IFERROR(__xludf.DUMMYFUNCTION("""COMPUTED_VALUE"""),"inr")</f>
        <v>inr</v>
      </c>
      <c r="B432" s="2" t="str">
        <f>IFERROR(__xludf.DUMMYFUNCTION("""COMPUTED_VALUE"""),"INR")</f>
        <v>INR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 t="str">
        <f>IFERROR(__xludf.DUMMYFUNCTION("""COMPUTED_VALUE"""),"filter")</f>
        <v>filter</v>
      </c>
      <c r="B433" s="2" t="str">
        <f>IFERROR(__xludf.DUMMYFUNCTION("""COMPUTED_VALUE"""),"Filter")</f>
        <v>Filter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 t="str">
        <f>IFERROR(__xludf.DUMMYFUNCTION("""COMPUTED_VALUE"""),"invalidrole")</f>
        <v>invalidrole</v>
      </c>
      <c r="B434" s="2" t="str">
        <f>IFERROR(__xludf.DUMMYFUNCTION("""COMPUTED_VALUE"""),"Invalid Role")</f>
        <v>Invalid Role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 t="str">
        <f>IFERROR(__xludf.DUMMYFUNCTION("""COMPUTED_VALUE"""),"select")</f>
        <v>select</v>
      </c>
      <c r="B435" s="2" t="str">
        <f>IFERROR(__xludf.DUMMYFUNCTION("""COMPUTED_VALUE"""),"Select ")</f>
        <v>Select 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 t="str">
        <f>IFERROR(__xludf.DUMMYFUNCTION("""COMPUTED_VALUE"""),"New")</f>
        <v>New</v>
      </c>
      <c r="B436" s="2" t="str">
        <f>IFERROR(__xludf.DUMMYFUNCTION("""COMPUTED_VALUE"""),"New")</f>
        <v>New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 t="str">
        <f>IFERROR(__xludf.DUMMYFUNCTION("""COMPUTED_VALUE"""),"accept ")</f>
        <v>accept </v>
      </c>
      <c r="B437" s="2" t="str">
        <f>IFERROR(__xludf.DUMMYFUNCTION("""COMPUTED_VALUE"""),"Accept ")</f>
        <v>Accept 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 t="str">
        <f>IFERROR(__xludf.DUMMYFUNCTION("""COMPUTED_VALUE"""),"Accepted ")</f>
        <v>Accepted </v>
      </c>
      <c r="B438" s="2" t="str">
        <f>IFERROR(__xludf.DUMMYFUNCTION("""COMPUTED_VALUE"""),"Accepted")</f>
        <v>Accepted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 t="str">
        <f>IFERROR(__xludf.DUMMYFUNCTION("""COMPUTED_VALUE"""),"Dispatch")</f>
        <v>Dispatch</v>
      </c>
      <c r="B439" s="2" t="str">
        <f>IFERROR(__xludf.DUMMYFUNCTION("""COMPUTED_VALUE"""),"Dispatch")</f>
        <v>Dispatch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 t="str">
        <f>IFERROR(__xludf.DUMMYFUNCTION("""COMPUTED_VALUE"""),"Reject")</f>
        <v>Reject</v>
      </c>
      <c r="B440" s="2" t="str">
        <f>IFERROR(__xludf.DUMMYFUNCTION("""COMPUTED_VALUE"""),"Reject")</f>
        <v>Reject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 t="str">
        <f>IFERROR(__xludf.DUMMYFUNCTION("""COMPUTED_VALUE"""),"DoyouwanttoRejecttheorder")</f>
        <v>DoyouwanttoRejecttheorder</v>
      </c>
      <c r="B441" s="2" t="str">
        <f>IFERROR(__xludf.DUMMYFUNCTION("""COMPUTED_VALUE"""),"Do You Want to Reject the order")</f>
        <v>Do You Want to Reject the order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 t="str">
        <f>IFERROR(__xludf.DUMMYFUNCTION("""COMPUTED_VALUE"""),"Neworder")</f>
        <v>Neworder</v>
      </c>
      <c r="B442" s="2" t="str">
        <f>IFERROR(__xludf.DUMMYFUNCTION("""COMPUTED_VALUE"""),"New Order")</f>
        <v>New Order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 t="str">
        <f>IFERROR(__xludf.DUMMYFUNCTION("""COMPUTED_VALUE"""),"avaliable")</f>
        <v>avaliable</v>
      </c>
      <c r="B443" s="2" t="str">
        <f>IFERROR(__xludf.DUMMYFUNCTION("""COMPUTED_VALUE"""),"Available")</f>
        <v>Available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 t="str">
        <f>IFERROR(__xludf.DUMMYFUNCTION("""COMPUTED_VALUE"""),"blockward")</f>
        <v>blockward</v>
      </c>
      <c r="B444" s="2" t="str">
        <f>IFERROR(__xludf.DUMMYFUNCTION("""COMPUTED_VALUE"""),"Block/Ward")</f>
        <v>Block/Ward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 t="str">
        <f>IFERROR(__xludf.DUMMYFUNCTION("""COMPUTED_VALUE"""),"acceptorder")</f>
        <v>acceptorder</v>
      </c>
      <c r="B445" s="2" t="str">
        <f>IFERROR(__xludf.DUMMYFUNCTION("""COMPUTED_VALUE"""),"Accept Order")</f>
        <v>Accept Order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 t="str">
        <f>IFERROR(__xludf.DUMMYFUNCTION("""COMPUTED_VALUE"""),"Process")</f>
        <v>Process</v>
      </c>
      <c r="B446" s="2" t="str">
        <f>IFERROR(__xludf.DUMMYFUNCTION("""COMPUTED_VALUE"""),"Process")</f>
        <v>Process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 t="str">
        <f>IFERROR(__xludf.DUMMYFUNCTION("""COMPUTED_VALUE"""),"Doyouwanttocanceltheorder")</f>
        <v>Doyouwanttocanceltheorder</v>
      </c>
      <c r="B447" s="2" t="str">
        <f>IFERROR(__xludf.DUMMYFUNCTION("""COMPUTED_VALUE"""),"Do you want to Cancel the Order?")</f>
        <v>Do you want to Cancel the Order?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 t="str">
        <f>IFERROR(__xludf.DUMMYFUNCTION("""COMPUTED_VALUE"""),"noshow")</f>
        <v>noshow</v>
      </c>
      <c r="B448" s="2" t="str">
        <f>IFERROR(__xludf.DUMMYFUNCTION("""COMPUTED_VALUE"""),"No Show")</f>
        <v>No Show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 t="str">
        <f>IFERROR(__xludf.DUMMYFUNCTION("""COMPUTED_VALUE"""),"intransit")</f>
        <v>intransit</v>
      </c>
      <c r="B449" s="2" t="str">
        <f>IFERROR(__xludf.DUMMYFUNCTION("""COMPUTED_VALUE"""),"In Transit")</f>
        <v>In Transit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 t="str">
        <f>IFERROR(__xludf.DUMMYFUNCTION("""COMPUTED_VALUE"""),"Cancelled")</f>
        <v>Cancelled</v>
      </c>
      <c r="B450" s="2" t="str">
        <f>IFERROR(__xludf.DUMMYFUNCTION("""COMPUTED_VALUE"""),"Cancelled")</f>
        <v>Cancelled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 t="str">
        <f>IFERROR(__xludf.DUMMYFUNCTION("""COMPUTED_VALUE"""),"InStorePickup")</f>
        <v>InStorePickup</v>
      </c>
      <c r="B451" s="2" t="str">
        <f>IFERROR(__xludf.DUMMYFUNCTION("""COMPUTED_VALUE"""),"In Store Pickup")</f>
        <v>In Store Pickup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 t="str">
        <f>IFERROR(__xludf.DUMMYFUNCTION("""COMPUTED_VALUE"""),"HomeDelivery")</f>
        <v>HomeDelivery</v>
      </c>
      <c r="B452" s="2" t="str">
        <f>IFERROR(__xludf.DUMMYFUNCTION("""COMPUTED_VALUE"""),"Home Delivery")</f>
        <v>Home Delivery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 t="str">
        <f>IFERROR(__xludf.DUMMYFUNCTION("""COMPUTED_VALUE"""),"Pickedupat")</f>
        <v>Pickedupat</v>
      </c>
      <c r="B453" s="2" t="str">
        <f>IFERROR(__xludf.DUMMYFUNCTION("""COMPUTED_VALUE"""),"Picked up at")</f>
        <v>Picked up at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 t="str">
        <f>IFERROR(__xludf.DUMMYFUNCTION("""COMPUTED_VALUE"""),"Deliveredat")</f>
        <v>Deliveredat</v>
      </c>
      <c r="B454" s="2" t="str">
        <f>IFERROR(__xludf.DUMMYFUNCTION("""COMPUTED_VALUE"""),"Delivered at")</f>
        <v>Delivered at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 t="str">
        <f>IFERROR(__xludf.DUMMYFUNCTION("""COMPUTED_VALUE"""),"Rejectedat")</f>
        <v>Rejectedat</v>
      </c>
      <c r="B455" s="2" t="str">
        <f>IFERROR(__xludf.DUMMYFUNCTION("""COMPUTED_VALUE"""),"Rejected at")</f>
        <v>Rejected at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 t="str">
        <f>IFERROR(__xludf.DUMMYFUNCTION("""COMPUTED_VALUE"""),"Timeslot ")</f>
        <v>Timeslot </v>
      </c>
      <c r="B456" s="2" t="str">
        <f>IFERROR(__xludf.DUMMYFUNCTION("""COMPUTED_VALUE"""),"Time slot ")</f>
        <v>Time slot 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 t="str">
        <f>IFERROR(__xludf.DUMMYFUNCTION("""COMPUTED_VALUE"""),"Notavailable")</f>
        <v>Notavailable</v>
      </c>
      <c r="B457" s="2" t="str">
        <f>IFERROR(__xludf.DUMMYFUNCTION("""COMPUTED_VALUE"""),"Not available")</f>
        <v>Not available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 t="str">
        <f>IFERROR(__xludf.DUMMYFUNCTION("""COMPUTED_VALUE"""),"PaymentSuccessful")</f>
        <v>PaymentSuccessful</v>
      </c>
      <c r="B458" s="2" t="str">
        <f>IFERROR(__xludf.DUMMYFUNCTION("""COMPUTED_VALUE"""),"Payment Successful")</f>
        <v>Payment Successful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 t="str">
        <f>IFERROR(__xludf.DUMMYFUNCTION("""COMPUTED_VALUE"""),"CashReceived")</f>
        <v>CashReceived</v>
      </c>
      <c r="B459" s="2" t="str">
        <f>IFERROR(__xludf.DUMMYFUNCTION("""COMPUTED_VALUE"""),"Cash Received")</f>
        <v>Cash Received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 t="str">
        <f>IFERROR(__xludf.DUMMYFUNCTION("""COMPUTED_VALUE"""),"Return")</f>
        <v>Return</v>
      </c>
      <c r="B460" s="2" t="str">
        <f>IFERROR(__xludf.DUMMYFUNCTION("""COMPUTED_VALUE"""),"Return")</f>
        <v>Return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 t="str">
        <f>IFERROR(__xludf.DUMMYFUNCTION("""COMPUTED_VALUE"""),"ItemStatus")</f>
        <v>ItemStatus</v>
      </c>
      <c r="B461" s="2" t="str">
        <f>IFERROR(__xludf.DUMMYFUNCTION("""COMPUTED_VALUE"""),"Item Status")</f>
        <v>Item Status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 t="str">
        <f>IFERROR(__xludf.DUMMYFUNCTION("""COMPUTED_VALUE"""),"noReturn")</f>
        <v>noReturn</v>
      </c>
      <c r="B462" s="2" t="str">
        <f>IFERROR(__xludf.DUMMYFUNCTION("""COMPUTED_VALUE"""),"No Return")</f>
        <v>No Return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 t="str">
        <f>IFERROR(__xludf.DUMMYFUNCTION("""COMPUTED_VALUE"""),"sameDay")</f>
        <v>sameDay</v>
      </c>
      <c r="B463" s="2" t="str">
        <f>IFERROR(__xludf.DUMMYFUNCTION("""COMPUTED_VALUE"""),"Same Day")</f>
        <v>Same Day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 t="str">
        <f>IFERROR(__xludf.DUMMYFUNCTION("""COMPUTED_VALUE"""),"nextDay")</f>
        <v>nextDay</v>
      </c>
      <c r="B464" s="2" t="str">
        <f>IFERROR(__xludf.DUMMYFUNCTION("""COMPUTED_VALUE"""),"Next Day")</f>
        <v>Next Day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 t="str">
        <f>IFERROR(__xludf.DUMMYFUNCTION("""COMPUTED_VALUE"""),"Delivered ")</f>
        <v>Delivered </v>
      </c>
      <c r="B465" s="2" t="str">
        <f>IFERROR(__xludf.DUMMYFUNCTION("""COMPUTED_VALUE"""),"Delivered ")</f>
        <v>Delivered 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 t="str">
        <f>IFERROR(__xludf.DUMMYFUNCTION("""COMPUTED_VALUE"""),"Hrs")</f>
        <v>Hrs</v>
      </c>
      <c r="B466" s="2" t="str">
        <f>IFERROR(__xludf.DUMMYFUNCTION("""COMPUTED_VALUE"""),"Hrs")</f>
        <v>Hrs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 t="str">
        <f>IFERROR(__xludf.DUMMYFUNCTION("""COMPUTED_VALUE"""),"kg")</f>
        <v>kg</v>
      </c>
      <c r="B467" s="2" t="str">
        <f>IFERROR(__xludf.DUMMYFUNCTION("""COMPUTED_VALUE"""),"kg")</f>
        <v>kg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 t="str">
        <f>IFERROR(__xludf.DUMMYFUNCTION("""COMPUTED_VALUE"""),"returnWithin")</f>
        <v>returnWithin</v>
      </c>
      <c r="B468" s="2" t="str">
        <f>IFERROR(__xludf.DUMMYFUNCTION("""COMPUTED_VALUE"""),"Return Within")</f>
        <v>Return Within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 t="str">
        <f>IFERROR(__xludf.DUMMYFUNCTION("""COMPUTED_VALUE"""),"maxQtyPerOrder")</f>
        <v>maxQtyPerOrder</v>
      </c>
      <c r="B469" s="2" t="str">
        <f>IFERROR(__xludf.DUMMYFUNCTION("""COMPUTED_VALUE"""),"Max. qty per Order")</f>
        <v>Max. qty per Order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 t="str">
        <f>IFERROR(__xludf.DUMMYFUNCTION("""COMPUTED_VALUE"""),"salarypermonth")</f>
        <v>salarypermonth</v>
      </c>
      <c r="B470" s="2" t="str">
        <f>IFERROR(__xludf.DUMMYFUNCTION("""COMPUTED_VALUE"""),"Salary Per Month")</f>
        <v>Salary Per Month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 t="str">
        <f>IFERROR(__xludf.DUMMYFUNCTION("""COMPUTED_VALUE"""),"sales&amp;serviceofficer")</f>
        <v>sales&amp;serviceofficer</v>
      </c>
      <c r="B471" s="2" t="str">
        <f>IFERROR(__xludf.DUMMYFUNCTION("""COMPUTED_VALUE"""),"Sales &amp; Service Officer")</f>
        <v>Sales &amp; Service Officer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 t="str">
        <f>IFERROR(__xludf.DUMMYFUNCTION("""COMPUTED_VALUE"""),"inStock")</f>
        <v>inStock</v>
      </c>
      <c r="B472" s="2" t="str">
        <f>IFERROR(__xludf.DUMMYFUNCTION("""COMPUTED_VALUE"""),"In Stock")</f>
        <v>In Stock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 t="str">
        <f>IFERROR(__xludf.DUMMYFUNCTION("""COMPUTED_VALUE"""),"outOfStock")</f>
        <v>outOfStock</v>
      </c>
      <c r="B473" s="2" t="str">
        <f>IFERROR(__xludf.DUMMYFUNCTION("""COMPUTED_VALUE"""),"Out of Stock")</f>
        <v>Out of Stock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 t="str">
        <f>IFERROR(__xludf.DUMMYFUNCTION("""COMPUTED_VALUE"""),"received")</f>
        <v>received</v>
      </c>
      <c r="B474" s="2" t="str">
        <f>IFERROR(__xludf.DUMMYFUNCTION("""COMPUTED_VALUE"""),"Received")</f>
        <v>Received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 t="str">
        <f>IFERROR(__xludf.DUMMYFUNCTION("""COMPUTED_VALUE"""),"selectedproductpreview")</f>
        <v>selectedproductpreview</v>
      </c>
      <c r="B475" s="2" t="str">
        <f>IFERROR(__xludf.DUMMYFUNCTION("""COMPUTED_VALUE"""),"Selected Product Preview")</f>
        <v>Selected Product Preview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 t="str">
        <f>IFERROR(__xludf.DUMMYFUNCTION("""COMPUTED_VALUE"""),"Invaliddoj")</f>
        <v>Invaliddoj</v>
      </c>
      <c r="B476" s="2" t="str">
        <f>IFERROR(__xludf.DUMMYFUNCTION("""COMPUTED_VALUE"""),"Invalid DOJ")</f>
        <v>Invalid DOJ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 t="str">
        <f>IFERROR(__xludf.DUMMYFUNCTION("""COMPUTED_VALUE"""),"saveProduct")</f>
        <v>saveProduct</v>
      </c>
      <c r="B477" s="2" t="str">
        <f>IFERROR(__xludf.DUMMYFUNCTION("""COMPUTED_VALUE"""),"Save Product ")</f>
        <v>Save Product 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 t="str">
        <f>IFERROR(__xludf.DUMMYFUNCTION("""COMPUTED_VALUE"""),"pendingpayment")</f>
        <v>pendingpayment</v>
      </c>
      <c r="B478" s="2" t="str">
        <f>IFERROR(__xludf.DUMMYFUNCTION("""COMPUTED_VALUE"""),"Pending Payment")</f>
        <v>Pending Payment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 t="str">
        <f>IFERROR(__xludf.DUMMYFUNCTION("""COMPUTED_VALUE"""),"Date Of Delivery")</f>
        <v>Date Of Delivery</v>
      </c>
      <c r="B479" s="2" t="str">
        <f>IFERROR(__xludf.DUMMYFUNCTION("""COMPUTED_VALUE"""),"Date Of Delivery")</f>
        <v>Date Of Delivery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 t="str">
        <f>IFERROR(__xludf.DUMMYFUNCTION("""COMPUTED_VALUE"""),"productAddedSuccessfully")</f>
        <v>productAddedSuccessfully</v>
      </c>
      <c r="B480" s="2" t="str">
        <f>IFERROR(__xludf.DUMMYFUNCTION("""COMPUTED_VALUE"""),"Product Added Successfully")</f>
        <v>Product Added Successfully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 t="str">
        <f>IFERROR(__xludf.DUMMYFUNCTION("""COMPUTED_VALUE"""),"addPhoto")</f>
        <v>addPhoto</v>
      </c>
      <c r="B481" s="2" t="str">
        <f>IFERROR(__xludf.DUMMYFUNCTION("""COMPUTED_VALUE"""),"Add Photo")</f>
        <v>Add Photo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 t="str">
        <f>IFERROR(__xludf.DUMMYFUNCTION("""COMPUTED_VALUE"""),"productListedSuccessfully")</f>
        <v>productListedSuccessfully</v>
      </c>
      <c r="B482" s="2" t="str">
        <f>IFERROR(__xludf.DUMMYFUNCTION("""COMPUTED_VALUE"""),"Product Listed Successfully")</f>
        <v>Product Listed Successfully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 t="str">
        <f>IFERROR(__xludf.DUMMYFUNCTION("""COMPUTED_VALUE"""),"deletedSuccessfully!")</f>
        <v>deletedSuccessfully!</v>
      </c>
      <c r="B483" s="2" t="str">
        <f>IFERROR(__xludf.DUMMYFUNCTION("""COMPUTED_VALUE"""),"Deleted Successfully!")</f>
        <v>Deleted Successfully!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 t="str">
        <f>IFERROR(__xludf.DUMMYFUNCTION("""COMPUTED_VALUE"""),"invalidfullname")</f>
        <v>invalidfullname</v>
      </c>
      <c r="B484" s="2" t="str">
        <f>IFERROR(__xludf.DUMMYFUNCTION("""COMPUTED_VALUE"""),"Invalid Full Name")</f>
        <v>Invalid Full Name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 t="str">
        <f>IFERROR(__xludf.DUMMYFUNCTION("""COMPUTED_VALUE"""),"pendingDetails")</f>
        <v>pendingDetails</v>
      </c>
      <c r="B485" s="2" t="str">
        <f>IFERROR(__xludf.DUMMYFUNCTION("""COMPUTED_VALUE"""),"Pending Details")</f>
        <v>Pending Details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 t="str">
        <f>IFERROR(__xludf.DUMMYFUNCTION("""COMPUTED_VALUE"""),"yourproductisunderreview")</f>
        <v>yourproductisunderreview</v>
      </c>
      <c r="B486" s="2" t="str">
        <f>IFERROR(__xludf.DUMMYFUNCTION("""COMPUTED_VALUE"""),"Your product is Under Review")</f>
        <v>Your product is Under Review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 t="str">
        <f>IFERROR(__xludf.DUMMYFUNCTION("""COMPUTED_VALUE"""),"willupdateyousoon")</f>
        <v>willupdateyousoon</v>
      </c>
      <c r="B487" s="2" t="str">
        <f>IFERROR(__xludf.DUMMYFUNCTION("""COMPUTED_VALUE"""),"Will Update you soon ")</f>
        <v>Will Update you soon 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 t="str">
        <f>IFERROR(__xludf.DUMMYFUNCTION("""COMPUTED_VALUE"""),"ok")</f>
        <v>ok</v>
      </c>
      <c r="B488" s="2" t="str">
        <f>IFERROR(__xludf.DUMMYFUNCTION("""COMPUTED_VALUE"""),"Ok")</f>
        <v>Ok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 t="str">
        <f>IFERROR(__xludf.DUMMYFUNCTION("""COMPUTED_VALUE"""),"gst18")</f>
        <v>gst18</v>
      </c>
      <c r="B489" s="2" t="str">
        <f>IFERROR(__xludf.DUMMYFUNCTION("""COMPUTED_VALUE"""),"GST (18%)")</f>
        <v>GST (18%)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 t="str">
        <f>IFERROR(__xludf.DUMMYFUNCTION("""COMPUTED_VALUE"""),"pending")</f>
        <v>pending</v>
      </c>
      <c r="B490" s="2" t="str">
        <f>IFERROR(__xludf.DUMMYFUNCTION("""COMPUTED_VALUE"""),"Pending ")</f>
        <v>Pending 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 t="str">
        <f>IFERROR(__xludf.DUMMYFUNCTION("""COMPUTED_VALUE"""),"selectyourpreference ")</f>
        <v>selectyourpreference </v>
      </c>
      <c r="B491" s="2" t="str">
        <f>IFERROR(__xludf.DUMMYFUNCTION("""COMPUTED_VALUE"""),"Select Your Preference")</f>
        <v>Select Your Preference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 t="str">
        <f>IFERROR(__xludf.DUMMYFUNCTION("""COMPUTED_VALUE"""),"pricelist")</f>
        <v>pricelist</v>
      </c>
      <c r="B492" s="2" t="str">
        <f>IFERROR(__xludf.DUMMYFUNCTION("""COMPUTED_VALUE"""),"Price List")</f>
        <v>Price List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 t="str">
        <f>IFERROR(__xludf.DUMMYFUNCTION("""COMPUTED_VALUE"""),"viewall")</f>
        <v>viewall</v>
      </c>
      <c r="B493" s="2" t="str">
        <f>IFERROR(__xludf.DUMMYFUNCTION("""COMPUTED_VALUE"""),"View All")</f>
        <v>View All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 t="str">
        <f>IFERROR(__xludf.DUMMYFUNCTION("""COMPUTED_VALUE"""),"youhavegotthereward")</f>
        <v>youhavegotthereward</v>
      </c>
      <c r="B494" s="2" t="str">
        <f>IFERROR(__xludf.DUMMYFUNCTION("""COMPUTED_VALUE"""),"You have got the Reward")</f>
        <v>You have got the Reward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 t="str">
        <f>IFERROR(__xludf.DUMMYFUNCTION("""COMPUTED_VALUE"""),"addDetail")</f>
        <v>addDetail</v>
      </c>
      <c r="B495" s="2" t="str">
        <f>IFERROR(__xludf.DUMMYFUNCTION("""COMPUTED_VALUE"""),"Add Detail")</f>
        <v>Add Detail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 t="str">
        <f>IFERROR(__xludf.DUMMYFUNCTION("""COMPUTED_VALUE"""),"Preorderdiscount")</f>
        <v>Preorderdiscount</v>
      </c>
      <c r="B496" s="2" t="str">
        <f>IFERROR(__xludf.DUMMYFUNCTION("""COMPUTED_VALUE"""),"Pre-Order Discount")</f>
        <v>Pre-Order Discount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 t="str">
        <f>IFERROR(__xludf.DUMMYFUNCTION("""COMPUTED_VALUE"""),"addmore")</f>
        <v>addmore</v>
      </c>
      <c r="B497" s="2" t="str">
        <f>IFERROR(__xludf.DUMMYFUNCTION("""COMPUTED_VALUE"""),"Add More")</f>
        <v>Add More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 t="str">
        <f>IFERROR(__xludf.DUMMYFUNCTION("""COMPUTED_VALUE"""),"masalas")</f>
        <v>masalas</v>
      </c>
      <c r="B498" s="2" t="str">
        <f>IFERROR(__xludf.DUMMYFUNCTION("""COMPUTED_VALUE"""),"Masalas")</f>
        <v>Masalas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 t="str">
        <f>IFERROR(__xludf.DUMMYFUNCTION("""COMPUTED_VALUE"""),"oil")</f>
        <v>oil</v>
      </c>
      <c r="B499" s="2" t="str">
        <f>IFERROR(__xludf.DUMMYFUNCTION("""COMPUTED_VALUE"""),"Oil")</f>
        <v>Oil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 t="str">
        <f>IFERROR(__xludf.DUMMYFUNCTION("""COMPUTED_VALUE"""),"staples ")</f>
        <v>staples </v>
      </c>
      <c r="B500" s="2" t="str">
        <f>IFERROR(__xludf.DUMMYFUNCTION("""COMPUTED_VALUE"""),"Staples")</f>
        <v>Staples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 t="str">
        <f>IFERROR(__xludf.DUMMYFUNCTION("""COMPUTED_VALUE"""),"Drinks &amp; Beverages ")</f>
        <v>Drinks &amp; Beverages </v>
      </c>
      <c r="B501" s="2" t="str">
        <f>IFERROR(__xludf.DUMMYFUNCTION("""COMPUTED_VALUE"""),"Drinks &amp; Beverages ")</f>
        <v>Drinks &amp; Beverages 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 t="str">
        <f>IFERROR(__xludf.DUMMYFUNCTION("""COMPUTED_VALUE"""),"taptorecordyourcomplain")</f>
        <v>taptorecordyourcomplain</v>
      </c>
      <c r="B502" s="2" t="str">
        <f>IFERROR(__xludf.DUMMYFUNCTION("""COMPUTED_VALUE"""),"Tap to record your complain")</f>
        <v>Tap to record your complain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 t="str">
        <f>IFERROR(__xludf.DUMMYFUNCTION("""COMPUTED_VALUE"""),"rerecord")</f>
        <v>rerecord</v>
      </c>
      <c r="B503" s="2" t="str">
        <f>IFERROR(__xludf.DUMMYFUNCTION("""COMPUTED_VALUE"""),"Re-record")</f>
        <v>Re-record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 t="str">
        <f>IFERROR(__xludf.DUMMYFUNCTION("""COMPUTED_VALUE"""),"Successful")</f>
        <v>Successful</v>
      </c>
      <c r="B504" s="2" t="str">
        <f>IFERROR(__xludf.DUMMYFUNCTION("""COMPUTED_VALUE"""),"Successful")</f>
        <v>Successful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 t="str">
        <f>IFERROR(__xludf.DUMMYFUNCTION("""COMPUTED_VALUE"""),"areyousure.youwanttowithdrawcomplaint")</f>
        <v>areyousure.youwanttowithdrawcomplaint</v>
      </c>
      <c r="B505" s="2" t="str">
        <f>IFERROR(__xludf.DUMMYFUNCTION("""COMPUTED_VALUE"""),"Are you sure you want to withdraw complaint?")</f>
        <v>Are you sure you want to withdraw complaint?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 t="str">
        <f>IFERROR(__xludf.DUMMYFUNCTION("""COMPUTED_VALUE"""),"Status")</f>
        <v>Status</v>
      </c>
      <c r="B506" s="2" t="str">
        <f>IFERROR(__xludf.DUMMYFUNCTION("""COMPUTED_VALUE"""),"Status ")</f>
        <v>Status 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 t="str">
        <f>IFERROR(__xludf.DUMMYFUNCTION("""COMPUTED_VALUE"""),"reopen")</f>
        <v>reopen</v>
      </c>
      <c r="B507" s="2" t="str">
        <f>IFERROR(__xludf.DUMMYFUNCTION("""COMPUTED_VALUE"""),"Reopen")</f>
        <v>Reopen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 t="str">
        <f>IFERROR(__xludf.DUMMYFUNCTION("""COMPUTED_VALUE"""),"otpsenttoregisteredmobilenumber")</f>
        <v>otpsenttoregisteredmobilenumber</v>
      </c>
      <c r="B508" s="2" t="str">
        <f>IFERROR(__xludf.DUMMYFUNCTION("""COMPUTED_VALUE"""),"OTP sent to registered mobile number")</f>
        <v>OTP sent to registered mobile number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 t="str">
        <f>IFERROR(__xludf.DUMMYFUNCTION("""COMPUTED_VALUE"""),"doyouhaveGSTINnumber?")</f>
        <v>doyouhaveGSTINnumber?</v>
      </c>
      <c r="B509" s="2" t="str">
        <f>IFERROR(__xludf.DUMMYFUNCTION("""COMPUTED_VALUE"""),"Do You Have GSTIN Number?")</f>
        <v>Do You Have GSTIN Number?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 t="str">
        <f>IFERROR(__xludf.DUMMYFUNCTION("""COMPUTED_VALUE"""),"PickedUp")</f>
        <v>PickedUp</v>
      </c>
      <c r="B510" s="2" t="str">
        <f>IFERROR(__xludf.DUMMYFUNCTION("""COMPUTED_VALUE"""),"Picked Up")</f>
        <v>Picked Up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 t="str">
        <f>IFERROR(__xludf.DUMMYFUNCTION("""COMPUTED_VALUE"""),"mini.PricePerOrder")</f>
        <v>mini.PricePerOrder</v>
      </c>
      <c r="B511" s="2" t="str">
        <f>IFERROR(__xludf.DUMMYFUNCTION("""COMPUTED_VALUE"""),"Mini. price per order")</f>
        <v>Mini. price per order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 t="str">
        <f>IFERROR(__xludf.DUMMYFUNCTION("""COMPUTED_VALUE"""),"passbookphotoisrequired")</f>
        <v>passbookphotoisrequired</v>
      </c>
      <c r="B512" s="2" t="str">
        <f>IFERROR(__xludf.DUMMYFUNCTION("""COMPUTED_VALUE"""),"Passbook Photo is required.")</f>
        <v>Passbook Photo is required.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 t="str">
        <f>IFERROR(__xludf.DUMMYFUNCTION("""COMPUTED_VALUE"""),"beneficiarynameisrequired")</f>
        <v>beneficiarynameisrequired</v>
      </c>
      <c r="B513" s="2" t="str">
        <f>IFERROR(__xludf.DUMMYFUNCTION("""COMPUTED_VALUE"""),"Beneficiary Name is required.")</f>
        <v>Beneficiary Name is required.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 t="str">
        <f>IFERROR(__xludf.DUMMYFUNCTION("""COMPUTED_VALUE"""),"banknameisrequired")</f>
        <v>banknameisrequired</v>
      </c>
      <c r="B514" s="2" t="str">
        <f>IFERROR(__xludf.DUMMYFUNCTION("""COMPUTED_VALUE"""),"Bank Name is required.")</f>
        <v>Bank Name is required.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 t="str">
        <f>IFERROR(__xludf.DUMMYFUNCTION("""COMPUTED_VALUE"""),"accountnumberisrequired")</f>
        <v>accountnumberisrequired</v>
      </c>
      <c r="B515" s="2" t="str">
        <f>IFERROR(__xludf.DUMMYFUNCTION("""COMPUTED_VALUE"""),"Account Number is required.")</f>
        <v>Account Number is required.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 t="str">
        <f>IFERROR(__xludf.DUMMYFUNCTION("""COMPUTED_VALUE"""),"re-enteraccountnumberisrequired")</f>
        <v>re-enteraccountnumberisrequired</v>
      </c>
      <c r="B516" s="2" t="str">
        <f>IFERROR(__xludf.DUMMYFUNCTION("""COMPUTED_VALUE"""),"Re-enter Account Number is required.")</f>
        <v>Re-enter Account Number is required.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 t="str">
        <f>IFERROR(__xludf.DUMMYFUNCTION("""COMPUTED_VALUE"""),"accountnumberandre-accountnumberfieldsshouldmatch")</f>
        <v>accountnumberandre-accountnumberfieldsshouldmatch</v>
      </c>
      <c r="B517" s="2" t="str">
        <f>IFERROR(__xludf.DUMMYFUNCTION("""COMPUTED_VALUE"""),"Account number and Re-account number fields should match")</f>
        <v>Account number and Re-account number fields should match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 t="str">
        <f>IFERROR(__xludf.DUMMYFUNCTION("""COMPUTED_VALUE"""),"selectimagesource")</f>
        <v>selectimagesource</v>
      </c>
      <c r="B518" s="2" t="str">
        <f>IFERROR(__xludf.DUMMYFUNCTION("""COMPUTED_VALUE"""),"Select Image Source")</f>
        <v>Select Image Source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 t="str">
        <f>IFERROR(__xludf.DUMMYFUNCTION("""COMPUTED_VALUE"""),"loadfromgallery")</f>
        <v>loadfromgallery</v>
      </c>
      <c r="B519" s="2" t="str">
        <f>IFERROR(__xludf.DUMMYFUNCTION("""COMPUTED_VALUE"""),"Load From Gallery")</f>
        <v>Load From Gallery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 t="str">
        <f>IFERROR(__xludf.DUMMYFUNCTION("""COMPUTED_VALUE"""),"usecamera")</f>
        <v>usecamera</v>
      </c>
      <c r="B520" s="2" t="str">
        <f>IFERROR(__xludf.DUMMYFUNCTION("""COMPUTED_VALUE"""),"Use Camera")</f>
        <v>Use Camera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 t="str">
        <f>IFERROR(__xludf.DUMMYFUNCTION("""COMPUTED_VALUE"""),"ItemwillBeRemovedFromtheCart")</f>
        <v>ItemwillBeRemovedFromtheCart</v>
      </c>
      <c r="B521" s="2" t="str">
        <f>IFERROR(__xludf.DUMMYFUNCTION("""COMPUTED_VALUE"""),"Item will Be Removed From the Cart")</f>
        <v>Item will Be Removed From the Cart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 t="str">
        <f>IFERROR(__xludf.DUMMYFUNCTION("""COMPUTED_VALUE"""),"rewards")</f>
        <v>rewards</v>
      </c>
      <c r="B522" s="2" t="str">
        <f>IFERROR(__xludf.DUMMYFUNCTION("""COMPUTED_VALUE"""),"Rewards")</f>
        <v>Rewards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 t="str">
        <f>IFERROR(__xludf.DUMMYFUNCTION("""COMPUTED_VALUE"""),"tropicalfruit7")</f>
        <v>tropicalfruit7</v>
      </c>
      <c r="B523" s="2" t="str">
        <f>IFERROR(__xludf.DUMMYFUNCTION("""COMPUTED_VALUE"""),"Tropical Fruit (7)")</f>
        <v>Tropical Fruit (7)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 t="str">
        <f>IFERROR(__xludf.DUMMYFUNCTION("""COMPUTED_VALUE"""),"deliverySlot")</f>
        <v>deliverySlot</v>
      </c>
      <c r="B524" s="2" t="str">
        <f>IFERROR(__xludf.DUMMYFUNCTION("""COMPUTED_VALUE"""),"Delivery Slot")</f>
        <v>Delivery Slot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 t="str">
        <f>IFERROR(__xludf.DUMMYFUNCTION("""COMPUTED_VALUE"""),"tropicalfruit")</f>
        <v>tropicalfruit</v>
      </c>
      <c r="B525" s="2" t="str">
        <f>IFERROR(__xludf.DUMMYFUNCTION("""COMPUTED_VALUE"""),"Tropical Fruit")</f>
        <v>Tropical Fruit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 t="str">
        <f>IFERROR(__xludf.DUMMYFUNCTION("""COMPUTED_VALUE"""),"viewedit")</f>
        <v>viewedit</v>
      </c>
      <c r="B526" s="2" t="str">
        <f>IFERROR(__xludf.DUMMYFUNCTION("""COMPUTED_VALUE"""),"View/Edit")</f>
        <v>View/Edit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 t="str">
        <f>IFERROR(__xludf.DUMMYFUNCTION("""COMPUTED_VALUE"""),"Km")</f>
        <v>Km</v>
      </c>
      <c r="B527" s="2" t="str">
        <f>IFERROR(__xludf.DUMMYFUNCTION("""COMPUTED_VALUE"""),"Km")</f>
        <v>Km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 t="str">
        <f>IFERROR(__xludf.DUMMYFUNCTION("""COMPUTED_VALUE"""),"totalrewardsearned")</f>
        <v>totalrewardsearned</v>
      </c>
      <c r="B528" s="2" t="str">
        <f>IFERROR(__xludf.DUMMYFUNCTION("""COMPUTED_VALUE"""),"Total Rewards Earned")</f>
        <v>Total Rewards Earned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 t="str">
        <f>IFERROR(__xludf.DUMMYFUNCTION("""COMPUTED_VALUE"""),"useGps")</f>
        <v>useGps</v>
      </c>
      <c r="B529" s="2" t="str">
        <f>IFERROR(__xludf.DUMMYFUNCTION("""COMPUTED_VALUE"""),"use gps")</f>
        <v>use gps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 t="str">
        <f>IFERROR(__xludf.DUMMYFUNCTION("""COMPUTED_VALUE"""),"onOrdersMore")</f>
        <v>onOrdersMore</v>
      </c>
      <c r="B530" s="2" t="str">
        <f>IFERROR(__xludf.DUMMYFUNCTION("""COMPUTED_VALUE"""),"on Orders more")</f>
        <v>on Orders more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 t="str">
        <f>IFERROR(__xludf.DUMMYFUNCTION("""COMPUTED_VALUE"""),"than")</f>
        <v>than</v>
      </c>
      <c r="B531" s="2" t="str">
        <f>IFERROR(__xludf.DUMMYFUNCTION("""COMPUTED_VALUE"""),"than")</f>
        <v>than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 t="str">
        <f>IFERROR(__xludf.DUMMYFUNCTION("""COMPUTED_VALUE"""),"enableFreeShipping")</f>
        <v>enableFreeShipping</v>
      </c>
      <c r="B532" s="2" t="str">
        <f>IFERROR(__xludf.DUMMYFUNCTION("""COMPUTED_VALUE"""),"Enable free Shipping")</f>
        <v>Enable free Shipping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 t="str">
        <f>IFERROR(__xludf.DUMMYFUNCTION("""COMPUTED_VALUE"""),"OTPResentSuccessful")</f>
        <v>OTPResentSuccessful</v>
      </c>
      <c r="B533" s="2" t="str">
        <f>IFERROR(__xludf.DUMMYFUNCTION("""COMPUTED_VALUE"""),"OTP Resent Successful")</f>
        <v>OTP Resent Successful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 t="str">
        <f>IFERROR(__xludf.DUMMYFUNCTION("""COMPUTED_VALUE"""),"didyourecivethepayment")</f>
        <v>didyourecivethepayment</v>
      </c>
      <c r="B534" s="2" t="str">
        <f>IFERROR(__xludf.DUMMYFUNCTION("""COMPUTED_VALUE"""),"did you receive the payment")</f>
        <v>did you receive the payment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 t="str">
        <f>IFERROR(__xludf.DUMMYFUNCTION("""COMPUTED_VALUE"""),"InvoiceNumberGSTINNumber ")</f>
        <v>InvoiceNumberGSTINNumber </v>
      </c>
      <c r="B535" s="2" t="str">
        <f>IFERROR(__xludf.DUMMYFUNCTION("""COMPUTED_VALUE"""),"Invoice Number GSTIN Number")</f>
        <v>Invoice Number GSTIN Number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 t="str">
        <f>IFERROR(__xludf.DUMMYFUNCTION("""COMPUTED_VALUE"""),"enterMobilenumber")</f>
        <v>enterMobilenumber</v>
      </c>
      <c r="B536" s="2" t="str">
        <f>IFERROR(__xludf.DUMMYFUNCTION("""COMPUTED_VALUE"""),"Enter Mobile Number")</f>
        <v>Enter Mobile Number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 t="str">
        <f>IFERROR(__xludf.DUMMYFUNCTION("""COMPUTED_VALUE"""),"numberFor")</f>
        <v>numberFor</v>
      </c>
      <c r="B537" s="2" t="str">
        <f>IFERROR(__xludf.DUMMYFUNCTION("""COMPUTED_VALUE"""),"Number for")</f>
        <v>Number for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 t="str">
        <f>IFERROR(__xludf.DUMMYFUNCTION("""COMPUTED_VALUE"""),"otpVerification")</f>
        <v>otpVerification</v>
      </c>
      <c r="B538" s="2" t="str">
        <f>IFERROR(__xludf.DUMMYFUNCTION("""COMPUTED_VALUE"""),"OTP Verification")</f>
        <v>OTP Verification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 t="str">
        <f>IFERROR(__xludf.DUMMYFUNCTION("""COMPUTED_VALUE"""),"terms&amp;Conditions")</f>
        <v>terms&amp;Conditions</v>
      </c>
      <c r="B539" s="2" t="str">
        <f>IFERROR(__xludf.DUMMYFUNCTION("""COMPUTED_VALUE"""),"Terms &amp; Conditions")</f>
        <v>Terms &amp; Conditions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 t="str">
        <f>IFERROR(__xludf.DUMMYFUNCTION("""COMPUTED_VALUE"""),"andPrivacyPolicy")</f>
        <v>andPrivacyPolicy</v>
      </c>
      <c r="B540" s="2" t="str">
        <f>IFERROR(__xludf.DUMMYFUNCTION("""COMPUTED_VALUE"""),"and Privacy Policy")</f>
        <v>and Privacy Policy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 t="str">
        <f>IFERROR(__xludf.DUMMYFUNCTION("""COMPUTED_VALUE"""),"pleaseEnterThe")</f>
        <v>pleaseEnterThe</v>
      </c>
      <c r="B541" s="2" t="str">
        <f>IFERROR(__xludf.DUMMYFUNCTION("""COMPUTED_VALUE"""),"Please enter the")</f>
        <v>Please enter the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 t="str">
        <f>IFERROR(__xludf.DUMMYFUNCTION("""COMPUTED_VALUE"""),"ReadyForPickup")</f>
        <v>ReadyForPickup</v>
      </c>
      <c r="B542" s="2" t="str">
        <f>IFERROR(__xludf.DUMMYFUNCTION("""COMPUTED_VALUE"""),"Ready For Pickup")</f>
        <v>Ready For Pickup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 t="str">
        <f>IFERROR(__xludf.DUMMYFUNCTION("""COMPUTED_VALUE"""),"otpsentto")</f>
        <v>otpsentto</v>
      </c>
      <c r="B543" s="2" t="str">
        <f>IFERROR(__xludf.DUMMYFUNCTION("""COMPUTED_VALUE"""),"OTP Sent to")</f>
        <v>OTP Sent to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 t="str">
        <f>IFERROR(__xludf.DUMMYFUNCTION("""COMPUTED_VALUE"""),"didntreceivetheotp?")</f>
        <v>didntreceivetheotp?</v>
      </c>
      <c r="B544" s="2" t="str">
        <f>IFERROR(__xludf.DUMMYFUNCTION("""COMPUTED_VALUE"""),"Didnt receive the OTP?")</f>
        <v>Didnt receive the OTP?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 t="str">
        <f>IFERROR(__xludf.DUMMYFUNCTION("""COMPUTED_VALUE"""),"currentaddress")</f>
        <v>currentaddress</v>
      </c>
      <c r="B545" s="2" t="str">
        <f>IFERROR(__xludf.DUMMYFUNCTION("""COMPUTED_VALUE"""),"Current Address")</f>
        <v>Current Address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 t="str">
        <f>IFERROR(__xludf.DUMMYFUNCTION("""COMPUTED_VALUE"""),"yourShop")</f>
        <v>yourShop</v>
      </c>
      <c r="B546" s="2" t="str">
        <f>IFERROR(__xludf.DUMMYFUNCTION("""COMPUTED_VALUE"""),"Your Shop")</f>
        <v>Your Shop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 t="str">
        <f>IFERROR(__xludf.DUMMYFUNCTION("""COMPUTED_VALUE"""),"workingHours")</f>
        <v>workingHours</v>
      </c>
      <c r="B547" s="2" t="str">
        <f>IFERROR(__xludf.DUMMYFUNCTION("""COMPUTED_VALUE"""),"Working hours")</f>
        <v>Working hours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 t="str">
        <f>IFERROR(__xludf.DUMMYFUNCTION("""COMPUTED_VALUE"""),"nameAsPerPancard")</f>
        <v>nameAsPerPancard</v>
      </c>
      <c r="B548" s="2" t="str">
        <f>IFERROR(__xludf.DUMMYFUNCTION("""COMPUTED_VALUE"""),"Name as per PAN card")</f>
        <v>Name as per PAN card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 t="str">
        <f>IFERROR(__xludf.DUMMYFUNCTION("""COMPUTED_VALUE"""),"PanCard")</f>
        <v>PanCard</v>
      </c>
      <c r="B549" s="2" t="str">
        <f>IFERROR(__xludf.DUMMYFUNCTION("""COMPUTED_VALUE"""),"PAN Card")</f>
        <v>PAN Card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 t="str">
        <f>IFERROR(__xludf.DUMMYFUNCTION("""COMPUTED_VALUE"""),"re-enter")</f>
        <v>re-enter</v>
      </c>
      <c r="B550" s="2" t="str">
        <f>IFERROR(__xludf.DUMMYFUNCTION("""COMPUTED_VALUE"""),"Re-enter")</f>
        <v>Re-enter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 t="str">
        <f>IFERROR(__xludf.DUMMYFUNCTION("""COMPUTED_VALUE"""),"LocationPermission")</f>
        <v>LocationPermission</v>
      </c>
      <c r="B551" s="2" t="str">
        <f>IFERROR(__xludf.DUMMYFUNCTION("""COMPUTED_VALUE"""),"Location Permission")</f>
        <v>Location Permission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 t="str">
        <f>IFERROR(__xludf.DUMMYFUNCTION("""COMPUTED_VALUE"""),"notdelivery")</f>
        <v>notdelivery</v>
      </c>
      <c r="B552" s="2" t="str">
        <f>IFERROR(__xludf.DUMMYFUNCTION("""COMPUTED_VALUE"""),"Not Delivery ")</f>
        <v>Not Delivery 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 t="str">
        <f>IFERROR(__xludf.DUMMYFUNCTION("""COMPUTED_VALUE"""),"wholesaler")</f>
        <v>wholesaler</v>
      </c>
      <c r="B553" s="2" t="str">
        <f>IFERROR(__xludf.DUMMYFUNCTION("""COMPUTED_VALUE"""),"Wholesaler")</f>
        <v>Wholesaler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 t="str">
        <f>IFERROR(__xludf.DUMMYFUNCTION("""COMPUTED_VALUE"""),"toDelete?")</f>
        <v>toDelete?</v>
      </c>
      <c r="B554" s="2" t="str">
        <f>IFERROR(__xludf.DUMMYFUNCTION("""COMPUTED_VALUE"""),"to delete?")</f>
        <v>to delete?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 t="str">
        <f>IFERROR(__xludf.DUMMYFUNCTION("""COMPUTED_VALUE"""),"youCannotDelete")</f>
        <v>youCannotDelete</v>
      </c>
      <c r="B555" s="2" t="str">
        <f>IFERROR(__xludf.DUMMYFUNCTION("""COMPUTED_VALUE"""),"You Cannot Delete")</f>
        <v>You Cannot Delete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 t="str">
        <f>IFERROR(__xludf.DUMMYFUNCTION("""COMPUTED_VALUE"""),"activeUser!")</f>
        <v>activeUser!</v>
      </c>
      <c r="B556" s="2" t="str">
        <f>IFERROR(__xludf.DUMMYFUNCTION("""COMPUTED_VALUE"""),"Active User!")</f>
        <v>Active User!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 t="str">
        <f>IFERROR(__xludf.DUMMYFUNCTION("""COMPUTED_VALUE"""),"selectCategory")</f>
        <v>selectCategory</v>
      </c>
      <c r="B557" s="2" t="str">
        <f>IFERROR(__xludf.DUMMYFUNCTION("""COMPUTED_VALUE"""),"Select Category")</f>
        <v>Select Category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 t="str">
        <f>IFERROR(__xludf.DUMMYFUNCTION("""COMPUTED_VALUE"""),"toAddProduct")</f>
        <v>toAddProduct</v>
      </c>
      <c r="B558" s="2" t="str">
        <f>IFERROR(__xludf.DUMMYFUNCTION("""COMPUTED_VALUE"""),"To Add Product")</f>
        <v>To Add Product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 t="str">
        <f>IFERROR(__xludf.DUMMYFUNCTION("""COMPUTED_VALUE"""),"mini.qtyperOrder")</f>
        <v>mini.qtyperOrder</v>
      </c>
      <c r="B559" s="2" t="str">
        <f>IFERROR(__xludf.DUMMYFUNCTION("""COMPUTED_VALUE"""),"MIni. qty per Order ")</f>
        <v>MIni. qty per Order 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 t="str">
        <f>IFERROR(__xludf.DUMMYFUNCTION("""COMPUTED_VALUE"""),"SaveAddress")</f>
        <v>SaveAddress</v>
      </c>
      <c r="B560" s="2" t="str">
        <f>IFERROR(__xludf.DUMMYFUNCTION("""COMPUTED_VALUE"""),"Save Address")</f>
        <v>Save Address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 t="str">
        <f>IFERROR(__xludf.DUMMYFUNCTION("""COMPUTED_VALUE"""),"PleaseSaveYourAddresss")</f>
        <v>PleaseSaveYourAddresss</v>
      </c>
      <c r="B561" s="2" t="str">
        <f>IFERROR(__xludf.DUMMYFUNCTION("""COMPUTED_VALUE"""),"Please Save Your Address")</f>
        <v>Please Save Your Address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 t="str">
        <f>IFERROR(__xludf.DUMMYFUNCTION("""COMPUTED_VALUE"""),"yourUnsaved")</f>
        <v>yourUnsaved</v>
      </c>
      <c r="B562" s="2" t="str">
        <f>IFERROR(__xludf.DUMMYFUNCTION("""COMPUTED_VALUE"""),"Your unsaved")</f>
        <v>Your unsaved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 t="str">
        <f>IFERROR(__xludf.DUMMYFUNCTION("""COMPUTED_VALUE"""),"detailsWill")</f>
        <v>detailsWill</v>
      </c>
      <c r="B563" s="2" t="str">
        <f>IFERROR(__xludf.DUMMYFUNCTION("""COMPUTED_VALUE"""),"details will")</f>
        <v>details will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 t="str">
        <f>IFERROR(__xludf.DUMMYFUNCTION("""COMPUTED_VALUE"""),"beLost")</f>
        <v>beLost</v>
      </c>
      <c r="B564" s="2" t="str">
        <f>IFERROR(__xludf.DUMMYFUNCTION("""COMPUTED_VALUE"""),"be lost.")</f>
        <v>be lost.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 t="str">
        <f>IFERROR(__xludf.DUMMYFUNCTION("""COMPUTED_VALUE"""),"saveChanges")</f>
        <v>saveChanges</v>
      </c>
      <c r="B565" s="2" t="str">
        <f>IFERROR(__xludf.DUMMYFUNCTION("""COMPUTED_VALUE"""),"Save changes")</f>
        <v>Save changes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 t="str">
        <f>IFERROR(__xludf.DUMMYFUNCTION("""COMPUTED_VALUE"""),"beforeClosing")</f>
        <v>beforeClosing</v>
      </c>
      <c r="B566" s="2" t="str">
        <f>IFERROR(__xludf.DUMMYFUNCTION("""COMPUTED_VALUE"""),"before closing")</f>
        <v>before closing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 t="str">
        <f>IFERROR(__xludf.DUMMYFUNCTION("""COMPUTED_VALUE"""),"wouldYouLike")</f>
        <v>wouldYouLike</v>
      </c>
      <c r="B567" s="2" t="str">
        <f>IFERROR(__xludf.DUMMYFUNCTION("""COMPUTED_VALUE"""),"Would you like")</f>
        <v>Would you like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 t="str">
        <f>IFERROR(__xludf.DUMMYFUNCTION("""COMPUTED_VALUE"""),"toMoveTo")</f>
        <v>toMoveTo</v>
      </c>
      <c r="B568" s="2" t="str">
        <f>IFERROR(__xludf.DUMMYFUNCTION("""COMPUTED_VALUE"""),"to move to")</f>
        <v>to move to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 t="str">
        <f>IFERROR(__xludf.DUMMYFUNCTION("""COMPUTED_VALUE"""),"Locationisneededfortheapptoworkproperly,kindlygotosettingsandprovidelocationpermissiontoapp.")</f>
        <v>Locationisneededfortheapptoworkproperly,kindlygotosettingsandprovidelocationpermissiontoapp.</v>
      </c>
      <c r="B569" s="2" t="str">
        <f>IFERROR(__xludf.DUMMYFUNCTION("""COMPUTED_VALUE"""),"Location is needed for the app to work properly, kindly go to settings and provide location permission to app.")</f>
        <v>Location is needed for the app to work properly, kindly go to settings and provide location permission to app.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 t="str">
        <f>IFERROR(__xludf.DUMMYFUNCTION("""COMPUTED_VALUE"""),"areYouSure")</f>
        <v>areYouSure</v>
      </c>
      <c r="B570" s="2" t="str">
        <f>IFERROR(__xludf.DUMMYFUNCTION("""COMPUTED_VALUE"""),"Are you sure ?")</f>
        <v>Are you sure ?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 t="str">
        <f>IFERROR(__xludf.DUMMYFUNCTION("""COMPUTED_VALUE"""),"doYouWant")</f>
        <v>doYouWant</v>
      </c>
      <c r="B571" s="2" t="str">
        <f>IFERROR(__xludf.DUMMYFUNCTION("""COMPUTED_VALUE"""),"Do you want")</f>
        <v>Do you want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 t="str">
        <f>IFERROR(__xludf.DUMMYFUNCTION("""COMPUTED_VALUE"""),"max.qtyperorder")</f>
        <v>max.qtyperorder</v>
      </c>
      <c r="B572" s="2" t="str">
        <f>IFERROR(__xludf.DUMMYFUNCTION("""COMPUTED_VALUE"""),"Max. qty per Order ")</f>
        <v>Max. qty per Order 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 t="str">
        <f>IFERROR(__xludf.DUMMYFUNCTION("""COMPUTED_VALUE"""),"rambutanIs")</f>
        <v>rambutanIs</v>
      </c>
      <c r="B573" s="2" t="str">
        <f>IFERROR(__xludf.DUMMYFUNCTION("""COMPUTED_VALUE"""),"Rambutan is")</f>
        <v>Rambutan is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 t="str">
        <f>IFERROR(__xludf.DUMMYFUNCTION("""COMPUTED_VALUE"""),"movedTo")</f>
        <v>movedTo</v>
      </c>
      <c r="B574" s="2" t="str">
        <f>IFERROR(__xludf.DUMMYFUNCTION("""COMPUTED_VALUE"""),"Moved To")</f>
        <v>Moved To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 t="str">
        <f>IFERROR(__xludf.DUMMYFUNCTION("""COMPUTED_VALUE"""),"BPLID")</f>
        <v>BPLID</v>
      </c>
      <c r="B575" s="2" t="str">
        <f>IFERROR(__xludf.DUMMYFUNCTION("""COMPUTED_VALUE"""),"BPL ID")</f>
        <v>BPL ID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 t="str">
        <f>IFERROR(__xludf.DUMMYFUNCTION("""COMPUTED_VALUE"""),"Searchbyfruitscategory")</f>
        <v>Searchbyfruitscategory</v>
      </c>
      <c r="B576" s="2" t="str">
        <f>IFERROR(__xludf.DUMMYFUNCTION("""COMPUTED_VALUE"""),"Search By Category ")</f>
        <v>Search By Category 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 t="str">
        <f>IFERROR(__xludf.DUMMYFUNCTION("""COMPUTED_VALUE"""),"TypeSomethingHere")</f>
        <v>TypeSomethingHere</v>
      </c>
      <c r="B577" s="2" t="str">
        <f>IFERROR(__xludf.DUMMYFUNCTION("""COMPUTED_VALUE"""),"Type Something Here")</f>
        <v>Type Something Here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 t="str">
        <f>IFERROR(__xludf.DUMMYFUNCTION("""COMPUTED_VALUE"""),"imSelling")</f>
        <v>imSelling</v>
      </c>
      <c r="B578" s="2" t="str">
        <f>IFERROR(__xludf.DUMMYFUNCTION("""COMPUTED_VALUE"""),"Im Selling")</f>
        <v>Im Selling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 t="str">
        <f>IFERROR(__xludf.DUMMYFUNCTION("""COMPUTED_VALUE"""),"searchBy")</f>
        <v>searchBy</v>
      </c>
      <c r="B579" s="2" t="str">
        <f>IFERROR(__xludf.DUMMYFUNCTION("""COMPUTED_VALUE"""),"Search By")</f>
        <v>Search By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 t="str">
        <f>IFERROR(__xludf.DUMMYFUNCTION("""COMPUTED_VALUE"""),"fruitsCategory")</f>
        <v>fruitsCategory</v>
      </c>
      <c r="B580" s="2" t="str">
        <f>IFERROR(__xludf.DUMMYFUNCTION("""COMPUTED_VALUE"""),"Fruits Category")</f>
        <v>Fruits Category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 t="str">
        <f>IFERROR(__xludf.DUMMYFUNCTION("""COMPUTED_VALUE"""),"thisorderwasdelivered")</f>
        <v>thisorderwasdelivered</v>
      </c>
      <c r="B581" s="2" t="str">
        <f>IFERROR(__xludf.DUMMYFUNCTION("""COMPUTED_VALUE"""),"This Order was Delivered")</f>
        <v>This Order was Delivered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 t="str">
        <f>IFERROR(__xludf.DUMMYFUNCTION("""COMPUTED_VALUE"""),"repeatorder")</f>
        <v>repeatorder</v>
      </c>
      <c r="B582" s="2" t="str">
        <f>IFERROR(__xludf.DUMMYFUNCTION("""COMPUTED_VALUE"""),"Repeat Order")</f>
        <v>Repeat Order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 t="str">
        <f>IFERROR(__xludf.DUMMYFUNCTION("""COMPUTED_VALUE"""),"DoyouwanttoAccepttheorder")</f>
        <v>DoyouwanttoAccepttheorder</v>
      </c>
      <c r="B583" s="2" t="str">
        <f>IFERROR(__xludf.DUMMYFUNCTION("""COMPUTED_VALUE"""),"Do you want to Accept the order ?")</f>
        <v>Do you want to Accept the order ?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 t="str">
        <f>IFERROR(__xludf.DUMMYFUNCTION("""COMPUTED_VALUE"""),"DoyouwanttoReadytheorder ")</f>
        <v>DoyouwanttoReadytheorder </v>
      </c>
      <c r="B584" s="2" t="str">
        <f>IFERROR(__xludf.DUMMYFUNCTION("""COMPUTED_VALUE"""),"Do you want to Ready the order ?")</f>
        <v>Do you want to Ready the order ?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 t="str">
        <f>IFERROR(__xludf.DUMMYFUNCTION("""COMPUTED_VALUE"""),"clear")</f>
        <v>clear</v>
      </c>
      <c r="B585" s="2" t="str">
        <f>IFERROR(__xludf.DUMMYFUNCTION("""COMPUTED_VALUE"""),"Clear")</f>
        <v>Clear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 t="str">
        <f>IFERROR(__xludf.DUMMYFUNCTION("""COMPUTED_VALUE"""),"selectFruits")</f>
        <v>selectFruits</v>
      </c>
      <c r="B586" s="2" t="str">
        <f>IFERROR(__xludf.DUMMYFUNCTION("""COMPUTED_VALUE"""),"Select Fruits")</f>
        <v>Select Fruits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 t="str">
        <f>IFERROR(__xludf.DUMMYFUNCTION("""COMPUTED_VALUE"""),"category")</f>
        <v>category</v>
      </c>
      <c r="B587" s="2" t="str">
        <f>IFERROR(__xludf.DUMMYFUNCTION("""COMPUTED_VALUE"""),"Category")</f>
        <v>Category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 t="str">
        <f>IFERROR(__xludf.DUMMYFUNCTION("""COMPUTED_VALUE"""),"DoyouwanttoDelivertheorder ")</f>
        <v>DoyouwanttoDelivertheorder </v>
      </c>
      <c r="B588" s="2" t="str">
        <f>IFERROR(__xludf.DUMMYFUNCTION("""COMPUTED_VALUE"""),"Do you want to Deliver the order ?")</f>
        <v>Do you want to Deliver the order ?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 t="str">
        <f>IFERROR(__xludf.DUMMYFUNCTION("""COMPUTED_VALUE"""),"DoyouwanttoPickuptheorder ")</f>
        <v>DoyouwanttoPickuptheorder </v>
      </c>
      <c r="B589" s="2" t="str">
        <f>IFERROR(__xludf.DUMMYFUNCTION("""COMPUTED_VALUE"""),"Do you want to Pick Up the order ?")</f>
        <v>Do you want to Pick Up the order ?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 t="str">
        <f>IFERROR(__xludf.DUMMYFUNCTION("""COMPUTED_VALUE"""),"DoyouwanttoNo-Show theorder ")</f>
        <v>DoyouwanttoNo-Show theorder </v>
      </c>
      <c r="B590" s="2" t="str">
        <f>IFERROR(__xludf.DUMMYFUNCTION("""COMPUTED_VALUE"""),"Do you want to No-Show the order ?")</f>
        <v>Do you want to No-Show the order ?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 t="str">
        <f>IFERROR(__xludf.DUMMYFUNCTION("""COMPUTED_VALUE"""),"berry")</f>
        <v>berry</v>
      </c>
      <c r="B591" s="2" t="str">
        <f>IFERROR(__xludf.DUMMYFUNCTION("""COMPUTED_VALUE"""),"Berry")</f>
        <v>Berry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 t="str">
        <f>IFERROR(__xludf.DUMMYFUNCTION("""COMPUTED_VALUE"""),"productDetails")</f>
        <v>productDetails</v>
      </c>
      <c r="B592" s="2" t="str">
        <f>IFERROR(__xludf.DUMMYFUNCTION("""COMPUTED_VALUE"""),"Product Details")</f>
        <v>Product Details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 t="str">
        <f>IFERROR(__xludf.DUMMYFUNCTION("""COMPUTED_VALUE"""),"listed")</f>
        <v>listed</v>
      </c>
      <c r="B593" s="2" t="str">
        <f>IFERROR(__xludf.DUMMYFUNCTION("""COMPUTED_VALUE"""),"Listed")</f>
        <v>Listed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 t="str">
        <f>IFERROR(__xludf.DUMMYFUNCTION("""COMPUTED_VALUE"""),"unlisted")</f>
        <v>unlisted</v>
      </c>
      <c r="B594" s="2" t="str">
        <f>IFERROR(__xludf.DUMMYFUNCTION("""COMPUTED_VALUE"""),"Unlisted")</f>
        <v>Unlisted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 t="str">
        <f>IFERROR(__xludf.DUMMYFUNCTION("""COMPUTED_VALUE"""),"maxReward")</f>
        <v>maxReward</v>
      </c>
      <c r="B595" s="2" t="str">
        <f>IFERROR(__xludf.DUMMYFUNCTION("""COMPUTED_VALUE"""),"Max Reward")</f>
        <v>Max Reward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 t="str">
        <f>IFERROR(__xludf.DUMMYFUNCTION("""COMPUTED_VALUE"""),"general")</f>
        <v>general</v>
      </c>
      <c r="B596" s="2" t="str">
        <f>IFERROR(__xludf.DUMMYFUNCTION("""COMPUTED_VALUE"""),"General")</f>
        <v>General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 t="str">
        <f>IFERROR(__xludf.DUMMYFUNCTION("""COMPUTED_VALUE"""),"sellingOption")</f>
        <v>sellingOption</v>
      </c>
      <c r="B597" s="2" t="str">
        <f>IFERROR(__xludf.DUMMYFUNCTION("""COMPUTED_VALUE"""),"Selling Option")</f>
        <v>Selling Option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 t="str">
        <f>IFERROR(__xludf.DUMMYFUNCTION("""COMPUTED_VALUE"""),"inventory")</f>
        <v>inventory</v>
      </c>
      <c r="B598" s="2" t="str">
        <f>IFERROR(__xludf.DUMMYFUNCTION("""COMPUTED_VALUE"""),"Inventory")</f>
        <v>Inventory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 t="str">
        <f>IFERROR(__xludf.DUMMYFUNCTION("""COMPUTED_VALUE"""),"returnOption")</f>
        <v>returnOption</v>
      </c>
      <c r="B599" s="2" t="str">
        <f>IFERROR(__xludf.DUMMYFUNCTION("""COMPUTED_VALUE"""),"Return Option")</f>
        <v>Return Option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 t="str">
        <f>IFERROR(__xludf.DUMMYFUNCTION("""COMPUTED_VALUE"""),"DoyouwanttoCanceltheorder?")</f>
        <v>DoyouwanttoCanceltheorder?</v>
      </c>
      <c r="B600" s="2" t="str">
        <f>IFERROR(__xludf.DUMMYFUNCTION("""COMPUTED_VALUE"""),"Do you want to Cancel the order ?")</f>
        <v>Do you want to Cancel the order ?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 t="str">
        <f>IFERROR(__xludf.DUMMYFUNCTION("""COMPUTED_VALUE"""),"placeOfOrigin")</f>
        <v>placeOfOrigin</v>
      </c>
      <c r="B601" s="2" t="str">
        <f>IFERROR(__xludf.DUMMYFUNCTION("""COMPUTED_VALUE"""),"Place Of Origin")</f>
        <v>Place Of Origin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 t="str">
        <f>IFERROR(__xludf.DUMMYFUNCTION("""COMPUTED_VALUE"""),"aboutProduct")</f>
        <v>aboutProduct</v>
      </c>
      <c r="B602" s="2" t="str">
        <f>IFERROR(__xludf.DUMMYFUNCTION("""COMPUTED_VALUE"""),"About Product")</f>
        <v>About Product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 t="str">
        <f>IFERROR(__xludf.DUMMYFUNCTION("""COMPUTED_VALUE"""),"grading")</f>
        <v>grading</v>
      </c>
      <c r="B603" s="2" t="str">
        <f>IFERROR(__xludf.DUMMYFUNCTION("""COMPUTED_VALUE"""),"Grading")</f>
        <v>Grading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 t="str">
        <f>IFERROR(__xludf.DUMMYFUNCTION("""COMPUTED_VALUE"""),"camera")</f>
        <v>camera</v>
      </c>
      <c r="B604" s="2" t="str">
        <f>IFERROR(__xludf.DUMMYFUNCTION("""COMPUTED_VALUE"""),"Camera")</f>
        <v>Camera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 t="str">
        <f>IFERROR(__xludf.DUMMYFUNCTION("""COMPUTED_VALUE"""),"favourites")</f>
        <v>favourites</v>
      </c>
      <c r="B605" s="2" t="str">
        <f>IFERROR(__xludf.DUMMYFUNCTION("""COMPUTED_VALUE"""),"Favourites")</f>
        <v>Favourites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 t="str">
        <f>IFERROR(__xludf.DUMMYFUNCTION("""COMPUTED_VALUE"""),"soldBy")</f>
        <v>soldBy</v>
      </c>
      <c r="B606" s="2" t="str">
        <f>IFERROR(__xludf.DUMMYFUNCTION("""COMPUTED_VALUE"""),"Sold By")</f>
        <v>Sold By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 t="str">
        <f>IFERROR(__xludf.DUMMYFUNCTION("""COMPUTED_VALUE"""),"street")</f>
        <v>street</v>
      </c>
      <c r="B607" s="2" t="str">
        <f>IFERROR(__xludf.DUMMYFUNCTION("""COMPUTED_VALUE"""),"Street")</f>
        <v>Street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 t="str">
        <f>IFERROR(__xludf.DUMMYFUNCTION("""COMPUTED_VALUE"""),"kilogram")</f>
        <v>kilogram</v>
      </c>
      <c r="B608" s="2" t="str">
        <f>IFERROR(__xludf.DUMMYFUNCTION("""COMPUTED_VALUE"""),"Kilogram")</f>
        <v>Kilogram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 t="str">
        <f>IFERROR(__xludf.DUMMYFUNCTION("""COMPUTED_VALUE"""),"liter")</f>
        <v>liter</v>
      </c>
      <c r="B609" s="2" t="str">
        <f>IFERROR(__xludf.DUMMYFUNCTION("""COMPUTED_VALUE"""),"Liter")</f>
        <v>Liter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 t="str">
        <f>IFERROR(__xludf.DUMMYFUNCTION("""COMPUTED_VALUE"""),"miniQty")</f>
        <v>miniQty</v>
      </c>
      <c r="B610" s="2" t="str">
        <f>IFERROR(__xludf.DUMMYFUNCTION("""COMPUTED_VALUE"""),"Mini.qty")</f>
        <v>Mini.qty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 t="str">
        <f>IFERROR(__xludf.DUMMYFUNCTION("""COMPUTED_VALUE"""),"perOrderdiscount")</f>
        <v>perOrderdiscount</v>
      </c>
      <c r="B611" s="2" t="str">
        <f>IFERROR(__xludf.DUMMYFUNCTION("""COMPUTED_VALUE"""),"Per Order Discount")</f>
        <v>Per Order Discount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 t="str">
        <f>IFERROR(__xludf.DUMMYFUNCTION("""COMPUTED_VALUE"""),"maxQty")</f>
        <v>maxQty</v>
      </c>
      <c r="B612" s="2" t="str">
        <f>IFERROR(__xludf.DUMMYFUNCTION("""COMPUTED_VALUE"""),"Max qty")</f>
        <v>Max qty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 t="str">
        <f>IFERROR(__xludf.DUMMYFUNCTION("""COMPUTED_VALUE"""),"regularprice")</f>
        <v>regularprice</v>
      </c>
      <c r="B613" s="2" t="str">
        <f>IFERROR(__xludf.DUMMYFUNCTION("""COMPUTED_VALUE"""),"Regular Price")</f>
        <v>Regular Price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 t="str">
        <f>IFERROR(__xludf.DUMMYFUNCTION("""COMPUTED_VALUE"""),"discountprice")</f>
        <v>discountprice</v>
      </c>
      <c r="B614" s="2" t="str">
        <f>IFERROR(__xludf.DUMMYFUNCTION("""COMPUTED_VALUE"""),"Discount Price")</f>
        <v>Discount Price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 t="str">
        <f>IFERROR(__xludf.DUMMYFUNCTION("""COMPUTED_VALUE"""),"miniPrice")</f>
        <v>miniPrice</v>
      </c>
      <c r="B615" s="2" t="str">
        <f>IFERROR(__xludf.DUMMYFUNCTION("""COMPUTED_VALUE"""),"Mini price")</f>
        <v>Mini price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 t="str">
        <f>IFERROR(__xludf.DUMMYFUNCTION("""COMPUTED_VALUE"""),"quantity")</f>
        <v>quantity</v>
      </c>
      <c r="B616" s="2" t="str">
        <f>IFERROR(__xludf.DUMMYFUNCTION("""COMPUTED_VALUE"""),"Quantity")</f>
        <v>Quantity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 t="str">
        <f>IFERROR(__xludf.DUMMYFUNCTION("""COMPUTED_VALUE"""),"costPrice")</f>
        <v>costPrice</v>
      </c>
      <c r="B617" s="2" t="str">
        <f>IFERROR(__xludf.DUMMYFUNCTION("""COMPUTED_VALUE"""),"Cost Price")</f>
        <v>Cost Price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 t="str">
        <f>IFERROR(__xludf.DUMMYFUNCTION("""COMPUTED_VALUE"""),"sku")</f>
        <v>sku</v>
      </c>
      <c r="B618" s="2" t="str">
        <f>IFERROR(__xludf.DUMMYFUNCTION("""COMPUTED_VALUE"""),"SKU")</f>
        <v>SKU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 t="str">
        <f>IFERROR(__xludf.DUMMYFUNCTION("""COMPUTED_VALUE"""),"stockStatus")</f>
        <v>stockStatus</v>
      </c>
      <c r="B619" s="2" t="str">
        <f>IFERROR(__xludf.DUMMYFUNCTION("""COMPUTED_VALUE"""),"Stock Status")</f>
        <v>Stock Status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 t="str">
        <f>IFERROR(__xludf.DUMMYFUNCTION("""COMPUTED_VALUE"""),"days")</f>
        <v>days</v>
      </c>
      <c r="B620" s="2" t="str">
        <f>IFERROR(__xludf.DUMMYFUNCTION("""COMPUTED_VALUE"""),"Days")</f>
        <v>Days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 t="str">
        <f>IFERROR(__xludf.DUMMYFUNCTION("""COMPUTED_VALUE"""),"hours")</f>
        <v>hours</v>
      </c>
      <c r="B621" s="2" t="str">
        <f>IFERROR(__xludf.DUMMYFUNCTION("""COMPUTED_VALUE"""),"Hours")</f>
        <v>Hours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 t="str">
        <f>IFERROR(__xludf.DUMMYFUNCTION("""COMPUTED_VALUE"""),"producAdded")</f>
        <v>producAdded</v>
      </c>
      <c r="B622" s="2" t="str">
        <f>IFERROR(__xludf.DUMMYFUNCTION("""COMPUTED_VALUE"""),"Product Added")</f>
        <v>Product Added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 t="str">
        <f>IFERROR(__xludf.DUMMYFUNCTION("""COMPUTED_VALUE"""),"successfullyYay")</f>
        <v>successfullyYay</v>
      </c>
      <c r="B623" s="2" t="str">
        <f>IFERROR(__xludf.DUMMYFUNCTION("""COMPUTED_VALUE"""),"Successfully YAY")</f>
        <v>Successfully YAY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 t="str">
        <f>IFERROR(__xludf.DUMMYFUNCTION("""COMPUTED_VALUE"""),"wouldYou")</f>
        <v>wouldYou</v>
      </c>
      <c r="B624" s="2" t="str">
        <f>IFERROR(__xludf.DUMMYFUNCTION("""COMPUTED_VALUE"""),"Would you ")</f>
        <v>Would you 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 t="str">
        <f>IFERROR(__xludf.DUMMYFUNCTION("""COMPUTED_VALUE"""),"likeTo")</f>
        <v>likeTo</v>
      </c>
      <c r="B625" s="2" t="str">
        <f>IFERROR(__xludf.DUMMYFUNCTION("""COMPUTED_VALUE"""),"like to")</f>
        <v>like to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 t="str">
        <f>IFERROR(__xludf.DUMMYFUNCTION("""COMPUTED_VALUE"""),"moveTo")</f>
        <v>moveTo</v>
      </c>
      <c r="B626" s="2" t="str">
        <f>IFERROR(__xludf.DUMMYFUNCTION("""COMPUTED_VALUE"""),"move to")</f>
        <v>move to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 t="str">
        <f>IFERROR(__xludf.DUMMYFUNCTION("""COMPUTED_VALUE"""),"ListedItem")</f>
        <v>ListedItem</v>
      </c>
      <c r="B627" s="2" t="str">
        <f>IFERROR(__xludf.DUMMYFUNCTION("""COMPUTED_VALUE"""),"Listed Item")</f>
        <v>Listed Item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 t="str">
        <f>IFERROR(__xludf.DUMMYFUNCTION("""COMPUTED_VALUE"""),"areYouDelivering")</f>
        <v>areYouDelivering</v>
      </c>
      <c r="B628" s="2" t="str">
        <f>IFERROR(__xludf.DUMMYFUNCTION("""COMPUTED_VALUE"""),"Are you Delivering")</f>
        <v>Are you Delivering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 t="str">
        <f>IFERROR(__xludf.DUMMYFUNCTION("""COMPUTED_VALUE"""),"paymentMethod")</f>
        <v>paymentMethod</v>
      </c>
      <c r="B629" s="2" t="str">
        <f>IFERROR(__xludf.DUMMYFUNCTION("""COMPUTED_VALUE"""),"Payment Method")</f>
        <v>Payment Method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 t="str">
        <f>IFERROR(__xludf.DUMMYFUNCTION("""COMPUTED_VALUE"""),"Categories")</f>
        <v>Categories</v>
      </c>
      <c r="B630" s="2" t="str">
        <f>IFERROR(__xludf.DUMMYFUNCTION("""COMPUTED_VALUE"""),"Categories")</f>
        <v>Categories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 t="str">
        <f>IFERROR(__xludf.DUMMYFUNCTION("""COMPUTED_VALUE"""),"pickupAnd")</f>
        <v>pickupAnd</v>
      </c>
      <c r="B631" s="2" t="str">
        <f>IFERROR(__xludf.DUMMYFUNCTION("""COMPUTED_VALUE"""),"Pickup and")</f>
        <v>Pickup and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 t="str">
        <f>IFERROR(__xludf.DUMMYFUNCTION("""COMPUTED_VALUE"""),"deliveryOptions")</f>
        <v>deliveryOptions</v>
      </c>
      <c r="B632" s="2" t="str">
        <f>IFERROR(__xludf.DUMMYFUNCTION("""COMPUTED_VALUE"""),"Delivery Options")</f>
        <v>Delivery Options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 t="str">
        <f>IFERROR(__xludf.DUMMYFUNCTION("""COMPUTED_VALUE"""),"customerPickup")</f>
        <v>customerPickup</v>
      </c>
      <c r="B633" s="2" t="str">
        <f>IFERROR(__xludf.DUMMYFUNCTION("""COMPUTED_VALUE"""),"Customer Pickup")</f>
        <v>Customer Pickup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 t="str">
        <f>IFERROR(__xludf.DUMMYFUNCTION("""COMPUTED_VALUE"""),"ownDelivery")</f>
        <v>ownDelivery</v>
      </c>
      <c r="B634" s="2" t="str">
        <f>IFERROR(__xludf.DUMMYFUNCTION("""COMPUTED_VALUE"""),"Own Delivery")</f>
        <v>Own Delivery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 t="str">
        <f>IFERROR(__xludf.DUMMYFUNCTION("""COMPUTED_VALUE"""),"thirdParty")</f>
        <v>thirdParty</v>
      </c>
      <c r="B635" s="2" t="str">
        <f>IFERROR(__xludf.DUMMYFUNCTION("""COMPUTED_VALUE"""),"Third Party")</f>
        <v>Third Party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 t="str">
        <f>IFERROR(__xludf.DUMMYFUNCTION("""COMPUTED_VALUE"""),"processingTime")</f>
        <v>processingTime</v>
      </c>
      <c r="B636" s="2" t="str">
        <f>IFERROR(__xludf.DUMMYFUNCTION("""COMPUTED_VALUE"""),"Processing Time")</f>
        <v>Processing Time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 t="str">
        <f>IFERROR(__xludf.DUMMYFUNCTION("""COMPUTED_VALUE"""),"pickupSlots")</f>
        <v>pickupSlots</v>
      </c>
      <c r="B637" s="2" t="str">
        <f>IFERROR(__xludf.DUMMYFUNCTION("""COMPUTED_VALUE"""),"Pickup Slots")</f>
        <v>Pickup Slots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 t="str">
        <f>IFERROR(__xludf.DUMMYFUNCTION("""COMPUTED_VALUE"""),"startTime")</f>
        <v>startTime</v>
      </c>
      <c r="B638" s="2" t="str">
        <f>IFERROR(__xludf.DUMMYFUNCTION("""COMPUTED_VALUE"""),"Start Time")</f>
        <v>Start Time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 t="str">
        <f>IFERROR(__xludf.DUMMYFUNCTION("""COMPUTED_VALUE"""),"endTime")</f>
        <v>endTime</v>
      </c>
      <c r="B639" s="2" t="str">
        <f>IFERROR(__xludf.DUMMYFUNCTION("""COMPUTED_VALUE"""),"End Time")</f>
        <v>End Time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 t="str">
        <f>IFERROR(__xludf.DUMMYFUNCTION("""COMPUTED_VALUE"""),"capacity")</f>
        <v>capacity</v>
      </c>
      <c r="B640" s="2" t="str">
        <f>IFERROR(__xludf.DUMMYFUNCTION("""COMPUTED_VALUE"""),"Capacity")</f>
        <v>Capacity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 t="str">
        <f>IFERROR(__xludf.DUMMYFUNCTION("""COMPUTED_VALUE"""),"save")</f>
        <v>save</v>
      </c>
      <c r="B641" s="2" t="str">
        <f>IFERROR(__xludf.DUMMYFUNCTION("""COMPUTED_VALUE"""),"Save")</f>
        <v>Save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 t="str">
        <f>IFERROR(__xludf.DUMMYFUNCTION("""COMPUTED_VALUE"""),"delete")</f>
        <v>delete</v>
      </c>
      <c r="B642" s="2" t="str">
        <f>IFERROR(__xludf.DUMMYFUNCTION("""COMPUTED_VALUE"""),"Delete")</f>
        <v>Delete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 t="str">
        <f>IFERROR(__xludf.DUMMYFUNCTION("""COMPUTED_VALUE"""),"distanceCovers")</f>
        <v>distanceCovers</v>
      </c>
      <c r="B643" s="2" t="str">
        <f>IFERROR(__xludf.DUMMYFUNCTION("""COMPUTED_VALUE"""),"Distance covers")</f>
        <v>Distance covers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 t="str">
        <f>IFERROR(__xludf.DUMMYFUNCTION("""COMPUTED_VALUE"""),"deliveryCharge")</f>
        <v>deliveryCharge</v>
      </c>
      <c r="B644" s="2" t="str">
        <f>IFERROR(__xludf.DUMMYFUNCTION("""COMPUTED_VALUE"""),"Delivery Charge")</f>
        <v>Delivery Charge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 t="str">
        <f>IFERROR(__xludf.DUMMYFUNCTION("""COMPUTED_VALUE"""),"City/Ward/District")</f>
        <v>City/Ward/District</v>
      </c>
      <c r="B645" s="2" t="str">
        <f>IFERROR(__xludf.DUMMYFUNCTION("""COMPUTED_VALUE"""),"City/Ward/District")</f>
        <v>City/Ward/District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 t="str">
        <f>IFERROR(__xludf.DUMMYFUNCTION("""COMPUTED_VALUE"""),"onOrder")</f>
        <v>onOrder</v>
      </c>
      <c r="B646" s="2" t="str">
        <f>IFERROR(__xludf.DUMMYFUNCTION("""COMPUTED_VALUE"""),"on Order")</f>
        <v>on Order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 t="str">
        <f>IFERROR(__xludf.DUMMYFUNCTION("""COMPUTED_VALUE"""),"totalemployeesfound ")</f>
        <v>totalemployeesfound </v>
      </c>
      <c r="B647" s="2" t="str">
        <f>IFERROR(__xludf.DUMMYFUNCTION("""COMPUTED_VALUE"""),"Total Employees Found ")</f>
        <v>Total Employees Found 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 t="str">
        <f>IFERROR(__xludf.DUMMYFUNCTION("""COMPUTED_VALUE"""),"enableFree")</f>
        <v>enableFree</v>
      </c>
      <c r="B648" s="2" t="str">
        <f>IFERROR(__xludf.DUMMYFUNCTION("""COMPUTED_VALUE"""),"Enable Free")</f>
        <v>Enable Free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 t="str">
        <f>IFERROR(__xludf.DUMMYFUNCTION("""COMPUTED_VALUE"""),"shipping")</f>
        <v>shipping</v>
      </c>
      <c r="B649" s="2" t="str">
        <f>IFERROR(__xludf.DUMMYFUNCTION("""COMPUTED_VALUE"""),"Shipping")</f>
        <v>Shipping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 t="str">
        <f>IFERROR(__xludf.DUMMYFUNCTION("""COMPUTED_VALUE"""),"availOur")</f>
        <v>availOur</v>
      </c>
      <c r="B650" s="2" t="str">
        <f>IFERROR(__xludf.DUMMYFUNCTION("""COMPUTED_VALUE"""),"Avail Our")</f>
        <v>Avail Our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 t="str">
        <f>IFERROR(__xludf.DUMMYFUNCTION("""COMPUTED_VALUE"""),"deliveryService")</f>
        <v>deliveryService</v>
      </c>
      <c r="B651" s="2" t="str">
        <f>IFERROR(__xludf.DUMMYFUNCTION("""COMPUTED_VALUE"""),"Delivery Service")</f>
        <v>Delivery Service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 t="str">
        <f>IFERROR(__xludf.DUMMYFUNCTION("""COMPUTED_VALUE"""),"AcceptedOrderDetails")</f>
        <v>AcceptedOrderDetails</v>
      </c>
      <c r="B652" s="2" t="str">
        <f>IFERROR(__xludf.DUMMYFUNCTION("""COMPUTED_VALUE"""),"Accepted Order Details")</f>
        <v>Accepted Order Details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 t="str">
        <f>IFERROR(__xludf.DUMMYFUNCTION("""COMPUTED_VALUE"""),"finalThoughts")</f>
        <v>finalThoughts</v>
      </c>
      <c r="B653" s="2" t="str">
        <f>IFERROR(__xludf.DUMMYFUNCTION("""COMPUTED_VALUE"""),"Final Thoughts")</f>
        <v>Final Thoughts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 t="str">
        <f>IFERROR(__xludf.DUMMYFUNCTION("""COMPUTED_VALUE"""),"itemsfor")</f>
        <v>itemsfor</v>
      </c>
      <c r="B654" s="2" t="str">
        <f>IFERROR(__xludf.DUMMYFUNCTION("""COMPUTED_VALUE"""),"Items For")</f>
        <v>Items For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 t="str">
        <f>IFERROR(__xludf.DUMMYFUNCTION("""COMPUTED_VALUE"""),"Doyouwanttoprocessingtheorder")</f>
        <v>Doyouwanttoprocessingtheorder</v>
      </c>
      <c r="B655" s="2" t="str">
        <f>IFERROR(__xludf.DUMMYFUNCTION("""COMPUTED_VALUE"""),"Do you want to processing the order?")</f>
        <v>Do you want to processing the order?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 t="str">
        <f>IFERROR(__xludf.DUMMYFUNCTION("""COMPUTED_VALUE"""),"ReadyOrderDetails")</f>
        <v>ReadyOrderDetails</v>
      </c>
      <c r="B656" s="2" t="str">
        <f>IFERROR(__xludf.DUMMYFUNCTION("""COMPUTED_VALUE"""),"Ready Order Details")</f>
        <v>Ready Order Details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 t="str">
        <f>IFERROR(__xludf.DUMMYFUNCTION("""COMPUTED_VALUE"""),"SearchLanguage ")</f>
        <v>SearchLanguage </v>
      </c>
      <c r="B657" s="2" t="str">
        <f>IFERROR(__xludf.DUMMYFUNCTION("""COMPUTED_VALUE"""),"Language ")</f>
        <v>Language 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 t="str">
        <f>IFERROR(__xludf.DUMMYFUNCTION("""COMPUTED_VALUE"""),"uploadbplcard")</f>
        <v>uploadbplcard</v>
      </c>
      <c r="B658" s="2" t="str">
        <f>IFERROR(__xludf.DUMMYFUNCTION("""COMPUTED_VALUE"""),"Upload BPL Card")</f>
        <v>Upload BPL Card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 t="str">
        <f>IFERROR(__xludf.DUMMYFUNCTION("""COMPUTED_VALUE"""),"skipfornow")</f>
        <v>skipfornow</v>
      </c>
      <c r="B659" s="2" t="str">
        <f>IFERROR(__xludf.DUMMYFUNCTION("""COMPUTED_VALUE"""),"Skip Now")</f>
        <v>Skip Now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 t="str">
        <f>IFERROR(__xludf.DUMMYFUNCTION("""COMPUTED_VALUE"""),"orderId")</f>
        <v>orderId</v>
      </c>
      <c r="B660" s="2" t="str">
        <f>IFERROR(__xludf.DUMMYFUNCTION("""COMPUTED_VALUE"""),"Order ID")</f>
        <v>Order ID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 t="str">
        <f>IFERROR(__xludf.DUMMYFUNCTION("""COMPUTED_VALUE"""),"Addressdetail")</f>
        <v>Addressdetail</v>
      </c>
      <c r="B661" s="2" t="str">
        <f>IFERROR(__xludf.DUMMYFUNCTION("""COMPUTED_VALUE"""),"Address Detail")</f>
        <v>Address Detail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 t="str">
        <f>IFERROR(__xludf.DUMMYFUNCTION("""COMPUTED_VALUE"""),"PanProof")</f>
        <v>PanProof</v>
      </c>
      <c r="B662" s="2" t="str">
        <f>IFERROR(__xludf.DUMMYFUNCTION("""COMPUTED_VALUE"""),"PAN Proof")</f>
        <v>PAN Proof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 t="str">
        <f>IFERROR(__xludf.DUMMYFUNCTION("""COMPUTED_VALUE"""),"Nameasperpancard")</f>
        <v>Nameasperpancard</v>
      </c>
      <c r="B663" s="2" t="str">
        <f>IFERROR(__xludf.DUMMYFUNCTION("""COMPUTED_VALUE"""),"Name as Per Pan Card ")</f>
        <v>Name as Per Pan Card 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 t="str">
        <f>IFERROR(__xludf.DUMMYFUNCTION("""COMPUTED_VALUE"""),"FixedRetailershop")</f>
        <v>FixedRetailershop</v>
      </c>
      <c r="B664" s="2" t="str">
        <f>IFERROR(__xludf.DUMMYFUNCTION("""COMPUTED_VALUE"""),"Fixed Retailer Shop")</f>
        <v>Fixed Retailer Shop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 t="str">
        <f>IFERROR(__xludf.DUMMYFUNCTION("""COMPUTED_VALUE"""),"MobileRetailershop ")</f>
        <v>MobileRetailershop </v>
      </c>
      <c r="B665" s="2" t="str">
        <f>IFERROR(__xludf.DUMMYFUNCTION("""COMPUTED_VALUE"""),"Mobile Retailer Shop ")</f>
        <v>Mobile Retailer Shop 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 t="str">
        <f>IFERROR(__xludf.DUMMYFUNCTION("""COMPUTED_VALUE"""),"Iown ")</f>
        <v>Iown </v>
      </c>
      <c r="B666" s="2" t="str">
        <f>IFERROR(__xludf.DUMMYFUNCTION("""COMPUTED_VALUE"""),"I Own ")</f>
        <v>I Own 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 t="str">
        <f>IFERROR(__xludf.DUMMYFUNCTION("""COMPUTED_VALUE"""),"Membershipplan ")</f>
        <v>Membershipplan </v>
      </c>
      <c r="B667" s="2" t="str">
        <f>IFERROR(__xludf.DUMMYFUNCTION("""COMPUTED_VALUE"""),"Membership Plan ")</f>
        <v>Membership Plan 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 t="str">
        <f>IFERROR(__xludf.DUMMYFUNCTION("""COMPUTED_VALUE"""),"PerMonth")</f>
        <v>PerMonth</v>
      </c>
      <c r="B668" s="2" t="str">
        <f>IFERROR(__xludf.DUMMYFUNCTION("""COMPUTED_VALUE"""),"Per Month")</f>
        <v>Per Month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 t="str">
        <f>IFERROR(__xludf.DUMMYFUNCTION("""COMPUTED_VALUE"""),"Basic")</f>
        <v>Basic</v>
      </c>
      <c r="B669" s="2" t="str">
        <f>IFERROR(__xludf.DUMMYFUNCTION("""COMPUTED_VALUE"""),"Basic")</f>
        <v>Basic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 t="str">
        <f>IFERROR(__xludf.DUMMYFUNCTION("""COMPUTED_VALUE"""),"Onlineshopspace")</f>
        <v>Onlineshopspace</v>
      </c>
      <c r="B670" s="2" t="str">
        <f>IFERROR(__xludf.DUMMYFUNCTION("""COMPUTED_VALUE"""),"Online Shop Space")</f>
        <v>Online Shop Space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 t="str">
        <f>IFERROR(__xludf.DUMMYFUNCTION("""COMPUTED_VALUE"""),"Sell/purchase ")</f>
        <v>Sell/purchase </v>
      </c>
      <c r="B671" s="2" t="str">
        <f>IFERROR(__xludf.DUMMYFUNCTION("""COMPUTED_VALUE"""),"Sell/Purchase ")</f>
        <v>Sell/Purchase 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 t="str">
        <f>IFERROR(__xludf.DUMMYFUNCTION("""COMPUTED_VALUE"""),"Creditmanagement")</f>
        <v>Creditmanagement</v>
      </c>
      <c r="B672" s="2" t="str">
        <f>IFERROR(__xludf.DUMMYFUNCTION("""COMPUTED_VALUE"""),"Credit Management")</f>
        <v>Credit Management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 t="str">
        <f>IFERROR(__xludf.DUMMYFUNCTION("""COMPUTED_VALUE"""),"Owndelivery ")</f>
        <v>Owndelivery </v>
      </c>
      <c r="B673" s="2" t="str">
        <f>IFERROR(__xludf.DUMMYFUNCTION("""COMPUTED_VALUE"""),"Own Delivery ")</f>
        <v>Own Delivery 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 t="str">
        <f>IFERROR(__xludf.DUMMYFUNCTION("""COMPUTED_VALUE"""),"Onlinepayment ")</f>
        <v>Onlinepayment </v>
      </c>
      <c r="B674" s="2" t="str">
        <f>IFERROR(__xludf.DUMMYFUNCTION("""COMPUTED_VALUE"""),"Online Payment ")</f>
        <v>Online Payment 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 t="str">
        <f>IFERROR(__xludf.DUMMYFUNCTION("""COMPUTED_VALUE"""),"cataloguemanagement")</f>
        <v>cataloguemanagement</v>
      </c>
      <c r="B675" s="2" t="str">
        <f>IFERROR(__xludf.DUMMYFUNCTION("""COMPUTED_VALUE"""),"Catalogue Management")</f>
        <v>Catalogue Management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 t="str">
        <f>IFERROR(__xludf.DUMMYFUNCTION("""COMPUTED_VALUE"""),"PerOrderManagement ")</f>
        <v>PerOrderManagement </v>
      </c>
      <c r="B676" s="2" t="str">
        <f>IFERROR(__xludf.DUMMYFUNCTION("""COMPUTED_VALUE"""),"Per Order Management ")</f>
        <v>Per Order Management 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 t="str">
        <f>IFERROR(__xludf.DUMMYFUNCTION("""COMPUTED_VALUE"""),"Managecustomers ")</f>
        <v>Managecustomers </v>
      </c>
      <c r="B677" s="2" t="str">
        <f>IFERROR(__xludf.DUMMYFUNCTION("""COMPUTED_VALUE"""),"Manage Customers ")</f>
        <v>Manage Customers 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 t="str">
        <f>IFERROR(__xludf.DUMMYFUNCTION("""COMPUTED_VALUE"""),"BuyNow ")</f>
        <v>BuyNow </v>
      </c>
      <c r="B678" s="2" t="str">
        <f>IFERROR(__xludf.DUMMYFUNCTION("""COMPUTED_VALUE"""),"Buy Now ")</f>
        <v>Buy Now 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 t="str">
        <f>IFERROR(__xludf.DUMMYFUNCTION("""COMPUTED_VALUE"""),"selectstate ")</f>
        <v>selectstate </v>
      </c>
      <c r="B679" s="2" t="str">
        <f>IFERROR(__xludf.DUMMYFUNCTION("""COMPUTED_VALUE"""),"Select State")</f>
        <v>Select State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 t="str">
        <f>IFERROR(__xludf.DUMMYFUNCTION("""COMPUTED_VALUE"""),"Close ")</f>
        <v>Close </v>
      </c>
      <c r="B680" s="2" t="str">
        <f>IFERROR(__xludf.DUMMYFUNCTION("""COMPUTED_VALUE"""),"Close ")</f>
        <v>Close 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 t="str">
        <f>IFERROR(__xludf.DUMMYFUNCTION("""COMPUTED_VALUE"""),"Open")</f>
        <v>Open</v>
      </c>
      <c r="B681" s="2" t="str">
        <f>IFERROR(__xludf.DUMMYFUNCTION("""COMPUTED_VALUE"""),"Open")</f>
        <v>Open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 t="str">
        <f>IFERROR(__xludf.DUMMYFUNCTION("""COMPUTED_VALUE"""),"ReferandEarn")</f>
        <v>ReferandEarn</v>
      </c>
      <c r="B682" s="2" t="str">
        <f>IFERROR(__xludf.DUMMYFUNCTION("""COMPUTED_VALUE"""),"Refer and Earn")</f>
        <v>Refer and Earn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 t="str">
        <f>IFERROR(__xludf.DUMMYFUNCTION("""COMPUTED_VALUE"""),"Shoppicture")</f>
        <v>Shoppicture</v>
      </c>
      <c r="B683" s="2" t="str">
        <f>IFERROR(__xludf.DUMMYFUNCTION("""COMPUTED_VALUE"""),"Shop Picture")</f>
        <v>Shop Picture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 t="str">
        <f>IFERROR(__xludf.DUMMYFUNCTION("""COMPUTED_VALUE"""),"Edit")</f>
        <v>Edit</v>
      </c>
      <c r="B684" s="2" t="str">
        <f>IFERROR(__xludf.DUMMYFUNCTION("""COMPUTED_VALUE"""),"Edit")</f>
        <v>Edit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 t="str">
        <f>IFERROR(__xludf.DUMMYFUNCTION("""COMPUTED_VALUE"""),"Wallet")</f>
        <v>Wallet</v>
      </c>
      <c r="B685" s="2" t="str">
        <f>IFERROR(__xludf.DUMMYFUNCTION("""COMPUTED_VALUE"""),"Wallet")</f>
        <v>Wallet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 t="str">
        <f>IFERROR(__xludf.DUMMYFUNCTION("""COMPUTED_VALUE"""),"DeliveryOrderDetails")</f>
        <v>DeliveryOrderDetails</v>
      </c>
      <c r="B686" s="2" t="str">
        <f>IFERROR(__xludf.DUMMYFUNCTION("""COMPUTED_VALUE"""),"Delivery Order Details")</f>
        <v>Delivery Order Details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 t="str">
        <f>IFERROR(__xludf.DUMMYFUNCTION("""COMPUTED_VALUE"""),"MyRewards ")</f>
        <v>MyRewards </v>
      </c>
      <c r="B687" s="2" t="str">
        <f>IFERROR(__xludf.DUMMYFUNCTION("""COMPUTED_VALUE"""),"My Rewards ")</f>
        <v>My Rewards 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 t="str">
        <f>IFERROR(__xludf.DUMMYFUNCTION("""COMPUTED_VALUE"""),"Invitepeoplefromyournetworkandlearncashrewards")</f>
        <v>Invitepeoplefromyournetworkandlearncashrewards</v>
      </c>
      <c r="B688" s="2" t="str">
        <f>IFERROR(__xludf.DUMMYFUNCTION("""COMPUTED_VALUE"""),"Invite people and earn cash rewards")</f>
        <v>Invite people and earn cash rewards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 t="str">
        <f>IFERROR(__xludf.DUMMYFUNCTION("""COMPUTED_VALUE"""),"Getcashrewardsupto ")</f>
        <v>Getcashrewardsupto </v>
      </c>
      <c r="B689" s="2" t="str">
        <f>IFERROR(__xludf.DUMMYFUNCTION("""COMPUTED_VALUE"""),"Get Cash Rewards Upto ")</f>
        <v>Get Cash Rewards Upto 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 t="str">
        <f>IFERROR(__xludf.DUMMYFUNCTION("""COMPUTED_VALUE"""),"Invite ")</f>
        <v>Invite </v>
      </c>
      <c r="B690" s="2" t="str">
        <f>IFERROR(__xludf.DUMMYFUNCTION("""COMPUTED_VALUE"""),"Invite ")</f>
        <v>Invite 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 t="str">
        <f>IFERROR(__xludf.DUMMYFUNCTION("""COMPUTED_VALUE"""),"Cash")</f>
        <v>Cash</v>
      </c>
      <c r="B691" s="2" t="str">
        <f>IFERROR(__xludf.DUMMYFUNCTION("""COMPUTED_VALUE"""),"Cash")</f>
        <v>Cash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 t="str">
        <f>IFERROR(__xludf.DUMMYFUNCTION("""COMPUTED_VALUE"""),"TotalReferal")</f>
        <v>TotalReferal</v>
      </c>
      <c r="B692" s="2" t="str">
        <f>IFERROR(__xludf.DUMMYFUNCTION("""COMPUTED_VALUE"""),"Total Referral")</f>
        <v>Total Referral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 t="str">
        <f>IFERROR(__xludf.DUMMYFUNCTION("""COMPUTED_VALUE"""),"DeliveredOrderDetails")</f>
        <v>DeliveredOrderDetails</v>
      </c>
      <c r="B693" s="2" t="str">
        <f>IFERROR(__xludf.DUMMYFUNCTION("""COMPUTED_VALUE"""),"Delivered Order Details")</f>
        <v>Delivered Order Details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 t="str">
        <f>IFERROR(__xludf.DUMMYFUNCTION("""COMPUTED_VALUE"""),"Acknowledge")</f>
        <v>Acknowledge</v>
      </c>
      <c r="B694" s="2" t="str">
        <f>IFERROR(__xludf.DUMMYFUNCTION("""COMPUTED_VALUE"""),"Acknowledge")</f>
        <v>Acknowledge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 t="str">
        <f>IFERROR(__xludf.DUMMYFUNCTION("""COMPUTED_VALUE"""),"order")</f>
        <v>order</v>
      </c>
      <c r="B695" s="2" t="str">
        <f>IFERROR(__xludf.DUMMYFUNCTION("""COMPUTED_VALUE"""),"Order #")</f>
        <v>Order #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 t="str">
        <f>IFERROR(__xludf.DUMMYFUNCTION("""COMPUTED_VALUE"""),"hours")</f>
        <v>hours</v>
      </c>
      <c r="B696" s="2" t="str">
        <f>IFERROR(__xludf.DUMMYFUNCTION("""COMPUTED_VALUE"""),"Hours")</f>
        <v>Hours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 t="str">
        <f>IFERROR(__xludf.DUMMYFUNCTION("""COMPUTED_VALUE"""),"ProfileComplete")</f>
        <v>ProfileComplete</v>
      </c>
      <c r="B697" s="2" t="str">
        <f>IFERROR(__xludf.DUMMYFUNCTION("""COMPUTED_VALUE"""),"Profile Complete")</f>
        <v>Profile Complete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 t="str">
        <f>IFERROR(__xludf.DUMMYFUNCTION("""COMPUTED_VALUE"""),"Referred ")</f>
        <v>Referred </v>
      </c>
      <c r="B698" s="2" t="str">
        <f>IFERROR(__xludf.DUMMYFUNCTION("""COMPUTED_VALUE"""),"Referred ")</f>
        <v>Referred 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 t="str">
        <f>IFERROR(__xludf.DUMMYFUNCTION("""COMPUTED_VALUE"""),"invite")</f>
        <v>invite</v>
      </c>
      <c r="B699" s="2" t="str">
        <f>IFERROR(__xludf.DUMMYFUNCTION("""COMPUTED_VALUE"""),"Invite")</f>
        <v>Invite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 t="str">
        <f>IFERROR(__xludf.DUMMYFUNCTION("""COMPUTED_VALUE"""),"Instruction ")</f>
        <v>Instruction </v>
      </c>
      <c r="B700" s="2" t="str">
        <f>IFERROR(__xludf.DUMMYFUNCTION("""COMPUTED_VALUE"""),"Instruction ")</f>
        <v>Instruction 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 t="str">
        <f>IFERROR(__xludf.DUMMYFUNCTION("""COMPUTED_VALUE"""),"Deliveryvalet")</f>
        <v>Deliveryvalet</v>
      </c>
      <c r="B701" s="2" t="str">
        <f>IFERROR(__xludf.DUMMYFUNCTION("""COMPUTED_VALUE"""),"Delivery Valet")</f>
        <v>Delivery Valet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 t="str">
        <f>IFERROR(__xludf.DUMMYFUNCTION("""COMPUTED_VALUE"""),"Wholeseller")</f>
        <v>Wholeseller</v>
      </c>
      <c r="B702" s="2" t="str">
        <f>IFERROR(__xludf.DUMMYFUNCTION("""COMPUTED_VALUE"""),"Wholesaler")</f>
        <v>Wholesaler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 t="str">
        <f>IFERROR(__xludf.DUMMYFUNCTION("""COMPUTED_VALUE"""),"IncreaseEarningBy150")</f>
        <v>IncreaseEarningBy150</v>
      </c>
      <c r="B703" s="2" t="str">
        <f>IFERROR(__xludf.DUMMYFUNCTION("""COMPUTED_VALUE"""),"Increase Earning By 150% ")</f>
        <v>Increase Earning By 150% 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 t="str">
        <f>IFERROR(__xludf.DUMMYFUNCTION("""COMPUTED_VALUE"""),"Trader/Broker ")</f>
        <v>Trader/Broker </v>
      </c>
      <c r="B704" s="2" t="str">
        <f>IFERROR(__xludf.DUMMYFUNCTION("""COMPUTED_VALUE"""),"Trader/Broker ")</f>
        <v>Trader/Broker 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 t="str">
        <f>IFERROR(__xludf.DUMMYFUNCTION("""COMPUTED_VALUE"""),"Deliverypartner")</f>
        <v>Deliverypartner</v>
      </c>
      <c r="B705" s="2" t="str">
        <f>IFERROR(__xludf.DUMMYFUNCTION("""COMPUTED_VALUE"""),"Delivery Partner")</f>
        <v>Delivery Partner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 t="str">
        <f>IFERROR(__xludf.DUMMYFUNCTION("""COMPUTED_VALUE"""),"Inviteesmobilenumber")</f>
        <v>Inviteesmobilenumber</v>
      </c>
      <c r="B706" s="2" t="str">
        <f>IFERROR(__xludf.DUMMYFUNCTION("""COMPUTED_VALUE"""),"Invitees Mobile Number ")</f>
        <v>Invitees Mobile Number 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 t="str">
        <f>IFERROR(__xludf.DUMMYFUNCTION("""COMPUTED_VALUE"""),"ReferralSMSsendsucessfully")</f>
        <v>ReferralSMSsendsucessfully</v>
      </c>
      <c r="B707" s="2" t="str">
        <f>IFERROR(__xludf.DUMMYFUNCTION("""COMPUTED_VALUE"""),"Referral SMS Sent Successfully")</f>
        <v>Referral SMS Sent Successfully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 t="str">
        <f>IFERROR(__xludf.DUMMYFUNCTION("""COMPUTED_VALUE"""),"RequestingReferretoGiveaMissCallon")</f>
        <v>RequestingReferretoGiveaMissCallon</v>
      </c>
      <c r="B708" s="2" t="str">
        <f>IFERROR(__xludf.DUMMYFUNCTION("""COMPUTED_VALUE"""),"Requesting Referee to Give a Miss Call on")</f>
        <v>Requesting Referee to Give a Miss Call on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 t="str">
        <f>IFERROR(__xludf.DUMMYFUNCTION("""COMPUTED_VALUE"""),"totalrewardsearn")</f>
        <v>totalrewardsearn</v>
      </c>
      <c r="B709" s="2" t="str">
        <f>IFERROR(__xludf.DUMMYFUNCTION("""COMPUTED_VALUE"""),"Total Rewards Earn ")</f>
        <v>Total Rewards Earn 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 t="str">
        <f>IFERROR(__xludf.DUMMYFUNCTION("""COMPUTED_VALUE"""),"MyReferrals")</f>
        <v>MyReferrals</v>
      </c>
      <c r="B710" s="2" t="str">
        <f>IFERROR(__xludf.DUMMYFUNCTION("""COMPUTED_VALUE"""),"My Referrals")</f>
        <v>My Referrals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 t="str">
        <f>IFERROR(__xludf.DUMMYFUNCTION("""COMPUTED_VALUE"""),"IncreaseEarningBy ")</f>
        <v>IncreaseEarningBy </v>
      </c>
      <c r="B711" s="2" t="str">
        <f>IFERROR(__xludf.DUMMYFUNCTION("""COMPUTED_VALUE"""),"Increase Earning By ")</f>
        <v>Increase Earning By 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 t="str">
        <f>IFERROR(__xludf.DUMMYFUNCTION("""COMPUTED_VALUE"""),"IncreaseReferralEarningonEachsuccessfulinvite")</f>
        <v>IncreaseReferralEarningonEachsuccessfulinvite</v>
      </c>
      <c r="B712" s="2" t="str">
        <f>IFERROR(__xludf.DUMMYFUNCTION("""COMPUTED_VALUE"""),"Increase Referral Earning On Each Successful Invite")</f>
        <v>Increase Referral Earning On Each Successful Invite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 t="str">
        <f>IFERROR(__xludf.DUMMYFUNCTION("""COMPUTED_VALUE"""),"Youcanwin")</f>
        <v>Youcanwin</v>
      </c>
      <c r="B713" s="2" t="str">
        <f>IFERROR(__xludf.DUMMYFUNCTION("""COMPUTED_VALUE"""),"You Can Win")</f>
        <v>You Can Win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 t="str">
        <f>IFERROR(__xludf.DUMMYFUNCTION("""COMPUTED_VALUE"""),"YouWon")</f>
        <v>YouWon</v>
      </c>
      <c r="B714" s="2" t="str">
        <f>IFERROR(__xludf.DUMMYFUNCTION("""COMPUTED_VALUE"""),"You Won")</f>
        <v>You Won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 t="str">
        <f>IFERROR(__xludf.DUMMYFUNCTION("""COMPUTED_VALUE"""),"ByReferring ")</f>
        <v>ByReferring </v>
      </c>
      <c r="B715" s="2" t="str">
        <f>IFERROR(__xludf.DUMMYFUNCTION("""COMPUTED_VALUE"""),"By Referring ")</f>
        <v>By Referring 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 t="str">
        <f>IFERROR(__xludf.DUMMYFUNCTION("""COMPUTED_VALUE"""),"Completed")</f>
        <v>Completed</v>
      </c>
      <c r="B716" s="2" t="str">
        <f>IFERROR(__xludf.DUMMYFUNCTION("""COMPUTED_VALUE"""),"Completed")</f>
        <v>Completed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 t="str">
        <f>IFERROR(__xludf.DUMMYFUNCTION("""COMPUTED_VALUE"""),"Incompleted")</f>
        <v>Incompleted</v>
      </c>
      <c r="B717" s="2" t="str">
        <f>IFERROR(__xludf.DUMMYFUNCTION("""COMPUTED_VALUE"""),"Incompleted")</f>
        <v>Incompleted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 t="str">
        <f>IFERROR(__xludf.DUMMYFUNCTION("""COMPUTED_VALUE"""),"Referralstatus ")</f>
        <v>Referralstatus </v>
      </c>
      <c r="B718" s="2" t="str">
        <f>IFERROR(__xludf.DUMMYFUNCTION("""COMPUTED_VALUE"""),"Referral Status ")</f>
        <v>Referral Status 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 t="str">
        <f>IFERROR(__xludf.DUMMYFUNCTION("""COMPUTED_VALUE"""),"Ordered ")</f>
        <v>Ordered </v>
      </c>
      <c r="B719" s="2" t="str">
        <f>IFERROR(__xludf.DUMMYFUNCTION("""COMPUTED_VALUE"""),"Ordered ")</f>
        <v>Ordered 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 t="str">
        <f>IFERROR(__xludf.DUMMYFUNCTION("""COMPUTED_VALUE"""),"Firstorder ")</f>
        <v>Firstorder </v>
      </c>
      <c r="B720" s="2" t="str">
        <f>IFERROR(__xludf.DUMMYFUNCTION("""COMPUTED_VALUE"""),"First order ")</f>
        <v>First order 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 t="str">
        <f>IFERROR(__xludf.DUMMYFUNCTION("""COMPUTED_VALUE"""),"Signup ")</f>
        <v>Signup </v>
      </c>
      <c r="B721" s="2" t="str">
        <f>IFERROR(__xludf.DUMMYFUNCTION("""COMPUTED_VALUE"""),"Sign Up ")</f>
        <v>Sign Up 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 t="str">
        <f>IFERROR(__xludf.DUMMYFUNCTION("""COMPUTED_VALUE"""),"ProfileCompleted")</f>
        <v>ProfileCompleted</v>
      </c>
      <c r="B722" s="2" t="str">
        <f>IFERROR(__xludf.DUMMYFUNCTION("""COMPUTED_VALUE"""),"Profile Completed")</f>
        <v>Profile Completed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 t="str">
        <f>IFERROR(__xludf.DUMMYFUNCTION("""COMPUTED_VALUE"""),"Reminder")</f>
        <v>Reminder</v>
      </c>
      <c r="B723" s="2" t="str">
        <f>IFERROR(__xludf.DUMMYFUNCTION("""COMPUTED_VALUE"""),"Reminder")</f>
        <v>Reminder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 t="str">
        <f>IFERROR(__xludf.DUMMYFUNCTION("""COMPUTED_VALUE"""),"SelectLanguage ")</f>
        <v>SelectLanguage </v>
      </c>
      <c r="B724" s="2" t="str">
        <f>IFERROR(__xludf.DUMMYFUNCTION("""COMPUTED_VALUE"""),"Select Language ")</f>
        <v>Select Language 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 t="str">
        <f>IFERROR(__xludf.DUMMYFUNCTION("""COMPUTED_VALUE"""),"SearchAddress")</f>
        <v>SearchAddress</v>
      </c>
      <c r="B725" s="2" t="str">
        <f>IFERROR(__xludf.DUMMYFUNCTION("""COMPUTED_VALUE"""),"Search Address")</f>
        <v>Search Address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 t="str">
        <f>IFERROR(__xludf.DUMMYFUNCTION("""COMPUTED_VALUE"""),"InvitePeopleandearnCashRewards ")</f>
        <v>InvitePeopleandearnCashRewards </v>
      </c>
      <c r="B726" s="2" t="str">
        <f>IFERROR(__xludf.DUMMYFUNCTION("""COMPUTED_VALUE"""),"Invite People and earn Cash Rewards ")</f>
        <v>Invite People and earn Cash Rewards 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 t="str">
        <f>IFERROR(__xludf.DUMMYFUNCTION("""COMPUTED_VALUE"""),"SMSSendSucessfully ")</f>
        <v>SMSSendSucessfully </v>
      </c>
      <c r="B727" s="2" t="str">
        <f>IFERROR(__xludf.DUMMYFUNCTION("""COMPUTED_VALUE"""),"SMS Sent Successfully ")</f>
        <v>SMS Sent Successfully 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 t="str">
        <f>IFERROR(__xludf.DUMMYFUNCTION("""COMPUTED_VALUE"""),"IncreaseEarningoncashinvite")</f>
        <v>IncreaseEarningoncashinvite</v>
      </c>
      <c r="B728" s="2" t="str">
        <f>IFERROR(__xludf.DUMMYFUNCTION("""COMPUTED_VALUE"""),"Increase Earning on cash  invite")</f>
        <v>Increase Earning on cash  invite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 t="str">
        <f>IFERROR(__xludf.DUMMYFUNCTION("""COMPUTED_VALUE"""),"Profile ")</f>
        <v>Profile </v>
      </c>
      <c r="B729" s="2" t="str">
        <f>IFERROR(__xludf.DUMMYFUNCTION("""COMPUTED_VALUE"""),"Profile ")</f>
        <v>Profile 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 t="str">
        <f>IFERROR(__xludf.DUMMYFUNCTION("""COMPUTED_VALUE"""),"Subscribed")</f>
        <v>Subscribed</v>
      </c>
      <c r="B730" s="2" t="str">
        <f>IFERROR(__xludf.DUMMYFUNCTION("""COMPUTED_VALUE"""),"Subscribed")</f>
        <v>Subscribed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 t="str">
        <f>IFERROR(__xludf.DUMMYFUNCTION("""COMPUTED_VALUE"""),"Unsubscribed ")</f>
        <v>Unsubscribed </v>
      </c>
      <c r="B731" s="2" t="str">
        <f>IFERROR(__xludf.DUMMYFUNCTION("""COMPUTED_VALUE"""),"Unsubscribed")</f>
        <v>Unsubscribed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 t="str">
        <f>IFERROR(__xludf.DUMMYFUNCTION("""COMPUTED_VALUE"""),"IncreaseEarningoneachinvite")</f>
        <v>IncreaseEarningoneachinvite</v>
      </c>
      <c r="B732" s="2" t="str">
        <f>IFERROR(__xludf.DUMMYFUNCTION("""COMPUTED_VALUE"""),"Increase earning on each invite")</f>
        <v>Increase earning on each invite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 t="str">
        <f>IFERROR(__xludf.DUMMYFUNCTION("""COMPUTED_VALUE"""),"ProductorCategory ")</f>
        <v>ProductorCategory </v>
      </c>
      <c r="B733" s="2" t="str">
        <f>IFERROR(__xludf.DUMMYFUNCTION("""COMPUTED_VALUE"""),"Product or Category ")</f>
        <v>Product or Category 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 t="str">
        <f>IFERROR(__xludf.DUMMYFUNCTION("""COMPUTED_VALUE"""),"catalogmanagement ")</f>
        <v>catalogmanagement </v>
      </c>
      <c r="B735" s="2" t="str">
        <f>IFERROR(__xludf.DUMMYFUNCTION("""COMPUTED_VALUE"""),"Catalog Management ")</f>
        <v>Catalog Management 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 t="str">
        <f>IFERROR(__xludf.DUMMYFUNCTION("""COMPUTED_VALUE"""),"PaymentManagement")</f>
        <v>PaymentManagement</v>
      </c>
      <c r="B736" s="2" t="str">
        <f>IFERROR(__xludf.DUMMYFUNCTION("""COMPUTED_VALUE"""),"Payment Management")</f>
        <v>Payment Management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 t="str">
        <f>IFERROR(__xludf.DUMMYFUNCTION("""COMPUTED_VALUE"""),"DeliveryManagement ")</f>
        <v>DeliveryManagement </v>
      </c>
      <c r="B737" s="2" t="str">
        <f>IFERROR(__xludf.DUMMYFUNCTION("""COMPUTED_VALUE"""),"Delivery Management ")</f>
        <v>Delivery Management 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 t="str">
        <f>IFERROR(__xludf.DUMMYFUNCTION("""COMPUTED_VALUE"""),"OrderManagement ")</f>
        <v>OrderManagement </v>
      </c>
      <c r="B738" s="2" t="str">
        <f>IFERROR(__xludf.DUMMYFUNCTION("""COMPUTED_VALUE"""),"Order Management ")</f>
        <v>Order Management 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 t="str">
        <f>IFERROR(__xludf.DUMMYFUNCTION("""COMPUTED_VALUE"""),"CustomerService ")</f>
        <v>CustomerService </v>
      </c>
      <c r="B739" s="2" t="str">
        <f>IFERROR(__xludf.DUMMYFUNCTION("""COMPUTED_VALUE"""),"Customer Service ")</f>
        <v>Customer Service 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 t="str">
        <f>IFERROR(__xludf.DUMMYFUNCTION("""COMPUTED_VALUE"""),"Neworderdetails")</f>
        <v>Neworderdetails</v>
      </c>
      <c r="B740" s="2" t="str">
        <f>IFERROR(__xludf.DUMMYFUNCTION("""COMPUTED_VALUE"""),"New Order Details")</f>
        <v>New Order Details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 t="str">
        <f>IFERROR(__xludf.DUMMYFUNCTION("""COMPUTED_VALUE"""),"ExpensesManagement ")</f>
        <v>ExpensesManagement </v>
      </c>
      <c r="B741" s="2" t="str">
        <f>IFERROR(__xludf.DUMMYFUNCTION("""COMPUTED_VALUE"""),"Expenses Management ")</f>
        <v>Expenses Management 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 t="str">
        <f>IFERROR(__xludf.DUMMYFUNCTION("""COMPUTED_VALUE"""),"InventoryManagement ")</f>
        <v>InventoryManagement </v>
      </c>
      <c r="B742" s="2" t="str">
        <f>IFERROR(__xludf.DUMMYFUNCTION("""COMPUTED_VALUE"""),"Inventory Management ")</f>
        <v>Inventory Management 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 t="str">
        <f>IFERROR(__xludf.DUMMYFUNCTION("""COMPUTED_VALUE"""),"Complain")</f>
        <v>Complain</v>
      </c>
      <c r="B743" s="2" t="str">
        <f>IFERROR(__xludf.DUMMYFUNCTION("""COMPUTED_VALUE"""),"Complain")</f>
        <v>Complain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 t="str">
        <f>IFERROR(__xludf.DUMMYFUNCTION("""COMPUTED_VALUE"""),"AccountManager ")</f>
        <v>AccountManager </v>
      </c>
      <c r="B744" s="2" t="str">
        <f>IFERROR(__xludf.DUMMYFUNCTION("""COMPUTED_VALUE"""),"Account manager ")</f>
        <v>Account manager 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 t="str">
        <f>IFERROR(__xludf.DUMMYFUNCTION("""COMPUTED_VALUE"""),"ActiveOrder")</f>
        <v>ActiveOrder</v>
      </c>
      <c r="B745" s="2" t="str">
        <f>IFERROR(__xludf.DUMMYFUNCTION("""COMPUTED_VALUE"""),"Active Order")</f>
        <v>Active Order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 t="str">
        <f>IFERROR(__xludf.DUMMYFUNCTION("""COMPUTED_VALUE"""),"Refer&amp;earn")</f>
        <v>Refer&amp;earn</v>
      </c>
      <c r="B746" s="2" t="str">
        <f>IFERROR(__xludf.DUMMYFUNCTION("""COMPUTED_VALUE"""),"Refer &amp; Earn")</f>
        <v>Refer &amp; Earn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 t="str">
        <f>IFERROR(__xludf.DUMMYFUNCTION("""COMPUTED_VALUE"""),"gstin ")</f>
        <v>gstin </v>
      </c>
      <c r="B747" s="2" t="str">
        <f>IFERROR(__xludf.DUMMYFUNCTION("""COMPUTED_VALUE"""),"GSTIN")</f>
        <v>GSTIN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 t="str">
        <f>IFERROR(__xludf.DUMMYFUNCTION("""COMPUTED_VALUE"""),"ActivePlan")</f>
        <v>ActivePlan</v>
      </c>
      <c r="B748" s="2" t="str">
        <f>IFERROR(__xludf.DUMMYFUNCTION("""COMPUTED_VALUE"""),"Active Plan")</f>
        <v>Active Plan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 t="str">
        <f>IFERROR(__xludf.DUMMYFUNCTION("""COMPUTED_VALUE"""),"Expiresin20days ")</f>
        <v>Expiresin20days </v>
      </c>
      <c r="B749" s="2" t="str">
        <f>IFERROR(__xludf.DUMMYFUNCTION("""COMPUTED_VALUE"""),"Expires in 20 days ")</f>
        <v>Expires in 20 days 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 t="str">
        <f>IFERROR(__xludf.DUMMYFUNCTION("""COMPUTED_VALUE"""),"Invoice")</f>
        <v>Invoice</v>
      </c>
      <c r="B750" s="2" t="str">
        <f>IFERROR(__xludf.DUMMYFUNCTION("""COMPUTED_VALUE"""),"Invoice")</f>
        <v>Invoice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 t="str">
        <f>IFERROR(__xludf.DUMMYFUNCTION("""COMPUTED_VALUE"""),"LastSubscriptionOn ")</f>
        <v>LastSubscriptionOn </v>
      </c>
      <c r="B751" s="2" t="str">
        <f>IFERROR(__xludf.DUMMYFUNCTION("""COMPUTED_VALUE"""),"Last Subscription On ")</f>
        <v>Last Subscription On 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 t="str">
        <f>IFERROR(__xludf.DUMMYFUNCTION("""COMPUTED_VALUE"""),"RenewPlan ")</f>
        <v>RenewPlan </v>
      </c>
      <c r="B752" s="2" t="str">
        <f>IFERROR(__xludf.DUMMYFUNCTION("""COMPUTED_VALUE"""),"Renew Plan ")</f>
        <v>Renew Plan 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 t="str">
        <f>IFERROR(__xludf.DUMMYFUNCTION("""COMPUTED_VALUE"""),"ViewOtherPlans")</f>
        <v>ViewOtherPlans</v>
      </c>
      <c r="B753" s="2" t="str">
        <f>IFERROR(__xludf.DUMMYFUNCTION("""COMPUTED_VALUE"""),"View Other Plans")</f>
        <v>View Other Plans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 t="str">
        <f>IFERROR(__xludf.DUMMYFUNCTION("""COMPUTED_VALUE"""),"Offer ")</f>
        <v>Offer </v>
      </c>
      <c r="B754" s="2" t="str">
        <f>IFERROR(__xludf.DUMMYFUNCTION("""COMPUTED_VALUE"""),"Offer ")</f>
        <v>Offer 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 t="str">
        <f>IFERROR(__xludf.DUMMYFUNCTION("""COMPUTED_VALUE"""),"EntryName ")</f>
        <v>EntryName </v>
      </c>
      <c r="B755" s="2" t="str">
        <f>IFERROR(__xludf.DUMMYFUNCTION("""COMPUTED_VALUE"""),"Entry Name ")</f>
        <v>Entry Name 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 t="str">
        <f>IFERROR(__xludf.DUMMYFUNCTION("""COMPUTED_VALUE"""),"GSTINNumber ")</f>
        <v>GSTINNumber </v>
      </c>
      <c r="B756" s="2" t="str">
        <f>IFERROR(__xludf.DUMMYFUNCTION("""COMPUTED_VALUE"""),"GSTIN Number ")</f>
        <v>GSTIN Number 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 t="str">
        <f>IFERROR(__xludf.DUMMYFUNCTION("""COMPUTED_VALUE"""),"BasicSubscription ")</f>
        <v>BasicSubscription </v>
      </c>
      <c r="B757" s="2" t="str">
        <f>IFERROR(__xludf.DUMMYFUNCTION("""COMPUTED_VALUE"""),"Basic Subscription ")</f>
        <v>Basic Subscription 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 t="str">
        <f>IFERROR(__xludf.DUMMYFUNCTION("""COMPUTED_VALUE"""),"GST")</f>
        <v>GST</v>
      </c>
      <c r="B758" s="2" t="str">
        <f>IFERROR(__xludf.DUMMYFUNCTION("""COMPUTED_VALUE"""),"GST")</f>
        <v>GST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 t="str">
        <f>IFERROR(__xludf.DUMMYFUNCTION("""COMPUTED_VALUE"""),"TotalAmount ")</f>
        <v>TotalAmount </v>
      </c>
      <c r="B759" s="2" t="str">
        <f>IFERROR(__xludf.DUMMYFUNCTION("""COMPUTED_VALUE"""),"Total Amount ")</f>
        <v>Total Amount 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 t="str">
        <f>IFERROR(__xludf.DUMMYFUNCTION("""COMPUTED_VALUE"""),"AddProduct ")</f>
        <v>AddProduct </v>
      </c>
      <c r="B760" s="2" t="str">
        <f>IFERROR(__xludf.DUMMYFUNCTION("""COMPUTED_VALUE"""),"Add Product ")</f>
        <v>Add Product 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 t="str">
        <f>IFERROR(__xludf.DUMMYFUNCTION("""COMPUTED_VALUE"""),"UpdateProduct")</f>
        <v>UpdateProduct</v>
      </c>
      <c r="B761" s="2" t="str">
        <f>IFERROR(__xludf.DUMMYFUNCTION("""COMPUTED_VALUE"""),"Update Product")</f>
        <v>Update Product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 t="str">
        <f>IFERROR(__xludf.DUMMYFUNCTION("""COMPUTED_VALUE"""),"RecommendedProduct ")</f>
        <v>RecommendedProduct </v>
      </c>
      <c r="B762" s="2" t="str">
        <f>IFERROR(__xludf.DUMMYFUNCTION("""COMPUTED_VALUE"""),"Recommended Product ")</f>
        <v>Recommended Product 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 t="str">
        <f>IFERROR(__xludf.DUMMYFUNCTION("""COMPUTED_VALUE"""),"Mycatalog ")</f>
        <v>Mycatalog </v>
      </c>
      <c r="B763" s="2" t="str">
        <f>IFERROR(__xludf.DUMMYFUNCTION("""COMPUTED_VALUE"""),"My Catalog ")</f>
        <v>My Catalog 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 t="str">
        <f>IFERROR(__xludf.DUMMYFUNCTION("""COMPUTED_VALUE"""),"SelectProducts ")</f>
        <v>SelectProducts </v>
      </c>
      <c r="B764" s="2" t="str">
        <f>IFERROR(__xludf.DUMMYFUNCTION("""COMPUTED_VALUE"""),"Select Products ")</f>
        <v>Select Products 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 t="str">
        <f>IFERROR(__xludf.DUMMYFUNCTION("""COMPUTED_VALUE"""),"Selectall")</f>
        <v>Selectall</v>
      </c>
      <c r="B765" s="2" t="str">
        <f>IFERROR(__xludf.DUMMYFUNCTION("""COMPUTED_VALUE"""),"Select All")</f>
        <v>Select All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 t="str">
        <f>IFERROR(__xludf.DUMMYFUNCTION("""COMPUTED_VALUE"""),"Unpublished ")</f>
        <v>Unpublished </v>
      </c>
      <c r="B766" s="2" t="str">
        <f>IFERROR(__xludf.DUMMYFUNCTION("""COMPUTED_VALUE"""),"Unpublished ")</f>
        <v>Unpublished 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 t="str">
        <f>IFERROR(__xludf.DUMMYFUNCTION("""COMPUTED_VALUE"""),"PreOrder ")</f>
        <v>PreOrder </v>
      </c>
      <c r="B767" s="2" t="str">
        <f>IFERROR(__xludf.DUMMYFUNCTION("""COMPUTED_VALUE"""),"Pre Order ")</f>
        <v>Pre Order 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 t="str">
        <f>IFERROR(__xludf.DUMMYFUNCTION("""COMPUTED_VALUE"""),"SellingPrice ")</f>
        <v>SellingPrice </v>
      </c>
      <c r="B768" s="2" t="str">
        <f>IFERROR(__xludf.DUMMYFUNCTION("""COMPUTED_VALUE"""),"Selling Price ")</f>
        <v>Selling Price 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 t="str">
        <f>IFERROR(__xludf.DUMMYFUNCTION("""COMPUTED_VALUE"""),"SoldBy ")</f>
        <v>SoldBy </v>
      </c>
      <c r="B769" s="2" t="str">
        <f>IFERROR(__xludf.DUMMYFUNCTION("""COMPUTED_VALUE"""),"Sold By ")</f>
        <v>Sold By 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 t="str">
        <f>IFERROR(__xludf.DUMMYFUNCTION("""COMPUTED_VALUE"""),"Liter ")</f>
        <v>Liter </v>
      </c>
      <c r="B770" s="2" t="str">
        <f>IFERROR(__xludf.DUMMYFUNCTION("""COMPUTED_VALUE"""),"Liter ")</f>
        <v>Liter 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 t="str">
        <f>IFERROR(__xludf.DUMMYFUNCTION("""COMPUTED_VALUE"""),"Weight ")</f>
        <v>Weight </v>
      </c>
      <c r="B771" s="2" t="str">
        <f>IFERROR(__xludf.DUMMYFUNCTION("""COMPUTED_VALUE"""),"Weight ")</f>
        <v>Weight 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 t="str">
        <f>IFERROR(__xludf.DUMMYFUNCTION("""COMPUTED_VALUE"""),"Grading ")</f>
        <v>Grading </v>
      </c>
      <c r="B772" s="2" t="str">
        <f>IFERROR(__xludf.DUMMYFUNCTION("""COMPUTED_VALUE"""),"Grading ")</f>
        <v>Grading 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 t="str">
        <f>IFERROR(__xludf.DUMMYFUNCTION("""COMPUTED_VALUE"""),"PendingApproval")</f>
        <v>PendingApproval</v>
      </c>
      <c r="B773" s="2" t="str">
        <f>IFERROR(__xludf.DUMMYFUNCTION("""COMPUTED_VALUE"""),"Pending Approval")</f>
        <v>Pending Approval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 t="str">
        <f>IFERROR(__xludf.DUMMYFUNCTION("""COMPUTED_VALUE"""),"Approved")</f>
        <v>Approved</v>
      </c>
      <c r="B774" s="2" t="str">
        <f>IFERROR(__xludf.DUMMYFUNCTION("""COMPUTED_VALUE"""),"Approved")</f>
        <v>Approved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 t="str">
        <f>IFERROR(__xludf.DUMMYFUNCTION("""COMPUTED_VALUE"""),"Rejected ")</f>
        <v>Rejected </v>
      </c>
      <c r="B775" s="2" t="str">
        <f>IFERROR(__xludf.DUMMYFUNCTION("""COMPUTED_VALUE"""),"Rejected ")</f>
        <v>Rejected 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 t="str">
        <f>IFERROR(__xludf.DUMMYFUNCTION("""COMPUTED_VALUE"""),"Customized")</f>
        <v>Customized</v>
      </c>
      <c r="B776" s="2" t="str">
        <f>IFERROR(__xludf.DUMMYFUNCTION("""COMPUTED_VALUE"""),"Customized")</f>
        <v>Customized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 t="str">
        <f>IFERROR(__xludf.DUMMYFUNCTION("""COMPUTED_VALUE"""),"Favouriteshop")</f>
        <v>Favouriteshop</v>
      </c>
      <c r="B777" s="2" t="str">
        <f>IFERROR(__xludf.DUMMYFUNCTION("""COMPUTED_VALUE"""),"Favourite Shop")</f>
        <v>Favourite Shop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 t="str">
        <f>IFERROR(__xludf.DUMMYFUNCTION("""COMPUTED_VALUE"""),"ShopByCategories ")</f>
        <v>ShopByCategories </v>
      </c>
      <c r="B778" s="2" t="str">
        <f>IFERROR(__xludf.DUMMYFUNCTION("""COMPUTED_VALUE"""),"Shop By Categories ")</f>
        <v>Shop By Categories 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 t="str">
        <f>IFERROR(__xludf.DUMMYFUNCTION("""COMPUTED_VALUE"""),"Grocery ")</f>
        <v>Grocery </v>
      </c>
      <c r="B779" s="2" t="str">
        <f>IFERROR(__xludf.DUMMYFUNCTION("""COMPUTED_VALUE"""),"Grocery ")</f>
        <v>Grocery 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 t="str">
        <f>IFERROR(__xludf.DUMMYFUNCTION("""COMPUTED_VALUE"""),"Fish")</f>
        <v>Fish</v>
      </c>
      <c r="B780" s="2" t="str">
        <f>IFERROR(__xludf.DUMMYFUNCTION("""COMPUTED_VALUE"""),"Fish")</f>
        <v>Fish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 t="str">
        <f>IFERROR(__xludf.DUMMYFUNCTION("""COMPUTED_VALUE"""),"Flower ")</f>
        <v>Flower </v>
      </c>
      <c r="B781" s="2" t="str">
        <f>IFERROR(__xludf.DUMMYFUNCTION("""COMPUTED_VALUE"""),"Flower ")</f>
        <v>Flower 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 t="str">
        <f>IFERROR(__xludf.DUMMYFUNCTION("""COMPUTED_VALUE"""),"Preference ")</f>
        <v>Preference </v>
      </c>
      <c r="B782" s="2" t="str">
        <f>IFERROR(__xludf.DUMMYFUNCTION("""COMPUTED_VALUE"""),"Preference ")</f>
        <v>Preference 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 t="str">
        <f>IFERROR(__xludf.DUMMYFUNCTION("""COMPUTED_VALUE"""),"SelectPreference ")</f>
        <v>SelectPreference </v>
      </c>
      <c r="B783" s="2" t="str">
        <f>IFERROR(__xludf.DUMMYFUNCTION("""COMPUTED_VALUE"""),"Select Preference ")</f>
        <v>Select Preference 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 t="str">
        <f>IFERROR(__xludf.DUMMYFUNCTION("""COMPUTED_VALUE"""),"FruitsShop")</f>
        <v>FruitsShop</v>
      </c>
      <c r="B784" s="2" t="str">
        <f>IFERROR(__xludf.DUMMYFUNCTION("""COMPUTED_VALUE"""),"Fruits Shop")</f>
        <v>Fruits Shop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 t="str">
        <f>IFERROR(__xludf.DUMMYFUNCTION("""COMPUTED_VALUE"""),"LocalGarden")</f>
        <v>LocalGarden</v>
      </c>
      <c r="B785" s="2" t="str">
        <f>IFERROR(__xludf.DUMMYFUNCTION("""COMPUTED_VALUE"""),"Local Garden")</f>
        <v>Local Garden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 t="str">
        <f>IFERROR(__xludf.DUMMYFUNCTION("""COMPUTED_VALUE"""),"Nonveg ")</f>
        <v>Nonveg </v>
      </c>
      <c r="B786" s="2" t="str">
        <f>IFERROR(__xludf.DUMMYFUNCTION("""COMPUTED_VALUE"""),"Non veg ")</f>
        <v>Non veg 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 t="str">
        <f>IFERROR(__xludf.DUMMYFUNCTION("""COMPUTED_VALUE"""),"Simple ")</f>
        <v>Simple </v>
      </c>
      <c r="B787" s="2" t="str">
        <f>IFERROR(__xludf.DUMMYFUNCTION("""COMPUTED_VALUE"""),"Simple ")</f>
        <v>Simple 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 t="str">
        <f>IFERROR(__xludf.DUMMYFUNCTION("""COMPUTED_VALUE"""),"Aggregate ")</f>
        <v>Aggregate </v>
      </c>
      <c r="B788" s="2" t="str">
        <f>IFERROR(__xludf.DUMMYFUNCTION("""COMPUTED_VALUE"""),"Aggregate ")</f>
        <v>Aggregate 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 t="str">
        <f>IFERROR(__xludf.DUMMYFUNCTION("""COMPUTED_VALUE"""),"MultipleFruits ")</f>
        <v>MultipleFruits </v>
      </c>
      <c r="B789" s="2" t="str">
        <f>IFERROR(__xludf.DUMMYFUNCTION("""COMPUTED_VALUE"""),"Multiple Fruits ")</f>
        <v>Multiple Fruits 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 t="str">
        <f>IFERROR(__xludf.DUMMYFUNCTION("""COMPUTED_VALUE"""),"AddAddress")</f>
        <v>AddAddress</v>
      </c>
      <c r="B790" s="2" t="str">
        <f>IFERROR(__xludf.DUMMYFUNCTION("""COMPUTED_VALUE"""),"Add Address")</f>
        <v>Add Address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 t="str">
        <f>IFERROR(__xludf.DUMMYFUNCTION("""COMPUTED_VALUE"""),"Seasonal ")</f>
        <v>Seasonal </v>
      </c>
      <c r="B791" s="2" t="str">
        <f>IFERROR(__xludf.DUMMYFUNCTION("""COMPUTED_VALUE"""),"Seasonal ")</f>
        <v>Seasonal 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 t="str">
        <f>IFERROR(__xludf.DUMMYFUNCTION("""COMPUTED_VALUE"""),"Items ")</f>
        <v>Items </v>
      </c>
      <c r="B792" s="2" t="str">
        <f>IFERROR(__xludf.DUMMYFUNCTION("""COMPUTED_VALUE"""),"Items ")</f>
        <v>Items 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 t="str">
        <f>IFERROR(__xludf.DUMMYFUNCTION("""COMPUTED_VALUE"""),"Employee/partner ")</f>
        <v>Employee/partner </v>
      </c>
      <c r="B793" s="2" t="str">
        <f>IFERROR(__xludf.DUMMYFUNCTION("""COMPUTED_VALUE"""),"Employee/partner ")</f>
        <v>Employee/partner 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 t="str">
        <f>IFERROR(__xludf.DUMMYFUNCTION("""COMPUTED_VALUE"""),"Refer ")</f>
        <v>Refer </v>
      </c>
      <c r="B794" s="2" t="str">
        <f>IFERROR(__xludf.DUMMYFUNCTION("""COMPUTED_VALUE"""),"Refer ")</f>
        <v>Refer 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 t="str">
        <f>IFERROR(__xludf.DUMMYFUNCTION("""COMPUTED_VALUE"""),"Employeemanagement ")</f>
        <v>Employeemanagement </v>
      </c>
      <c r="B795" s="2" t="str">
        <f>IFERROR(__xludf.DUMMYFUNCTION("""COMPUTED_VALUE"""),"Employee Management")</f>
        <v>Employee Management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 t="str">
        <f>IFERROR(__xludf.DUMMYFUNCTION("""COMPUTED_VALUE"""),"StateHead")</f>
        <v>StateHead</v>
      </c>
      <c r="B796" s="2" t="str">
        <f>IFERROR(__xludf.DUMMYFUNCTION("""COMPUTED_VALUE"""),"State Head")</f>
        <v>State Head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 t="str">
        <f>IFERROR(__xludf.DUMMYFUNCTION("""COMPUTED_VALUE"""),"AddEmployee")</f>
        <v>AddEmployee</v>
      </c>
      <c r="B797" s="2" t="str">
        <f>IFERROR(__xludf.DUMMYFUNCTION("""COMPUTED_VALUE"""),"Add Employee")</f>
        <v>Add Employee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 t="str">
        <f>IFERROR(__xludf.DUMMYFUNCTION("""COMPUTED_VALUE"""),"ManagerId ")</f>
        <v>ManagerId </v>
      </c>
      <c r="B798" s="2" t="str">
        <f>IFERROR(__xludf.DUMMYFUNCTION("""COMPUTED_VALUE"""),"Manager ID")</f>
        <v>Manager ID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 t="str">
        <f>IFERROR(__xludf.DUMMYFUNCTION("""COMPUTED_VALUE"""),"OrgId")</f>
        <v>OrgId</v>
      </c>
      <c r="B799" s="2" t="str">
        <f>IFERROR(__xludf.DUMMYFUNCTION("""COMPUTED_VALUE"""),"Org ID")</f>
        <v>Org ID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 t="str">
        <f>IFERROR(__xludf.DUMMYFUNCTION("""COMPUTED_VALUE"""),"AssignRole")</f>
        <v>AssignRole</v>
      </c>
      <c r="B800" s="2" t="str">
        <f>IFERROR(__xludf.DUMMYFUNCTION("""COMPUTED_VALUE"""),"Assign Role")</f>
        <v>Assign Role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 t="str">
        <f>IFERROR(__xludf.DUMMYFUNCTION("""COMPUTED_VALUE"""),"CityOfficer ")</f>
        <v>CityOfficer </v>
      </c>
      <c r="B801" s="2" t="str">
        <f>IFERROR(__xludf.DUMMYFUNCTION("""COMPUTED_VALUE"""),"City Officer ")</f>
        <v>City Officer 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 t="str">
        <f>IFERROR(__xludf.DUMMYFUNCTION("""COMPUTED_VALUE"""),"FrontlineOfficer ")</f>
        <v>FrontlineOfficer </v>
      </c>
      <c r="B802" s="2" t="str">
        <f>IFERROR(__xludf.DUMMYFUNCTION("""COMPUTED_VALUE"""),"Frontline Officer ")</f>
        <v>Frontline Officer 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 t="str">
        <f>IFERROR(__xludf.DUMMYFUNCTION("""COMPUTED_VALUE"""),"Employeecreatedsuccessfully")</f>
        <v>Employeecreatedsuccessfully</v>
      </c>
      <c r="B803" s="2" t="str">
        <f>IFERROR(__xludf.DUMMYFUNCTION("""COMPUTED_VALUE"""),"Employee Created Successfully YAY!")</f>
        <v>Employee Created Successfully YAY!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 t="str">
        <f>IFERROR(__xludf.DUMMYFUNCTION("""COMPUTED_VALUE"""),"AlmoniUser ")</f>
        <v>AlmoniUser </v>
      </c>
      <c r="B804" s="2" t="str">
        <f>IFERROR(__xludf.DUMMYFUNCTION("""COMPUTED_VALUE"""),"Almoni User ")</f>
        <v>Almoni User 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 t="str">
        <f>IFERROR(__xludf.DUMMYFUNCTION("""COMPUTED_VALUE"""),"Undo")</f>
        <v>Undo</v>
      </c>
      <c r="B805" s="2" t="str">
        <f>IFERROR(__xludf.DUMMYFUNCTION("""COMPUTED_VALUE"""),"Undo")</f>
        <v>Undo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 t="str">
        <f>IFERROR(__xludf.DUMMYFUNCTION("""COMPUTED_VALUE"""),"Franchiese ")</f>
        <v>Franchiese </v>
      </c>
      <c r="B806" s="2" t="str">
        <f>IFERROR(__xludf.DUMMYFUNCTION("""COMPUTED_VALUE"""),"Franchise ")</f>
        <v>Franchise 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 t="str">
        <f>IFERROR(__xludf.DUMMYFUNCTION("""COMPUTED_VALUE"""),"Freelancer ")</f>
        <v>Freelancer </v>
      </c>
      <c r="B807" s="2" t="str">
        <f>IFERROR(__xludf.DUMMYFUNCTION("""COMPUTED_VALUE"""),"Freelancer ")</f>
        <v>Freelancer 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 t="str">
        <f>IFERROR(__xludf.DUMMYFUNCTION("""COMPUTED_VALUE"""),"January")</f>
        <v>January</v>
      </c>
      <c r="B808" s="2" t="str">
        <f>IFERROR(__xludf.DUMMYFUNCTION("""COMPUTED_VALUE"""),"January")</f>
        <v>January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 t="str">
        <f>IFERROR(__xludf.DUMMYFUNCTION("""COMPUTED_VALUE"""),"businessnameisrequired")</f>
        <v>businessnameisrequired</v>
      </c>
      <c r="B809" s="2" t="str">
        <f>IFERROR(__xludf.DUMMYFUNCTION("""COMPUTED_VALUE"""),"Business Name is Required")</f>
        <v>Business Name is Required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 t="str">
        <f>IFERROR(__xludf.DUMMYFUNCTION("""COMPUTED_VALUE"""),"nameshouldbemin5charslong.")</f>
        <v>nameshouldbemin5charslong.</v>
      </c>
      <c r="B810" s="2" t="str">
        <f>IFERROR(__xludf.DUMMYFUNCTION("""COMPUTED_VALUE"""),"Name should be min 5 chars long.")</f>
        <v>Name should be min 5 chars long.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 t="str">
        <f>IFERROR(__xludf.DUMMYFUNCTION("""COMPUTED_VALUE"""),"shopno.isrequired.")</f>
        <v>shopno.isrequired.</v>
      </c>
      <c r="B811" s="2" t="str">
        <f>IFERROR(__xludf.DUMMYFUNCTION("""COMPUTED_VALUE"""),"Shop no.is required.")</f>
        <v>Shop no.is required.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 t="str">
        <f>IFERROR(__xludf.DUMMYFUNCTION("""COMPUTED_VALUE"""),"streetno.isrequired")</f>
        <v>streetno.isrequired</v>
      </c>
      <c r="B812" s="2" t="str">
        <f>IFERROR(__xludf.DUMMYFUNCTION("""COMPUTED_VALUE"""),"Street no.is required.")</f>
        <v>Street no.is required.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 t="str">
        <f>IFERROR(__xludf.DUMMYFUNCTION("""COMPUTED_VALUE"""),"landmarkisrequired")</f>
        <v>landmarkisrequired</v>
      </c>
      <c r="B813" s="2" t="str">
        <f>IFERROR(__xludf.DUMMYFUNCTION("""COMPUTED_VALUE"""),"landmark is required.")</f>
        <v>landmark is required.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 t="str">
        <f>IFERROR(__xludf.DUMMYFUNCTION("""COMPUTED_VALUE"""),"cityisrequired")</f>
        <v>cityisrequired</v>
      </c>
      <c r="B814" s="2" t="str">
        <f>IFERROR(__xludf.DUMMYFUNCTION("""COMPUTED_VALUE"""),"City is required.")</f>
        <v>City is required.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 t="str">
        <f>IFERROR(__xludf.DUMMYFUNCTION("""COMPUTED_VALUE"""),"pincodeisrequired")</f>
        <v>pincodeisrequired</v>
      </c>
      <c r="B815" s="2" t="str">
        <f>IFERROR(__xludf.DUMMYFUNCTION("""COMPUTED_VALUE"""),"Pincode is required.")</f>
        <v>Pincode is required.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 t="str">
        <f>IFERROR(__xludf.DUMMYFUNCTION("""COMPUTED_VALUE"""),"updategstin")</f>
        <v>updategstin</v>
      </c>
      <c r="B816" s="2" t="str">
        <f>IFERROR(__xludf.DUMMYFUNCTION("""COMPUTED_VALUE"""),"Update GSTIN")</f>
        <v>Update GSTIN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 t="str">
        <f>IFERROR(__xludf.DUMMYFUNCTION("""COMPUTED_VALUE"""),"Pancardno.isrequired")</f>
        <v>Pancardno.isrequired</v>
      </c>
      <c r="B817" s="2" t="str">
        <f>IFERROR(__xludf.DUMMYFUNCTION("""COMPUTED_VALUE"""),"PAN Card No. is required .")</f>
        <v>PAN Card No. is required .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 t="str">
        <f>IFERROR(__xludf.DUMMYFUNCTION("""COMPUTED_VALUE"""),"Region")</f>
        <v>Region</v>
      </c>
      <c r="B818" s="2" t="str">
        <f>IFERROR(__xludf.DUMMYFUNCTION("""COMPUTED_VALUE"""),"Region")</f>
        <v>Region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 t="str">
        <f>IFERROR(__xludf.DUMMYFUNCTION("""COMPUTED_VALUE"""),"Doyouwanttocontinuewiththisnumber?")</f>
        <v>Doyouwanttocontinuewiththisnumber?</v>
      </c>
      <c r="B819" s="2" t="str">
        <f>IFERROR(__xludf.DUMMYFUNCTION("""COMPUTED_VALUE"""),"Do you want to continue with this number?")</f>
        <v>Do you want to continue with this number?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 t="str">
        <f>IFERROR(__xludf.DUMMYFUNCTION("""COMPUTED_VALUE"""),"Pleaseprovidealltherequiredvalues!")</f>
        <v>Pleaseprovidealltherequiredvalues!</v>
      </c>
      <c r="B820" s="2" t="str">
        <f>IFERROR(__xludf.DUMMYFUNCTION("""COMPUTED_VALUE"""),"Please provide all the required values!")</f>
        <v>Please provide all the required values!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 t="str">
        <f>IFERROR(__xludf.DUMMYFUNCTION("""COMPUTED_VALUE"""),"Taptoretry")</f>
        <v>Taptoretry</v>
      </c>
      <c r="B821" s="2" t="str">
        <f>IFERROR(__xludf.DUMMYFUNCTION("""COMPUTED_VALUE"""),"Tap to retry")</f>
        <v>Tap to retry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 t="str">
        <f>IFERROR(__xludf.DUMMYFUNCTION("""COMPUTED_VALUE"""),"somethingwentwrong")</f>
        <v>somethingwentwrong</v>
      </c>
      <c r="B822" s="2" t="str">
        <f>IFERROR(__xludf.DUMMYFUNCTION("""COMPUTED_VALUE"""),"something went wrong")</f>
        <v>something went wrong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 t="str">
        <f>IFERROR(__xludf.DUMMYFUNCTION("""COMPUTED_VALUE"""),"Searchbyfruits,Categories")</f>
        <v>Searchbyfruits,Categories</v>
      </c>
      <c r="B823" s="2" t="str">
        <f>IFERROR(__xludf.DUMMYFUNCTION("""COMPUTED_VALUE"""),"Search by Fruits, Categories")</f>
        <v>Search by Fruits, Categories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 t="str">
        <f>IFERROR(__xludf.DUMMYFUNCTION("""COMPUTED_VALUE"""),"PleaseEnterPincode")</f>
        <v>PleaseEnterPincode</v>
      </c>
      <c r="B824" s="2" t="str">
        <f>IFERROR(__xludf.DUMMYFUNCTION("""COMPUTED_VALUE"""),"Please Enter Pincode")</f>
        <v>Please Enter Pincode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 t="str">
        <f>IFERROR(__xludf.DUMMYFUNCTION("""COMPUTED_VALUE"""),"PleaseEnterHouse/Flat/Blockno")</f>
        <v>PleaseEnterHouse/Flat/Blockno</v>
      </c>
      <c r="B825" s="2" t="str">
        <f>IFERROR(__xludf.DUMMYFUNCTION("""COMPUTED_VALUE"""),"Please Enter House/Flat/Block no")</f>
        <v>Please Enter House/Flat/Block no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 t="str">
        <f>IFERROR(__xludf.DUMMYFUNCTION("""COMPUTED_VALUE"""),"PleaseEnterApartment/Road/Area")</f>
        <v>PleaseEnterApartment/Road/Area</v>
      </c>
      <c r="B826" s="2" t="str">
        <f>IFERROR(__xludf.DUMMYFUNCTION("""COMPUTED_VALUE"""),"Please Enter Apartment/Road/Area")</f>
        <v>Please Enter Apartment/Road/Area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 t="str">
        <f>IFERROR(__xludf.DUMMYFUNCTION("""COMPUTED_VALUE"""),"PleaseEnterLandmark")</f>
        <v>PleaseEnterLandmark</v>
      </c>
      <c r="B827" s="2" t="str">
        <f>IFERROR(__xludf.DUMMYFUNCTION("""COMPUTED_VALUE"""),"Please Enter Landmark")</f>
        <v>Please Enter Landmark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 t="str">
        <f>IFERROR(__xludf.DUMMYFUNCTION("""COMPUTED_VALUE"""),"Pre-Order")</f>
        <v>Pre-Order</v>
      </c>
      <c r="B828" s="2" t="str">
        <f>IFERROR(__xludf.DUMMYFUNCTION("""COMPUTED_VALUE"""),"Pre-Order")</f>
        <v>Pre-Order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 t="str">
        <f>IFERROR(__xludf.DUMMYFUNCTION("""COMPUTED_VALUE"""),"BrowseCatalog")</f>
        <v>BrowseCatalog</v>
      </c>
      <c r="B829" s="2" t="str">
        <f>IFERROR(__xludf.DUMMYFUNCTION("""COMPUTED_VALUE"""),"Browse Catalog")</f>
        <v>Browse Catalog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 t="str">
        <f>IFERROR(__xludf.DUMMYFUNCTION("""COMPUTED_VALUE"""),"IFSCisRequired")</f>
        <v>IFSCisRequired</v>
      </c>
      <c r="B830" s="2" t="str">
        <f>IFERROR(__xludf.DUMMYFUNCTION("""COMPUTED_VALUE"""),"IFSC is Required")</f>
        <v>IFSC is Required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 t="str">
        <f>IFERROR(__xludf.DUMMYFUNCTION("""COMPUTED_VALUE"""),"PANNumberisRequired.")</f>
        <v>PANNumberisRequired.</v>
      </c>
      <c r="B831" s="2" t="str">
        <f>IFERROR(__xludf.DUMMYFUNCTION("""COMPUTED_VALUE"""),"PAN Number is Required.")</f>
        <v>PAN Number is Required.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 t="str">
        <f>IFERROR(__xludf.DUMMYFUNCTION("""COMPUTED_VALUE"""),"Accept-popupworks!")</f>
        <v>Accept-popupworks!</v>
      </c>
      <c r="B832" s="2" t="str">
        <f>IFERROR(__xludf.DUMMYFUNCTION("""COMPUTED_VALUE"""),"Accept-Popup Works!")</f>
        <v>Accept-Popup Works!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 t="str">
        <f>IFERROR(__xludf.DUMMYFUNCTION("""COMPUTED_VALUE"""),"Accepted-orderworks!")</f>
        <v>Accepted-orderworks!</v>
      </c>
      <c r="B833" s="2" t="str">
        <f>IFERROR(__xludf.DUMMYFUNCTION("""COMPUTED_VALUE"""),"Accepted-Order Works!")</f>
        <v>Accepted-Order Works!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 t="str">
        <f>IFERROR(__xludf.DUMMYFUNCTION("""COMPUTED_VALUE"""),"Dispatch-ordersworks!")</f>
        <v>Dispatch-ordersworks!</v>
      </c>
      <c r="B834" s="2" t="str">
        <f>IFERROR(__xludf.DUMMYFUNCTION("""COMPUTED_VALUE"""),"Dispatch-Orders Works!")</f>
        <v>Dispatch-Orders Works!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 t="str">
        <f>IFERROR(__xludf.DUMMYFUNCTION("""COMPUTED_VALUE"""),"New-orderworks!")</f>
        <v>New-orderworks!</v>
      </c>
      <c r="B835" s="2" t="str">
        <f>IFERROR(__xludf.DUMMYFUNCTION("""COMPUTED_VALUE"""),"New-Order Works!")</f>
        <v>New-Order Works!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 t="str">
        <f>IFERROR(__xludf.DUMMYFUNCTION("""COMPUTED_VALUE"""),"PaymentReceived")</f>
        <v>PaymentReceived</v>
      </c>
      <c r="B836" s="2" t="str">
        <f>IFERROR(__xludf.DUMMYFUNCTION("""COMPUTED_VALUE"""),"Payment Received")</f>
        <v>Payment Received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 t="str">
        <f>IFERROR(__xludf.DUMMYFUNCTION("""COMPUTED_VALUE"""),"DeliveryInstructions")</f>
        <v>DeliveryInstructions</v>
      </c>
      <c r="B837" s="2" t="str">
        <f>IFERROR(__xludf.DUMMYFUNCTION("""COMPUTED_VALUE"""),"Delivery Instructions")</f>
        <v>Delivery Instructions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 t="str">
        <f>IFERROR(__xludf.DUMMYFUNCTION("""COMPUTED_VALUE"""),"Picker")</f>
        <v>Picker</v>
      </c>
      <c r="B838" s="2" t="str">
        <f>IFERROR(__xludf.DUMMYFUNCTION("""COMPUTED_VALUE"""),"Picker")</f>
        <v>Picker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 t="str">
        <f>IFERROR(__xludf.DUMMYFUNCTION("""COMPUTED_VALUE"""),"Loading ...")</f>
        <v>Loading ...</v>
      </c>
      <c r="B839" s="2" t="str">
        <f>IFERROR(__xludf.DUMMYFUNCTION("""COMPUTED_VALUE"""),"Loading ...")</f>
        <v>Loading ...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 t="str">
        <f>IFERROR(__xludf.DUMMYFUNCTION("""COMPUTED_VALUE"""),"Processing-ordersworks!")</f>
        <v>Processing-ordersworks!</v>
      </c>
      <c r="B840" s="2" t="str">
        <f>IFERROR(__xludf.DUMMYFUNCTION("""COMPUTED_VALUE"""),"Processing-Orders Works!")</f>
        <v>Processing-Orders Works!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 t="str">
        <f>IFERROR(__xludf.DUMMYFUNCTION("""COMPUTED_VALUE"""),"Ready-ordersworks!")</f>
        <v>Ready-ordersworks!</v>
      </c>
      <c r="B841" s="2" t="str">
        <f>IFERROR(__xludf.DUMMYFUNCTION("""COMPUTED_VALUE"""),"Ready-Orders Works!")</f>
        <v>Ready-Orders Works!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 t="str">
        <f>IFERROR(__xludf.DUMMYFUNCTION("""COMPUTED_VALUE"""),"Environment:Staging")</f>
        <v>Environment:Staging</v>
      </c>
      <c r="B842" s="2" t="str">
        <f>IFERROR(__xludf.DUMMYFUNCTION("""COMPUTED_VALUE"""),"Environment: Staging")</f>
        <v>Environment: Staging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 t="str">
        <f>IFERROR(__xludf.DUMMYFUNCTION("""COMPUTED_VALUE"""),"NoDataFound")</f>
        <v>NoDataFound</v>
      </c>
      <c r="B843" s="2" t="str">
        <f>IFERROR(__xludf.DUMMYFUNCTION("""COMPUTED_VALUE"""),"No Data Found")</f>
        <v>No Data Found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 t="str">
        <f>IFERROR(__xludf.DUMMYFUNCTION("""COMPUTED_VALUE"""),"Progressbarworks!")</f>
        <v>Progressbarworks!</v>
      </c>
      <c r="B844" s="2" t="str">
        <f>IFERROR(__xludf.DUMMYFUNCTION("""COMPUTED_VALUE"""),"Progressbar Works!")</f>
        <v>Progressbar Works!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 t="str">
        <f>IFERROR(__xludf.DUMMYFUNCTION("""COMPUTED_VALUE"""),"InvoiceNumber")</f>
        <v>InvoiceNumber</v>
      </c>
      <c r="B845" s="2" t="str">
        <f>IFERROR(__xludf.DUMMYFUNCTION("""COMPUTED_VALUE"""),"Invoice Number")</f>
        <v>Invoice Number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 t="str">
        <f>IFERROR(__xludf.DUMMYFUNCTION("""COMPUTED_VALUE"""),"IGSTIN")</f>
        <v>IGSTIN</v>
      </c>
      <c r="B846" s="2" t="str">
        <f>IFERROR(__xludf.DUMMYFUNCTION("""COMPUTED_VALUE"""),"IGSTIN")</f>
        <v>IGSTIN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 t="str">
        <f>IFERROR(__xludf.DUMMYFUNCTION("""COMPUTED_VALUE"""),"ShopName")</f>
        <v>ShopName</v>
      </c>
      <c r="B847" s="2" t="str">
        <f>IFERROR(__xludf.DUMMYFUNCTION("""COMPUTED_VALUE"""),"Shop Name")</f>
        <v>Shop Name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 t="str">
        <f>IFERROR(__xludf.DUMMYFUNCTION("""COMPUTED_VALUE"""),"PhoneNo.")</f>
        <v>PhoneNo.</v>
      </c>
      <c r="B848" s="2" t="str">
        <f>IFERROR(__xludf.DUMMYFUNCTION("""COMPUTED_VALUE"""),"Phone No.")</f>
        <v>Phone No.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 t="str">
        <f>IFERROR(__xludf.DUMMYFUNCTION("""COMPUTED_VALUE"""),"Gallery")</f>
        <v>Gallery</v>
      </c>
      <c r="B849" s="2" t="str">
        <f>IFERROR(__xludf.DUMMYFUNCTION("""COMPUTED_VALUE"""),"Gallery")</f>
        <v>Gallery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 t="str">
        <f>IFERROR(__xludf.DUMMYFUNCTION("""COMPUTED_VALUE"""),"Update&amp;Continue")</f>
        <v>Update&amp;Continue</v>
      </c>
      <c r="B850" s="2" t="str">
        <f>IFERROR(__xludf.DUMMYFUNCTION("""COMPUTED_VALUE"""),"Update &amp; Continue")</f>
        <v>Update &amp; Continue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 t="str">
        <f>IFERROR(__xludf.DUMMYFUNCTION("""COMPUTED_VALUE"""),"alert ")</f>
        <v>alert </v>
      </c>
      <c r="B851" s="2" t="str">
        <f>IFERROR(__xludf.DUMMYFUNCTION("""COMPUTED_VALUE"""),"Alert!!")</f>
        <v>Alert!!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 t="str">
        <f>IFERROR(__xludf.DUMMYFUNCTION("""COMPUTED_VALUE"""),"Areyousureyouwanttodelete?")</f>
        <v>Areyousureyouwanttodelete?</v>
      </c>
      <c r="B852" s="2" t="str">
        <f>IFERROR(__xludf.DUMMYFUNCTION("""COMPUTED_VALUE"""),"Are you sure you want to delete?")</f>
        <v>Are you sure you want to delete?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 t="str">
        <f>IFERROR(__xludf.DUMMYFUNCTION("""COMPUTED_VALUE"""),"Organisation")</f>
        <v>Organisation</v>
      </c>
      <c r="B853" s="2" t="str">
        <f>IFERROR(__xludf.DUMMYFUNCTION("""COMPUTED_VALUE"""),"Organisation")</f>
        <v>Organisation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 t="str">
        <f>IFERROR(__xludf.DUMMYFUNCTION("""COMPUTED_VALUE"""),"SelectOrganistion")</f>
        <v>SelectOrganistion</v>
      </c>
      <c r="B854" s="2" t="str">
        <f>IFERROR(__xludf.DUMMYFUNCTION("""COMPUTED_VALUE"""),"Select Organization")</f>
        <v>Select Organization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 t="str">
        <f>IFERROR(__xludf.DUMMYFUNCTION("""COMPUTED_VALUE"""),"Select&amp;Continue")</f>
        <v>Select&amp;Continue</v>
      </c>
      <c r="B855" s="2" t="str">
        <f>IFERROR(__xludf.DUMMYFUNCTION("""COMPUTED_VALUE"""),"Select &amp; Continue")</f>
        <v>Select &amp; Continue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 t="str">
        <f>IFERROR(__xludf.DUMMYFUNCTION("""COMPUTED_VALUE"""),"Sarvm")</f>
        <v>Sarvm</v>
      </c>
      <c r="B856" s="2" t="str">
        <f>IFERROR(__xludf.DUMMYFUNCTION("""COMPUTED_VALUE"""),"Sarvm")</f>
        <v>Sarvm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 t="str">
        <f>IFERROR(__xludf.DUMMYFUNCTION("""COMPUTED_VALUE"""),"Iwilldeliverby")</f>
        <v>Iwilldeliverby</v>
      </c>
      <c r="B857" s="2" t="str">
        <f>IFERROR(__xludf.DUMMYFUNCTION("""COMPUTED_VALUE"""),"I will deliver by")</f>
        <v>I will deliver by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 t="str">
        <f>IFERROR(__xludf.DUMMYFUNCTION("""COMPUTED_VALUE"""),"Pedestrian ")</f>
        <v>Pedestrian </v>
      </c>
      <c r="B858" s="2" t="str">
        <f>IFERROR(__xludf.DUMMYFUNCTION("""COMPUTED_VALUE"""),"Pedestrian ")</f>
        <v>Pedestrian 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 t="str">
        <f>IFERROR(__xludf.DUMMYFUNCTION("""COMPUTED_VALUE"""),"Bicycle")</f>
        <v>Bicycle</v>
      </c>
      <c r="B859" s="2" t="str">
        <f>IFERROR(__xludf.DUMMYFUNCTION("""COMPUTED_VALUE"""),"Bicycle")</f>
        <v>Bicycle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 t="str">
        <f>IFERROR(__xludf.DUMMYFUNCTION("""COMPUTED_VALUE"""),"CycleRickshaw")</f>
        <v>CycleRickshaw</v>
      </c>
      <c r="B860" s="2" t="str">
        <f>IFERROR(__xludf.DUMMYFUNCTION("""COMPUTED_VALUE"""),"Cycle Rickshaw")</f>
        <v>Cycle Rickshaw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 t="str">
        <f>IFERROR(__xludf.DUMMYFUNCTION("""COMPUTED_VALUE"""),"AutoRickshaw")</f>
        <v>AutoRickshaw</v>
      </c>
      <c r="B861" s="2" t="str">
        <f>IFERROR(__xludf.DUMMYFUNCTION("""COMPUTED_VALUE"""),"Auto Rickshaw")</f>
        <v>Auto Rickshaw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 t="str">
        <f>IFERROR(__xludf.DUMMYFUNCTION("""COMPUTED_VALUE"""),"Bike")</f>
        <v>Bike</v>
      </c>
      <c r="B862" s="2" t="str">
        <f>IFERROR(__xludf.DUMMYFUNCTION("""COMPUTED_VALUE"""),"Bike")</f>
        <v>Bike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 t="str">
        <f>IFERROR(__xludf.DUMMYFUNCTION("""COMPUTED_VALUE"""),"E-RIckshaw")</f>
        <v>E-RIckshaw</v>
      </c>
      <c r="B863" s="2" t="str">
        <f>IFERROR(__xludf.DUMMYFUNCTION("""COMPUTED_VALUE"""),"E-RIckshaw")</f>
        <v>E-RIckshaw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 t="str">
        <f>IFERROR(__xludf.DUMMYFUNCTION("""COMPUTED_VALUE"""),"DrivingLicenseNo")</f>
        <v>DrivingLicenseNo</v>
      </c>
      <c r="B864" s="2" t="str">
        <f>IFERROR(__xludf.DUMMYFUNCTION("""COMPUTED_VALUE"""),"Driving License No")</f>
        <v>Driving License No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 t="str">
        <f>IFERROR(__xludf.DUMMYFUNCTION("""COMPUTED_VALUE"""),"RC")</f>
        <v>RC</v>
      </c>
      <c r="B865" s="2" t="str">
        <f>IFERROR(__xludf.DUMMYFUNCTION("""COMPUTED_VALUE"""),"RC")</f>
        <v>RC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 t="str">
        <f>IFERROR(__xludf.DUMMYFUNCTION("""COMPUTED_VALUE"""),"VehiclePermit(optional)")</f>
        <v>VehiclePermit(optional)</v>
      </c>
      <c r="B866" s="2" t="str">
        <f>IFERROR(__xludf.DUMMYFUNCTION("""COMPUTED_VALUE"""),"Vehicle Permit(optional)")</f>
        <v>Vehicle Permit(optional)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 t="str">
        <f>IFERROR(__xludf.DUMMYFUNCTION("""COMPUTED_VALUE"""),"UploadVehiclePermitDocs")</f>
        <v>UploadVehiclePermitDocs</v>
      </c>
      <c r="B867" s="2" t="str">
        <f>IFERROR(__xludf.DUMMYFUNCTION("""COMPUTED_VALUE"""),"Upload Vehicle Permit Docs")</f>
        <v>Upload Vehicle Permit Docs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 t="str">
        <f>IFERROR(__xludf.DUMMYFUNCTION("""COMPUTED_VALUE"""),"UploadRC(Registration Certificate)")</f>
        <v>UploadRC(Registration Certificate)</v>
      </c>
      <c r="B868" s="2" t="str">
        <f>IFERROR(__xludf.DUMMYFUNCTION("""COMPUTED_VALUE"""),"Upload RC (Registration Certificate)")</f>
        <v>Upload RC (Registration Certificate)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 t="str">
        <f>IFERROR(__xludf.DUMMYFUNCTION("""COMPUTED_VALUE"""),"OnlineDelivery ")</f>
        <v>OnlineDelivery </v>
      </c>
      <c r="B869" s="2" t="str">
        <f>IFERROR(__xludf.DUMMYFUNCTION("""COMPUTED_VALUE"""),"Online Delivery ")</f>
        <v>Online Delivery 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 t="str">
        <f>IFERROR(__xludf.DUMMYFUNCTION("""COMPUTED_VALUE"""),"EasyNavigation")</f>
        <v>EasyNavigation</v>
      </c>
      <c r="B870" s="2" t="str">
        <f>IFERROR(__xludf.DUMMYFUNCTION("""COMPUTED_VALUE"""),"Easy Navigation")</f>
        <v>Easy Navigation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 t="str">
        <f>IFERROR(__xludf.DUMMYFUNCTION("""COMPUTED_VALUE"""),"ManageMultipleDelivery ")</f>
        <v>ManageMultipleDelivery </v>
      </c>
      <c r="B871" s="2" t="str">
        <f>IFERROR(__xludf.DUMMYFUNCTION("""COMPUTED_VALUE"""),"Manage Multiple Delivery ")</f>
        <v>Manage Multiple Delivery 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 t="str">
        <f>IFERROR(__xludf.DUMMYFUNCTION("""COMPUTED_VALUE"""),"DistanceManagement")</f>
        <v>DistanceManagement</v>
      </c>
      <c r="B872" s="2" t="str">
        <f>IFERROR(__xludf.DUMMYFUNCTION("""COMPUTED_VALUE"""),"Distance Management")</f>
        <v>Distance Management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 t="str">
        <f>IFERROR(__xludf.DUMMYFUNCTION("""COMPUTED_VALUE"""),"RateManagement")</f>
        <v>RateManagement</v>
      </c>
      <c r="B873" s="2" t="str">
        <f>IFERROR(__xludf.DUMMYFUNCTION("""COMPUTED_VALUE"""),"Rate Management")</f>
        <v>Rate Management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 t="str">
        <f>IFERROR(__xludf.DUMMYFUNCTION("""COMPUTED_VALUE"""),"Online")</f>
        <v>Online</v>
      </c>
      <c r="B874" s="2" t="str">
        <f>IFERROR(__xludf.DUMMYFUNCTION("""COMPUTED_VALUE"""),"Online")</f>
        <v>Online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 t="str">
        <f>IFERROR(__xludf.DUMMYFUNCTION("""COMPUTED_VALUE"""),"Reportincident ")</f>
        <v>Reportincident </v>
      </c>
      <c r="B875" s="2" t="str">
        <f>IFERROR(__xludf.DUMMYFUNCTION("""COMPUTED_VALUE"""),"Report Incident ")</f>
        <v>Report Incident 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 t="str">
        <f>IFERROR(__xludf.DUMMYFUNCTION("""COMPUTED_VALUE"""),"Referafriend&amp;Earn ")</f>
        <v>Referafriend&amp;Earn </v>
      </c>
      <c r="B876" s="2" t="str">
        <f>IFERROR(__xludf.DUMMYFUNCTION("""COMPUTED_VALUE"""),"Refer a Friend &amp; Earn ")</f>
        <v>Refer a Friend &amp; Earn 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 t="str">
        <f>IFERROR(__xludf.DUMMYFUNCTION("""COMPUTED_VALUE"""),"NewTrips ")</f>
        <v>NewTrips </v>
      </c>
      <c r="B877" s="2" t="str">
        <f>IFERROR(__xludf.DUMMYFUNCTION("""COMPUTED_VALUE"""),"New Trips ")</f>
        <v>New Trips 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 t="str">
        <f>IFERROR(__xludf.DUMMYFUNCTION("""COMPUTED_VALUE"""),"ExpectedEarnings")</f>
        <v>ExpectedEarnings</v>
      </c>
      <c r="B878" s="2" t="str">
        <f>IFERROR(__xludf.DUMMYFUNCTION("""COMPUTED_VALUE"""),"Expected Earnings")</f>
        <v>Expected Earnings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 t="str">
        <f>IFERROR(__xludf.DUMMYFUNCTION("""COMPUTED_VALUE"""),"OngoingTrip")</f>
        <v>OngoingTrip</v>
      </c>
      <c r="B879" s="2" t="str">
        <f>IFERROR(__xludf.DUMMYFUNCTION("""COMPUTED_VALUE"""),"Ongoing Trip")</f>
        <v>Ongoing Trip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 t="str">
        <f>IFERROR(__xludf.DUMMYFUNCTION("""COMPUTED_VALUE"""),"Drop-Off")</f>
        <v>Drop-Off</v>
      </c>
      <c r="B880" s="2" t="str">
        <f>IFERROR(__xludf.DUMMYFUNCTION("""COMPUTED_VALUE"""),"Drop-Off")</f>
        <v>Drop-Off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 t="str">
        <f>IFERROR(__xludf.DUMMYFUNCTION("""COMPUTED_VALUE"""),"Payments")</f>
        <v>Payments</v>
      </c>
      <c r="B881" s="2" t="str">
        <f>IFERROR(__xludf.DUMMYFUNCTION("""COMPUTED_VALUE"""),"Payments")</f>
        <v>Payments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 t="str">
        <f>IFERROR(__xludf.DUMMYFUNCTION("""COMPUTED_VALUE"""),"Offline")</f>
        <v>Offline</v>
      </c>
      <c r="B882" s="2" t="str">
        <f>IFERROR(__xludf.DUMMYFUNCTION("""COMPUTED_VALUE"""),"Offline")</f>
        <v>Offline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 t="str">
        <f>IFERROR(__xludf.DUMMYFUNCTION("""COMPUTED_VALUE"""),"NewOrder!")</f>
        <v>NewOrder!</v>
      </c>
      <c r="B883" s="2" t="str">
        <f>IFERROR(__xludf.DUMMYFUNCTION("""COMPUTED_VALUE"""),"New Order!")</f>
        <v>New Order!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 t="str">
        <f>IFERROR(__xludf.DUMMYFUNCTION("""COMPUTED_VALUE"""),"OrderWeight")</f>
        <v>OrderWeight</v>
      </c>
      <c r="B884" s="2" t="str">
        <f>IFERROR(__xludf.DUMMYFUNCTION("""COMPUTED_VALUE"""),"Order Weight")</f>
        <v>Order Weight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 t="str">
        <f>IFERROR(__xludf.DUMMYFUNCTION("""COMPUTED_VALUE"""),"ReachedPickupLocation ")</f>
        <v>ReachedPickupLocation </v>
      </c>
      <c r="B885" s="2" t="str">
        <f>IFERROR(__xludf.DUMMYFUNCTION("""COMPUTED_VALUE"""),"Reached Pickup Location ")</f>
        <v>Reached Pickup Location 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 t="str">
        <f>IFERROR(__xludf.DUMMYFUNCTION("""COMPUTED_VALUE"""),"ReachedDL")</f>
        <v>ReachedDL</v>
      </c>
      <c r="B886" s="2" t="str">
        <f>IFERROR(__xludf.DUMMYFUNCTION("""COMPUTED_VALUE"""),"Reached DL")</f>
        <v>Reached DL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 t="str">
        <f>IFERROR(__xludf.DUMMYFUNCTION("""COMPUTED_VALUE"""),"GotoMap")</f>
        <v>GotoMap</v>
      </c>
      <c r="B887" s="2" t="str">
        <f>IFERROR(__xludf.DUMMYFUNCTION("""COMPUTED_VALUE"""),"Go to Map")</f>
        <v>Go to Map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 t="str">
        <f>IFERROR(__xludf.DUMMYFUNCTION("""COMPUTED_VALUE"""),"Deliverto")</f>
        <v>Deliverto</v>
      </c>
      <c r="B888" s="2" t="str">
        <f>IFERROR(__xludf.DUMMYFUNCTION("""COMPUTED_VALUE"""),"Deliver to")</f>
        <v>Deliver to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 t="str">
        <f>IFERROR(__xludf.DUMMYFUNCTION("""COMPUTED_VALUE"""),"UPIID")</f>
        <v>UPIID</v>
      </c>
      <c r="B889" s="2" t="str">
        <f>IFERROR(__xludf.DUMMYFUNCTION("""COMPUTED_VALUE"""),"UPI ID")</f>
        <v>UPI ID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 t="str">
        <f>IFERROR(__xludf.DUMMYFUNCTION("""COMPUTED_VALUE"""),"Receivedamount")</f>
        <v>Receivedamount</v>
      </c>
      <c r="B890" s="2" t="str">
        <f>IFERROR(__xludf.DUMMYFUNCTION("""COMPUTED_VALUE"""),"Received amount")</f>
        <v>Received amount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 t="str">
        <f>IFERROR(__xludf.DUMMYFUNCTION("""COMPUTED_VALUE"""),"Pendingamount")</f>
        <v>Pendingamount</v>
      </c>
      <c r="B891" s="2" t="str">
        <f>IFERROR(__xludf.DUMMYFUNCTION("""COMPUTED_VALUE"""),"Pending amount")</f>
        <v>Pending amount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 t="str">
        <f>IFERROR(__xludf.DUMMYFUNCTION("""COMPUTED_VALUE"""),"SendReminder")</f>
        <v>SendReminder</v>
      </c>
      <c r="B892" s="2" t="str">
        <f>IFERROR(__xludf.DUMMYFUNCTION("""COMPUTED_VALUE"""),"Send Reminder")</f>
        <v>Send Reminder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 t="str">
        <f>IFERROR(__xludf.DUMMYFUNCTION("""COMPUTED_VALUE"""),"Thisweek ")</f>
        <v>Thisweek </v>
      </c>
      <c r="B893" s="2" t="str">
        <f>IFERROR(__xludf.DUMMYFUNCTION("""COMPUTED_VALUE"""),"This Week ")</f>
        <v>This Week 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 t="str">
        <f>IFERROR(__xludf.DUMMYFUNCTION("""COMPUTED_VALUE"""),"ThisMonth ")</f>
        <v>ThisMonth </v>
      </c>
      <c r="B894" s="2" t="str">
        <f>IFERROR(__xludf.DUMMYFUNCTION("""COMPUTED_VALUE"""),"This Month ")</f>
        <v>This Month 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 t="str">
        <f>IFERROR(__xludf.DUMMYFUNCTION("""COMPUTED_VALUE"""),"ThisWeeksEarnings")</f>
        <v>ThisWeeksEarnings</v>
      </c>
      <c r="B895" s="2" t="str">
        <f>IFERROR(__xludf.DUMMYFUNCTION("""COMPUTED_VALUE"""),"This Weeks Earnings")</f>
        <v>This Weeks Earnings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 t="str">
        <f>IFERROR(__xludf.DUMMYFUNCTION("""COMPUTED_VALUE"""),"TripsHistory ")</f>
        <v>TripsHistory </v>
      </c>
      <c r="B896" s="2" t="str">
        <f>IFERROR(__xludf.DUMMYFUNCTION("""COMPUTED_VALUE"""),"Trips History ")</f>
        <v>Trips History 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 t="str">
        <f>IFERROR(__xludf.DUMMYFUNCTION("""COMPUTED_VALUE"""),"Vehicle ")</f>
        <v>Vehicle </v>
      </c>
      <c r="B897" s="2" t="str">
        <f>IFERROR(__xludf.DUMMYFUNCTION("""COMPUTED_VALUE"""),"Vehicle ")</f>
        <v>Vehicle 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 t="str">
        <f>IFERROR(__xludf.DUMMYFUNCTION("""COMPUTED_VALUE"""),"AllIndiaPermit ")</f>
        <v>AllIndiaPermit </v>
      </c>
      <c r="B898" s="2" t="str">
        <f>IFERROR(__xludf.DUMMYFUNCTION("""COMPUTED_VALUE"""),"All India Permit ")</f>
        <v>All India Permit 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 t="str">
        <f>IFERROR(__xludf.DUMMYFUNCTION("""COMPUTED_VALUE"""),"Multi-StatePermit ")</f>
        <v>Multi-StatePermit </v>
      </c>
      <c r="B899" s="2" t="str">
        <f>IFERROR(__xludf.DUMMYFUNCTION("""COMPUTED_VALUE"""),"Multi - State Permit ")</f>
        <v>Multi - State Permit 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 t="str">
        <f>IFERROR(__xludf.DUMMYFUNCTION("""COMPUTED_VALUE"""),"StateLevelPermit ")</f>
        <v>StateLevelPermit </v>
      </c>
      <c r="B900" s="2" t="str">
        <f>IFERROR(__xludf.DUMMYFUNCTION("""COMPUTED_VALUE"""),"State Level Permit ")</f>
        <v>State Level Permit 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 t="str">
        <f>IFERROR(__xludf.DUMMYFUNCTION("""COMPUTED_VALUE"""),"Uploading ")</f>
        <v>Uploading </v>
      </c>
      <c r="B901" s="2" t="str">
        <f>IFERROR(__xludf.DUMMYFUNCTION("""COMPUTED_VALUE"""),"Uploading ")</f>
        <v>Uploading 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 t="str">
        <f>IFERROR(__xludf.DUMMYFUNCTION("""COMPUTED_VALUE"""),"RCNo.")</f>
        <v>RCNo.</v>
      </c>
      <c r="B902" s="2" t="str">
        <f>IFERROR(__xludf.DUMMYFUNCTION("""COMPUTED_VALUE"""),"RC No.")</f>
        <v>RC No.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 t="str">
        <f>IFERROR(__xludf.DUMMYFUNCTION("""COMPUTED_VALUE"""),"DeliveryChargesfor")</f>
        <v>DeliveryChargesfor</v>
      </c>
      <c r="B903" s="2" t="str">
        <f>IFERROR(__xludf.DUMMYFUNCTION("""COMPUTED_VALUE"""),"Delivery Charges for")</f>
        <v>Delivery Charges for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 t="str">
        <f>IFERROR(__xludf.DUMMYFUNCTION("""COMPUTED_VALUE"""),"AddWeight ")</f>
        <v>AddWeight </v>
      </c>
      <c r="B904" s="2" t="str">
        <f>IFERROR(__xludf.DUMMYFUNCTION("""COMPUTED_VALUE"""),"Add Weight ")</f>
        <v>Add Weight 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 t="str">
        <f>IFERROR(__xludf.DUMMYFUNCTION("""COMPUTED_VALUE"""),"AddDistanceCovers")</f>
        <v>AddDistanceCovers</v>
      </c>
      <c r="B905" s="2" t="str">
        <f>IFERROR(__xludf.DUMMYFUNCTION("""COMPUTED_VALUE"""),"Add Distance Covers")</f>
        <v>Add Distance Covers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 t="str">
        <f>IFERROR(__xludf.DUMMYFUNCTION("""COMPUTED_VALUE"""),"Distance ")</f>
        <v>Distance </v>
      </c>
      <c r="B906" s="2" t="str">
        <f>IFERROR(__xludf.DUMMYFUNCTION("""COMPUTED_VALUE"""),"Distance ")</f>
        <v>Distance 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 t="str">
        <f>IFERROR(__xludf.DUMMYFUNCTION("""COMPUTED_VALUE"""),"TripStatus")</f>
        <v>TripStatus</v>
      </c>
      <c r="B907" s="2" t="str">
        <f>IFERROR(__xludf.DUMMYFUNCTION("""COMPUTED_VALUE"""),"Trip Status")</f>
        <v>Trip Status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 t="str">
        <f>IFERROR(__xludf.DUMMYFUNCTION("""COMPUTED_VALUE"""),"Areyousure.DeletetheBankDetails?")</f>
        <v>Areyousure.DeletetheBankDetails?</v>
      </c>
      <c r="B908" s="2" t="str">
        <f>IFERROR(__xludf.DUMMYFUNCTION("""COMPUTED_VALUE"""),"Are you sure.Delete the Bank Details?")</f>
        <v>Are you sure.Delete the Bank Details?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 t="str">
        <f>IFERROR(__xludf.DUMMYFUNCTION("""COMPUTED_VALUE"""),"BankAccount")</f>
        <v>BankAccount</v>
      </c>
      <c r="B909" s="2" t="str">
        <f>IFERROR(__xludf.DUMMYFUNCTION("""COMPUTED_VALUE"""),"Bank Account")</f>
        <v>Bank Account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 t="str">
        <f>IFERROR(__xludf.DUMMYFUNCTION("""COMPUTED_VALUE"""),"AlternateMobileNumber")</f>
        <v>AlternateMobileNumber</v>
      </c>
      <c r="B910" s="2" t="str">
        <f>IFERROR(__xludf.DUMMYFUNCTION("""COMPUTED_VALUE"""),"Alternate Mobile Number")</f>
        <v>Alternate Mobile Number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 t="str">
        <f>IFERROR(__xludf.DUMMYFUNCTION("""COMPUTED_VALUE"""),"AboutMe")</f>
        <v>AboutMe</v>
      </c>
      <c r="B911" s="2" t="str">
        <f>IFERROR(__xludf.DUMMYFUNCTION("""COMPUTED_VALUE"""),"About Me")</f>
        <v>About Me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 t="str">
        <f>IFERROR(__xludf.DUMMYFUNCTION("""COMPUTED_VALUE"""),"DeleteAccount")</f>
        <v>DeleteAccount</v>
      </c>
      <c r="B912" s="2" t="str">
        <f>IFERROR(__xludf.DUMMYFUNCTION("""COMPUTED_VALUE"""),"Delete Account")</f>
        <v>Delete Account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 t="str">
        <f>IFERROR(__xludf.DUMMYFUNCTION("""COMPUTED_VALUE"""),"Pay")</f>
        <v>Pay</v>
      </c>
      <c r="B913" s="2" t="str">
        <f>IFERROR(__xludf.DUMMYFUNCTION("""COMPUTED_VALUE"""),"Pay")</f>
        <v>Pay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 t="str">
        <f>IFERROR(__xludf.DUMMYFUNCTION("""COMPUTED_VALUE"""),"PayatDelivery")</f>
        <v>PayatDelivery</v>
      </c>
      <c r="B914" s="2" t="str">
        <f>IFERROR(__xludf.DUMMYFUNCTION("""COMPUTED_VALUE"""),"Pay at Delivery")</f>
        <v>Pay at Delivery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 t="str">
        <f>IFERROR(__xludf.DUMMYFUNCTION("""COMPUTED_VALUE"""),"areyousure")</f>
        <v>areyousure</v>
      </c>
      <c r="B915" s="2" t="str">
        <f>IFERROR(__xludf.DUMMYFUNCTION("""COMPUTED_VALUE"""),"Are you Sure .")</f>
        <v>Are you Sure .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 t="str">
        <f>IFERROR(__xludf.DUMMYFUNCTION("""COMPUTED_VALUE"""),"OrderProcessed")</f>
        <v>OrderProcessed</v>
      </c>
      <c r="B916" s="2" t="str">
        <f>IFERROR(__xludf.DUMMYFUNCTION("""COMPUTED_VALUE"""),"Order Processed")</f>
        <v>Order Processed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 t="str">
        <f>IFERROR(__xludf.DUMMYFUNCTION("""COMPUTED_VALUE"""),"Orderready")</f>
        <v>Orderready</v>
      </c>
      <c r="B917" s="2" t="str">
        <f>IFERROR(__xludf.DUMMYFUNCTION("""COMPUTED_VALUE"""),"Order Ready")</f>
        <v>Order Ready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 t="str">
        <f>IFERROR(__xludf.DUMMYFUNCTION("""COMPUTED_VALUE"""),"OrderDelivery")</f>
        <v>OrderDelivery</v>
      </c>
      <c r="B918" s="2" t="str">
        <f>IFERROR(__xludf.DUMMYFUNCTION("""COMPUTED_VALUE"""),"Order Delivery")</f>
        <v>Order Delivery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 t="str">
        <f>IFERROR(__xludf.DUMMYFUNCTION("""COMPUTED_VALUE"""),"DoyouwanttoDeliverytheOrder?")</f>
        <v>DoyouwanttoDeliverytheOrder?</v>
      </c>
      <c r="B919" s="2" t="str">
        <f>IFERROR(__xludf.DUMMYFUNCTION("""COMPUTED_VALUE"""),"Do you want to Delivery the Order?")</f>
        <v>Do you want to Delivery the Order?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 t="str">
        <f>IFERROR(__xludf.DUMMYFUNCTION("""COMPUTED_VALUE"""),"Doyouwanttodeliveredtheorder?")</f>
        <v>Doyouwanttodeliveredtheorder?</v>
      </c>
      <c r="B920" s="2" t="str">
        <f>IFERROR(__xludf.DUMMYFUNCTION("""COMPUTED_VALUE"""),"Do you want to delivered the Order ?")</f>
        <v>Do you want to delivered the Order ?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 t="str">
        <f>IFERROR(__xludf.DUMMYFUNCTION("""COMPUTED_VALUE"""),"Please Wait")</f>
        <v>Please Wait</v>
      </c>
      <c r="B921" s="2" t="str">
        <f>IFERROR(__xludf.DUMMYFUNCTION("""COMPUTED_VALUE"""),"Please Wait")</f>
        <v>Please Wait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 t="str">
        <f>IFERROR(__xludf.DUMMYFUNCTION("""COMPUTED_VALUE"""),"Featurenotavailable")</f>
        <v>Featurenotavailable</v>
      </c>
      <c r="B922" s="2" t="str">
        <f>IFERROR(__xludf.DUMMYFUNCTION("""COMPUTED_VALUE"""),"Feature Not Available")</f>
        <v>Feature Not Available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 t="str">
        <f>IFERROR(__xludf.DUMMYFUNCTION("""COMPUTED_VALUE"""),"NodataAvailable.pleasetryAgainlater")</f>
        <v>NodataAvailable.pleasetryAgainlater</v>
      </c>
      <c r="B923" s="2" t="str">
        <f>IFERROR(__xludf.DUMMYFUNCTION("""COMPUTED_VALUE"""),"No data Available.please try Again later")</f>
        <v>No data Available.please try Again later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 t="str">
        <f>IFERROR(__xludf.DUMMYFUNCTION("""COMPUTED_VALUE"""),"Pleaseinputallrequiredfields")</f>
        <v>Pleaseinputallrequiredfields</v>
      </c>
      <c r="B924" s="2" t="str">
        <f>IFERROR(__xludf.DUMMYFUNCTION("""COMPUTED_VALUE"""),"Please input all required fields")</f>
        <v>Please input all required fields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 t="str">
        <f>IFERROR(__xludf.DUMMYFUNCTION("""COMPUTED_VALUE"""),"byClickingIacceptthe")</f>
        <v>byClickingIacceptthe</v>
      </c>
      <c r="B925" s="2" t="str">
        <f>IFERROR(__xludf.DUMMYFUNCTION("""COMPUTED_VALUE"""),"By clicking, I accept the")</f>
        <v>By clicking, I accept the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 t="str">
        <f>IFERROR(__xludf.DUMMYFUNCTION("""COMPUTED_VALUE"""),"terms&amp;conditions")</f>
        <v>terms&amp;conditions</v>
      </c>
      <c r="B926" s="2" t="str">
        <f>IFERROR(__xludf.DUMMYFUNCTION("""COMPUTED_VALUE"""),"Terms &amp; Conditions")</f>
        <v>Terms &amp; Conditions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 t="str">
        <f>IFERROR(__xludf.DUMMYFUNCTION("""COMPUTED_VALUE"""),"and")</f>
        <v>and</v>
      </c>
      <c r="B927" s="2" t="str">
        <f>IFERROR(__xludf.DUMMYFUNCTION("""COMPUTED_VALUE"""),"and")</f>
        <v>and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 t="str">
        <f>IFERROR(__xludf.DUMMYFUNCTION("""COMPUTED_VALUE"""),"privacypolicy")</f>
        <v>privacypolicy</v>
      </c>
      <c r="B928" s="2" t="str">
        <f>IFERROR(__xludf.DUMMYFUNCTION("""COMPUTED_VALUE"""),"Privacy Policy")</f>
        <v>Privacy Policy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 t="str">
        <f>IFERROR(__xludf.DUMMYFUNCTION("""COMPUTED_VALUE"""),"refConsumer")</f>
        <v>refConsumer</v>
      </c>
      <c r="B929" s="2" t="str">
        <f>IFERROR(__xludf.DUMMYFUNCTION("""COMPUTED_VALUE"""),"Consumer")</f>
        <v>Consumer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 t="str">
        <f>IFERROR(__xludf.DUMMYFUNCTION("""COMPUTED_VALUE"""),"refIncompleted")</f>
        <v>refIncompleted</v>
      </c>
      <c r="B930" s="2" t="str">
        <f>IFERROR(__xludf.DUMMYFUNCTION("""COMPUTED_VALUE"""),"Incompleted")</f>
        <v>Incompleted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 t="str">
        <f>IFERROR(__xludf.DUMMYFUNCTION("""COMPUTED_VALUE"""),"refComplteted")</f>
        <v>refComplteted</v>
      </c>
      <c r="B931" s="2" t="str">
        <f>IFERROR(__xludf.DUMMYFUNCTION("""COMPUTED_VALUE"""),"Completed")</f>
        <v>Completed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 t="str">
        <f>IFERROR(__xludf.DUMMYFUNCTION("""COMPUTED_VALUE"""),"refall")</f>
        <v>refall</v>
      </c>
      <c r="B932" s="2" t="str">
        <f>IFERROR(__xludf.DUMMYFUNCTION("""COMPUTED_VALUE"""),"All ")</f>
        <v>All 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 t="str">
        <f>IFERROR(__xludf.DUMMYFUNCTION("""COMPUTED_VALUE"""),"reforder")</f>
        <v>reforder</v>
      </c>
      <c r="B933" s="2" t="str">
        <f>IFERROR(__xludf.DUMMYFUNCTION("""COMPUTED_VALUE"""),"Order")</f>
        <v>Order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 t="str">
        <f>IFERROR(__xludf.DUMMYFUNCTION("""COMPUTED_VALUE"""),"refsignup")</f>
        <v>refsignup</v>
      </c>
      <c r="B934" s="2" t="str">
        <f>IFERROR(__xludf.DUMMYFUNCTION("""COMPUTED_VALUE"""),"Signup")</f>
        <v>Signup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 t="str">
        <f>IFERROR(__xludf.DUMMYFUNCTION("""COMPUTED_VALUE"""),"refratings")</f>
        <v>refratings</v>
      </c>
      <c r="B935" s="2" t="str">
        <f>IFERROR(__xludf.DUMMYFUNCTION("""COMPUTED_VALUE"""),"Ratings")</f>
        <v>Ratings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 t="str">
        <f>IFERROR(__xludf.DUMMYFUNCTION("""COMPUTED_VALUE"""),"refretailer")</f>
        <v>refretailer</v>
      </c>
      <c r="B936" s="2" t="str">
        <f>IFERROR(__xludf.DUMMYFUNCTION("""COMPUTED_VALUE"""),"Retailer")</f>
        <v>Retailer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 t="str">
        <f>IFERROR(__xludf.DUMMYFUNCTION("""COMPUTED_VALUE"""),"refunsubscribe")</f>
        <v>refunsubscribe</v>
      </c>
      <c r="B937" s="2" t="str">
        <f>IFERROR(__xludf.DUMMYFUNCTION("""COMPUTED_VALUE"""),"Unsubscribe")</f>
        <v>Unsubscribe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 t="str">
        <f>IFERROR(__xludf.DUMMYFUNCTION("""COMPUTED_VALUE"""),"refsubscription")</f>
        <v>refsubscription</v>
      </c>
      <c r="B938" s="2" t="str">
        <f>IFERROR(__xludf.DUMMYFUNCTION("""COMPUTED_VALUE"""),"Subscription")</f>
        <v>Subscription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 t="str">
        <f>IFERROR(__xludf.DUMMYFUNCTION("""COMPUTED_VALUE"""),"Searchnumber")</f>
        <v>Searchnumber</v>
      </c>
      <c r="B939" s="2" t="str">
        <f>IFERROR(__xludf.DUMMYFUNCTION("""COMPUTED_VALUE"""),"Search Number")</f>
        <v>Search Number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 t="str">
        <f>IFERROR(__xludf.DUMMYFUNCTION("""COMPUTED_VALUE"""),"updaterating")</f>
        <v>updaterating</v>
      </c>
      <c r="B940" s="2" t="str">
        <f>IFERROR(__xludf.DUMMYFUNCTION("""COMPUTED_VALUE"""),"Update Rating ")</f>
        <v>Update Rating 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 t="str">
        <f>IFERROR(__xludf.DUMMYFUNCTION("""COMPUTED_VALUE"""),"remarks")</f>
        <v>remarks</v>
      </c>
      <c r="B941" s="2" t="str">
        <f>IFERROR(__xludf.DUMMYFUNCTION("""COMPUTED_VALUE"""),"Remarks")</f>
        <v>Remarks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 t="str">
        <f>IFERROR(__xludf.DUMMYFUNCTION("""COMPUTED_VALUE"""),"Sweet")</f>
        <v>Sweet</v>
      </c>
      <c r="B942" s="2" t="str">
        <f>IFERROR(__xludf.DUMMYFUNCTION("""COMPUTED_VALUE"""),"Sweet")</f>
        <v>Sweet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 t="str">
        <f>IFERROR(__xludf.DUMMYFUNCTION("""COMPUTED_VALUE"""),"Paan")</f>
        <v>Paan</v>
      </c>
      <c r="B943" s="2" t="str">
        <f>IFERROR(__xludf.DUMMYFUNCTION("""COMPUTED_VALUE"""),"Paan")</f>
        <v>Paan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 t="str">
        <f>IFERROR(__xludf.DUMMYFUNCTION("""COMPUTED_VALUE"""),"Pooja Items")</f>
        <v>Pooja Items</v>
      </c>
      <c r="B944" s="2" t="str">
        <f>IFERROR(__xludf.DUMMYFUNCTION("""COMPUTED_VALUE"""),"Pooja Items")</f>
        <v>Pooja Items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 t="str">
        <f>IFERROR(__xludf.DUMMYFUNCTION("""COMPUTED_VALUE"""),"Home Foods")</f>
        <v>Home Foods</v>
      </c>
      <c r="B945" s="2" t="str">
        <f>IFERROR(__xludf.DUMMYFUNCTION("""COMPUTED_VALUE"""),"Home Foods")</f>
        <v>Home Foods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 t="str">
        <f>IFERROR(__xludf.DUMMYFUNCTION("""COMPUTED_VALUE"""),"Pet Foods")</f>
        <v>Pet Foods</v>
      </c>
      <c r="B946" s="2" t="str">
        <f>IFERROR(__xludf.DUMMYFUNCTION("""COMPUTED_VALUE"""),"Pet Foods")</f>
        <v>Pet Foods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 t="str">
        <f>IFERROR(__xludf.DUMMYFUNCTION("""COMPUTED_VALUE"""),"Veg/Non-Veg")</f>
        <v>Veg/Non-Veg</v>
      </c>
      <c r="B947" s="2" t="str">
        <f>IFERROR(__xludf.DUMMYFUNCTION("""COMPUTED_VALUE"""),"Veg/Non-Veg")</f>
        <v>Veg/Non-Veg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 t="str">
        <f>IFERROR(__xludf.DUMMYFUNCTION("""COMPUTED_VALUE"""),"Vegetable Shops")</f>
        <v>Vegetable Shops</v>
      </c>
      <c r="B948" s="2" t="str">
        <f>IFERROR(__xludf.DUMMYFUNCTION("""COMPUTED_VALUE"""),"Vegetable Shops")</f>
        <v>Vegetable Shops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 t="str">
        <f>IFERROR(__xludf.DUMMYFUNCTION("""COMPUTED_VALUE"""),"Fish Shops")</f>
        <v>Fish Shops</v>
      </c>
      <c r="B949" s="2" t="str">
        <f>IFERROR(__xludf.DUMMYFUNCTION("""COMPUTED_VALUE"""),"Fish Shops")</f>
        <v>Fish Shops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 t="str">
        <f>IFERROR(__xludf.DUMMYFUNCTION("""COMPUTED_VALUE"""),"Restaurant Shops")</f>
        <v>Restaurant Shops</v>
      </c>
      <c r="B950" s="2" t="str">
        <f>IFERROR(__xludf.DUMMYFUNCTION("""COMPUTED_VALUE"""),"Restaurant Shops")</f>
        <v>Restaurant Shops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 t="str">
        <f>IFERROR(__xludf.DUMMYFUNCTION("""COMPUTED_VALUE"""),"Flowers Shops")</f>
        <v>Flowers Shops</v>
      </c>
      <c r="B951" s="2" t="str">
        <f>IFERROR(__xludf.DUMMYFUNCTION("""COMPUTED_VALUE"""),"Flowers Shops")</f>
        <v>Flowers Shops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 t="str">
        <f>IFERROR(__xludf.DUMMYFUNCTION("""COMPUTED_VALUE"""),"Bakery Shops")</f>
        <v>Bakery Shops</v>
      </c>
      <c r="B952" s="2" t="str">
        <f>IFERROR(__xludf.DUMMYFUNCTION("""COMPUTED_VALUE"""),"Bakery Shops")</f>
        <v>Bakery Shops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 t="str">
        <f>IFERROR(__xludf.DUMMYFUNCTION("""COMPUTED_VALUE"""),"Fruits Shops")</f>
        <v>Fruits Shops</v>
      </c>
      <c r="B953" s="2" t="str">
        <f>IFERROR(__xludf.DUMMYFUNCTION("""COMPUTED_VALUE"""),"Fruits Shops")</f>
        <v>Fruits Shops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 t="str">
        <f>IFERROR(__xludf.DUMMYFUNCTION("""COMPUTED_VALUE"""),"Meat Shops")</f>
        <v>Meat Shops</v>
      </c>
      <c r="B954" s="2" t="str">
        <f>IFERROR(__xludf.DUMMYFUNCTION("""COMPUTED_VALUE"""),"Meat Shops")</f>
        <v>Meat Shops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 t="str">
        <f>IFERROR(__xludf.DUMMYFUNCTION("""COMPUTED_VALUE"""),"GroceryShops")</f>
        <v>GroceryShops</v>
      </c>
      <c r="B955" s="2" t="str">
        <f>IFERROR(__xludf.DUMMYFUNCTION("""COMPUTED_VALUE"""),"Grocery Shops")</f>
        <v>Grocery Shops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 t="str">
        <f>IFERROR(__xludf.DUMMYFUNCTION("""COMPUTED_VALUE"""),"PaanShops")</f>
        <v>PaanShops</v>
      </c>
      <c r="B956" s="2" t="str">
        <f>IFERROR(__xludf.DUMMYFUNCTION("""COMPUTED_VALUE"""),"Paan Shops")</f>
        <v>Paan Shops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 t="str">
        <f>IFERROR(__xludf.DUMMYFUNCTION("""COMPUTED_VALUE"""),"SweetShops")</f>
        <v>SweetShops</v>
      </c>
      <c r="B957" s="2" t="str">
        <f>IFERROR(__xludf.DUMMYFUNCTION("""COMPUTED_VALUE"""),"Sweet Shops")</f>
        <v>Sweet Shops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 t="str">
        <f>IFERROR(__xludf.DUMMYFUNCTION("""COMPUTED_VALUE"""),"HomeFoodShops")</f>
        <v>HomeFoodShops</v>
      </c>
      <c r="B958" s="2" t="str">
        <f>IFERROR(__xludf.DUMMYFUNCTION("""COMPUTED_VALUE"""),"Home Food Shops")</f>
        <v>Home Food Shops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 t="str">
        <f>IFERROR(__xludf.DUMMYFUNCTION("""COMPUTED_VALUE"""),"PetFoodShops")</f>
        <v>PetFoodShops</v>
      </c>
      <c r="B959" s="2" t="str">
        <f>IFERROR(__xludf.DUMMYFUNCTION("""COMPUTED_VALUE"""),"Pet Food Shops")</f>
        <v>Pet Food Shops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 t="str">
        <f>IFERROR(__xludf.DUMMYFUNCTION("""COMPUTED_VALUE"""),"Youwanttodeleteyouraccount")</f>
        <v>Youwanttodeleteyouraccount</v>
      </c>
      <c r="B960" s="2" t="str">
        <f>IFERROR(__xludf.DUMMYFUNCTION("""COMPUTED_VALUE"""),"You want to delete your account")</f>
        <v>You want to delete your account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 t="str">
        <f>IFERROR(__xludf.DUMMYFUNCTION("""COMPUTED_VALUE"""),"AddQuantity(g/kg)")</f>
        <v>AddQuantity(g/kg)</v>
      </c>
      <c r="B961" s="2" t="str">
        <f>IFERROR(__xludf.DUMMYFUNCTION("""COMPUTED_VALUE"""),"Add Quantity (g/kg)")</f>
        <v>Add Quantity (g/kg)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 t="str">
        <f>IFERROR(__xludf.DUMMYFUNCTION("""COMPUTED_VALUE"""),"AddQuantity(Pieces/Plates)")</f>
        <v>AddQuantity(Pieces/Plates)</v>
      </c>
      <c r="B962" s="2" t="str">
        <f>IFERROR(__xludf.DUMMYFUNCTION("""COMPUTED_VALUE"""),"Add Quantity (Pieces/Plates)")</f>
        <v>Add Quantity (Pieces/Plates)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 t="str">
        <f>IFERROR(__xludf.DUMMYFUNCTION("""COMPUTED_VALUE"""),"AddQuantity(ml/l)")</f>
        <v>AddQuantity(ml/l)</v>
      </c>
      <c r="B963" s="2" t="str">
        <f>IFERROR(__xludf.DUMMYFUNCTION("""COMPUTED_VALUE"""),"Add Quantity (ml/l)")</f>
        <v>Add Quantity (ml/l)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 t="str">
        <f>IFERROR(__xludf.DUMMYFUNCTION("""COMPUTED_VALUE"""),"EnterAmount")</f>
        <v>EnterAmount</v>
      </c>
      <c r="B964" s="2" t="str">
        <f>IFERROR(__xludf.DUMMYFUNCTION("""COMPUTED_VALUE"""),"Enter Amount")</f>
        <v>Enter Amount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 t="str">
        <f>IFERROR(__xludf.DUMMYFUNCTION("""COMPUTED_VALUE"""),"Enterno.of Pcs")</f>
        <v>Enterno.of Pcs</v>
      </c>
      <c r="B965" s="2" t="str">
        <f>IFERROR(__xludf.DUMMYFUNCTION("""COMPUTED_VALUE"""),"Enter no. of Pcs")</f>
        <v>Enter no. of Pcs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 t="str">
        <f>IFERROR(__xludf.DUMMYFUNCTION("""COMPUTED_VALUE"""),"Enterno.of Kgs")</f>
        <v>Enterno.of Kgs</v>
      </c>
      <c r="B966" s="2" t="str">
        <f>IFERROR(__xludf.DUMMYFUNCTION("""COMPUTED_VALUE"""),"Enter no. of Kgs")</f>
        <v>Enter no. of Kgs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 t="str">
        <f>IFERROR(__xludf.DUMMYFUNCTION("""COMPUTED_VALUE"""),"Enterno. ofLtr")</f>
        <v>Enterno. ofLtr</v>
      </c>
      <c r="B967" s="2" t="str">
        <f>IFERROR(__xludf.DUMMYFUNCTION("""COMPUTED_VALUE"""),"Enter no. of Ltr")</f>
        <v>Enter no. of Ltr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 t="str">
        <f>IFERROR(__xludf.DUMMYFUNCTION("""COMPUTED_VALUE"""),"Pickup/Noshow")</f>
        <v>Pickup/Noshow</v>
      </c>
      <c r="B968" s="2" t="str">
        <f>IFERROR(__xludf.DUMMYFUNCTION("""COMPUTED_VALUE"""),"Pickup/No show")</f>
        <v>Pickup/No show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 t="str">
        <f>IFERROR(__xludf.DUMMYFUNCTION("""COMPUTED_VALUE"""),"Shopaddedtofavourites")</f>
        <v>Shopaddedtofavourites</v>
      </c>
      <c r="B969" s="2" t="str">
        <f>IFERROR(__xludf.DUMMYFUNCTION("""COMPUTED_VALUE"""),"Shop added to favourites")</f>
        <v>Shop added to favourites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 t="str">
        <f>IFERROR(__xludf.DUMMYFUNCTION("""COMPUTED_VALUE"""),"Shopremovedfromfavourites")</f>
        <v>Shopremovedfromfavourites</v>
      </c>
      <c r="B970" s="2" t="str">
        <f>IFERROR(__xludf.DUMMYFUNCTION("""COMPUTED_VALUE"""),"Shop removed from favourites")</f>
        <v>Shop removed from favourites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 t="str">
        <f>IFERROR(__xludf.DUMMYFUNCTION("""COMPUTED_VALUE"""),"PreOrderManagement")</f>
        <v>PreOrderManagement</v>
      </c>
      <c r="B971" s="2" t="str">
        <f>IFERROR(__xludf.DUMMYFUNCTION("""COMPUTED_VALUE"""),"Pre Order Management")</f>
        <v>Pre Order Management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 t="str">
        <f>IFERROR(__xludf.DUMMYFUNCTION("""COMPUTED_VALUE"""),"entergstin")</f>
        <v>entergstin</v>
      </c>
      <c r="B972" s="2" t="str">
        <f>IFERROR(__xludf.DUMMYFUNCTION("""COMPUTED_VALUE"""),"Enter GSTIN")</f>
        <v>Enter GSTIN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 t="str">
        <f>IFERROR(__xludf.DUMMYFUNCTION("""COMPUTED_VALUE"""),"orderorshop")</f>
        <v>orderorshop</v>
      </c>
      <c r="B973" s="2" t="str">
        <f>IFERROR(__xludf.DUMMYFUNCTION("""COMPUTED_VALUE"""),"order or shop")</f>
        <v>order or shop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 t="str">
        <f>IFERROR(__xludf.DUMMYFUNCTION("""COMPUTED_VALUE"""),"withinkms")</f>
        <v>withinkms</v>
      </c>
      <c r="B974" s="2" t="str">
        <f>IFERROR(__xludf.DUMMYFUNCTION("""COMPUTED_VALUE"""),"within kms")</f>
        <v>within kms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 t="str">
        <f>IFERROR(__xludf.DUMMYFUNCTION("""COMPUTED_VALUE"""),"Uploadprofilephoto")</f>
        <v>Uploadprofilephoto</v>
      </c>
      <c r="B975" s="2" t="str">
        <f>IFERROR(__xludf.DUMMYFUNCTION("""COMPUTED_VALUE"""),"Upload profile photo")</f>
        <v>Upload profile photo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 t="str">
        <f>IFERROR(__xludf.DUMMYFUNCTION("""COMPUTED_VALUE"""),"Invalidname")</f>
        <v>Invalidname</v>
      </c>
      <c r="B976" s="2" t="str">
        <f>IFERROR(__xludf.DUMMYFUNCTION("""COMPUTED_VALUE"""),"Invalid name")</f>
        <v>Invalid name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 t="str">
        <f>IFERROR(__xludf.DUMMYFUNCTION("""COMPUTED_VALUE"""),"Invalidnumber")</f>
        <v>Invalidnumber</v>
      </c>
      <c r="B977" s="2" t="str">
        <f>IFERROR(__xludf.DUMMYFUNCTION("""COMPUTED_VALUE"""),"Invalid number")</f>
        <v>Invalid number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 t="str">
        <f>IFERROR(__xludf.DUMMYFUNCTION("""COMPUTED_VALUE"""),"Addressdeleted !!")</f>
        <v>Addressdeleted !!</v>
      </c>
      <c r="B978" s="2" t="str">
        <f>IFERROR(__xludf.DUMMYFUNCTION("""COMPUTED_VALUE"""),"Address deleted !!")</f>
        <v>Address deleted !!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 t="str">
        <f>IFERROR(__xludf.DUMMYFUNCTION("""COMPUTED_VALUE"""),"Invitevia")</f>
        <v>Invitevia</v>
      </c>
      <c r="B979" s="2" t="str">
        <f>IFERROR(__xludf.DUMMYFUNCTION("""COMPUTED_VALUE"""),"Invite via")</f>
        <v>Invite via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 t="str">
        <f>IFERROR(__xludf.DUMMYFUNCTION("""COMPUTED_VALUE"""),"whywouldyouliketodeleteyouraccount ?")</f>
        <v>whywouldyouliketodeleteyouraccount ?</v>
      </c>
      <c r="B980" s="2" t="str">
        <f>IFERROR(__xludf.DUMMYFUNCTION("""COMPUTED_VALUE"""),"why would you like to delete your account ?")</f>
        <v>why would you like to delete your account ?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 t="str">
        <f>IFERROR(__xludf.DUMMYFUNCTION("""COMPUTED_VALUE"""),"Sarvm.aiManagerID")</f>
        <v>Sarvm.aiManagerID</v>
      </c>
      <c r="B981" s="2" t="str">
        <f>IFERROR(__xludf.DUMMYFUNCTION("""COMPUTED_VALUE"""),"Sarvm.ai Manager ID")</f>
        <v>Sarvm.ai Manager ID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 t="str">
        <f>IFERROR(__xludf.DUMMYFUNCTION("""COMPUTED_VALUE"""),"Invalidpincode")</f>
        <v>Invalidpincode</v>
      </c>
      <c r="B982" s="2" t="str">
        <f>IFERROR(__xludf.DUMMYFUNCTION("""COMPUTED_VALUE"""),"Invalid pincode")</f>
        <v>Invalid pincode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 t="str">
        <f>IFERROR(__xludf.DUMMYFUNCTION("""COMPUTED_VALUE"""),"Sarvm.Ai")</f>
        <v>Sarvm.Ai</v>
      </c>
      <c r="B983" s="3" t="str">
        <f>IFERROR(__xludf.DUMMYFUNCTION("""COMPUTED_VALUE"""),"Sarvm.Ai")</f>
        <v>Sarvm.Ai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 t="str">
        <f>IFERROR(__xludf.DUMMYFUNCTION("""COMPUTED_VALUE"""),"Entertext")</f>
        <v>Entertext</v>
      </c>
      <c r="B984" s="2" t="str">
        <f>IFERROR(__xludf.DUMMYFUNCTION("""COMPUTED_VALUE"""),"Enter text")</f>
        <v>Enter text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 t="str">
        <f>IFERROR(__xludf.DUMMYFUNCTION("""COMPUTED_VALUE"""),"Shopalready exist for this user")</f>
        <v>Shopalready exist for this user</v>
      </c>
      <c r="B985" s="2" t="str">
        <f>IFERROR(__xludf.DUMMYFUNCTION("""COMPUTED_VALUE"""),"Shop already exist for this user")</f>
        <v>Shop already exist for this user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 t="str">
        <f>IFERROR(__xludf.DUMMYFUNCTION("""COMPUTED_VALUE"""),"ScanQRcode")</f>
        <v>ScanQRcode</v>
      </c>
      <c r="B986" s="2" t="str">
        <f>IFERROR(__xludf.DUMMYFUNCTION("""COMPUTED_VALUE"""),"Scan QR code")</f>
        <v>Scan QR code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 t="str">
        <f>IFERROR(__xludf.DUMMYFUNCTION("""COMPUTED_VALUE"""),"Select UPI App")</f>
        <v>Select UPI App</v>
      </c>
      <c r="B987" s="2" t="str">
        <f>IFERROR(__xludf.DUMMYFUNCTION("""COMPUTED_VALUE"""),"Select UPI App")</f>
        <v>Select UPI App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 t="str">
        <f>IFERROR(__xludf.DUMMYFUNCTION("""COMPUTED_VALUE"""),"Please enter valid number")</f>
        <v>Please enter valid number</v>
      </c>
      <c r="B988" s="2" t="str">
        <f>IFERROR(__xludf.DUMMYFUNCTION("""COMPUTED_VALUE"""),"Please enter valid number")</f>
        <v>Please enter valid number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 t="str">
        <f>IFERROR(__xludf.DUMMYFUNCTION("""COMPUTED_VALUE"""),"Payment : Pending")</f>
        <v>Payment : Pending</v>
      </c>
      <c r="B989" s="2" t="str">
        <f>IFERROR(__xludf.DUMMYFUNCTION("""COMPUTED_VALUE"""),"Payment : Pending")</f>
        <v>Payment : Pending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 t="str">
        <f>IFERROR(__xludf.DUMMYFUNCTION("""COMPUTED_VALUE"""),"Start Delivery")</f>
        <v>Start Delivery</v>
      </c>
      <c r="B990" s="2" t="str">
        <f>IFERROR(__xludf.DUMMYFUNCTION("""COMPUTED_VALUE"""),"Start Delivery")</f>
        <v>Start Delivery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 t="str">
        <f>IFERROR(__xludf.DUMMYFUNCTION("""COMPUTED_VALUE"""),"Order dispatch")</f>
        <v>Order dispatch</v>
      </c>
      <c r="B991" s="2" t="str">
        <f>IFERROR(__xludf.DUMMYFUNCTION("""COMPUTED_VALUE"""),"Order dispatch")</f>
        <v>Order dispatch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 t="str">
        <f>IFERROR(__xludf.DUMMYFUNCTION("""COMPUTED_VALUE"""),"Order dispatched")</f>
        <v>Order dispatched</v>
      </c>
      <c r="B992" s="2" t="str">
        <f>IFERROR(__xludf.DUMMYFUNCTION("""COMPUTED_VALUE"""),"Order dispatched")</f>
        <v>Order dispatched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 t="str">
        <f>IFERROR(__xludf.DUMMYFUNCTION("""COMPUTED_VALUE"""),"Reached Delivery Location")</f>
        <v>Reached Delivery Location</v>
      </c>
      <c r="B993" s="2" t="str">
        <f>IFERROR(__xludf.DUMMYFUNCTION("""COMPUTED_VALUE"""),"Reached Delivery Location")</f>
        <v>Reached Delivery Location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 t="str">
        <f>IFERROR(__xludf.DUMMYFUNCTION("""COMPUTED_VALUE"""),"Order Pickedup")</f>
        <v>Order Pickedup</v>
      </c>
      <c r="B994" s="2" t="str">
        <f>IFERROR(__xludf.DUMMYFUNCTION("""COMPUTED_VALUE"""),"Order Pickedup")</f>
        <v>Order Pickedup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 t="str">
        <f>IFERROR(__xludf.DUMMYFUNCTION("""COMPUTED_VALUE"""),"OrderIDorCustomerNumber")</f>
        <v>OrderIDorCustomerNumber</v>
      </c>
      <c r="B995" s="2" t="str">
        <f>IFERROR(__xludf.DUMMYFUNCTION("""COMPUTED_VALUE"""),"Order ID or Customer Number")</f>
        <v>Order ID or Customer Number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 t="str">
        <f>IFERROR(__xludf.DUMMYFUNCTION("""COMPUTED_VALUE"""),"OrderRejected")</f>
        <v>OrderRejected</v>
      </c>
      <c r="B996" s="2" t="str">
        <f>IFERROR(__xludf.DUMMYFUNCTION("""COMPUTED_VALUE"""),"Order Rejected")</f>
        <v>Order Rejected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 t="str">
        <f>IFERROR(__xludf.DUMMYFUNCTION("""COMPUTED_VALUE"""),"OrderCompleted")</f>
        <v>OrderCompleted</v>
      </c>
      <c r="B997" s="2" t="str">
        <f>IFERROR(__xludf.DUMMYFUNCTION("""COMPUTED_VALUE"""),"Order Completed")</f>
        <v>Order Completed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 t="str">
        <f>IFERROR(__xludf.DUMMYFUNCTION("""COMPUTED_VALUE"""),"OrderCancelled")</f>
        <v>OrderCancelled</v>
      </c>
      <c r="B998" s="2" t="str">
        <f>IFERROR(__xludf.DUMMYFUNCTION("""COMPUTED_VALUE"""),"Order Cancelled")</f>
        <v>Order Cancelled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 t="str">
        <f>IFERROR(__xludf.DUMMYFUNCTION("""COMPUTED_VALUE"""),"CustomerPickedup")</f>
        <v>CustomerPickedup</v>
      </c>
      <c r="B999" s="2" t="str">
        <f>IFERROR(__xludf.DUMMYFUNCTION("""COMPUTED_VALUE"""),"Customer Picked up")</f>
        <v>Customer Picked up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 t="str">
        <f>IFERROR(__xludf.DUMMYFUNCTION("""COMPUTED_VALUE"""),"DeliveryBoy")</f>
        <v>DeliveryBoy</v>
      </c>
      <c r="B1000" s="2" t="str">
        <f>IFERROR(__xludf.DUMMYFUNCTION("""COMPUTED_VALUE"""),"Delivery Boy")</f>
        <v>Delivery Boy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983"/>
    <hyperlink r:id="rId2" ref="B98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42.75"/>
    <col customWidth="1" min="2" max="2" width="39.25"/>
    <col customWidth="1" min="3" max="3" width="21.5"/>
    <col customWidth="1" min="4" max="4" width="20.25"/>
    <col customWidth="1" min="5" max="5" width="23.38"/>
    <col customWidth="1" min="6" max="6" width="19.75"/>
    <col customWidth="1" min="7" max="11" width="20.25"/>
    <col customWidth="1" min="12" max="12" width="27.38"/>
    <col customWidth="1" min="13" max="13" width="18.88"/>
    <col customWidth="1" min="14" max="14" width="28.75"/>
  </cols>
  <sheetData>
    <row r="1">
      <c r="A1" s="2" t="str">
        <f>Master_en!A1</f>
        <v>keys</v>
      </c>
      <c r="B1" s="2" t="str">
        <f>Master_en!B1</f>
        <v>Phrase / Cat / Sub</v>
      </c>
      <c r="C1" s="4" t="str">
        <f>IFERROR(__xludf.DUMMYFUNCTION("IMPORTRANGE(""https://docs.google.com/spreadsheets/d/1JzzhxVYe77QtbfnbdSif0yj3HyP1gdcrf-vNI3N3V14/edit#gid=2054205386"",""Bangala!D1:D"")"),"Bangala")</f>
        <v>Bangala</v>
      </c>
      <c r="D1" s="4" t="str">
        <f>IFERROR(__xludf.DUMMYFUNCTION("IMPORTRANGE(""https://docs.google.com/spreadsheets/d/1jd2pD1srxpwUFQnAU6x1Ssk-bhJXls_KBtsZrdPDEbI/edit#gid=2054205386"",""hindi!d1:d"")"),"Hindi")</f>
        <v>Hindi</v>
      </c>
      <c r="E1" s="2" t="str">
        <f>IFERROR(__xludf.DUMMYFUNCTION("IMPORTRANGE(""https://docs.google.com/spreadsheets/d/1MlIX6r4Jix4XLF5KFR4wuUYyEtMzGFQhNb8mwmMo2qM/edit#gid=0"",""kannada!D1:D"")"),"Kannada")</f>
        <v>Kannada</v>
      </c>
      <c r="F1" s="4" t="str">
        <f>IFERROR(__xludf.DUMMYFUNCTION("IMPORTRANGE(""https://docs.google.com/spreadsheets/d/1ui-_nS1oEFKBZAQNarj0mbVplv97_2grLkXeWucodOc/edit#gid=2054205386"",""Odia!D1:D"")"),"Odia")</f>
        <v>Odia</v>
      </c>
      <c r="G1" s="4" t="str">
        <f>IFERROR(__xludf.DUMMYFUNCTION("IMPORTRANGE(""https://docs.google.com/spreadsheets/d/196lf-C-UvCBUs_O-1kWc20cggs2jYk_xw52WRA8LEPM/edit#gid=1408240824"",""Assamese!D1:D"")"),"Assamese")</f>
        <v>Assamese</v>
      </c>
      <c r="H1" s="4" t="str">
        <f>IFERROR(__xludf.DUMMYFUNCTION("IMPORTRANGE(""https://docs.google.com/spreadsheets/d/1ry7nLaahjMrjcl8ILNmriKkyGUVO0W5r5e9ZGQrwHpU/edit#gid=1879582260"",""Gujarati!D1:D"")"),"Gujarati")</f>
        <v>Gujarati</v>
      </c>
      <c r="I1" s="4" t="str">
        <f>IFERROR(__xludf.DUMMYFUNCTION("IMPORTRANGE(""https://docs.google.com/spreadsheets/d/1XCmnYK16fFS39Trqg9NyiX3PJ6eNrqQXsTPtv295nxI/edit#gid=1594083684"",""Marathi!D1:D"")"),"Marathi")</f>
        <v>Marathi</v>
      </c>
      <c r="J1" s="4" t="str">
        <f>IFERROR(__xludf.DUMMYFUNCTION("IMPORTRANGE(""https://docs.google.com/spreadsheets/d/1w2c1xyVpEpPBrS6D16hsj1UEnxJ5tteCobBJvFCdzL0/edit#gid=0"",""Malayalam!D1:D"")"),"Malayalam")</f>
        <v>Malayalam</v>
      </c>
      <c r="K1" s="4" t="str">
        <f>IFERROR(__xludf.DUMMYFUNCTION("IMPORTRANGE(""https://docs.google.com/spreadsheets/d/1lVEKZHEDQMR2V9EvntLgt1MIMisKm5eDIWufsM6A4ko/edit#gid=775426945"",""Punjabi!D1:D"")"),"Punjabi")</f>
        <v>Punjabi</v>
      </c>
      <c r="L1" s="4" t="str">
        <f>IFERROR(__xludf.DUMMYFUNCTION("IMPORTRANGE(""https://docs.google.com/spreadsheets/d/1voSVoJbTI64guSJ-H6plUAxT0mN7x0oFEMC2Pk74djw/edit"",""Tamil!D1:D"")"),"Tamil")</f>
        <v>Tamil</v>
      </c>
      <c r="M1" s="4" t="str">
        <f>IFERROR(__xludf.DUMMYFUNCTION("IMPORTRANGE(""https://docs.google.com/spreadsheets/d/10xmVfIQRl0Pf9NznDzg2x7vYKrEFb_dLYZers_Cez0I/edit#gid=0"",""Telugu!D1:D"")"),"Telugu")</f>
        <v>Telugu</v>
      </c>
    </row>
    <row r="2">
      <c r="A2" s="2" t="str">
        <f>Master_en!A2</f>
        <v>item</v>
      </c>
      <c r="B2" s="2" t="str">
        <f>Master_en!B2</f>
        <v>Item</v>
      </c>
      <c r="C2" s="2" t="str">
        <f>IFERROR(__xludf.DUMMYFUNCTION("""COMPUTED_VALUE"""),"আইটেম")</f>
        <v>আইটেম</v>
      </c>
      <c r="D2" s="2" t="str">
        <f>IFERROR(__xludf.DUMMYFUNCTION("""COMPUTED_VALUE"""),"वस्तु")</f>
        <v>वस्तु</v>
      </c>
      <c r="E2" s="2" t="str">
        <f>IFERROR(__xludf.DUMMYFUNCTION("""COMPUTED_VALUE"""),"ಕಲೆ")</f>
        <v>ಕಲೆ</v>
      </c>
      <c r="F2" s="2" t="str">
        <f>IFERROR(__xludf.DUMMYFUNCTION("""COMPUTED_VALUE"""),"ଆଇଟମ୍")</f>
        <v>ଆଇଟମ୍</v>
      </c>
      <c r="G2" s="2" t="str">
        <f>IFERROR(__xludf.DUMMYFUNCTION("""COMPUTED_VALUE"""),"সামগ্ৰী")</f>
        <v>সামগ্ৰী</v>
      </c>
      <c r="H2" s="2" t="str">
        <f>IFERROR(__xludf.DUMMYFUNCTION("""COMPUTED_VALUE"""),"વસ્તુ")</f>
        <v>વસ્તુ</v>
      </c>
      <c r="I2" s="2" t="str">
        <f>IFERROR(__xludf.DUMMYFUNCTION("""COMPUTED_VALUE"""),"वस्तू")</f>
        <v>वस्तू</v>
      </c>
      <c r="J2" s="2" t="str">
        <f>IFERROR(__xludf.DUMMYFUNCTION("""COMPUTED_VALUE"""),"ഇനം")</f>
        <v>ഇനം</v>
      </c>
      <c r="K2" s="2" t="str">
        <f>IFERROR(__xludf.DUMMYFUNCTION("""COMPUTED_VALUE"""),"ਆਈਟਮ")</f>
        <v>ਆਈਟਮ</v>
      </c>
      <c r="L2" s="2" t="str">
        <f>IFERROR(__xludf.DUMMYFUNCTION("""COMPUTED_VALUE"""),"உருப்படி")</f>
        <v>உருப்படி</v>
      </c>
      <c r="M2" s="2" t="str">
        <f>IFERROR(__xludf.DUMMYFUNCTION("""COMPUTED_VALUE"""),"వస్తువు")</f>
        <v>వస్తువు</v>
      </c>
    </row>
    <row r="3">
      <c r="A3" s="2" t="str">
        <f>Master_en!A3</f>
        <v>productItem</v>
      </c>
      <c r="B3" s="2" t="str">
        <f>Master_en!B3</f>
        <v>Product Item</v>
      </c>
      <c r="C3" s="2" t="str">
        <f>IFERROR(__xludf.DUMMYFUNCTION("""COMPUTED_VALUE"""),"পণ্য আইটেম")</f>
        <v>পণ্য আইটেম</v>
      </c>
      <c r="D3" s="2" t="str">
        <f>IFERROR(__xludf.DUMMYFUNCTION("""COMPUTED_VALUE"""),"उत्पाद")</f>
        <v>उत्पाद</v>
      </c>
      <c r="E3" s="2" t="str">
        <f>IFERROR(__xludf.DUMMYFUNCTION("""COMPUTED_VALUE"""),"ಉತ್ಪನ್ನದ ವಸ್ತುಗಳು")</f>
        <v>ಉತ್ಪನ್ನದ ವಸ್ತುಗಳು</v>
      </c>
      <c r="F3" s="2" t="str">
        <f>IFERROR(__xludf.DUMMYFUNCTION("""COMPUTED_VALUE"""),"ଉତ୍ପାଦ ବସ୍ତୁ")</f>
        <v>ଉତ୍ପାଦ ବସ୍ତୁ</v>
      </c>
      <c r="G3" s="2" t="str">
        <f>IFERROR(__xludf.DUMMYFUNCTION("""COMPUTED_VALUE"""),"প্ৰডাক্ট আইটেম")</f>
        <v>প্ৰডাক্ট আইটেম</v>
      </c>
      <c r="H3" s="2" t="str">
        <f>IFERROR(__xludf.DUMMYFUNCTION("""COMPUTED_VALUE"""),"ઉત્પાદીત વસ્તુ")</f>
        <v>ઉત્પાદીત વસ્તુ</v>
      </c>
      <c r="I3" s="2" t="str">
        <f>IFERROR(__xludf.DUMMYFUNCTION("""COMPUTED_VALUE"""),"उत्पादन वस्तू")</f>
        <v>उत्पादन वस्तू</v>
      </c>
      <c r="J3" s="2" t="str">
        <f>IFERROR(__xludf.DUMMYFUNCTION("""COMPUTED_VALUE"""),"ഉൽപ്പന്ന ഇനം")</f>
        <v>ഉൽപ്പന്ന ഇനം</v>
      </c>
      <c r="K3" s="2" t="str">
        <f>IFERROR(__xludf.DUMMYFUNCTION("""COMPUTED_VALUE"""),"ਉਤਪਾਦ ਆਈਟਮ")</f>
        <v>ਉਤਪਾਦ ਆਈਟਮ</v>
      </c>
      <c r="L3" s="2" t="str">
        <f>IFERROR(__xludf.DUMMYFUNCTION("""COMPUTED_VALUE"""),"தயாரிப்பு உருப்படி")</f>
        <v>தயாரிப்பு உருப்படி</v>
      </c>
      <c r="M3" s="2" t="str">
        <f>IFERROR(__xludf.DUMMYFUNCTION("""COMPUTED_VALUE"""),"ఉత్పత్తి అంశం")</f>
        <v>ఉత్పత్తి అంశం</v>
      </c>
    </row>
    <row r="4">
      <c r="A4" s="2" t="str">
        <f>Master_en!A4</f>
        <v>price</v>
      </c>
      <c r="B4" s="2" t="str">
        <f>Master_en!B4</f>
        <v>Price</v>
      </c>
      <c r="C4" s="2" t="str">
        <f>IFERROR(__xludf.DUMMYFUNCTION("""COMPUTED_VALUE"""),"দাম")</f>
        <v>দাম</v>
      </c>
      <c r="D4" s="2" t="str">
        <f>IFERROR(__xludf.DUMMYFUNCTION("""COMPUTED_VALUE"""),"कीमत")</f>
        <v>कीमत</v>
      </c>
      <c r="E4" s="2" t="str">
        <f>IFERROR(__xludf.DUMMYFUNCTION("""COMPUTED_VALUE"""),"ಬೆಲೆ")</f>
        <v>ಬೆಲೆ</v>
      </c>
      <c r="F4" s="2" t="str">
        <f>IFERROR(__xludf.DUMMYFUNCTION("""COMPUTED_VALUE"""),"ମୂଲ୍ୟ")</f>
        <v>ମୂଲ୍ୟ</v>
      </c>
      <c r="G4" s="2" t="str">
        <f>IFERROR(__xludf.DUMMYFUNCTION("""COMPUTED_VALUE"""),"মূল্য")</f>
        <v>মূল্য</v>
      </c>
      <c r="H4" s="2" t="str">
        <f>IFERROR(__xludf.DUMMYFUNCTION("""COMPUTED_VALUE"""),"કિંમત")</f>
        <v>કિંમત</v>
      </c>
      <c r="I4" s="2" t="str">
        <f>IFERROR(__xludf.DUMMYFUNCTION("""COMPUTED_VALUE"""),"किंमत")</f>
        <v>किंमत</v>
      </c>
      <c r="J4" s="2" t="str">
        <f>IFERROR(__xludf.DUMMYFUNCTION("""COMPUTED_VALUE"""),"വില")</f>
        <v>വില</v>
      </c>
      <c r="K4" s="2" t="str">
        <f>IFERROR(__xludf.DUMMYFUNCTION("""COMPUTED_VALUE"""),"ਕੀਮਤ")</f>
        <v>ਕੀਮਤ</v>
      </c>
      <c r="L4" s="2" t="str">
        <f>IFERROR(__xludf.DUMMYFUNCTION("""COMPUTED_VALUE"""),"விலை")</f>
        <v>விலை</v>
      </c>
      <c r="M4" s="2" t="str">
        <f>IFERROR(__xludf.DUMMYFUNCTION("""COMPUTED_VALUE"""),"ధర")</f>
        <v>ధర</v>
      </c>
    </row>
    <row r="5">
      <c r="A5" s="2" t="str">
        <f>Master_en!A5</f>
        <v>cost</v>
      </c>
      <c r="B5" s="2" t="str">
        <f>Master_en!B5</f>
        <v>Cost</v>
      </c>
      <c r="C5" s="2" t="str">
        <f>IFERROR(__xludf.DUMMYFUNCTION("""COMPUTED_VALUE"""),"ব্যয়")</f>
        <v>ব্যয়</v>
      </c>
      <c r="D5" s="2" t="str">
        <f>IFERROR(__xludf.DUMMYFUNCTION("""COMPUTED_VALUE"""),"लागत")</f>
        <v>लागत</v>
      </c>
      <c r="E5" s="2" t="str">
        <f>IFERROR(__xludf.DUMMYFUNCTION("""COMPUTED_VALUE"""),"ಬೆಲೆ")</f>
        <v>ಬೆಲೆ</v>
      </c>
      <c r="F5" s="2" t="str">
        <f>IFERROR(__xludf.DUMMYFUNCTION("""COMPUTED_VALUE"""),"ମୂଲ୍ୟ")</f>
        <v>ମୂଲ୍ୟ</v>
      </c>
      <c r="G5" s="2" t="str">
        <f>IFERROR(__xludf.DUMMYFUNCTION("""COMPUTED_VALUE"""),"খৰচ")</f>
        <v>খৰচ</v>
      </c>
      <c r="H5" s="2" t="str">
        <f>IFERROR(__xludf.DUMMYFUNCTION("""COMPUTED_VALUE"""),"મૂલ્ય")</f>
        <v>મૂલ્ય</v>
      </c>
      <c r="I5" s="2" t="str">
        <f>IFERROR(__xludf.DUMMYFUNCTION("""COMPUTED_VALUE"""),"किंमत")</f>
        <v>किंमत</v>
      </c>
      <c r="J5" s="2" t="str">
        <f>IFERROR(__xludf.DUMMYFUNCTION("""COMPUTED_VALUE"""),"ചെലവ്")</f>
        <v>ചെലവ്</v>
      </c>
      <c r="K5" s="2" t="str">
        <f>IFERROR(__xludf.DUMMYFUNCTION("""COMPUTED_VALUE"""),"ਲਾਗਤ")</f>
        <v>ਲਾਗਤ</v>
      </c>
      <c r="L5" s="2" t="str">
        <f>IFERROR(__xludf.DUMMYFUNCTION("""COMPUTED_VALUE"""),"செலவு")</f>
        <v>செலவு</v>
      </c>
      <c r="M5" s="2" t="str">
        <f>IFERROR(__xludf.DUMMYFUNCTION("""COMPUTED_VALUE"""),"ఖరీదు")</f>
        <v>ఖరీదు</v>
      </c>
    </row>
    <row r="6">
      <c r="A6" s="2" t="str">
        <f>Master_en!A6</f>
        <v>favourities</v>
      </c>
      <c r="B6" s="2" t="str">
        <f>Master_en!B6</f>
        <v>Favourites</v>
      </c>
      <c r="C6" s="2" t="str">
        <f>IFERROR(__xludf.DUMMYFUNCTION("""COMPUTED_VALUE"""),"প্রিয়")</f>
        <v>প্রিয়</v>
      </c>
      <c r="D6" s="2" t="str">
        <f>IFERROR(__xludf.DUMMYFUNCTION("""COMPUTED_VALUE"""),"पसंदीदा")</f>
        <v>पसंदीदा</v>
      </c>
      <c r="E6" s="2" t="str">
        <f>IFERROR(__xludf.DUMMYFUNCTION("""COMPUTED_VALUE"""),"ಮೆಚ್ಚಿನವುಗಳು")</f>
        <v>ಮೆಚ್ಚಿನವುಗಳು</v>
      </c>
      <c r="F6" s="2" t="str">
        <f>IFERROR(__xludf.DUMMYFUNCTION("""COMPUTED_VALUE"""),"ପୂitesାକୁ ଭଲପାଇବା")</f>
        <v>ପୂitesାକୁ ଭଲପାଇବା</v>
      </c>
      <c r="G6" s="2" t="str">
        <f>IFERROR(__xludf.DUMMYFUNCTION("""COMPUTED_VALUE"""),"প্ৰিয়তাসমূহ")</f>
        <v>প্ৰিয়তাসমূহ</v>
      </c>
      <c r="H6" s="2" t="str">
        <f>IFERROR(__xludf.DUMMYFUNCTION("""COMPUTED_VALUE"""),"પ્રિય")</f>
        <v>પ્રિય</v>
      </c>
      <c r="I6" s="2" t="str">
        <f>IFERROR(__xludf.DUMMYFUNCTION("""COMPUTED_VALUE"""),"आवडते")</f>
        <v>आवडते</v>
      </c>
      <c r="J6" s="2" t="str">
        <f>IFERROR(__xludf.DUMMYFUNCTION("""COMPUTED_VALUE"""),"പ്രിയങ്കരങ്ങൾ")</f>
        <v>പ്രിയങ്കരങ്ങൾ</v>
      </c>
      <c r="K6" s="2" t="str">
        <f>IFERROR(__xludf.DUMMYFUNCTION("""COMPUTED_VALUE"""),"ਮਨਪਸੰਦ")</f>
        <v>ਮਨਪਸੰਦ</v>
      </c>
      <c r="L6" s="2" t="str">
        <f>IFERROR(__xludf.DUMMYFUNCTION("""COMPUTED_VALUE"""),"பிடித்தவை")</f>
        <v>பிடித்தவை</v>
      </c>
      <c r="M6" s="2" t="str">
        <f>IFERROR(__xludf.DUMMYFUNCTION("""COMPUTED_VALUE"""),"ఇష్టాలు")</f>
        <v>ఇష్టాలు</v>
      </c>
    </row>
    <row r="7">
      <c r="A7" s="2" t="str">
        <f>Master_en!A7</f>
        <v>mobile</v>
      </c>
      <c r="B7" s="2" t="str">
        <f>Master_en!B7</f>
        <v>Mobile</v>
      </c>
      <c r="C7" s="2" t="str">
        <f>IFERROR(__xludf.DUMMYFUNCTION("""COMPUTED_VALUE"""),"মুঠোফোন")</f>
        <v>মুঠোফোন</v>
      </c>
      <c r="D7" s="2" t="str">
        <f>IFERROR(__xludf.DUMMYFUNCTION("""COMPUTED_VALUE"""),"गतिमान")</f>
        <v>गतिमान</v>
      </c>
      <c r="E7" s="2" t="str">
        <f>IFERROR(__xludf.DUMMYFUNCTION("""COMPUTED_VALUE"""),"ಮೊಬೈರಿ")</f>
        <v>ಮೊಬೈರಿ</v>
      </c>
      <c r="F7" s="2" t="str">
        <f>IFERROR(__xludf.DUMMYFUNCTION("""COMPUTED_VALUE"""),"ମୋବାଇଲ୍ |")</f>
        <v>ମୋବାଇଲ୍ |</v>
      </c>
      <c r="G7" s="2" t="str">
        <f>IFERROR(__xludf.DUMMYFUNCTION("""COMPUTED_VALUE"""),"ম’বাইল")</f>
        <v>ম’বাইল</v>
      </c>
      <c r="H7" s="2" t="str">
        <f>IFERROR(__xludf.DUMMYFUNCTION("""COMPUTED_VALUE"""),"સદા")</f>
        <v>સદા</v>
      </c>
      <c r="I7" s="2" t="str">
        <f>IFERROR(__xludf.DUMMYFUNCTION("""COMPUTED_VALUE"""),"मोबाईल")</f>
        <v>मोबाईल</v>
      </c>
      <c r="J7" s="2" t="str">
        <f>IFERROR(__xludf.DUMMYFUNCTION("""COMPUTED_VALUE"""),"ഇളക്കാവുന്ന")</f>
        <v>ഇളക്കാവുന്ന</v>
      </c>
      <c r="K7" s="2" t="str">
        <f>IFERROR(__xludf.DUMMYFUNCTION("""COMPUTED_VALUE"""),"ਮੋਬਾਈਲ")</f>
        <v>ਮੋਬਾਈਲ</v>
      </c>
      <c r="L7" s="2" t="str">
        <f>IFERROR(__xludf.DUMMYFUNCTION("""COMPUTED_VALUE"""),"கைபேசி")</f>
        <v>கைபேசி</v>
      </c>
      <c r="M7" s="2" t="str">
        <f>IFERROR(__xludf.DUMMYFUNCTION("""COMPUTED_VALUE"""),"మొబైల్")</f>
        <v>మొబైల్</v>
      </c>
    </row>
    <row r="8">
      <c r="A8" s="2" t="str">
        <f>Master_en!A8</f>
        <v>address</v>
      </c>
      <c r="B8" s="2" t="str">
        <f>Master_en!B8</f>
        <v>Address</v>
      </c>
      <c r="C8" s="2" t="str">
        <f>IFERROR(__xludf.DUMMYFUNCTION("""COMPUTED_VALUE"""),"ঠিকানা")</f>
        <v>ঠিকানা</v>
      </c>
      <c r="D8" s="2" t="str">
        <f>IFERROR(__xludf.DUMMYFUNCTION("""COMPUTED_VALUE"""),"पता")</f>
        <v>पता</v>
      </c>
      <c r="E8" s="2" t="str">
        <f>IFERROR(__xludf.DUMMYFUNCTION("""COMPUTED_VALUE"""),"ವಿಳಾಸ")</f>
        <v>ವಿಳಾಸ</v>
      </c>
      <c r="F8" s="2" t="str">
        <f>IFERROR(__xludf.DUMMYFUNCTION("""COMPUTED_VALUE"""),"ଠିକଣା")</f>
        <v>ଠିକଣା</v>
      </c>
      <c r="G8" s="2" t="str">
        <f>IFERROR(__xludf.DUMMYFUNCTION("""COMPUTED_VALUE"""),"ঠিকনা")</f>
        <v>ঠিকনা</v>
      </c>
      <c r="H8" s="2" t="str">
        <f>IFERROR(__xludf.DUMMYFUNCTION("""COMPUTED_VALUE"""),"સરનામું")</f>
        <v>સરનામું</v>
      </c>
      <c r="I8" s="2" t="str">
        <f>IFERROR(__xludf.DUMMYFUNCTION("""COMPUTED_VALUE"""),"पत्ता")</f>
        <v>पत्ता</v>
      </c>
      <c r="J8" s="2" t="str">
        <f>IFERROR(__xludf.DUMMYFUNCTION("""COMPUTED_VALUE"""),"അഭിസംബോധന ചെയ്യുക")</f>
        <v>അഭിസംബോധന ചെയ്യുക</v>
      </c>
      <c r="K8" s="2" t="str">
        <f>IFERROR(__xludf.DUMMYFUNCTION("""COMPUTED_VALUE"""),"ਪਤਾ")</f>
        <v>ਪਤਾ</v>
      </c>
      <c r="L8" s="2" t="str">
        <f>IFERROR(__xludf.DUMMYFUNCTION("""COMPUTED_VALUE"""),"முகவரி")</f>
        <v>முகவரி</v>
      </c>
      <c r="M8" s="2" t="str">
        <f>IFERROR(__xludf.DUMMYFUNCTION("""COMPUTED_VALUE"""),"చిరునామా")</f>
        <v>చిరునామా</v>
      </c>
    </row>
    <row r="9">
      <c r="A9" s="2" t="str">
        <f>Master_en!A9</f>
        <v>error</v>
      </c>
      <c r="B9" s="2" t="str">
        <f>Master_en!B9</f>
        <v>Error </v>
      </c>
      <c r="C9" s="2" t="str">
        <f>IFERROR(__xludf.DUMMYFUNCTION("""COMPUTED_VALUE"""),"ত্রুটি")</f>
        <v>ত্রুটি</v>
      </c>
      <c r="D9" s="2" t="str">
        <f>IFERROR(__xludf.DUMMYFUNCTION("""COMPUTED_VALUE"""),"गलती")</f>
        <v>गलती</v>
      </c>
      <c r="E9" s="2" t="str">
        <f>IFERROR(__xludf.DUMMYFUNCTION("""COMPUTED_VALUE"""),"ದೋಷ")</f>
        <v>ದೋಷ</v>
      </c>
      <c r="F9" s="2" t="str">
        <f>IFERROR(__xludf.DUMMYFUNCTION("""COMPUTED_VALUE"""),"ତ୍ରୁଟି")</f>
        <v>ତ୍ରୁଟି</v>
      </c>
      <c r="G9" s="2" t="str">
        <f>IFERROR(__xludf.DUMMYFUNCTION("""COMPUTED_VALUE"""),"আঁসোৱাহ")</f>
        <v>আঁসোৱাহ</v>
      </c>
      <c r="H9" s="2" t="str">
        <f>IFERROR(__xludf.DUMMYFUNCTION("""COMPUTED_VALUE"""),"ભૂલ")</f>
        <v>ભૂલ</v>
      </c>
      <c r="I9" s="2" t="str">
        <f>IFERROR(__xludf.DUMMYFUNCTION("""COMPUTED_VALUE"""),"त्रुटी")</f>
        <v>त्रुटी</v>
      </c>
      <c r="J9" s="2" t="str">
        <f>IFERROR(__xludf.DUMMYFUNCTION("""COMPUTED_VALUE"""),"പിശക്")</f>
        <v>പിശക്</v>
      </c>
      <c r="K9" s="2" t="str">
        <f>IFERROR(__xludf.DUMMYFUNCTION("""COMPUTED_VALUE"""),"ਗਲਤੀ")</f>
        <v>ਗਲਤੀ</v>
      </c>
      <c r="L9" s="2" t="str">
        <f>IFERROR(__xludf.DUMMYFUNCTION("""COMPUTED_VALUE"""),"பிழை")</f>
        <v>பிழை</v>
      </c>
      <c r="M9" s="2" t="str">
        <f>IFERROR(__xludf.DUMMYFUNCTION("""COMPUTED_VALUE"""),"లోపం")</f>
        <v>లోపం</v>
      </c>
    </row>
    <row r="10">
      <c r="A10" s="2" t="str">
        <f>Master_en!A10</f>
        <v>selectLanguage</v>
      </c>
      <c r="B10" s="2" t="str">
        <f>Master_en!B10</f>
        <v>Select Language</v>
      </c>
      <c r="C10" s="2" t="str">
        <f>IFERROR(__xludf.DUMMYFUNCTION("""COMPUTED_VALUE"""),"ভাষা নির্বাচন কর")</f>
        <v>ভাষা নির্বাচন কর</v>
      </c>
      <c r="D10" s="2" t="str">
        <f>IFERROR(__xludf.DUMMYFUNCTION("""COMPUTED_VALUE"""),"भाषा चुने")</f>
        <v>भाषा चुने</v>
      </c>
      <c r="E10" s="2" t="str">
        <f>IFERROR(__xludf.DUMMYFUNCTION("""COMPUTED_VALUE"""),"ಭಾಷೆಯನ್ನು ಆಯ್ಕೆಮಾಡಿ")</f>
        <v>ಭಾಷೆಯನ್ನು ಆಯ್ಕೆಮಾಡಿ</v>
      </c>
      <c r="F10" s="2" t="str">
        <f>IFERROR(__xludf.DUMMYFUNCTION("""COMPUTED_VALUE"""),"ଭାଷା ଚୟନ କରନ୍ତୁ |")</f>
        <v>ଭାଷା ଚୟନ କରନ୍ତୁ |</v>
      </c>
      <c r="G10" s="2" t="str">
        <f>IFERROR(__xludf.DUMMYFUNCTION("""COMPUTED_VALUE"""),"ভাষা নিৰ্ব্বাচন কৰক")</f>
        <v>ভাষা নিৰ্ব্বাচন কৰক</v>
      </c>
      <c r="H10" s="2" t="str">
        <f>IFERROR(__xludf.DUMMYFUNCTION("""COMPUTED_VALUE"""),"ભાષા પસંદ કરો")</f>
        <v>ભાષા પસંદ કરો</v>
      </c>
      <c r="I10" s="2" t="str">
        <f>IFERROR(__xludf.DUMMYFUNCTION("""COMPUTED_VALUE"""),"भाषा निवडा")</f>
        <v>भाषा निवडा</v>
      </c>
      <c r="J10" s="2" t="str">
        <f>IFERROR(__xludf.DUMMYFUNCTION("""COMPUTED_VALUE"""),"ഭാഷ തിരഞ്ഞെടുക്കുക")</f>
        <v>ഭാഷ തിരഞ്ഞെടുക്കുക</v>
      </c>
      <c r="K10" s="2" t="str">
        <f>IFERROR(__xludf.DUMMYFUNCTION("""COMPUTED_VALUE"""),"ਭਾਸ਼ਾ ਚੁਣੋ")</f>
        <v>ਭਾਸ਼ਾ ਚੁਣੋ</v>
      </c>
      <c r="L10" s="2" t="str">
        <f>IFERROR(__xludf.DUMMYFUNCTION("""COMPUTED_VALUE"""),"மொழியை தேர்ந்தெடுங்கள்")</f>
        <v>மொழியை தேர்ந்தெடுங்கள்</v>
      </c>
      <c r="M10" s="2" t="str">
        <f>IFERROR(__xludf.DUMMYFUNCTION("""COMPUTED_VALUE"""),"భాషను ఎంచుకోండి")</f>
        <v>భాషను ఎంచుకోండి</v>
      </c>
    </row>
    <row r="11">
      <c r="A11" s="2" t="str">
        <f>Master_en!A11</f>
        <v>alternatemobile</v>
      </c>
      <c r="B11" s="2" t="str">
        <f>Master_en!B11</f>
        <v>Alternate Mobile</v>
      </c>
      <c r="C11" s="2" t="str">
        <f>IFERROR(__xludf.DUMMYFUNCTION("""COMPUTED_VALUE"""),"বিকল্প মোবাইল")</f>
        <v>বিকল্প মোবাইল</v>
      </c>
      <c r="D11" s="2" t="str">
        <f>IFERROR(__xludf.DUMMYFUNCTION("""COMPUTED_VALUE"""),"वैकल्पिक मोबाइल")</f>
        <v>वैकल्पिक मोबाइल</v>
      </c>
      <c r="E11" s="2" t="str">
        <f>IFERROR(__xludf.DUMMYFUNCTION("""COMPUTED_VALUE"""),"ಪರ್ಯಾಯ ಮೊಬೈಲ್")</f>
        <v>ಪರ್ಯಾಯ ಮೊಬೈಲ್</v>
      </c>
      <c r="F11" s="2" t="str">
        <f>IFERROR(__xludf.DUMMYFUNCTION("""COMPUTED_VALUE"""),"ଅନ୍ୟ ପୋଟର୍ଷା ମୋବାଇଲ୍ |")</f>
        <v>ଅନ୍ୟ ପୋଟର୍ଷା ମୋବାଇଲ୍ |</v>
      </c>
      <c r="G11" s="2" t="str">
        <f>IFERROR(__xludf.DUMMYFUNCTION("""COMPUTED_VALUE"""),"বিকল্প মোবাইল")</f>
        <v>বিকল্প মোবাইল</v>
      </c>
      <c r="H11" s="2" t="str">
        <f>IFERROR(__xludf.DUMMYFUNCTION("""COMPUTED_VALUE"""),"વૈકલ્પિક મોબાઈલ")</f>
        <v>વૈકલ્પિક મોબાઈલ</v>
      </c>
      <c r="I11" s="2" t="str">
        <f>IFERROR(__xludf.DUMMYFUNCTION("""COMPUTED_VALUE"""),"पर्यायी मोबाईल")</f>
        <v>पर्यायी मोबाईल</v>
      </c>
      <c r="J11" s="2" t="str">
        <f>IFERROR(__xludf.DUMMYFUNCTION("""COMPUTED_VALUE"""),"ഇതര മൊബൈൽ")</f>
        <v>ഇതര മൊബൈൽ</v>
      </c>
      <c r="K11" s="2" t="str">
        <f>IFERROR(__xludf.DUMMYFUNCTION("""COMPUTED_VALUE"""),"ਵਿਕਲਪਿਕ ਮੋਬਾਈਲ")</f>
        <v>ਵਿਕਲਪਿਕ ਮੋਬਾਈਲ</v>
      </c>
      <c r="L11" s="2" t="str">
        <f>IFERROR(__xludf.DUMMYFUNCTION("""COMPUTED_VALUE"""),"மாற்று மொபைல்")</f>
        <v>மாற்று மொபைல்</v>
      </c>
      <c r="M11" s="2" t="str">
        <f>IFERROR(__xludf.DUMMYFUNCTION("""COMPUTED_VALUE"""),"ప్రత్యామ్నాయ మొబైల్")</f>
        <v>ప్రత్యామ్నాయ మొబైల్</v>
      </c>
    </row>
    <row r="12">
      <c r="A12" s="2" t="str">
        <f>Master_en!A12</f>
        <v>vegetarian</v>
      </c>
      <c r="B12" s="2" t="str">
        <f>Master_en!B12</f>
        <v>Vegetarian</v>
      </c>
      <c r="C12" s="2" t="str">
        <f>IFERROR(__xludf.DUMMYFUNCTION("""COMPUTED_VALUE"""),"নিরামিষ")</f>
        <v>নিরামিষ</v>
      </c>
      <c r="D12" s="2" t="str">
        <f>IFERROR(__xludf.DUMMYFUNCTION("""COMPUTED_VALUE"""),"शाकाहारी")</f>
        <v>शाकाहारी</v>
      </c>
      <c r="E12" s="2" t="str">
        <f>IFERROR(__xludf.DUMMYFUNCTION("""COMPUTED_VALUE"""),"ಸಸ್ಯಾಹಾರಿ")</f>
        <v>ಸಸ್ಯಾಹಾರಿ</v>
      </c>
      <c r="F12" s="2" t="str">
        <f>IFERROR(__xludf.DUMMYFUNCTION("""COMPUTED_VALUE"""),"ଶାକାହାରୀ")</f>
        <v>ଶାକାହାରୀ</v>
      </c>
      <c r="G12" s="2" t="str">
        <f>IFERROR(__xludf.DUMMYFUNCTION("""COMPUTED_VALUE"""),"নিৰামিষভোজী")</f>
        <v>নিৰামিষভোজী</v>
      </c>
      <c r="H12" s="2" t="str">
        <f>IFERROR(__xludf.DUMMYFUNCTION("""COMPUTED_VALUE"""),"શાકાહારી")</f>
        <v>શાકાહારી</v>
      </c>
      <c r="I12" s="2" t="str">
        <f>IFERROR(__xludf.DUMMYFUNCTION("""COMPUTED_VALUE"""),"शाकाहारी")</f>
        <v>शाकाहारी</v>
      </c>
      <c r="J12" s="2" t="str">
        <f>IFERROR(__xludf.DUMMYFUNCTION("""COMPUTED_VALUE"""),"വെജിറ്റേറിയൻ")</f>
        <v>വെജിറ്റേറിയൻ</v>
      </c>
      <c r="K12" s="2" t="str">
        <f>IFERROR(__xludf.DUMMYFUNCTION("""COMPUTED_VALUE"""),"ਸ਼ਾਕਾਹਾਰੀ")</f>
        <v>ਸ਼ਾਕਾਹਾਰੀ</v>
      </c>
      <c r="L12" s="2" t="str">
        <f>IFERROR(__xludf.DUMMYFUNCTION("""COMPUTED_VALUE"""),"சைவம்")</f>
        <v>சைவம்</v>
      </c>
      <c r="M12" s="2" t="str">
        <f>IFERROR(__xludf.DUMMYFUNCTION("""COMPUTED_VALUE"""),"శాఖాహారం")</f>
        <v>శాఖాహారం</v>
      </c>
    </row>
    <row r="13">
      <c r="A13" s="2" t="str">
        <f>Master_en!A13</f>
        <v>nonVegetarian</v>
      </c>
      <c r="B13" s="2" t="str">
        <f>Master_en!B13</f>
        <v>Non-Vegetarian</v>
      </c>
      <c r="C13" s="2" t="str">
        <f>IFERROR(__xludf.DUMMYFUNCTION("""COMPUTED_VALUE"""),"মাংসাশি")</f>
        <v>মাংসাশি</v>
      </c>
      <c r="D13" s="2" t="str">
        <f>IFERROR(__xludf.DUMMYFUNCTION("""COMPUTED_VALUE"""),"मांसाहारी")</f>
        <v>मांसाहारी</v>
      </c>
      <c r="E13" s="2" t="str">
        <f>IFERROR(__xludf.DUMMYFUNCTION("""COMPUTED_VALUE"""),"ಮಾಂಸಹಾರಿ")</f>
        <v>ಮಾಂಸಹಾರಿ</v>
      </c>
      <c r="F13" s="2" t="str">
        <f>IFERROR(__xludf.DUMMYFUNCTION("""COMPUTED_VALUE"""),"ଅଣ-ଶାକାହାରୀ |")</f>
        <v>ଅଣ-ଶାକାହାରୀ |</v>
      </c>
      <c r="G13" s="2" t="str">
        <f>IFERROR(__xludf.DUMMYFUNCTION("""COMPUTED_VALUE"""),"অ-নিৰামিষভোজী")</f>
        <v>অ-নিৰামিষভোজী</v>
      </c>
      <c r="H13" s="2" t="str">
        <f>IFERROR(__xludf.DUMMYFUNCTION("""COMPUTED_VALUE"""),"બિન-શાકાહારી")</f>
        <v>બિન-શાકાહારી</v>
      </c>
      <c r="I13" s="2" t="str">
        <f>IFERROR(__xludf.DUMMYFUNCTION("""COMPUTED_VALUE"""),"मांसाहारी")</f>
        <v>मांसाहारी</v>
      </c>
      <c r="J13" s="2" t="str">
        <f>IFERROR(__xludf.DUMMYFUNCTION("""COMPUTED_VALUE"""),"നോൺ-വെജിറ്റേറിയൻ")</f>
        <v>നോൺ-വെജിറ്റേറിയൻ</v>
      </c>
      <c r="K13" s="2" t="str">
        <f>IFERROR(__xludf.DUMMYFUNCTION("""COMPUTED_VALUE"""),"ਗੈਰ-ਸ਼ਾਕਾਹਾਰੀ")</f>
        <v>ਗੈਰ-ਸ਼ਾਕਾਹਾਰੀ</v>
      </c>
      <c r="L13" s="2" t="str">
        <f>IFERROR(__xludf.DUMMYFUNCTION("""COMPUTED_VALUE"""),"அசைவம்")</f>
        <v>அசைவம்</v>
      </c>
      <c r="M13" s="2" t="str">
        <f>IFERROR(__xludf.DUMMYFUNCTION("""COMPUTED_VALUE"""),"మాంసాహారం")</f>
        <v>మాంసాహారం</v>
      </c>
    </row>
    <row r="14">
      <c r="A14" s="2" t="str">
        <f>Master_en!A14</f>
        <v>manageemployee</v>
      </c>
      <c r="B14" s="2" t="str">
        <f>Master_en!B14</f>
        <v>Manage Employee</v>
      </c>
      <c r="C14" s="2" t="str">
        <f>IFERROR(__xludf.DUMMYFUNCTION("""COMPUTED_VALUE"""),"কর্মচারী পরিচালনা করুন")</f>
        <v>কর্মচারী পরিচালনা করুন</v>
      </c>
      <c r="D14" s="2" t="str">
        <f>IFERROR(__xludf.DUMMYFUNCTION("""COMPUTED_VALUE"""),"कर्मचारी का प्रबंधन करें")</f>
        <v>कर्मचारी का प्रबंधन करें</v>
      </c>
      <c r="E14" s="2" t="str">
        <f>IFERROR(__xludf.DUMMYFUNCTION("""COMPUTED_VALUE"""),"ಉದ್ಯೋಗಿಯನ್ನು ನಿರ್ವಹಿಸಿ")</f>
        <v>ಉದ್ಯೋಗಿಯನ್ನು ನಿರ್ವಹಿಸಿ</v>
      </c>
      <c r="F14" s="2" t="str">
        <f>IFERROR(__xludf.DUMMYFUNCTION("""COMPUTED_VALUE"""),"କର୍ମଚାରୀ ପରିଚାଳନା କରନ୍ତୁ")</f>
        <v>କର୍ମଚାରୀ ପରିଚାଳନା କରନ୍ତୁ</v>
      </c>
      <c r="G14" s="2" t="str">
        <f>IFERROR(__xludf.DUMMYFUNCTION("""COMPUTED_VALUE"""),"কৰ্মচাৰী পৰিচালনা কৰক")</f>
        <v>কৰ্মচাৰী পৰিচালনা কৰক</v>
      </c>
      <c r="H14" s="2" t="str">
        <f>IFERROR(__xludf.DUMMYFUNCTION("""COMPUTED_VALUE"""),"કર્મચારીનું સંચાલન કરો")</f>
        <v>કર્મચારીનું સંચાલન કરો</v>
      </c>
      <c r="I14" s="2" t="str">
        <f>IFERROR(__xludf.DUMMYFUNCTION("""COMPUTED_VALUE"""),"कर्मचारी व्यवस्थापित करा")</f>
        <v>कर्मचारी व्यवस्थापित करा</v>
      </c>
      <c r="J14" s="2" t="str">
        <f>IFERROR(__xludf.DUMMYFUNCTION("""COMPUTED_VALUE"""),"ജീവനക്കാരനെ നിയന്ത്രിക്കുക")</f>
        <v>ജീവനക്കാരനെ നിയന്ത്രിക്കുക</v>
      </c>
      <c r="K14" s="2" t="str">
        <f>IFERROR(__xludf.DUMMYFUNCTION("""COMPUTED_VALUE"""),"ਕਰਮਚਾਰੀ ਦਾ ਪ੍ਰਬੰਧਨ ਕਰੋ")</f>
        <v>ਕਰਮਚਾਰੀ ਦਾ ਪ੍ਰਬੰਧਨ ਕਰੋ</v>
      </c>
      <c r="L14" s="2" t="str">
        <f>IFERROR(__xludf.DUMMYFUNCTION("""COMPUTED_VALUE"""),"பணியாளரை நிர்வகிக்கவும்")</f>
        <v>பணியாளரை நிர்வகிக்கவும்</v>
      </c>
      <c r="M14" s="2" t="str">
        <f>IFERROR(__xludf.DUMMYFUNCTION("""COMPUTED_VALUE"""),"ఉద్యోగిని నిర్వహించండి")</f>
        <v>ఉద్యోగిని నిర్వహించండి</v>
      </c>
    </row>
    <row r="15">
      <c r="A15" s="2" t="str">
        <f>Master_en!A15</f>
        <v>compliant</v>
      </c>
      <c r="B15" s="2" t="str">
        <f>Master_en!B15</f>
        <v>Compliant</v>
      </c>
      <c r="C15" s="2" t="str">
        <f>IFERROR(__xludf.DUMMYFUNCTION("""COMPUTED_VALUE"""),"অনুযোগ")</f>
        <v>অনুযোগ</v>
      </c>
      <c r="D15" s="2" t="str">
        <f>IFERROR(__xludf.DUMMYFUNCTION("""COMPUTED_VALUE"""),"अनुरूप")</f>
        <v>अनुरूप</v>
      </c>
      <c r="E15" s="2" t="str">
        <f>IFERROR(__xludf.DUMMYFUNCTION("""COMPUTED_VALUE"""),"ಕಂಪ್ಲೈಂಟ")</f>
        <v>ಕಂಪ್ಲೈಂಟ</v>
      </c>
      <c r="F15" s="2" t="str">
        <f>IFERROR(__xludf.DUMMYFUNCTION("""COMPUTED_VALUE"""),"ଅନୁପଯୁକ୍ତ")</f>
        <v>ଅନୁପଯୁକ୍ତ</v>
      </c>
      <c r="G15" s="2" t="str">
        <f>IFERROR(__xludf.DUMMYFUNCTION("""COMPUTED_VALUE"""),"অভিযোগ")</f>
        <v>অভিযোগ</v>
      </c>
      <c r="H15" s="2" t="str">
        <f>IFERROR(__xludf.DUMMYFUNCTION("""COMPUTED_VALUE"""),"અનુરૂપ")</f>
        <v>અનુરૂપ</v>
      </c>
      <c r="I15" s="2" t="str">
        <f>IFERROR(__xludf.DUMMYFUNCTION("""COMPUTED_VALUE"""),"सहत्व")</f>
        <v>सहत्व</v>
      </c>
      <c r="J15" s="2" t="str">
        <f>IFERROR(__xludf.DUMMYFUNCTION("""COMPUTED_VALUE"""),"അനുസരിക്കുക")</f>
        <v>അനുസരിക്കുക</v>
      </c>
      <c r="K15" s="2" t="str">
        <f>IFERROR(__xludf.DUMMYFUNCTION("""COMPUTED_VALUE"""),"ਅਨੁਕੂਲ")</f>
        <v>ਅਨੁਕੂਲ</v>
      </c>
      <c r="L15" s="2" t="str">
        <f>IFERROR(__xludf.DUMMYFUNCTION("""COMPUTED_VALUE"""),"இணக்கமான")</f>
        <v>இணக்கமான</v>
      </c>
      <c r="M15" s="2" t="str">
        <f>IFERROR(__xludf.DUMMYFUNCTION("""COMPUTED_VALUE"""),"కంప్లైంట్")</f>
        <v>కంప్లైంట్</v>
      </c>
    </row>
    <row r="16">
      <c r="A16" s="2" t="str">
        <f>Master_en!A16</f>
        <v>proceed</v>
      </c>
      <c r="B16" s="2" t="str">
        <f>Master_en!B16</f>
        <v>Proceed</v>
      </c>
      <c r="C16" s="2" t="str">
        <f>IFERROR(__xludf.DUMMYFUNCTION("""COMPUTED_VALUE"""),"অগ্রসর")</f>
        <v>অগ্রসর</v>
      </c>
      <c r="D16" s="2" t="str">
        <f>IFERROR(__xludf.DUMMYFUNCTION("""COMPUTED_VALUE"""),"आगे बढ़ना")</f>
        <v>आगे बढ़ना</v>
      </c>
      <c r="E16" s="2" t="str">
        <f>IFERROR(__xludf.DUMMYFUNCTION("""COMPUTED_VALUE"""),"ಮುಂದುವರೆಯಲು")</f>
        <v>ಮುಂದುವರೆಯಲು</v>
      </c>
      <c r="F16" s="2" t="str">
        <f>IFERROR(__xludf.DUMMYFUNCTION("""COMPUTED_VALUE"""),"ଅଗ୍ରଗତି କର |")</f>
        <v>ଅଗ୍ରଗତି କର |</v>
      </c>
      <c r="G16" s="2" t="str">
        <f>IFERROR(__xludf.DUMMYFUNCTION("""COMPUTED_VALUE"""),"আগবাঢ়ক")</f>
        <v>আগবাঢ়ক</v>
      </c>
      <c r="H16" s="2" t="str">
        <f>IFERROR(__xludf.DUMMYFUNCTION("""COMPUTED_VALUE"""),"આગળ વધધો")</f>
        <v>આગળ વધધો</v>
      </c>
      <c r="I16" s="2" t="str">
        <f>IFERROR(__xludf.DUMMYFUNCTION("""COMPUTED_VALUE"""),"पुढे जा")</f>
        <v>पुढे जा</v>
      </c>
      <c r="J16" s="2" t="str">
        <f>IFERROR(__xludf.DUMMYFUNCTION("""COMPUTED_VALUE"""),"മുന്നോട്ടുനീങ്ങുക")</f>
        <v>മുന്നോട്ടുനീങ്ങുക</v>
      </c>
      <c r="K16" s="2" t="str">
        <f>IFERROR(__xludf.DUMMYFUNCTION("""COMPUTED_VALUE"""),"ਅੱਗੇ ਵਧੋ")</f>
        <v>ਅੱਗੇ ਵਧੋ</v>
      </c>
      <c r="L16" s="2" t="str">
        <f>IFERROR(__xludf.DUMMYFUNCTION("""COMPUTED_VALUE"""),"தொடரவும்")</f>
        <v>தொடரவும்</v>
      </c>
      <c r="M16" s="2" t="str">
        <f>IFERROR(__xludf.DUMMYFUNCTION("""COMPUTED_VALUE"""),"కొనసాగండి")</f>
        <v>కొనసాగండి</v>
      </c>
    </row>
    <row r="17">
      <c r="A17" s="2" t="str">
        <f>Master_en!A17</f>
        <v>filters</v>
      </c>
      <c r="B17" s="2" t="str">
        <f>Master_en!B17</f>
        <v>Filters</v>
      </c>
      <c r="C17" s="2" t="str">
        <f>IFERROR(__xludf.DUMMYFUNCTION("""COMPUTED_VALUE"""),"ফিল্টার")</f>
        <v>ফিল্টার</v>
      </c>
      <c r="D17" s="2" t="str">
        <f>IFERROR(__xludf.DUMMYFUNCTION("""COMPUTED_VALUE"""),"फिल्टर")</f>
        <v>फिल्टर</v>
      </c>
      <c r="E17" s="2" t="str">
        <f>IFERROR(__xludf.DUMMYFUNCTION("""COMPUTED_VALUE"""),"ಬೇರ್ಪಡಿಸು")</f>
        <v>ಬೇರ್ಪಡಿಸು</v>
      </c>
      <c r="F17" s="2" t="str">
        <f>IFERROR(__xludf.DUMMYFUNCTION("""COMPUTED_VALUE"""),"ଫିଲ୍ଟର୍")</f>
        <v>ଫିଲ୍ଟର୍</v>
      </c>
      <c r="G17" s="2" t="str">
        <f>IFERROR(__xludf.DUMMYFUNCTION("""COMPUTED_VALUE"""),"ফিল্টাৰসমূহ")</f>
        <v>ফিল্টাৰসমূহ</v>
      </c>
      <c r="H17" s="2" t="str">
        <f>IFERROR(__xludf.DUMMYFUNCTION("""COMPUTED_VALUE"""),"પસંદગીઓ")</f>
        <v>પસંદગીઓ</v>
      </c>
      <c r="I17" s="2" t="str">
        <f>IFERROR(__xludf.DUMMYFUNCTION("""COMPUTED_VALUE"""),"फिल्टर")</f>
        <v>फिल्टर</v>
      </c>
      <c r="J17" s="2" t="str">
        <f>IFERROR(__xludf.DUMMYFUNCTION("""COMPUTED_VALUE"""),"ഫിൽട്ടറുകൾ")</f>
        <v>ഫിൽട്ടറുകൾ</v>
      </c>
      <c r="K17" s="2" t="str">
        <f>IFERROR(__xludf.DUMMYFUNCTION("""COMPUTED_VALUE"""),"ਫਿਲਟਰ")</f>
        <v>ਫਿਲਟਰ</v>
      </c>
      <c r="L17" s="2" t="str">
        <f>IFERROR(__xludf.DUMMYFUNCTION("""COMPUTED_VALUE"""),"பில்டர்ஸ்")</f>
        <v>பில்டர்ஸ்</v>
      </c>
      <c r="M17" s="2" t="str">
        <f>IFERROR(__xludf.DUMMYFUNCTION("""COMPUTED_VALUE"""),"ఫిల్టర్లు")</f>
        <v>ఫిల్టర్లు</v>
      </c>
    </row>
    <row r="18">
      <c r="A18" s="2" t="str">
        <f>Master_en!A18</f>
        <v>sortBy</v>
      </c>
      <c r="B18" s="2" t="str">
        <f>Master_en!B18</f>
        <v>Sort By</v>
      </c>
      <c r="C18" s="2" t="str">
        <f>IFERROR(__xludf.DUMMYFUNCTION("""COMPUTED_VALUE"""),"ক্রমানুসার")</f>
        <v>ক্রমানুসার</v>
      </c>
      <c r="D18" s="2" t="str">
        <f>IFERROR(__xludf.DUMMYFUNCTION("""COMPUTED_VALUE"""),"क्रमबद्ध करें")</f>
        <v>क्रमबद्ध करें</v>
      </c>
      <c r="E18" s="2" t="str">
        <f>IFERROR(__xludf.DUMMYFUNCTION("""COMPUTED_VALUE"""),"ವಿಂಗಡಿಸು")</f>
        <v>ವಿಂಗಡಿಸು</v>
      </c>
      <c r="F18" s="2" t="str">
        <f>IFERROR(__xludf.DUMMYFUNCTION("""COMPUTED_VALUE"""),"ଦ୍ boot ାରା ସର୍ଟ କରନ୍ତୁ |")</f>
        <v>ଦ୍ boot ାରା ସର୍ଟ କରନ୍ତୁ |</v>
      </c>
      <c r="G18" s="2" t="str">
        <f>IFERROR(__xludf.DUMMYFUNCTION("""COMPUTED_VALUE"""),"দ্বাৰা সজাওক")</f>
        <v>দ্বাৰা সজাওক</v>
      </c>
      <c r="H18" s="2" t="str">
        <f>IFERROR(__xludf.DUMMYFUNCTION("""COMPUTED_VALUE"""),"વર્ગીકૃત કરો")</f>
        <v>વર્ગીકૃત કરો</v>
      </c>
      <c r="I18" s="2" t="str">
        <f>IFERROR(__xludf.DUMMYFUNCTION("""COMPUTED_VALUE"""),"क्रमवारी लावा")</f>
        <v>क्रमवारी लावा</v>
      </c>
      <c r="J18" s="2" t="str">
        <f>IFERROR(__xludf.DUMMYFUNCTION("""COMPUTED_VALUE"""),"ഇങ്ങനെ അടുക്കുക")</f>
        <v>ഇങ്ങനെ അടുക്കുക</v>
      </c>
      <c r="K18" s="2" t="str">
        <f>IFERROR(__xludf.DUMMYFUNCTION("""COMPUTED_VALUE"""),"ਦੇ ਨਾਲ ਕ੍ਰਮਬੱਧ")</f>
        <v>ਦੇ ਨਾਲ ਕ੍ਰਮਬੱਧ</v>
      </c>
      <c r="L18" s="2" t="str">
        <f>IFERROR(__xludf.DUMMYFUNCTION("""COMPUTED_VALUE"""),"வரிசைப்படுத்தவும்")</f>
        <v>வரிசைப்படுத்தவும்</v>
      </c>
      <c r="M18" s="2" t="str">
        <f>IFERROR(__xludf.DUMMYFUNCTION("""COMPUTED_VALUE"""),"ఆమరిక")</f>
        <v>ఆమరిక</v>
      </c>
    </row>
    <row r="19">
      <c r="A19" s="2" t="str">
        <f>Master_en!A19</f>
        <v>expiresin</v>
      </c>
      <c r="B19" s="2" t="str">
        <f>Master_en!B19</f>
        <v>Expires in</v>
      </c>
      <c r="C19" s="2" t="str">
        <f>IFERROR(__xludf.DUMMYFUNCTION("""COMPUTED_VALUE"""),"মেয়াদ শেষ")</f>
        <v>মেয়াদ শেষ</v>
      </c>
      <c r="D19" s="2" t="str">
        <f>IFERROR(__xludf.DUMMYFUNCTION("""COMPUTED_VALUE"""),"में समाप्त होने वाला है")</f>
        <v>में समाप्त होने वाला है</v>
      </c>
      <c r="E19" s="2" t="str">
        <f>IFERROR(__xludf.DUMMYFUNCTION("""COMPUTED_VALUE"""),"ಮುಕ್ತಾಯಗೊಳ್ಳುತ್ತದೆ")</f>
        <v>ಮುಕ್ತಾಯಗೊಳ್ಳುತ್ತದೆ</v>
      </c>
      <c r="F19" s="2" t="str">
        <f>IFERROR(__xludf.DUMMYFUNCTION("""COMPUTED_VALUE"""),"ରେ ସମାପ୍ତ ହେବ |")</f>
        <v>ରେ ସମାପ୍ତ ହେବ |</v>
      </c>
      <c r="G19" s="2" t="str">
        <f>IFERROR(__xludf.DUMMYFUNCTION("""COMPUTED_VALUE"""),"ত মেয়াদ উকলি যায়")</f>
        <v>ত মেয়াদ উকলি যায়</v>
      </c>
      <c r="H19" s="2" t="str">
        <f>IFERROR(__xludf.DUMMYFUNCTION("""COMPUTED_VALUE"""),"માં સમાપ્ત થવું")</f>
        <v>માં સમાપ્ત થવું</v>
      </c>
      <c r="I19" s="2" t="str">
        <f>IFERROR(__xludf.DUMMYFUNCTION("""COMPUTED_VALUE"""),"कालबाह्य होतो")</f>
        <v>कालबाह्य होतो</v>
      </c>
      <c r="J19" s="2" t="str">
        <f>IFERROR(__xludf.DUMMYFUNCTION("""COMPUTED_VALUE"""),"കാലഹരണപ്പെടും")</f>
        <v>കാലഹരണപ്പെടും</v>
      </c>
      <c r="K19" s="2" t="str">
        <f>IFERROR(__xludf.DUMMYFUNCTION("""COMPUTED_VALUE"""),"ਵਿੱਚ ਖਤਮ")</f>
        <v>ਵਿੱਚ ਖਤਮ</v>
      </c>
      <c r="L19" s="2" t="str">
        <f>IFERROR(__xludf.DUMMYFUNCTION("""COMPUTED_VALUE"""),"காலாவதியாகும் காலம்")</f>
        <v>காலாவதியாகும் காலம்</v>
      </c>
      <c r="M19" s="2" t="str">
        <f>IFERROR(__xludf.DUMMYFUNCTION("""COMPUTED_VALUE"""),"గడువు ముగుస్తుంది")</f>
        <v>గడువు ముగుస్తుంది</v>
      </c>
    </row>
    <row r="20">
      <c r="A20" s="2" t="str">
        <f>Master_en!A20</f>
        <v>ratings</v>
      </c>
      <c r="B20" s="2" t="str">
        <f>Master_en!B20</f>
        <v>Ratings</v>
      </c>
      <c r="C20" s="2" t="str">
        <f>IFERROR(__xludf.DUMMYFUNCTION("""COMPUTED_VALUE"""),"রেটিং")</f>
        <v>রেটিং</v>
      </c>
      <c r="D20" s="2" t="str">
        <f>IFERROR(__xludf.DUMMYFUNCTION("""COMPUTED_VALUE"""),"रेटिंग")</f>
        <v>रेटिंग</v>
      </c>
      <c r="E20" s="2" t="str">
        <f>IFERROR(__xludf.DUMMYFUNCTION("""COMPUTED_VALUE"""),"ಅಂಕ ಶ್ರೇಣಿ")</f>
        <v>ಅಂಕ ಶ್ರೇಣಿ</v>
      </c>
      <c r="F20" s="2" t="str">
        <f>IFERROR(__xludf.DUMMYFUNCTION("""COMPUTED_VALUE"""),"ଗଡା")</f>
        <v>ଗଡା</v>
      </c>
      <c r="G20" s="2" t="str">
        <f>IFERROR(__xludf.DUMMYFUNCTION("""COMPUTED_VALUE"""),"ৰেটিং ৪+")</f>
        <v>ৰেটিং ৪+</v>
      </c>
      <c r="H20" s="2" t="str">
        <f>IFERROR(__xludf.DUMMYFUNCTION("""COMPUTED_VALUE"""),"ગુણાંકન 4+")</f>
        <v>ગુણાંકન 4+</v>
      </c>
      <c r="I20" s="2" t="str">
        <f>IFERROR(__xludf.DUMMYFUNCTION("""COMPUTED_VALUE"""),"रेटिंग्ज")</f>
        <v>रेटिंग्ज</v>
      </c>
      <c r="J20" s="2" t="str">
        <f>IFERROR(__xludf.DUMMYFUNCTION("""COMPUTED_VALUE"""),"റേറ്റിംഗുകൾ")</f>
        <v>റേറ്റിംഗുകൾ</v>
      </c>
      <c r="K20" s="2" t="str">
        <f>IFERROR(__xludf.DUMMYFUNCTION("""COMPUTED_VALUE"""),"ਰੇਟਿੰਗ")</f>
        <v>ਰੇਟਿੰਗ</v>
      </c>
      <c r="L20" s="2" t="str">
        <f>IFERROR(__xludf.DUMMYFUNCTION("""COMPUTED_VALUE"""),"மதிப்பீடுகள்")</f>
        <v>மதிப்பீடுகள்</v>
      </c>
      <c r="M20" s="2" t="str">
        <f>IFERROR(__xludf.DUMMYFUNCTION("""COMPUTED_VALUE"""),"రేటింగ్స్")</f>
        <v>రేటింగ్స్</v>
      </c>
    </row>
    <row r="21">
      <c r="A21" s="2" t="str">
        <f>Master_en!A21</f>
        <v>nearYou</v>
      </c>
      <c r="B21" s="2" t="str">
        <f>Master_en!B21</f>
        <v>Near You</v>
      </c>
      <c r="C21" s="2" t="str">
        <f>IFERROR(__xludf.DUMMYFUNCTION("""COMPUTED_VALUE"""),"আপনার কাছাকাছি")</f>
        <v>আপনার কাছাকাছি</v>
      </c>
      <c r="D21" s="2" t="str">
        <f>IFERROR(__xludf.DUMMYFUNCTION("""COMPUTED_VALUE"""),"आप के पास")</f>
        <v>आप के पास</v>
      </c>
      <c r="E21" s="2" t="str">
        <f>IFERROR(__xludf.DUMMYFUNCTION("""COMPUTED_VALUE"""),"ನಿನ್ನ ಹತ್ತಿರ")</f>
        <v>ನಿನ್ನ ಹತ್ತಿರ</v>
      </c>
      <c r="F21" s="2" t="str">
        <f>IFERROR(__xludf.DUMMYFUNCTION("""COMPUTED_VALUE"""),"ଆପଣଙ୍କ ନିକଟରେ")</f>
        <v>ଆପଣଙ୍କ ନିକଟରେ</v>
      </c>
      <c r="G21" s="2" t="str">
        <f>IFERROR(__xludf.DUMMYFUNCTION("""COMPUTED_VALUE"""),"আপোনাৰ ওচৰত")</f>
        <v>আপোনাৰ ওচৰত</v>
      </c>
      <c r="H21" s="2" t="str">
        <f>IFERROR(__xludf.DUMMYFUNCTION("""COMPUTED_VALUE"""),"તમારી નજીક")</f>
        <v>તમારી નજીક</v>
      </c>
      <c r="I21" s="2" t="str">
        <f>IFERROR(__xludf.DUMMYFUNCTION("""COMPUTED_VALUE"""),"तुमच्या जवळ")</f>
        <v>तुमच्या जवळ</v>
      </c>
      <c r="J21" s="2" t="str">
        <f>IFERROR(__xludf.DUMMYFUNCTION("""COMPUTED_VALUE"""),"നിങ്ങളുടെ സമീപം")</f>
        <v>നിങ്ങളുടെ സമീപം</v>
      </c>
      <c r="K21" s="2" t="str">
        <f>IFERROR(__xludf.DUMMYFUNCTION("""COMPUTED_VALUE"""),"ਤੁਹਾਡੇ ਨੇੜੇ")</f>
        <v>ਤੁਹਾਡੇ ਨੇੜੇ</v>
      </c>
      <c r="L21" s="2" t="str">
        <f>IFERROR(__xludf.DUMMYFUNCTION("""COMPUTED_VALUE"""),"உன் அருகில்")</f>
        <v>உன் அருகில்</v>
      </c>
      <c r="M21" s="2" t="str">
        <f>IFERROR(__xludf.DUMMYFUNCTION("""COMPUTED_VALUE"""),"సమీపమందు")</f>
        <v>సమీపమందు</v>
      </c>
    </row>
    <row r="22">
      <c r="A22" s="2" t="str">
        <f>Master_en!A22</f>
        <v>mobileNumber</v>
      </c>
      <c r="B22" s="2" t="str">
        <f>Master_en!B22</f>
        <v>Mobile Number</v>
      </c>
      <c r="C22" s="2" t="str">
        <f>IFERROR(__xludf.DUMMYFUNCTION("""COMPUTED_VALUE"""),"মোবাইল নম্বর")</f>
        <v>মোবাইল নম্বর</v>
      </c>
      <c r="D22" s="2" t="str">
        <f>IFERROR(__xludf.DUMMYFUNCTION("""COMPUTED_VALUE"""),"मोबाइल नंबर")</f>
        <v>मोबाइल नंबर</v>
      </c>
      <c r="E22" s="2" t="str">
        <f>IFERROR(__xludf.DUMMYFUNCTION("""COMPUTED_VALUE"""),"ದೂರವಾಣಿ ಸಂಖ್ಯೆ")</f>
        <v>ದೂರವಾಣಿ ಸಂಖ್ಯೆ</v>
      </c>
      <c r="F22" s="2" t="str">
        <f>IFERROR(__xludf.DUMMYFUNCTION("""COMPUTED_VALUE"""),"ମୋବାଇଲ୍ ନମ୍ବର")</f>
        <v>ମୋବାଇଲ୍ ନମ୍ବର</v>
      </c>
      <c r="G22" s="2" t="str">
        <f>IFERROR(__xludf.DUMMYFUNCTION("""COMPUTED_VALUE"""),"মোবাইল নম্বৰ")</f>
        <v>মোবাইল নম্বৰ</v>
      </c>
      <c r="H22" s="2" t="str">
        <f>IFERROR(__xludf.DUMMYFUNCTION("""COMPUTED_VALUE"""),"મોબાઇલ નંબર")</f>
        <v>મોબાઇલ નંબર</v>
      </c>
      <c r="I22" s="2" t="str">
        <f>IFERROR(__xludf.DUMMYFUNCTION("""COMPUTED_VALUE"""),"मोबाईल नंबर")</f>
        <v>मोबाईल नंबर</v>
      </c>
      <c r="J22" s="2" t="str">
        <f>IFERROR(__xludf.DUMMYFUNCTION("""COMPUTED_VALUE"""),"മൊബൈൽ നമ്പർ")</f>
        <v>മൊബൈൽ നമ്പർ</v>
      </c>
      <c r="K22" s="2" t="str">
        <f>IFERROR(__xludf.DUMMYFUNCTION("""COMPUTED_VALUE"""),"ਮੋਬਾਇਲ ਨੰਬਰ")</f>
        <v>ਮੋਬਾਇਲ ਨੰਬਰ</v>
      </c>
      <c r="L22" s="2" t="str">
        <f>IFERROR(__xludf.DUMMYFUNCTION("""COMPUTED_VALUE"""),"கைபேசி எண்")</f>
        <v>கைபேசி எண்</v>
      </c>
      <c r="M22" s="2" t="str">
        <f>IFERROR(__xludf.DUMMYFUNCTION("""COMPUTED_VALUE"""),"మొబైల్ సంఖ్య")</f>
        <v>మొబైల్ సంఖ్య</v>
      </c>
    </row>
    <row r="23">
      <c r="A23" s="2" t="str">
        <f>Master_en!A23</f>
        <v>otp</v>
      </c>
      <c r="B23" s="2" t="str">
        <f>Master_en!B23</f>
        <v>OTP</v>
      </c>
      <c r="C23" s="2" t="str">
        <f>IFERROR(__xludf.DUMMYFUNCTION("""COMPUTED_VALUE"""),"ওটিপি")</f>
        <v>ওটিপি</v>
      </c>
      <c r="D23" s="2" t="str">
        <f>IFERROR(__xludf.DUMMYFUNCTION("""COMPUTED_VALUE"""),"ओटीपी")</f>
        <v>ओटीपी</v>
      </c>
      <c r="E23" s="2" t="str">
        <f>IFERROR(__xludf.DUMMYFUNCTION("""COMPUTED_VALUE"""),"ಓಟಿಪಿ")</f>
        <v>ಓಟಿಪಿ</v>
      </c>
      <c r="F23" s="2" t="str">
        <f>IFERROR(__xludf.DUMMYFUNCTION("""COMPUTED_VALUE"""),"Otp")</f>
        <v>Otp</v>
      </c>
      <c r="G23" s="2" t="str">
        <f>IFERROR(__xludf.DUMMYFUNCTION("""COMPUTED_VALUE"""),"অ'টিপি")</f>
        <v>অ'টিপি</v>
      </c>
      <c r="H23" s="2" t="str">
        <f>IFERROR(__xludf.DUMMYFUNCTION("""COMPUTED_VALUE"""),"ઓટીપી")</f>
        <v>ઓટીપી</v>
      </c>
      <c r="I23" s="2" t="str">
        <f>IFERROR(__xludf.DUMMYFUNCTION("""COMPUTED_VALUE"""),"ओटीपी")</f>
        <v>ओटीपी</v>
      </c>
      <c r="J23" s="2" t="str">
        <f>IFERROR(__xludf.DUMMYFUNCTION("""COMPUTED_VALUE"""),"OTP")</f>
        <v>OTP</v>
      </c>
      <c r="K23" s="2" t="str">
        <f>IFERROR(__xludf.DUMMYFUNCTION("""COMPUTED_VALUE"""),"ਓਟੀਪੀ")</f>
        <v>ਓਟੀਪੀ</v>
      </c>
      <c r="L23" s="2" t="str">
        <f>IFERROR(__xludf.DUMMYFUNCTION("""COMPUTED_VALUE"""),"OTP")</f>
        <v>OTP</v>
      </c>
      <c r="M23" s="2" t="str">
        <f>IFERROR(__xludf.DUMMYFUNCTION("""COMPUTED_VALUE"""),"Otp")</f>
        <v>Otp</v>
      </c>
    </row>
    <row r="24">
      <c r="A24" s="2" t="str">
        <f>Master_en!A24</f>
        <v>uploadidentityproof</v>
      </c>
      <c r="B24" s="2" t="str">
        <f>Master_en!B24</f>
        <v>Upload Identity Proof</v>
      </c>
      <c r="C24" s="2" t="str">
        <f>IFERROR(__xludf.DUMMYFUNCTION("""COMPUTED_VALUE"""),"পরিচয় প্রমাণ আপলোড করুন")</f>
        <v>পরিচয় প্রমাণ আপলোড করুন</v>
      </c>
      <c r="D24" s="2" t="str">
        <f>IFERROR(__xludf.DUMMYFUNCTION("""COMPUTED_VALUE"""),"पहचान प्रमाण अपलोड करें")</f>
        <v>पहचान प्रमाण अपलोड करें</v>
      </c>
      <c r="E24" s="2" t="str">
        <f>IFERROR(__xludf.DUMMYFUNCTION("""COMPUTED_VALUE"""),"ಗುರುತಿನ ಪುರಾವೆಯನ್ನು ಅಪ್‌ಲೋಡ್ ಮಾಡಿ")</f>
        <v>ಗುರುತಿನ ಪುರಾವೆಯನ್ನು ಅಪ್‌ಲೋಡ್ ಮಾಡಿ</v>
      </c>
      <c r="F24" s="2" t="str">
        <f>IFERROR(__xludf.DUMMYFUNCTION("""COMPUTED_VALUE"""),"ପରିଚୟ ପ୍ରମାଣ ଅପଲୋଡ୍ କରନ୍ତୁ |")</f>
        <v>ପରିଚୟ ପ୍ରମାଣ ଅପଲୋଡ୍ କରନ୍ତୁ |</v>
      </c>
      <c r="G24" s="2" t="str">
        <f>IFERROR(__xludf.DUMMYFUNCTION("""COMPUTED_VALUE"""),"পৰিচয় প্ৰমাণ আপলোড কৰক")</f>
        <v>পৰিচয় প্ৰমাণ আপলোড কৰক</v>
      </c>
      <c r="H24" s="2" t="str">
        <f>IFERROR(__xludf.DUMMYFUNCTION("""COMPUTED_VALUE"""),"ઓળખ પુરાવો")</f>
        <v>ઓળખ પુરાવો</v>
      </c>
      <c r="I24" s="2" t="str">
        <f>IFERROR(__xludf.DUMMYFUNCTION("""COMPUTED_VALUE"""),"ओळख पुरावा अपलोड करा")</f>
        <v>ओळख पुरावा अपलोड करा</v>
      </c>
      <c r="J24" s="2" t="str">
        <f>IFERROR(__xludf.DUMMYFUNCTION("""COMPUTED_VALUE"""),"ഐഡന്റിറ്റി പ്രൂഫ് അപ്ലോഡുചെയ്യുക")</f>
        <v>ഐഡന്റിറ്റി പ്രൂഫ് അപ്ലോഡുചെയ്യുക</v>
      </c>
      <c r="K24" s="2" t="str">
        <f>IFERROR(__xludf.DUMMYFUNCTION("""COMPUTED_VALUE"""),"ਪਛਾਣ ਦਾ ਸਬੂਤ ਅਪਲੋਡ ਕਰੋ")</f>
        <v>ਪਛਾਣ ਦਾ ਸਬੂਤ ਅਪਲੋਡ ਕਰੋ</v>
      </c>
      <c r="L24" s="2" t="str">
        <f>IFERROR(__xludf.DUMMYFUNCTION("""COMPUTED_VALUE"""),"அடையாள ஆதாரத்தை பதிவேற்றவும்")</f>
        <v>அடையாள ஆதாரத்தை பதிவேற்றவும்</v>
      </c>
      <c r="M24" s="2" t="str">
        <f>IFERROR(__xludf.DUMMYFUNCTION("""COMPUTED_VALUE"""),"గుర్తింపు రుజువును అప్‌లోడ్ చేయండి")</f>
        <v>గుర్తింపు రుజువును అప్‌లోడ్ చేయండి</v>
      </c>
    </row>
    <row r="25">
      <c r="A25" s="2" t="str">
        <f>Master_en!A25</f>
        <v>call</v>
      </c>
      <c r="B25" s="2" t="str">
        <f>Master_en!B25</f>
        <v>Call</v>
      </c>
      <c r="C25" s="2" t="str">
        <f>IFERROR(__xludf.DUMMYFUNCTION("""COMPUTED_VALUE"""),"কল")</f>
        <v>কল</v>
      </c>
      <c r="D25" s="2" t="str">
        <f>IFERROR(__xludf.DUMMYFUNCTION("""COMPUTED_VALUE"""),"फ़ोन कॉल")</f>
        <v>फ़ोन कॉल</v>
      </c>
      <c r="E25" s="2" t="str">
        <f>IFERROR(__xludf.DUMMYFUNCTION("""COMPUTED_VALUE"""),"ಕರೆ")</f>
        <v>ಕರೆ</v>
      </c>
      <c r="F25" s="2" t="str">
        <f>IFERROR(__xludf.DUMMYFUNCTION("""COMPUTED_VALUE"""),"କଲ୍ କରନ୍ତୁ |")</f>
        <v>କଲ୍ କରନ୍ତୁ |</v>
      </c>
      <c r="G25" s="2" t="str">
        <f>IFERROR(__xludf.DUMMYFUNCTION("""COMPUTED_VALUE"""),"কল কৰা")</f>
        <v>কল কৰা</v>
      </c>
      <c r="H25" s="2" t="str">
        <f>IFERROR(__xludf.DUMMYFUNCTION("""COMPUTED_VALUE"""),"ફોન")</f>
        <v>ફોન</v>
      </c>
      <c r="I25" s="2" t="str">
        <f>IFERROR(__xludf.DUMMYFUNCTION("""COMPUTED_VALUE"""),"कॉल")</f>
        <v>कॉल</v>
      </c>
      <c r="J25" s="2" t="str">
        <f>IFERROR(__xludf.DUMMYFUNCTION("""COMPUTED_VALUE"""),"വിളി")</f>
        <v>വിളി</v>
      </c>
      <c r="K25" s="2" t="str">
        <f>IFERROR(__xludf.DUMMYFUNCTION("""COMPUTED_VALUE"""),"ਕਾਲ ਕਰੋ")</f>
        <v>ਕਾਲ ਕਰੋ</v>
      </c>
      <c r="L25" s="2" t="str">
        <f>IFERROR(__xludf.DUMMYFUNCTION("""COMPUTED_VALUE"""),"அழைப்பு")</f>
        <v>அழைப்பு</v>
      </c>
      <c r="M25" s="2" t="str">
        <f>IFERROR(__xludf.DUMMYFUNCTION("""COMPUTED_VALUE"""),"కాల్")</f>
        <v>కాల్</v>
      </c>
    </row>
    <row r="26">
      <c r="A26" s="2" t="str">
        <f>Master_en!A26</f>
        <v>sms</v>
      </c>
      <c r="B26" s="2" t="str">
        <f>Master_en!B26</f>
        <v>SMS</v>
      </c>
      <c r="C26" s="2" t="str">
        <f>IFERROR(__xludf.DUMMYFUNCTION("""COMPUTED_VALUE"""),"খুদেবার্তা")</f>
        <v>খুদেবার্তা</v>
      </c>
      <c r="D26" s="2" t="str">
        <f>IFERROR(__xludf.DUMMYFUNCTION("""COMPUTED_VALUE"""),"एसएमएस")</f>
        <v>एसएमएस</v>
      </c>
      <c r="E26" s="2" t="str">
        <f>IFERROR(__xludf.DUMMYFUNCTION("""COMPUTED_VALUE"""),"ಸಂದೇಶ")</f>
        <v>ಸಂದೇಶ</v>
      </c>
      <c r="F26" s="2" t="str">
        <f>IFERROR(__xludf.DUMMYFUNCTION("""COMPUTED_VALUE"""),"ଏସଏମଏସ")</f>
        <v>ଏସଏମଏସ</v>
      </c>
      <c r="G26" s="2" t="str">
        <f>IFERROR(__xludf.DUMMYFUNCTION("""COMPUTED_VALUE"""),"এছ এম এছ")</f>
        <v>এছ এম এছ</v>
      </c>
      <c r="H26" s="2" t="str">
        <f>IFERROR(__xludf.DUMMYFUNCTION("""COMPUTED_VALUE"""),"મેસેજ")</f>
        <v>મેસેજ</v>
      </c>
      <c r="I26" s="2" t="str">
        <f>IFERROR(__xludf.DUMMYFUNCTION("""COMPUTED_VALUE"""),"एसएमएस")</f>
        <v>एसएमएस</v>
      </c>
      <c r="J26" s="2" t="str">
        <f>IFERROR(__xludf.DUMMYFUNCTION("""COMPUTED_VALUE"""),"എസ്എംഎസ്")</f>
        <v>എസ്എംഎസ്</v>
      </c>
      <c r="K26" s="2" t="str">
        <f>IFERROR(__xludf.DUMMYFUNCTION("""COMPUTED_VALUE"""),"ਐਸ ਐਮ ਐਸ")</f>
        <v>ਐਸ ਐਮ ਐਸ</v>
      </c>
      <c r="L26" s="2" t="str">
        <f>IFERROR(__xludf.DUMMYFUNCTION("""COMPUTED_VALUE"""),"எஸ்.எம்.எஸ்")</f>
        <v>எஸ்.எம்.எஸ்</v>
      </c>
      <c r="M26" s="2" t="str">
        <f>IFERROR(__xludf.DUMMYFUNCTION("""COMPUTED_VALUE"""),"SMS")</f>
        <v>SMS</v>
      </c>
    </row>
    <row r="27">
      <c r="A27" s="2" t="str">
        <f>Master_en!A27</f>
        <v>whatsApp</v>
      </c>
      <c r="B27" s="2" t="str">
        <f>Master_en!B27</f>
        <v>WhatsApp</v>
      </c>
      <c r="C27" s="2" t="str">
        <f>IFERROR(__xludf.DUMMYFUNCTION("""COMPUTED_VALUE"""),"হোয়াটসঅ্যাপ")</f>
        <v>হোয়াটসঅ্যাপ</v>
      </c>
      <c r="D27" s="2" t="str">
        <f>IFERROR(__xludf.DUMMYFUNCTION("""COMPUTED_VALUE"""),"WhatsApp")</f>
        <v>WhatsApp</v>
      </c>
      <c r="E27" s="2" t="str">
        <f>IFERROR(__xludf.DUMMYFUNCTION("""COMPUTED_VALUE"""),"ವಾಟ್ಸಾಪ್")</f>
        <v>ವಾಟ್ಸಾಪ್</v>
      </c>
      <c r="F27" s="2" t="str">
        <f>IFERROR(__xludf.DUMMYFUNCTION("""COMPUTED_VALUE"""),"ହ୍ ats ାଟସ୍ ଆପ୍ |")</f>
        <v>ହ୍ ats ାଟସ୍ ଆପ୍ |</v>
      </c>
      <c r="G27" s="2" t="str">
        <f>IFERROR(__xludf.DUMMYFUNCTION("""COMPUTED_VALUE"""),"হোৱাটছএপ")</f>
        <v>হোৱাটছএপ</v>
      </c>
      <c r="H27" s="2" t="str">
        <f>IFERROR(__xludf.DUMMYFUNCTION("""COMPUTED_VALUE"""),"વોટ્‌સએપ")</f>
        <v>વોટ્‌સએપ</v>
      </c>
      <c r="I27" s="2" t="str">
        <f>IFERROR(__xludf.DUMMYFUNCTION("""COMPUTED_VALUE"""),"व्हाट्सएप")</f>
        <v>व्हाट्सएप</v>
      </c>
      <c r="J27" s="2" t="str">
        <f>IFERROR(__xludf.DUMMYFUNCTION("""COMPUTED_VALUE"""),"വാട്ട്സ്ആപ്പ്")</f>
        <v>വാട്ട്സ്ആപ്പ്</v>
      </c>
      <c r="K27" s="2" t="str">
        <f>IFERROR(__xludf.DUMMYFUNCTION("""COMPUTED_VALUE"""),"ਵਟਸਐਪ")</f>
        <v>ਵਟਸਐਪ</v>
      </c>
      <c r="L27" s="2" t="str">
        <f>IFERROR(__xludf.DUMMYFUNCTION("""COMPUTED_VALUE"""),"பகிரி")</f>
        <v>பகிரி</v>
      </c>
      <c r="M27" s="2" t="str">
        <f>IFERROR(__xludf.DUMMYFUNCTION("""COMPUTED_VALUE"""),"వాట్సాప్")</f>
        <v>వాట్సాప్</v>
      </c>
    </row>
    <row r="28">
      <c r="A28" s="2" t="str">
        <f>Master_en!A28</f>
        <v>orderAgain</v>
      </c>
      <c r="B28" s="2" t="str">
        <f>Master_en!B28</f>
        <v>Order Again</v>
      </c>
      <c r="C28" s="2" t="str">
        <f>IFERROR(__xludf.DUMMYFUNCTION("""COMPUTED_VALUE"""),"আবার অর্ডার")</f>
        <v>আবার অর্ডার</v>
      </c>
      <c r="D28" s="2" t="str">
        <f>IFERROR(__xludf.DUMMYFUNCTION("""COMPUTED_VALUE"""),"फिर से आदेश देना")</f>
        <v>फिर से आदेश देना</v>
      </c>
      <c r="E28" s="2" t="str">
        <f>IFERROR(__xludf.DUMMYFUNCTION("""COMPUTED_VALUE"""),"ಮತ್ತೆ ಆದೇಶಿಸಿ")</f>
        <v>ಮತ್ತೆ ಆದೇಶಿಸಿ</v>
      </c>
      <c r="F28" s="2" t="str">
        <f>IFERROR(__xludf.DUMMYFUNCTION("""COMPUTED_VALUE"""),"ପୁଣି ଅର୍ଡର କର")</f>
        <v>ପୁଣି ଅର୍ଡର କର</v>
      </c>
      <c r="G28" s="2" t="str">
        <f>IFERROR(__xludf.DUMMYFUNCTION("""COMPUTED_VALUE"""),"আকৌ অৰ্ডাৰ কৰক")</f>
        <v>আকৌ অৰ্ডাৰ কৰক</v>
      </c>
      <c r="H28" s="2" t="str">
        <f>IFERROR(__xludf.DUMMYFUNCTION("""COMPUTED_VALUE"""),"ફરીથી ઓર્ડર")</f>
        <v>ફરીથી ઓર્ડર</v>
      </c>
      <c r="I28" s="2" t="str">
        <f>IFERROR(__xludf.DUMMYFUNCTION("""COMPUTED_VALUE"""),"पुन्हा ऑर्डर करा")</f>
        <v>पुन्हा ऑर्डर करा</v>
      </c>
      <c r="J28" s="2" t="str">
        <f>IFERROR(__xludf.DUMMYFUNCTION("""COMPUTED_VALUE"""),"വീണ്ടും ഓർഡർ ചെയ്യുക")</f>
        <v>വീണ്ടും ഓർഡർ ചെയ്യുക</v>
      </c>
      <c r="K28" s="2" t="str">
        <f>IFERROR(__xludf.DUMMYFUNCTION("""COMPUTED_VALUE"""),"ਦੁਬਾਰਾ ਆਰਡਰ")</f>
        <v>ਦੁਬਾਰਾ ਆਰਡਰ</v>
      </c>
      <c r="L28" s="2" t="str">
        <f>IFERROR(__xludf.DUMMYFUNCTION("""COMPUTED_VALUE"""),"மீண்டும் ஆர்டர் செய்யுங்கள்")</f>
        <v>மீண்டும் ஆர்டர் செய்யுங்கள்</v>
      </c>
      <c r="M28" s="2" t="str">
        <f>IFERROR(__xludf.DUMMYFUNCTION("""COMPUTED_VALUE"""),"మళ్ళీ ఆర్డర్ చేయండి")</f>
        <v>మళ్ళీ ఆర్డర్ చేయండి</v>
      </c>
    </row>
    <row r="29">
      <c r="A29" s="2" t="str">
        <f>Master_en!A29</f>
        <v>currentLocation</v>
      </c>
      <c r="B29" s="2" t="str">
        <f>Master_en!B29</f>
        <v>Current Location</v>
      </c>
      <c r="C29" s="2" t="str">
        <f>IFERROR(__xludf.DUMMYFUNCTION("""COMPUTED_VALUE"""),"এখন যেখানে আছ")</f>
        <v>এখন যেখানে আছ</v>
      </c>
      <c r="D29" s="2" t="str">
        <f>IFERROR(__xludf.DUMMYFUNCTION("""COMPUTED_VALUE"""),"वर्तमान स्थान")</f>
        <v>वर्तमान स्थान</v>
      </c>
      <c r="E29" s="2" t="str">
        <f>IFERROR(__xludf.DUMMYFUNCTION("""COMPUTED_VALUE"""),"ಈಗಿನ ಸ್ಥಳ")</f>
        <v>ಈಗಿನ ಸ್ಥಳ</v>
      </c>
      <c r="F29" s="2" t="str">
        <f>IFERROR(__xludf.DUMMYFUNCTION("""COMPUTED_VALUE"""),"ସାମ୍ପ୍ରତିକ ଅବସ୍ଥାନ |")</f>
        <v>ସାମ୍ପ୍ରତିକ ଅବସ୍ଥାନ |</v>
      </c>
      <c r="G29" s="2" t="str">
        <f>IFERROR(__xludf.DUMMYFUNCTION("""COMPUTED_VALUE"""),"বৰ্তমান অৱস্থান")</f>
        <v>বৰ্তমান অৱস্থান</v>
      </c>
      <c r="H29" s="2" t="str">
        <f>IFERROR(__xludf.DUMMYFUNCTION("""COMPUTED_VALUE"""),"અત્યારની જ્ગ્યા")</f>
        <v>અત્યારની જ્ગ્યા</v>
      </c>
      <c r="I29" s="2" t="str">
        <f>IFERROR(__xludf.DUMMYFUNCTION("""COMPUTED_VALUE"""),"आत्ताचे ठिकाण")</f>
        <v>आत्ताचे ठिकाण</v>
      </c>
      <c r="J29" s="2" t="str">
        <f>IFERROR(__xludf.DUMMYFUNCTION("""COMPUTED_VALUE"""),"ഇപ്പോഴുള്ള സ്ഥലം")</f>
        <v>ഇപ്പോഴുള്ള സ്ഥലം</v>
      </c>
      <c r="K29" s="2" t="str">
        <f>IFERROR(__xludf.DUMMYFUNCTION("""COMPUTED_VALUE"""),"ਮੌਜੂਦਾ ਟਿਕਾਣਾ")</f>
        <v>ਮੌਜੂਦਾ ਟਿਕਾਣਾ</v>
      </c>
      <c r="L29" s="2" t="str">
        <f>IFERROR(__xludf.DUMMYFUNCTION("""COMPUTED_VALUE"""),"தற்போதைய இடம்")</f>
        <v>தற்போதைய இடம்</v>
      </c>
      <c r="M29" s="2" t="str">
        <f>IFERROR(__xludf.DUMMYFUNCTION("""COMPUTED_VALUE"""),"ప్రస్తుత స్తలం")</f>
        <v>ప్రస్తుత స్తలం</v>
      </c>
    </row>
    <row r="30">
      <c r="A30" s="2" t="str">
        <f>Master_en!A30</f>
        <v>usingGps</v>
      </c>
      <c r="B30" s="2" t="str">
        <f>Master_en!B30</f>
        <v>Using GPS</v>
      </c>
      <c r="C30" s="2" t="str">
        <f>IFERROR(__xludf.DUMMYFUNCTION("""COMPUTED_VALUE"""),"জিপিএস ব্যবহার করে")</f>
        <v>জিপিএস ব্যবহার করে</v>
      </c>
      <c r="D30" s="2" t="str">
        <f>IFERROR(__xludf.DUMMYFUNCTION("""COMPUTED_VALUE"""),"जीपीएस का उपयोग करना")</f>
        <v>जीपीएस का उपयोग करना</v>
      </c>
      <c r="E30" s="2" t="str">
        <f>IFERROR(__xludf.DUMMYFUNCTION("""COMPUTED_VALUE"""),"ಜಿಪಿಎಸ್ ಬಳಸುವುದು")</f>
        <v>ಜಿಪಿಎಸ್ ಬಳಸುವುದು</v>
      </c>
      <c r="F30" s="2" t="str">
        <f>IFERROR(__xludf.DUMMYFUNCTION("""COMPUTED_VALUE"""),"ଜିପି ବ୍ୟବହାର କରିବା |")</f>
        <v>ଜିପି ବ୍ୟବହାର କରିବା |</v>
      </c>
      <c r="G30" s="2" t="str">
        <f>IFERROR(__xludf.DUMMYFUNCTION("""COMPUTED_VALUE"""),"জিপিএছ ব্যৱহাৰ কৰি")</f>
        <v>জিপিএছ ব্যৱহাৰ কৰি</v>
      </c>
      <c r="H30" s="2" t="str">
        <f>IFERROR(__xludf.DUMMYFUNCTION("""COMPUTED_VALUE"""),"જીપીએસનો ઉપયોગ કરીને")</f>
        <v>જીપીએસનો ઉપયોગ કરીને</v>
      </c>
      <c r="I30" s="2" t="str">
        <f>IFERROR(__xludf.DUMMYFUNCTION("""COMPUTED_VALUE"""),"जीपीएस वापरून")</f>
        <v>जीपीएस वापरून</v>
      </c>
      <c r="J30" s="2" t="str">
        <f>IFERROR(__xludf.DUMMYFUNCTION("""COMPUTED_VALUE"""),"ജിപിഎസ് ഉപയോഗിക്കുന്നു")</f>
        <v>ജിപിഎസ് ഉപയോഗിക്കുന്നു</v>
      </c>
      <c r="K30" s="2" t="str">
        <f>IFERROR(__xludf.DUMMYFUNCTION("""COMPUTED_VALUE"""),"ਜੀਪੀਐਸ ਦੀ ਵਰਤੋਂ ਕਰਨਾ")</f>
        <v>ਜੀਪੀਐਸ ਦੀ ਵਰਤੋਂ ਕਰਨਾ</v>
      </c>
      <c r="L30" s="2" t="str">
        <f>IFERROR(__xludf.DUMMYFUNCTION("""COMPUTED_VALUE"""),"ஜி.பி.எஸ் பயன்படுத்துதல்")</f>
        <v>ஜி.பி.எஸ் பயன்படுத்துதல்</v>
      </c>
      <c r="M30" s="2" t="str">
        <f>IFERROR(__xludf.DUMMYFUNCTION("""COMPUTED_VALUE"""),"GPS ఉపయోగించి")</f>
        <v>GPS ఉపయోగించి</v>
      </c>
    </row>
    <row r="31">
      <c r="A31" s="2" t="str">
        <f>Master_en!A31</f>
        <v>frequentlyUsed</v>
      </c>
      <c r="B31" s="2" t="str">
        <f>Master_en!B31</f>
        <v>Frequently Used</v>
      </c>
      <c r="C31" s="2" t="str">
        <f>IFERROR(__xludf.DUMMYFUNCTION("""COMPUTED_VALUE"""),"ঘন ঘন ব্যবহৃত")</f>
        <v>ঘন ঘন ব্যবহৃত</v>
      </c>
      <c r="D31" s="2" t="str">
        <f>IFERROR(__xludf.DUMMYFUNCTION("""COMPUTED_VALUE"""),"बहुधा प्रयुक्त")</f>
        <v>बहुधा प्रयुक्त</v>
      </c>
      <c r="E31" s="2" t="str">
        <f>IFERROR(__xludf.DUMMYFUNCTION("""COMPUTED_VALUE"""),"ಆಗಾಗ್ಗೆ ಬಳಸಲಾಗುತ್ತದೆ")</f>
        <v>ಆಗಾಗ್ಗೆ ಬಳಸಲಾಗುತ್ತದೆ</v>
      </c>
      <c r="F31" s="2" t="str">
        <f>IFERROR(__xludf.DUMMYFUNCTION("""COMPUTED_VALUE"""),"ବାରମ୍ବାର ବ୍ୟବହୃତ |")</f>
        <v>ବାରମ୍ବାର ବ୍ୟବହୃତ |</v>
      </c>
      <c r="G31" s="2" t="str">
        <f>IFERROR(__xludf.DUMMYFUNCTION("""COMPUTED_VALUE"""),"সঘনাই ব্যৱহৃত")</f>
        <v>সঘনাই ব্যৱহৃত</v>
      </c>
      <c r="H31" s="2" t="str">
        <f>IFERROR(__xludf.DUMMYFUNCTION("""COMPUTED_VALUE"""),"વારંવાર વપરાય છે")</f>
        <v>વારંવાર વપરાય છે</v>
      </c>
      <c r="I31" s="2" t="str">
        <f>IFERROR(__xludf.DUMMYFUNCTION("""COMPUTED_VALUE"""),"वारंवार वापरलेले")</f>
        <v>वारंवार वापरलेले</v>
      </c>
      <c r="J31" s="2" t="str">
        <f>IFERROR(__xludf.DUMMYFUNCTION("""COMPUTED_VALUE"""),"പതിവായി ഉപയോഗിക്കുന്നു")</f>
        <v>പതിവായി ഉപയോഗിക്കുന്നു</v>
      </c>
      <c r="K31" s="2" t="str">
        <f>IFERROR(__xludf.DUMMYFUNCTION("""COMPUTED_VALUE"""),"ਅਕਸਰ ਵਰਤਿਆ ਜਾਂਦਾ ਹੈ")</f>
        <v>ਅਕਸਰ ਵਰਤਿਆ ਜਾਂਦਾ ਹੈ</v>
      </c>
      <c r="L31" s="2" t="str">
        <f>IFERROR(__xludf.DUMMYFUNCTION("""COMPUTED_VALUE"""),"அடிக்கடி பயன்படுத்தப்படுகிறது")</f>
        <v>அடிக்கடி பயன்படுத்தப்படுகிறது</v>
      </c>
      <c r="M31" s="2" t="str">
        <f>IFERROR(__xludf.DUMMYFUNCTION("""COMPUTED_VALUE"""),"తరచుగా ఉపయోగిస్తారు")</f>
        <v>తరచుగా ఉపయోగిస్తారు</v>
      </c>
    </row>
    <row r="32">
      <c r="A32" s="2" t="str">
        <f>Master_en!A32</f>
        <v>other</v>
      </c>
      <c r="B32" s="2" t="str">
        <f>Master_en!B32</f>
        <v>Other </v>
      </c>
      <c r="C32" s="2" t="str">
        <f>IFERROR(__xludf.DUMMYFUNCTION("""COMPUTED_VALUE"""),"অন্য")</f>
        <v>অন্য</v>
      </c>
      <c r="D32" s="2" t="str">
        <f>IFERROR(__xludf.DUMMYFUNCTION("""COMPUTED_VALUE"""),"अन्य")</f>
        <v>अन्य</v>
      </c>
      <c r="E32" s="2" t="str">
        <f>IFERROR(__xludf.DUMMYFUNCTION("""COMPUTED_VALUE"""),"ಬೇರೆಯ")</f>
        <v>ಬೇರೆಯ</v>
      </c>
      <c r="F32" s="2" t="str">
        <f>IFERROR(__xludf.DUMMYFUNCTION("""COMPUTED_VALUE"""),"ଅନ୍ୟ")</f>
        <v>ଅନ୍ୟ</v>
      </c>
      <c r="G32" s="2" t="str">
        <f>IFERROR(__xludf.DUMMYFUNCTION("""COMPUTED_VALUE"""),"অন্যান্য")</f>
        <v>অন্যান্য</v>
      </c>
      <c r="H32" s="2" t="str">
        <f>IFERROR(__xludf.DUMMYFUNCTION("""COMPUTED_VALUE"""),"બીજું")</f>
        <v>બીજું</v>
      </c>
      <c r="I32" s="2" t="str">
        <f>IFERROR(__xludf.DUMMYFUNCTION("""COMPUTED_VALUE"""),"इतर")</f>
        <v>इतर</v>
      </c>
      <c r="J32" s="2" t="str">
        <f>IFERROR(__xludf.DUMMYFUNCTION("""COMPUTED_VALUE"""),"മറ്റേതായ")</f>
        <v>മറ്റേതായ</v>
      </c>
      <c r="K32" s="2" t="str">
        <f>IFERROR(__xludf.DUMMYFUNCTION("""COMPUTED_VALUE"""),"ਹੋਰ")</f>
        <v>ਹੋਰ</v>
      </c>
      <c r="L32" s="2" t="str">
        <f>IFERROR(__xludf.DUMMYFUNCTION("""COMPUTED_VALUE"""),"மற்றொன்று")</f>
        <v>மற்றொன்று</v>
      </c>
      <c r="M32" s="2" t="str">
        <f>IFERROR(__xludf.DUMMYFUNCTION("""COMPUTED_VALUE"""),"ఇతర")</f>
        <v>ఇతర</v>
      </c>
    </row>
    <row r="33">
      <c r="A33" s="2" t="str">
        <f>Master_en!A33</f>
        <v>work</v>
      </c>
      <c r="B33" s="2" t="str">
        <f>Master_en!B33</f>
        <v>Work </v>
      </c>
      <c r="C33" s="2" t="str">
        <f>IFERROR(__xludf.DUMMYFUNCTION("""COMPUTED_VALUE"""),"কাজ")</f>
        <v>কাজ</v>
      </c>
      <c r="D33" s="2" t="str">
        <f>IFERROR(__xludf.DUMMYFUNCTION("""COMPUTED_VALUE"""),"काम")</f>
        <v>काम</v>
      </c>
      <c r="E33" s="2" t="str">
        <f>IFERROR(__xludf.DUMMYFUNCTION("""COMPUTED_VALUE"""),"ಕೆಲಸ")</f>
        <v>ಕೆಲಸ</v>
      </c>
      <c r="F33" s="2" t="str">
        <f>IFERROR(__xludf.DUMMYFUNCTION("""COMPUTED_VALUE"""),"କାର୍ଯ୍ୟ")</f>
        <v>କାର୍ଯ୍ୟ</v>
      </c>
      <c r="G33" s="2" t="str">
        <f>IFERROR(__xludf.DUMMYFUNCTION("""COMPUTED_VALUE"""),"কাম")</f>
        <v>কাম</v>
      </c>
      <c r="H33" s="2" t="str">
        <f>IFERROR(__xludf.DUMMYFUNCTION("""COMPUTED_VALUE"""),"વ્યવસાય")</f>
        <v>વ્યવસાય</v>
      </c>
      <c r="I33" s="2" t="str">
        <f>IFERROR(__xludf.DUMMYFUNCTION("""COMPUTED_VALUE"""),"काम")</f>
        <v>काम</v>
      </c>
      <c r="J33" s="2" t="str">
        <f>IFERROR(__xludf.DUMMYFUNCTION("""COMPUTED_VALUE"""),"വേല")</f>
        <v>വേല</v>
      </c>
      <c r="K33" s="2" t="str">
        <f>IFERROR(__xludf.DUMMYFUNCTION("""COMPUTED_VALUE"""),"ਕੰਮ")</f>
        <v>ਕੰਮ</v>
      </c>
      <c r="L33" s="2" t="str">
        <f>IFERROR(__xludf.DUMMYFUNCTION("""COMPUTED_VALUE"""),"வேலை")</f>
        <v>வேலை</v>
      </c>
      <c r="M33" s="2" t="str">
        <f>IFERROR(__xludf.DUMMYFUNCTION("""COMPUTED_VALUE"""),"పని")</f>
        <v>పని</v>
      </c>
    </row>
    <row r="34">
      <c r="A34" s="2" t="str">
        <f>Master_en!A34</f>
        <v>home</v>
      </c>
      <c r="B34" s="2" t="str">
        <f>Master_en!B34</f>
        <v>Home </v>
      </c>
      <c r="C34" s="2" t="str">
        <f>IFERROR(__xludf.DUMMYFUNCTION("""COMPUTED_VALUE"""),"বাড়ি")</f>
        <v>বাড়ি</v>
      </c>
      <c r="D34" s="2" t="str">
        <f>IFERROR(__xludf.DUMMYFUNCTION("""COMPUTED_VALUE"""),"होम")</f>
        <v>होम</v>
      </c>
      <c r="E34" s="2" t="str">
        <f>IFERROR(__xludf.DUMMYFUNCTION("""COMPUTED_VALUE"""),"ಮನೆ")</f>
        <v>ಮನೆ</v>
      </c>
      <c r="F34" s="2" t="str">
        <f>IFERROR(__xludf.DUMMYFUNCTION("""COMPUTED_VALUE"""),"ଘର")</f>
        <v>ଘର</v>
      </c>
      <c r="G34" s="2" t="str">
        <f>IFERROR(__xludf.DUMMYFUNCTION("""COMPUTED_VALUE"""),"গৃহ")</f>
        <v>গৃহ</v>
      </c>
      <c r="H34" s="2" t="str">
        <f>IFERROR(__xludf.DUMMYFUNCTION("""COMPUTED_VALUE"""),"ઘર")</f>
        <v>ઘર</v>
      </c>
      <c r="I34" s="2" t="str">
        <f>IFERROR(__xludf.DUMMYFUNCTION("""COMPUTED_VALUE"""),"मुख्यपृष्ठ")</f>
        <v>मुख्यपृष्ठ</v>
      </c>
      <c r="J34" s="2" t="str">
        <f>IFERROR(__xludf.DUMMYFUNCTION("""COMPUTED_VALUE"""),"വീട്")</f>
        <v>വീട്</v>
      </c>
      <c r="K34" s="2" t="str">
        <f>IFERROR(__xludf.DUMMYFUNCTION("""COMPUTED_VALUE"""),"ਘਰ")</f>
        <v>ਘਰ</v>
      </c>
      <c r="L34" s="2" t="str">
        <f>IFERROR(__xludf.DUMMYFUNCTION("""COMPUTED_VALUE"""),"வீடு")</f>
        <v>வீடு</v>
      </c>
      <c r="M34" s="2" t="str">
        <f>IFERROR(__xludf.DUMMYFUNCTION("""COMPUTED_VALUE"""),"హోమ్")</f>
        <v>హోమ్</v>
      </c>
    </row>
    <row r="35">
      <c r="A35" s="2" t="str">
        <f>Master_en!A35</f>
        <v>recentSearch</v>
      </c>
      <c r="B35" s="2" t="str">
        <f>Master_en!B35</f>
        <v>Recent Search </v>
      </c>
      <c r="C35" s="2" t="str">
        <f>IFERROR(__xludf.DUMMYFUNCTION("""COMPUTED_VALUE"""),"সাম্প্রতিক অনুসন্ধান")</f>
        <v>সাম্প্রতিক অনুসন্ধান</v>
      </c>
      <c r="D35" s="2" t="str">
        <f>IFERROR(__xludf.DUMMYFUNCTION("""COMPUTED_VALUE"""),"हाल ही में खोज")</f>
        <v>हाल ही में खोज</v>
      </c>
      <c r="E35" s="2" t="str">
        <f>IFERROR(__xludf.DUMMYFUNCTION("""COMPUTED_VALUE"""),"ಇತ್ತೀಚಿನ ಹುಡುಕಾಟ")</f>
        <v>ಇತ್ತೀಚಿನ ಹುಡುಕಾಟ</v>
      </c>
      <c r="F35" s="2" t="str">
        <f>IFERROR(__xludf.DUMMYFUNCTION("""COMPUTED_VALUE"""),"ସାମ୍ପ୍ରତିକ ସନ୍ଧାନ |")</f>
        <v>ସାମ୍ପ୍ରତିକ ସନ୍ଧାନ |</v>
      </c>
      <c r="G35" s="2" t="str">
        <f>IFERROR(__xludf.DUMMYFUNCTION("""COMPUTED_VALUE"""),"শেহতীয়া সন্ধান")</f>
        <v>শেহতীয়া সন্ধান</v>
      </c>
      <c r="H35" s="2" t="str">
        <f>IFERROR(__xludf.DUMMYFUNCTION("""COMPUTED_VALUE"""),"તાજેતરની શોધ")</f>
        <v>તાજેતરની શોધ</v>
      </c>
      <c r="I35" s="2" t="str">
        <f>IFERROR(__xludf.DUMMYFUNCTION("""COMPUTED_VALUE"""),"अलीकडील शोध")</f>
        <v>अलीकडील शोध</v>
      </c>
      <c r="J35" s="2" t="str">
        <f>IFERROR(__xludf.DUMMYFUNCTION("""COMPUTED_VALUE"""),"സമീപകാല തിരയൽ")</f>
        <v>സമീപകാല തിരയൽ</v>
      </c>
      <c r="K35" s="2" t="str">
        <f>IFERROR(__xludf.DUMMYFUNCTION("""COMPUTED_VALUE"""),"ਤਾਜ਼ਾ ਖੋਜ")</f>
        <v>ਤਾਜ਼ਾ ਖੋਜ</v>
      </c>
      <c r="L35" s="2" t="str">
        <f>IFERROR(__xludf.DUMMYFUNCTION("""COMPUTED_VALUE"""),"சமீபத்திய தேடல்")</f>
        <v>சமீபத்திய தேடல்</v>
      </c>
      <c r="M35" s="2" t="str">
        <f>IFERROR(__xludf.DUMMYFUNCTION("""COMPUTED_VALUE"""),"ఇటీవలి శోధన")</f>
        <v>ఇటీవలి శోధన</v>
      </c>
    </row>
    <row r="36">
      <c r="A36" s="2" t="str">
        <f>Master_en!A36</f>
        <v>selectLocation</v>
      </c>
      <c r="B36" s="2" t="str">
        <f>Master_en!B36</f>
        <v>Select Location</v>
      </c>
      <c r="C36" s="2" t="str">
        <f>IFERROR(__xludf.DUMMYFUNCTION("""COMPUTED_VALUE"""),"স্থান নির্বাচন করুন")</f>
        <v>স্থান নির্বাচন করুন</v>
      </c>
      <c r="D36" s="2" t="str">
        <f>IFERROR(__xludf.DUMMYFUNCTION("""COMPUTED_VALUE"""),"स्थान चुनें")</f>
        <v>स्थान चुनें</v>
      </c>
      <c r="E36" s="2" t="str">
        <f>IFERROR(__xludf.DUMMYFUNCTION("""COMPUTED_VALUE"""),"ಸ್ಥಳವನ್ನು ಆಯ್ಕೆಮಾಡಿ")</f>
        <v>ಸ್ಥಳವನ್ನು ಆಯ್ಕೆಮಾಡಿ</v>
      </c>
      <c r="F36" s="2" t="str">
        <f>IFERROR(__xludf.DUMMYFUNCTION("""COMPUTED_VALUE"""),"ଅବସ୍ଥାନ ଚୟନ କରନ୍ତୁ |")</f>
        <v>ଅବସ୍ଥାନ ଚୟନ କରନ୍ତୁ |</v>
      </c>
      <c r="G36" s="2" t="str">
        <f>IFERROR(__xludf.DUMMYFUNCTION("""COMPUTED_VALUE"""),"অৱস্থান নিৰ্ব্বাচন কৰক")</f>
        <v>অৱস্থান নিৰ্ব্বাচন কৰক</v>
      </c>
      <c r="H36" s="2" t="str">
        <f>IFERROR(__xludf.DUMMYFUNCTION("""COMPUTED_VALUE"""),"સ્થાન પસંદ કરો")</f>
        <v>સ્થાન પસંદ કરો</v>
      </c>
      <c r="I36" s="2" t="str">
        <f>IFERROR(__xludf.DUMMYFUNCTION("""COMPUTED_VALUE"""),"स्थान निवडा")</f>
        <v>स्थान निवडा</v>
      </c>
      <c r="J36" s="2" t="str">
        <f>IFERROR(__xludf.DUMMYFUNCTION("""COMPUTED_VALUE"""),"സ്ഥാനം തിരഞ്ഞെടുക്കുക")</f>
        <v>സ്ഥാനം തിരഞ്ഞെടുക്കുക</v>
      </c>
      <c r="K36" s="2" t="str">
        <f>IFERROR(__xludf.DUMMYFUNCTION("""COMPUTED_VALUE"""),"ਟਿਕਾਣਾ ਚੁਣੋ")</f>
        <v>ਟਿਕਾਣਾ ਚੁਣੋ</v>
      </c>
      <c r="L36" s="2" t="str">
        <f>IFERROR(__xludf.DUMMYFUNCTION("""COMPUTED_VALUE"""),"இருப்பிடத்தைத் தேர்ந்தெடுக்கவும்")</f>
        <v>இருப்பிடத்தைத் தேர்ந்தெடுக்கவும்</v>
      </c>
      <c r="M36" s="2" t="str">
        <f>IFERROR(__xludf.DUMMYFUNCTION("""COMPUTED_VALUE"""),"స్థానాన్ని ఎంచుకోండి")</f>
        <v>స్థానాన్ని ఎంచుకోండి</v>
      </c>
    </row>
    <row r="37">
      <c r="A37" s="2" t="str">
        <f>Master_en!A37</f>
        <v>change</v>
      </c>
      <c r="B37" s="2" t="str">
        <f>Master_en!B37</f>
        <v>Change</v>
      </c>
      <c r="C37" s="2" t="str">
        <f>IFERROR(__xludf.DUMMYFUNCTION("""COMPUTED_VALUE"""),"পরিবর্তন")</f>
        <v>পরিবর্তন</v>
      </c>
      <c r="D37" s="2" t="str">
        <f>IFERROR(__xludf.DUMMYFUNCTION("""COMPUTED_VALUE"""),"परिवर्तन")</f>
        <v>परिवर्तन</v>
      </c>
      <c r="E37" s="2" t="str">
        <f>IFERROR(__xludf.DUMMYFUNCTION("""COMPUTED_VALUE"""),"ಬದಲಾವಣೆ")</f>
        <v>ಬದಲಾವಣೆ</v>
      </c>
      <c r="F37" s="2" t="str">
        <f>IFERROR(__xludf.DUMMYFUNCTION("""COMPUTED_VALUE"""),"ପରିବର୍ତ୍ତନ")</f>
        <v>ପରିବର୍ତ୍ତନ</v>
      </c>
      <c r="G37" s="2" t="str">
        <f>IFERROR(__xludf.DUMMYFUNCTION("""COMPUTED_VALUE"""),"সলা")</f>
        <v>সলা</v>
      </c>
      <c r="H37" s="2" t="str">
        <f>IFERROR(__xludf.DUMMYFUNCTION("""COMPUTED_VALUE"""),"પરિવર્તન")</f>
        <v>પરિવર્તન</v>
      </c>
      <c r="I37" s="2" t="str">
        <f>IFERROR(__xludf.DUMMYFUNCTION("""COMPUTED_VALUE"""),"बदला")</f>
        <v>बदला</v>
      </c>
      <c r="J37" s="2" t="str">
        <f>IFERROR(__xludf.DUMMYFUNCTION("""COMPUTED_VALUE"""),"മാറ്റുക")</f>
        <v>മാറ്റുക</v>
      </c>
      <c r="K37" s="2" t="str">
        <f>IFERROR(__xludf.DUMMYFUNCTION("""COMPUTED_VALUE"""),"ਬਦਲੋ")</f>
        <v>ਬਦਲੋ</v>
      </c>
      <c r="L37" s="2" t="str">
        <f>IFERROR(__xludf.DUMMYFUNCTION("""COMPUTED_VALUE"""),"மாற்றம்")</f>
        <v>மாற்றம்</v>
      </c>
      <c r="M37" s="2" t="str">
        <f>IFERROR(__xludf.DUMMYFUNCTION("""COMPUTED_VALUE"""),"మార్పు")</f>
        <v>మార్పు</v>
      </c>
    </row>
    <row r="38">
      <c r="A38" s="2" t="str">
        <f>Master_en!A38</f>
        <v>confirmLocation</v>
      </c>
      <c r="B38" s="2" t="str">
        <f>Master_en!B38</f>
        <v>Confirm Location</v>
      </c>
      <c r="C38" s="2" t="str">
        <f>IFERROR(__xludf.DUMMYFUNCTION("""COMPUTED_VALUE"""),"অবস্থান নিশ্চিত করুন")</f>
        <v>অবস্থান নিশ্চিত করুন</v>
      </c>
      <c r="D38" s="2" t="str">
        <f>IFERROR(__xludf.DUMMYFUNCTION("""COMPUTED_VALUE"""),"स्थान की पुष्टि करें")</f>
        <v>स्थान की पुष्टि करें</v>
      </c>
      <c r="E38" s="2" t="str">
        <f>IFERROR(__xludf.DUMMYFUNCTION("""COMPUTED_VALUE"""),"ಸ್ಥಳವನ್ನು ಧೃಡಪಡಿಸಿ")</f>
        <v>ಸ್ಥಳವನ್ನು ಧೃಡಪಡಿಸಿ</v>
      </c>
      <c r="F38" s="2" t="str">
        <f>IFERROR(__xludf.DUMMYFUNCTION("""COMPUTED_VALUE"""),"ଅବସ୍ଥାନ ନିଶ୍ଚିତ କରନ୍ତୁ |")</f>
        <v>ଅବସ୍ଥାନ ନିଶ୍ଚିତ କରନ୍ତୁ |</v>
      </c>
      <c r="G38" s="2" t="str">
        <f>IFERROR(__xludf.DUMMYFUNCTION("""COMPUTED_VALUE"""),"অৱস্থান নিশ্চিত কৰক")</f>
        <v>অৱস্থান নিশ্চিত কৰক</v>
      </c>
      <c r="H38" s="2" t="str">
        <f>IFERROR(__xludf.DUMMYFUNCTION("""COMPUTED_VALUE"""),"સ્થાનની પુષ્ટિ")</f>
        <v>સ્થાનની પુષ્ટિ</v>
      </c>
      <c r="I38" s="2" t="str">
        <f>IFERROR(__xludf.DUMMYFUNCTION("""COMPUTED_VALUE"""),"स्थान निश्चित करा")</f>
        <v>स्थान निश्चित करा</v>
      </c>
      <c r="J38" s="2" t="str">
        <f>IFERROR(__xludf.DUMMYFUNCTION("""COMPUTED_VALUE"""),"സ്ഥാനം സ്ഥിരീകരിക്കുക")</f>
        <v>സ്ഥാനം സ്ഥിരീകരിക്കുക</v>
      </c>
      <c r="K38" s="2" t="str">
        <f>IFERROR(__xludf.DUMMYFUNCTION("""COMPUTED_VALUE"""),"ਸਥਾਨ ਦੀ ਪੁਸ਼ਟੀ ਕਰੋ")</f>
        <v>ਸਥਾਨ ਦੀ ਪੁਸ਼ਟੀ ਕਰੋ</v>
      </c>
      <c r="L38" s="2" t="str">
        <f>IFERROR(__xludf.DUMMYFUNCTION("""COMPUTED_VALUE"""),"இருப்பிடத்தை உறுதிப்படுத்தவும்")</f>
        <v>இருப்பிடத்தை உறுதிப்படுத்தவும்</v>
      </c>
      <c r="M38" s="2" t="str">
        <f>IFERROR(__xludf.DUMMYFUNCTION("""COMPUTED_VALUE"""),"స్థానాన్ని నిర్ధారించండి")</f>
        <v>స్థానాన్ని నిర్ధారించండి</v>
      </c>
    </row>
    <row r="39">
      <c r="A39" s="2" t="str">
        <f>Master_en!A39</f>
        <v>distanceLessThan</v>
      </c>
      <c r="B39" s="2" t="str">
        <f>Master_en!B39</f>
        <v>Distance less than </v>
      </c>
      <c r="C39" s="2" t="str">
        <f>IFERROR(__xludf.DUMMYFUNCTION("""COMPUTED_VALUE"""),"দূরত্বের চেয়ে কম")</f>
        <v>দূরত্বের চেয়ে কম</v>
      </c>
      <c r="D39" s="2" t="str">
        <f>IFERROR(__xludf.DUMMYFUNCTION("""COMPUTED_VALUE"""),"दूरी से कम")</f>
        <v>दूरी से कम</v>
      </c>
      <c r="E39" s="2" t="str">
        <f>IFERROR(__xludf.DUMMYFUNCTION("""COMPUTED_VALUE"""),"ಕಡಿಮೆ ದೂರ")</f>
        <v>ಕಡಿಮೆ ದೂರ</v>
      </c>
      <c r="F39" s="2" t="str">
        <f>IFERROR(__xludf.DUMMYFUNCTION("""COMPUTED_VALUE"""),"ଠାରୁ କମ୍ ଦୂରତା |")</f>
        <v>ଠାରୁ କମ୍ ଦୂରତା |</v>
      </c>
      <c r="G39" s="2" t="str">
        <f>IFERROR(__xludf.DUMMYFUNCTION("""COMPUTED_VALUE"""),"দূৰত্ব কম")</f>
        <v>দূৰত্ব কম</v>
      </c>
      <c r="H39" s="2" t="str">
        <f>IFERROR(__xludf.DUMMYFUNCTION("""COMPUTED_VALUE"""),"કરતાં ઓછું અંતર")</f>
        <v>કરતાં ઓછું અંતર</v>
      </c>
      <c r="I39" s="2" t="str">
        <f>IFERROR(__xludf.DUMMYFUNCTION("""COMPUTED_VALUE"""),"पेक्षा कमी अंतर")</f>
        <v>पेक्षा कमी अंतर</v>
      </c>
      <c r="J39" s="2" t="str">
        <f>IFERROR(__xludf.DUMMYFUNCTION("""COMPUTED_VALUE"""),"എന്നതിനേക്കാൾ കുറവ്")</f>
        <v>എന്നതിനേക്കാൾ കുറവ്</v>
      </c>
      <c r="K39" s="2" t="str">
        <f>IFERROR(__xludf.DUMMYFUNCTION("""COMPUTED_VALUE"""),"ਤੋਂ ਘੱਟ ਦੂਰੀ")</f>
        <v>ਤੋਂ ਘੱਟ ਦੂਰੀ</v>
      </c>
      <c r="L39" s="2" t="str">
        <f>IFERROR(__xludf.DUMMYFUNCTION("""COMPUTED_VALUE"""),"விட குறைவான தூரம்")</f>
        <v>விட குறைவான தூரம்</v>
      </c>
      <c r="M39" s="2" t="str">
        <f>IFERROR(__xludf.DUMMYFUNCTION("""COMPUTED_VALUE"""),"కంటే తక్కువ దూరం")</f>
        <v>కంటే తక్కువ దూరం</v>
      </c>
    </row>
    <row r="40">
      <c r="A40" s="2" t="str">
        <f>Master_en!A40</f>
        <v>km</v>
      </c>
      <c r="B40" s="2" t="str">
        <f>Master_en!B40</f>
        <v>KM</v>
      </c>
      <c r="C40" s="2" t="str">
        <f>IFERROR(__xludf.DUMMYFUNCTION("""COMPUTED_VALUE"""),"কিমি")</f>
        <v>কিমি</v>
      </c>
      <c r="D40" s="2" t="str">
        <f>IFERROR(__xludf.DUMMYFUNCTION("""COMPUTED_VALUE"""),"किमी")</f>
        <v>किमी</v>
      </c>
      <c r="E40" s="2" t="str">
        <f>IFERROR(__xludf.DUMMYFUNCTION("""COMPUTED_VALUE"""),"ಕಿಮೀ")</f>
        <v>ಕಿಮೀ</v>
      </c>
      <c r="F40" s="2" t="str">
        <f>IFERROR(__xludf.DUMMYFUNCTION("""COMPUTED_VALUE"""),"କିଲୋମିଟର")</f>
        <v>କିଲୋମିଟର</v>
      </c>
      <c r="G40" s="2" t="str">
        <f>IFERROR(__xludf.DUMMYFUNCTION("""COMPUTED_VALUE"""),"কে.এম")</f>
        <v>কে.এম</v>
      </c>
      <c r="H40" s="2" t="str">
        <f>IFERROR(__xludf.DUMMYFUNCTION("""COMPUTED_VALUE"""),"કિ.મી.")</f>
        <v>કિ.મી.</v>
      </c>
      <c r="I40" s="2" t="str">
        <f>IFERROR(__xludf.DUMMYFUNCTION("""COMPUTED_VALUE"""),"किमी")</f>
        <v>किमी</v>
      </c>
      <c r="J40" s="2" t="str">
        <f>IFERROR(__xludf.DUMMYFUNCTION("""COMPUTED_VALUE"""),"കെഎം")</f>
        <v>കെഎം</v>
      </c>
      <c r="K40" s="2" t="str">
        <f>IFERROR(__xludf.DUMMYFUNCTION("""COMPUTED_VALUE"""),"ਕਿਮੀ")</f>
        <v>ਕਿਮੀ</v>
      </c>
      <c r="L40" s="2" t="str">
        <f>IFERROR(__xludf.DUMMYFUNCTION("""COMPUTED_VALUE"""),"கி.மீ.")</f>
        <v>கி.மீ.</v>
      </c>
      <c r="M40" s="2" t="str">
        <f>IFERROR(__xludf.DUMMYFUNCTION("""COMPUTED_VALUE"""),"Km")</f>
        <v>Km</v>
      </c>
    </row>
    <row r="41">
      <c r="A41" s="2" t="str">
        <f>Master_en!A41</f>
        <v>moreThan</v>
      </c>
      <c r="B41" s="2" t="str">
        <f>Master_en!B41</f>
        <v>More than</v>
      </c>
      <c r="C41" s="2" t="str">
        <f>IFERROR(__xludf.DUMMYFUNCTION("""COMPUTED_VALUE"""),"অধিক")</f>
        <v>অধিক</v>
      </c>
      <c r="D41" s="2" t="str">
        <f>IFERROR(__xludf.DUMMYFUNCTION("""COMPUTED_VALUE"""),"इससे अधिक")</f>
        <v>इससे अधिक</v>
      </c>
      <c r="E41" s="2" t="str">
        <f>IFERROR(__xludf.DUMMYFUNCTION("""COMPUTED_VALUE"""),"ಇನ್ನೂ ಹೆಚ್ಚು")</f>
        <v>ಇನ್ನೂ ಹೆಚ್ಚು</v>
      </c>
      <c r="F41" s="2" t="str">
        <f>IFERROR(__xludf.DUMMYFUNCTION("""COMPUTED_VALUE"""),"ଠାରୁ ଅଧିକ")</f>
        <v>ଠାରୁ ଅଧିକ</v>
      </c>
      <c r="G41" s="2" t="str">
        <f>IFERROR(__xludf.DUMMYFUNCTION("""COMPUTED_VALUE"""),"তাতোকৈ")</f>
        <v>তাতোকৈ</v>
      </c>
      <c r="H41" s="2" t="str">
        <f>IFERROR(__xludf.DUMMYFUNCTION("""COMPUTED_VALUE"""),"કરતાં વધુ")</f>
        <v>કરતાં વધુ</v>
      </c>
      <c r="I41" s="2" t="str">
        <f>IFERROR(__xludf.DUMMYFUNCTION("""COMPUTED_VALUE"""),"पेक्षा जास्त")</f>
        <v>पेक्षा जास्त</v>
      </c>
      <c r="J41" s="2" t="str">
        <f>IFERROR(__xludf.DUMMYFUNCTION("""COMPUTED_VALUE"""),"അതിലും കൂടുതൽ")</f>
        <v>അതിലും കൂടുതൽ</v>
      </c>
      <c r="K41" s="2" t="str">
        <f>IFERROR(__xludf.DUMMYFUNCTION("""COMPUTED_VALUE"""),"ਇਸ ਤੋਂ ਵੱਧ")</f>
        <v>ਇਸ ਤੋਂ ਵੱਧ</v>
      </c>
      <c r="L41" s="2" t="str">
        <f>IFERROR(__xludf.DUMMYFUNCTION("""COMPUTED_VALUE"""),"விட")</f>
        <v>விட</v>
      </c>
      <c r="M41" s="2" t="str">
        <f>IFERROR(__xludf.DUMMYFUNCTION("""COMPUTED_VALUE"""),"మించి")</f>
        <v>మించి</v>
      </c>
    </row>
    <row r="42">
      <c r="A42" s="2" t="str">
        <f>Master_en!A42</f>
        <v>all</v>
      </c>
      <c r="B42" s="2" t="str">
        <f>Master_en!B42</f>
        <v>All</v>
      </c>
      <c r="C42" s="2" t="str">
        <f>IFERROR(__xludf.DUMMYFUNCTION("""COMPUTED_VALUE"""),"সব")</f>
        <v>সব</v>
      </c>
      <c r="D42" s="2" t="str">
        <f>IFERROR(__xludf.DUMMYFUNCTION("""COMPUTED_VALUE"""),"सभी")</f>
        <v>सभी</v>
      </c>
      <c r="E42" s="2" t="str">
        <f>IFERROR(__xludf.DUMMYFUNCTION("""COMPUTED_VALUE"""),"ಎಲ್ಲರೂ")</f>
        <v>ಎಲ್ಲರೂ</v>
      </c>
      <c r="F42" s="2" t="str">
        <f>IFERROR(__xludf.DUMMYFUNCTION("""COMPUTED_VALUE"""),"ସମସ୍ତ")</f>
        <v>ସମସ୍ତ</v>
      </c>
      <c r="G42" s="2" t="str">
        <f>IFERROR(__xludf.DUMMYFUNCTION("""COMPUTED_VALUE"""),"আটাইবোৰ")</f>
        <v>আটাইবোৰ</v>
      </c>
      <c r="H42" s="2" t="str">
        <f>IFERROR(__xludf.DUMMYFUNCTION("""COMPUTED_VALUE"""),"બધા")</f>
        <v>બધા</v>
      </c>
      <c r="I42" s="2" t="str">
        <f>IFERROR(__xludf.DUMMYFUNCTION("""COMPUTED_VALUE"""),"सर्व")</f>
        <v>सर्व</v>
      </c>
      <c r="J42" s="2" t="str">
        <f>IFERROR(__xludf.DUMMYFUNCTION("""COMPUTED_VALUE"""),"എല്ലാം")</f>
        <v>എല്ലാം</v>
      </c>
      <c r="K42" s="2" t="str">
        <f>IFERROR(__xludf.DUMMYFUNCTION("""COMPUTED_VALUE"""),"ਸਾਰੇ")</f>
        <v>ਸਾਰੇ</v>
      </c>
      <c r="L42" s="2" t="str">
        <f>IFERROR(__xludf.DUMMYFUNCTION("""COMPUTED_VALUE"""),"அனைத்தும்")</f>
        <v>அனைத்தும்</v>
      </c>
      <c r="M42" s="2" t="str">
        <f>IFERROR(__xludf.DUMMYFUNCTION("""COMPUTED_VALUE"""),"అన్నీ")</f>
        <v>అన్నీ</v>
      </c>
    </row>
    <row r="43">
      <c r="A43" s="2" t="str">
        <f>Master_en!A43</f>
        <v>delivery</v>
      </c>
      <c r="B43" s="2" t="str">
        <f>Master_en!B43</f>
        <v>Delivery </v>
      </c>
      <c r="C43" s="2" t="str">
        <f>IFERROR(__xludf.DUMMYFUNCTION("""COMPUTED_VALUE"""),"বিতরণ")</f>
        <v>বিতরণ</v>
      </c>
      <c r="D43" s="2" t="str">
        <f>IFERROR(__xludf.DUMMYFUNCTION("""COMPUTED_VALUE"""),"वितरण")</f>
        <v>वितरण</v>
      </c>
      <c r="E43" s="2" t="str">
        <f>IFERROR(__xludf.DUMMYFUNCTION("""COMPUTED_VALUE"""),"ವಿತರಣೆ")</f>
        <v>ವಿತರಣೆ</v>
      </c>
      <c r="F43" s="2" t="str">
        <f>IFERROR(__xludf.DUMMYFUNCTION("""COMPUTED_VALUE"""),"ବିତରଣ")</f>
        <v>ବିତରଣ</v>
      </c>
      <c r="G43" s="2" t="str">
        <f>IFERROR(__xludf.DUMMYFUNCTION("""COMPUTED_VALUE"""),"বিলি কৰা")</f>
        <v>বিলি কৰা</v>
      </c>
      <c r="H43" s="2" t="str">
        <f>IFERROR(__xludf.DUMMYFUNCTION("""COMPUTED_VALUE"""),"ડિલિવરી")</f>
        <v>ડિલિવરી</v>
      </c>
      <c r="I43" s="2" t="str">
        <f>IFERROR(__xludf.DUMMYFUNCTION("""COMPUTED_VALUE"""),"वितरण")</f>
        <v>वितरण</v>
      </c>
      <c r="J43" s="2" t="str">
        <f>IFERROR(__xludf.DUMMYFUNCTION("""COMPUTED_VALUE"""),"പസവം")</f>
        <v>പസവം</v>
      </c>
      <c r="K43" s="2" t="str">
        <f>IFERROR(__xludf.DUMMYFUNCTION("""COMPUTED_VALUE"""),"ਡਿਲਿਵਰੀ")</f>
        <v>ਡਿਲਿਵਰੀ</v>
      </c>
      <c r="L43" s="2" t="str">
        <f>IFERROR(__xludf.DUMMYFUNCTION("""COMPUTED_VALUE"""),"டெலிவரி")</f>
        <v>டெலிவரி</v>
      </c>
      <c r="M43" s="2" t="str">
        <f>IFERROR(__xludf.DUMMYFUNCTION("""COMPUTED_VALUE"""),"డెలివరీ")</f>
        <v>డెలివరీ</v>
      </c>
    </row>
    <row r="44">
      <c r="A44" s="2" t="str">
        <f>Master_en!A44</f>
        <v>pickUp</v>
      </c>
      <c r="B44" s="2" t="str">
        <f>Master_en!B44</f>
        <v>Pickup</v>
      </c>
      <c r="C44" s="2" t="str">
        <f>IFERROR(__xludf.DUMMYFUNCTION("""COMPUTED_VALUE"""),"পিকআপ")</f>
        <v>পিকআপ</v>
      </c>
      <c r="D44" s="2" t="str">
        <f>IFERROR(__xludf.DUMMYFUNCTION("""COMPUTED_VALUE"""),"उठाना")</f>
        <v>उठाना</v>
      </c>
      <c r="E44" s="2" t="str">
        <f>IFERROR(__xludf.DUMMYFUNCTION("""COMPUTED_VALUE"""),"ಸ್ವಯಂ ತೆಗೆದುಕೊಳ್ಳಲು")</f>
        <v>ಸ್ವಯಂ ತೆಗೆದುಕೊಳ್ಳಲು</v>
      </c>
      <c r="F44" s="2" t="str">
        <f>IFERROR(__xludf.DUMMYFUNCTION("""COMPUTED_VALUE"""),"ପିକଅପ୍ |")</f>
        <v>ପିକଅପ୍ |</v>
      </c>
      <c r="G44" s="2" t="str">
        <f>IFERROR(__xludf.DUMMYFUNCTION("""COMPUTED_VALUE"""),"উঠাওক")</f>
        <v>উঠাওক</v>
      </c>
      <c r="H44" s="2" t="str">
        <f>IFERROR(__xludf.DUMMYFUNCTION("""COMPUTED_VALUE"""),"પીકઅપ")</f>
        <v>પીકઅપ</v>
      </c>
      <c r="I44" s="2" t="str">
        <f>IFERROR(__xludf.DUMMYFUNCTION("""COMPUTED_VALUE"""),"पिकअप")</f>
        <v>पिकअप</v>
      </c>
      <c r="J44" s="2" t="str">
        <f>IFERROR(__xludf.DUMMYFUNCTION("""COMPUTED_VALUE"""),"പുരോഗമിക്കുക")</f>
        <v>പുരോഗമിക്കുക</v>
      </c>
      <c r="K44" s="2" t="str">
        <f>IFERROR(__xludf.DUMMYFUNCTION("""COMPUTED_VALUE"""),"ਚੁੱਕਣਾ")</f>
        <v>ਚੁੱਕਣਾ</v>
      </c>
      <c r="L44" s="2" t="str">
        <f>IFERROR(__xludf.DUMMYFUNCTION("""COMPUTED_VALUE"""),"பிக்கப்")</f>
        <v>பிக்கப்</v>
      </c>
      <c r="M44" s="2" t="str">
        <f>IFERROR(__xludf.DUMMYFUNCTION("""COMPUTED_VALUE"""),"తీసుకోవడం")</f>
        <v>తీసుకోవడం</v>
      </c>
    </row>
    <row r="45">
      <c r="A45" s="2" t="str">
        <f>Master_en!A45</f>
        <v>previousOrder</v>
      </c>
      <c r="B45" s="2" t="str">
        <f>Master_en!B45</f>
        <v>Previous Order</v>
      </c>
      <c r="C45" s="2" t="str">
        <f>IFERROR(__xludf.DUMMYFUNCTION("""COMPUTED_VALUE"""),"পূর্ববর্তী আদেশ")</f>
        <v>পূর্ববর্তী আদেশ</v>
      </c>
      <c r="D45" s="2" t="str">
        <f>IFERROR(__xludf.DUMMYFUNCTION("""COMPUTED_VALUE"""),"पिछला आदेश")</f>
        <v>पिछला आदेश</v>
      </c>
      <c r="E45" s="2" t="str">
        <f>IFERROR(__xludf.DUMMYFUNCTION("""COMPUTED_VALUE"""),"ಹಿಂದಿನ ಕ್ರಮ")</f>
        <v>ಹಿಂದಿನ ಕ್ರಮ</v>
      </c>
      <c r="F45" s="2" t="str">
        <f>IFERROR(__xludf.DUMMYFUNCTION("""COMPUTED_VALUE"""),"ପୂର୍ବ କ୍ରମ")</f>
        <v>ପୂର୍ବ କ୍ରମ</v>
      </c>
      <c r="G45" s="2" t="str">
        <f>IFERROR(__xludf.DUMMYFUNCTION("""COMPUTED_VALUE"""),"পূৰ্বৰ ক্ৰম")</f>
        <v>পূৰ্বৰ ক্ৰম</v>
      </c>
      <c r="H45" s="2" t="str">
        <f>IFERROR(__xludf.DUMMYFUNCTION("""COMPUTED_VALUE"""),"પાછલો ઓર્ડર")</f>
        <v>પાછલો ઓર્ડર</v>
      </c>
      <c r="I45" s="2" t="str">
        <f>IFERROR(__xludf.DUMMYFUNCTION("""COMPUTED_VALUE"""),"मागील ऑर्डर")</f>
        <v>मागील ऑर्डर</v>
      </c>
      <c r="J45" s="2" t="str">
        <f>IFERROR(__xludf.DUMMYFUNCTION("""COMPUTED_VALUE"""),"മുമ്പത്തെ ഓർഡർ")</f>
        <v>മുമ്പത്തെ ഓർഡർ</v>
      </c>
      <c r="K45" s="2" t="str">
        <f>IFERROR(__xludf.DUMMYFUNCTION("""COMPUTED_VALUE"""),"ਪਿਛਲਾ ਆਰਡਰ")</f>
        <v>ਪਿਛਲਾ ਆਰਡਰ</v>
      </c>
      <c r="L45" s="2" t="str">
        <f>IFERROR(__xludf.DUMMYFUNCTION("""COMPUTED_VALUE"""),"முந்தைய ஆர்டர்")</f>
        <v>முந்தைய ஆர்டர்</v>
      </c>
      <c r="M45" s="2" t="str">
        <f>IFERROR(__xludf.DUMMYFUNCTION("""COMPUTED_VALUE"""),"మునుపటి ఆర్డర్")</f>
        <v>మునుపటి ఆర్డర్</v>
      </c>
    </row>
    <row r="46">
      <c r="A46" s="2" t="str">
        <f>Master_en!A46</f>
        <v>frequentlyBought</v>
      </c>
      <c r="B46" s="2" t="str">
        <f>Master_en!B46</f>
        <v>Frequently Bought</v>
      </c>
      <c r="C46" s="2" t="str">
        <f>IFERROR(__xludf.DUMMYFUNCTION("""COMPUTED_VALUE"""),"প্রায়শই কেনা")</f>
        <v>প্রায়শই কেনা</v>
      </c>
      <c r="D46" s="2" t="str">
        <f>IFERROR(__xludf.DUMMYFUNCTION("""COMPUTED_VALUE"""),"अक्सर खरीदा")</f>
        <v>अक्सर खरीदा</v>
      </c>
      <c r="E46" s="2" t="str">
        <f>IFERROR(__xludf.DUMMYFUNCTION("""COMPUTED_VALUE"""),"ಆಗಾಗ್ಗೆ ಖರೀದಿಸಲಾಗುತ್ತದೆ")</f>
        <v>ಆಗಾಗ್ಗೆ ಖರೀದಿಸಲಾಗುತ್ತದೆ</v>
      </c>
      <c r="F46" s="2" t="str">
        <f>IFERROR(__xludf.DUMMYFUNCTION("""COMPUTED_VALUE"""),"ବାରମ୍ବାର କିଣିଛି |")</f>
        <v>ବାରମ୍ବାର କିଣିଛି |</v>
      </c>
      <c r="G46" s="2" t="str">
        <f>IFERROR(__xludf.DUMMYFUNCTION("""COMPUTED_VALUE"""),"সঘনাই কিনা")</f>
        <v>সঘনাই কিনা</v>
      </c>
      <c r="H46" s="2" t="str">
        <f>IFERROR(__xludf.DUMMYFUNCTION("""COMPUTED_VALUE"""),"વારંવાર")</f>
        <v>વારંવાર</v>
      </c>
      <c r="I46" s="2" t="str">
        <f>IFERROR(__xludf.DUMMYFUNCTION("""COMPUTED_VALUE"""),"वारंवार विकत घेतलेले")</f>
        <v>वारंवार विकत घेतलेले</v>
      </c>
      <c r="J46" s="2" t="str">
        <f>IFERROR(__xludf.DUMMYFUNCTION("""COMPUTED_VALUE"""),"പതിവായി വാങ്ങി")</f>
        <v>പതിവായി വാങ്ങി</v>
      </c>
      <c r="K46" s="2" t="str">
        <f>IFERROR(__xludf.DUMMYFUNCTION("""COMPUTED_VALUE"""),"ਅਕਸਰ ਖਰੀਦਿਆ")</f>
        <v>ਅਕਸਰ ਖਰੀਦਿਆ</v>
      </c>
      <c r="L46" s="2" t="str">
        <f>IFERROR(__xludf.DUMMYFUNCTION("""COMPUTED_VALUE"""),"அடிக்கடி வாங்கப்பட்டது")</f>
        <v>அடிக்கடி வாங்கப்பட்டது</v>
      </c>
      <c r="M46" s="2" t="str">
        <f>IFERROR(__xludf.DUMMYFUNCTION("""COMPUTED_VALUE"""),"తరచుగా కొన్నారు")</f>
        <v>తరచుగా కొన్నారు</v>
      </c>
    </row>
    <row r="47">
      <c r="A47" s="2" t="str">
        <f>Master_en!A47</f>
        <v>recommended</v>
      </c>
      <c r="B47" s="2" t="str">
        <f>Master_en!B47</f>
        <v>Recommended</v>
      </c>
      <c r="C47" s="2" t="str">
        <f>IFERROR(__xludf.DUMMYFUNCTION("""COMPUTED_VALUE"""),"প্রস্তাবিত")</f>
        <v>প্রস্তাবিত</v>
      </c>
      <c r="D47" s="2" t="str">
        <f>IFERROR(__xludf.DUMMYFUNCTION("""COMPUTED_VALUE"""),"अनुशंसित")</f>
        <v>अनुशंसित</v>
      </c>
      <c r="E47" s="2" t="str">
        <f>IFERROR(__xludf.DUMMYFUNCTION("""COMPUTED_VALUE"""),"ಶಿಫಾರಸುಮಾಡಿದ")</f>
        <v>ಶಿಫಾರಸುಮಾಡಿದ</v>
      </c>
      <c r="F47" s="2" t="str">
        <f>IFERROR(__xludf.DUMMYFUNCTION("""COMPUTED_VALUE"""),"ସୁପାରିଶ କରାଯାଇଛି |")</f>
        <v>ସୁପାରିଶ କରାଯାଇଛି |</v>
      </c>
      <c r="G47" s="2" t="str">
        <f>IFERROR(__xludf.DUMMYFUNCTION("""COMPUTED_VALUE"""),"পৰামৰ্শিত")</f>
        <v>পৰামৰ্শিত</v>
      </c>
      <c r="H47" s="2" t="str">
        <f>IFERROR(__xludf.DUMMYFUNCTION("""COMPUTED_VALUE"""),"ભલામણ કરેલ")</f>
        <v>ભલામણ કરેલ</v>
      </c>
      <c r="I47" s="2" t="str">
        <f>IFERROR(__xludf.DUMMYFUNCTION("""COMPUTED_VALUE"""),"शिफारस केली")</f>
        <v>शिफारस केली</v>
      </c>
      <c r="J47" s="2" t="str">
        <f>IFERROR(__xludf.DUMMYFUNCTION("""COMPUTED_VALUE"""),"ശുപാർശ ചെയ്ത")</f>
        <v>ശുപാർശ ചെയ്ത</v>
      </c>
      <c r="K47" s="2" t="str">
        <f>IFERROR(__xludf.DUMMYFUNCTION("""COMPUTED_VALUE"""),"ਸਿਫਾਰਸ਼ ਕੀਤੀ")</f>
        <v>ਸਿਫਾਰਸ਼ ਕੀਤੀ</v>
      </c>
      <c r="L47" s="2" t="str">
        <f>IFERROR(__xludf.DUMMYFUNCTION("""COMPUTED_VALUE"""),"பரிந்துரைக்கப்படுகிறது")</f>
        <v>பரிந்துரைக்கப்படுகிறது</v>
      </c>
      <c r="M47" s="2" t="str">
        <f>IFERROR(__xludf.DUMMYFUNCTION("""COMPUTED_VALUE"""),"సిఫార్సు చేయబడింది")</f>
        <v>సిఫార్సు చేయబడింది</v>
      </c>
    </row>
    <row r="48">
      <c r="A48" s="2" t="str">
        <f>Master_en!A48</f>
        <v>aboutSeller</v>
      </c>
      <c r="B48" s="2" t="str">
        <f>Master_en!B48</f>
        <v>About Seller </v>
      </c>
      <c r="C48" s="2" t="str">
        <f>IFERROR(__xludf.DUMMYFUNCTION("""COMPUTED_VALUE"""),"বিক্রেতা সম্পর্কে")</f>
        <v>বিক্রেতা সম্পর্কে</v>
      </c>
      <c r="D48" s="2" t="str">
        <f>IFERROR(__xludf.DUMMYFUNCTION("""COMPUTED_VALUE"""),"विक्रेता के बारे में")</f>
        <v>विक्रेता के बारे में</v>
      </c>
      <c r="E48" s="2" t="str">
        <f>IFERROR(__xludf.DUMMYFUNCTION("""COMPUTED_VALUE"""),"ಮಾರಾಟಗಾರರ ಬಗ್ಗೆ")</f>
        <v>ಮಾರಾಟಗಾರರ ಬಗ್ಗೆ</v>
      </c>
      <c r="F48" s="2" t="str">
        <f>IFERROR(__xludf.DUMMYFUNCTION("""COMPUTED_VALUE"""),"ବିକ୍ରେତା ବିଷୟରେ")</f>
        <v>ବିକ୍ରେତା ବିଷୟରେ</v>
      </c>
      <c r="G48" s="2" t="str">
        <f>IFERROR(__xludf.DUMMYFUNCTION("""COMPUTED_VALUE"""),"বিক্ৰেতাৰ বিষয়ে")</f>
        <v>বিক্ৰেতাৰ বিষয়ে</v>
      </c>
      <c r="H48" s="2" t="str">
        <f>IFERROR(__xludf.DUMMYFUNCTION("""COMPUTED_VALUE"""),"વિક્રેતા વિશે")</f>
        <v>વિક્રેતા વિશે</v>
      </c>
      <c r="I48" s="2" t="str">
        <f>IFERROR(__xludf.DUMMYFUNCTION("""COMPUTED_VALUE"""),"विक्रेत्याबद्दल")</f>
        <v>विक्रेत्याबद्दल</v>
      </c>
      <c r="J48" s="2" t="str">
        <f>IFERROR(__xludf.DUMMYFUNCTION("""COMPUTED_VALUE"""),"വിൽപ്പനക്കാരനെക്കുറിച്ച്")</f>
        <v>വിൽപ്പനക്കാരനെക്കുറിച്ച്</v>
      </c>
      <c r="K48" s="2" t="str">
        <f>IFERROR(__xludf.DUMMYFUNCTION("""COMPUTED_VALUE"""),"ਵਿਕਰੇਤਾ ਬਾਰੇ")</f>
        <v>ਵਿਕਰੇਤਾ ਬਾਰੇ</v>
      </c>
      <c r="L48" s="2" t="str">
        <f>IFERROR(__xludf.DUMMYFUNCTION("""COMPUTED_VALUE"""),"விற்பனையாளர் பற்றி")</f>
        <v>விற்பனையாளர் பற்றி</v>
      </c>
      <c r="M48" s="2" t="str">
        <f>IFERROR(__xludf.DUMMYFUNCTION("""COMPUTED_VALUE"""),"విక్రేత గురించి")</f>
        <v>విక్రేత గురించి</v>
      </c>
    </row>
    <row r="49">
      <c r="A49" s="2" t="str">
        <f>Master_en!A49</f>
        <v>sellingItems</v>
      </c>
      <c r="B49" s="2" t="str">
        <f>Master_en!B49</f>
        <v>Selling Items</v>
      </c>
      <c r="C49" s="2" t="str">
        <f>IFERROR(__xludf.DUMMYFUNCTION("""COMPUTED_VALUE"""),"আইটেম বিক্রি")</f>
        <v>আইটেম বিক্রি</v>
      </c>
      <c r="D49" s="2" t="str">
        <f>IFERROR(__xludf.DUMMYFUNCTION("""COMPUTED_VALUE"""),"बेचना आइटम")</f>
        <v>बेचना आइटम</v>
      </c>
      <c r="E49" s="2" t="str">
        <f>IFERROR(__xludf.DUMMYFUNCTION("""COMPUTED_VALUE"""),"ವಸ್ತುಗಳನ್ನು ಮಾರಾಟ ಮಾಡುವುದು")</f>
        <v>ವಸ್ತುಗಳನ್ನು ಮಾರಾಟ ಮಾಡುವುದು</v>
      </c>
      <c r="F49" s="2" t="str">
        <f>IFERROR(__xludf.DUMMYFUNCTION("""COMPUTED_VALUE"""),"ଆଇଟମ୍ ବିକ୍ରୟ |")</f>
        <v>ଆଇଟମ୍ ବିକ୍ରୟ |</v>
      </c>
      <c r="G49" s="2" t="str">
        <f>IFERROR(__xludf.DUMMYFUNCTION("""COMPUTED_VALUE"""),"বস্তু বিক্ৰী কৰা")</f>
        <v>বস্তু বিক্ৰী কৰা</v>
      </c>
      <c r="H49" s="2" t="str">
        <f>IFERROR(__xludf.DUMMYFUNCTION("""COMPUTED_VALUE"""),"વસ્તુઓ વેચવી")</f>
        <v>વસ્તુઓ વેચવી</v>
      </c>
      <c r="I49" s="2" t="str">
        <f>IFERROR(__xludf.DUMMYFUNCTION("""COMPUTED_VALUE"""),"वस्तूंची विक्री")</f>
        <v>वस्तूंची विक्री</v>
      </c>
      <c r="J49" s="2" t="str">
        <f>IFERROR(__xludf.DUMMYFUNCTION("""COMPUTED_VALUE"""),"ഇനങ്ങൾ വിൽക്കുന്നു")</f>
        <v>ഇനങ്ങൾ വിൽക്കുന്നു</v>
      </c>
      <c r="K49" s="2" t="str">
        <f>IFERROR(__xludf.DUMMYFUNCTION("""COMPUTED_VALUE"""),"ਚੀਜ਼ਾਂ ਵੇਚਣਾ")</f>
        <v>ਚੀਜ਼ਾਂ ਵੇਚਣਾ</v>
      </c>
      <c r="L49" s="2" t="str">
        <f>IFERROR(__xludf.DUMMYFUNCTION("""COMPUTED_VALUE"""),"விற்கும் பொருள்கள் ")</f>
        <v>விற்கும் பொருள்கள் </v>
      </c>
      <c r="M49" s="2" t="str">
        <f>IFERROR(__xludf.DUMMYFUNCTION("""COMPUTED_VALUE"""),"వస్తువులను అమ్మడం")</f>
        <v>వస్తువులను అమ్మడం</v>
      </c>
    </row>
    <row r="50">
      <c r="A50" s="2" t="str">
        <f>Master_en!A50</f>
        <v>menu</v>
      </c>
      <c r="B50" s="2" t="str">
        <f>Master_en!B50</f>
        <v>Menu </v>
      </c>
      <c r="C50" s="2" t="str">
        <f>IFERROR(__xludf.DUMMYFUNCTION("""COMPUTED_VALUE"""),"তালিকা")</f>
        <v>তালিকা</v>
      </c>
      <c r="D50" s="2" t="str">
        <f>IFERROR(__xludf.DUMMYFUNCTION("""COMPUTED_VALUE"""),"मेन्यू")</f>
        <v>मेन्यू</v>
      </c>
      <c r="E50" s="2" t="str">
        <f>IFERROR(__xludf.DUMMYFUNCTION("""COMPUTED_VALUE"""),"ಪಟ್ಟಿ")</f>
        <v>ಪಟ್ಟಿ</v>
      </c>
      <c r="F50" s="2" t="str">
        <f>IFERROR(__xludf.DUMMYFUNCTION("""COMPUTED_VALUE"""),"ମେନୁ")</f>
        <v>ମେନୁ</v>
      </c>
      <c r="G50" s="2" t="str">
        <f>IFERROR(__xludf.DUMMYFUNCTION("""COMPUTED_VALUE"""),"মেনু")</f>
        <v>মেনু</v>
      </c>
      <c r="H50" s="2" t="str">
        <f>IFERROR(__xludf.DUMMYFUNCTION("""COMPUTED_VALUE"""),"યાદી")</f>
        <v>યાદી</v>
      </c>
      <c r="I50" s="2" t="str">
        <f>IFERROR(__xludf.DUMMYFUNCTION("""COMPUTED_VALUE"""),"मेनू")</f>
        <v>मेनू</v>
      </c>
      <c r="J50" s="2" t="str">
        <f>IFERROR(__xludf.DUMMYFUNCTION("""COMPUTED_VALUE"""),"മെനു")</f>
        <v>മെനു</v>
      </c>
      <c r="K50" s="2" t="str">
        <f>IFERROR(__xludf.DUMMYFUNCTION("""COMPUTED_VALUE"""),"ਮੇਨੂ")</f>
        <v>ਮੇਨੂ</v>
      </c>
      <c r="L50" s="2" t="str">
        <f>IFERROR(__xludf.DUMMYFUNCTION("""COMPUTED_VALUE"""),"பட்டியல்")</f>
        <v>பட்டியல்</v>
      </c>
      <c r="M50" s="2" t="str">
        <f>IFERROR(__xludf.DUMMYFUNCTION("""COMPUTED_VALUE"""),"మెను")</f>
        <v>మెను</v>
      </c>
    </row>
    <row r="51">
      <c r="A51" s="2" t="str">
        <f>Master_en!A51</f>
        <v>addToFavourites</v>
      </c>
      <c r="B51" s="2" t="str">
        <f>Master_en!B51</f>
        <v>Add to favourites</v>
      </c>
      <c r="C51" s="2" t="str">
        <f>IFERROR(__xludf.DUMMYFUNCTION("""COMPUTED_VALUE"""),"ফেভারিটে যোগ করুন")</f>
        <v>ফেভারিটে যোগ করুন</v>
      </c>
      <c r="D51" s="2" t="str">
        <f>IFERROR(__xludf.DUMMYFUNCTION("""COMPUTED_VALUE"""),"पसंदीदा करने के लिए जोड़ें")</f>
        <v>पसंदीदा करने के लिए जोड़ें</v>
      </c>
      <c r="E51" s="2" t="str">
        <f>IFERROR(__xludf.DUMMYFUNCTION("""COMPUTED_VALUE"""),"ಮೆಚ್ಚಿನವುಗಳಿಗೆ ಸೇರಿಸಿ")</f>
        <v>ಮೆಚ್ಚಿನವುಗಳಿಗೆ ಸೇರಿಸಿ</v>
      </c>
      <c r="F51" s="2" t="str">
        <f>IFERROR(__xludf.DUMMYFUNCTION("""COMPUTED_VALUE"""),"ପ୍ରିୟମାନଙ୍କୁ ଯୋଡନ୍ତୁ |")</f>
        <v>ପ୍ରିୟମାନଙ୍କୁ ଯୋଡନ୍ତୁ |</v>
      </c>
      <c r="G51" s="2" t="str">
        <f>IFERROR(__xludf.DUMMYFUNCTION("""COMPUTED_VALUE"""),"প্ৰিয়বোৰত যোগ কৰক")</f>
        <v>প্ৰিয়বোৰত যোগ কৰক</v>
      </c>
      <c r="H51" s="2" t="str">
        <f>IFERROR(__xludf.DUMMYFUNCTION("""COMPUTED_VALUE"""),"પસંદગીમાં ઉમેરો")</f>
        <v>પસંદગીમાં ઉમેરો</v>
      </c>
      <c r="I51" s="2" t="str">
        <f>IFERROR(__xludf.DUMMYFUNCTION("""COMPUTED_VALUE"""),"आवडींमध्ये जोडा")</f>
        <v>आवडींमध्ये जोडा</v>
      </c>
      <c r="J51" s="2" t="str">
        <f>IFERROR(__xludf.DUMMYFUNCTION("""COMPUTED_VALUE"""),"പ്രിയങ്കരങ്ങളിലേക്ക് ചേർക്കുക")</f>
        <v>പ്രിയങ്കരങ്ങളിലേക്ക് ചേർക്കുക</v>
      </c>
      <c r="K51" s="2" t="str">
        <f>IFERROR(__xludf.DUMMYFUNCTION("""COMPUTED_VALUE"""),"ਮਨਪਸੰਦ ਵਿੱਚ ਸ਼ਾਮਲ ਕਰੋ")</f>
        <v>ਮਨਪਸੰਦ ਵਿੱਚ ਸ਼ਾਮਲ ਕਰੋ</v>
      </c>
      <c r="L51" s="2" t="str">
        <f>IFERROR(__xludf.DUMMYFUNCTION("""COMPUTED_VALUE"""),"விருப்ப பட்டியலில் சேர்")</f>
        <v>விருப்ப பட்டியலில் சேர்</v>
      </c>
      <c r="M51" s="2" t="str">
        <f>IFERROR(__xludf.DUMMYFUNCTION("""COMPUTED_VALUE"""),"ఇష్టమైన వాటికి జోడించండి")</f>
        <v>ఇష్టమైన వాటికి జోడించండి</v>
      </c>
    </row>
    <row r="52">
      <c r="A52" s="2" t="str">
        <f>Master_en!A52</f>
        <v>share</v>
      </c>
      <c r="B52" s="2" t="str">
        <f>Master_en!B52</f>
        <v>Share </v>
      </c>
      <c r="C52" s="2" t="str">
        <f>IFERROR(__xludf.DUMMYFUNCTION("""COMPUTED_VALUE"""),"ভাগ")</f>
        <v>ভাগ</v>
      </c>
      <c r="D52" s="2" t="str">
        <f>IFERROR(__xludf.DUMMYFUNCTION("""COMPUTED_VALUE"""),"शेयर करना")</f>
        <v>शेयर करना</v>
      </c>
      <c r="E52" s="2" t="str">
        <f>IFERROR(__xludf.DUMMYFUNCTION("""COMPUTED_VALUE"""),"ಹಂಚು")</f>
        <v>ಹಂಚು</v>
      </c>
      <c r="F52" s="2" t="str">
        <f>IFERROR(__xludf.DUMMYFUNCTION("""COMPUTED_VALUE"""),"ଅଂଶୀଦାର କରନ୍ତୁ |")</f>
        <v>ଅଂଶୀଦାର କରନ୍ତୁ |</v>
      </c>
      <c r="G52" s="2" t="str">
        <f>IFERROR(__xludf.DUMMYFUNCTION("""COMPUTED_VALUE"""),"ভাগ-বতৰা কৰা")</f>
        <v>ভাগ-বতৰা কৰা</v>
      </c>
      <c r="H52" s="2" t="str">
        <f>IFERROR(__xludf.DUMMYFUNCTION("""COMPUTED_VALUE"""),"હિસ્સો")</f>
        <v>હિસ્સો</v>
      </c>
      <c r="I52" s="2" t="str">
        <f>IFERROR(__xludf.DUMMYFUNCTION("""COMPUTED_VALUE"""),"शेअर")</f>
        <v>शेअर</v>
      </c>
      <c r="J52" s="2" t="str">
        <f>IFERROR(__xludf.DUMMYFUNCTION("""COMPUTED_VALUE"""),"ഭാഗം")</f>
        <v>ഭാഗം</v>
      </c>
      <c r="K52" s="2" t="str">
        <f>IFERROR(__xludf.DUMMYFUNCTION("""COMPUTED_VALUE"""),"ਸਾਂਝਾ ਕਰੋ")</f>
        <v>ਸਾਂਝਾ ਕਰੋ</v>
      </c>
      <c r="L52" s="2" t="str">
        <f>IFERROR(__xludf.DUMMYFUNCTION("""COMPUTED_VALUE"""),"பகிர்")</f>
        <v>பகிர்</v>
      </c>
      <c r="M52" s="2" t="str">
        <f>IFERROR(__xludf.DUMMYFUNCTION("""COMPUTED_VALUE"""),"వాటా")</f>
        <v>వాటా</v>
      </c>
    </row>
    <row r="53">
      <c r="A53" s="2" t="str">
        <f>Master_en!A53</f>
        <v>shopInformation</v>
      </c>
      <c r="B53" s="2" t="str">
        <f>Master_en!B53</f>
        <v>Shop Information</v>
      </c>
      <c r="C53" s="2" t="str">
        <f>IFERROR(__xludf.DUMMYFUNCTION("""COMPUTED_VALUE"""),"কেনাকাটা তথ্য")</f>
        <v>কেনাকাটা তথ্য</v>
      </c>
      <c r="D53" s="2" t="str">
        <f>IFERROR(__xludf.DUMMYFUNCTION("""COMPUTED_VALUE"""),"दुकान की सूचना")</f>
        <v>दुकान की सूचना</v>
      </c>
      <c r="E53" s="2" t="str">
        <f>IFERROR(__xludf.DUMMYFUNCTION("""COMPUTED_VALUE"""),"ಅಂಗಡಿಗಳ ಮಾಹಿತಿ")</f>
        <v>ಅಂಗಡಿಗಳ ಮಾಹಿತಿ</v>
      </c>
      <c r="F53" s="2" t="str">
        <f>IFERROR(__xludf.DUMMYFUNCTION("""COMPUTED_VALUE"""),"ଦୋକାନ ସୂଚନା")</f>
        <v>ଦୋକାନ ସୂଚନା</v>
      </c>
      <c r="G53" s="2" t="str">
        <f>IFERROR(__xludf.DUMMYFUNCTION("""COMPUTED_VALUE"""),"দোকানৰ তথ্য")</f>
        <v>দোকানৰ তথ্য</v>
      </c>
      <c r="H53" s="2" t="str">
        <f>IFERROR(__xludf.DUMMYFUNCTION("""COMPUTED_VALUE"""),"દુકાનની માહિતી")</f>
        <v>દુકાનની માહિતી</v>
      </c>
      <c r="I53" s="2" t="str">
        <f>IFERROR(__xludf.DUMMYFUNCTION("""COMPUTED_VALUE"""),"दुकानाची माहिती")</f>
        <v>दुकानाची माहिती</v>
      </c>
      <c r="J53" s="2" t="str">
        <f>IFERROR(__xludf.DUMMYFUNCTION("""COMPUTED_VALUE"""),"ഷോപ്പ് വിവരങ്ങൾ")</f>
        <v>ഷോപ്പ് വിവരങ്ങൾ</v>
      </c>
      <c r="K53" s="2" t="str">
        <f>IFERROR(__xludf.DUMMYFUNCTION("""COMPUTED_VALUE"""),"ਦੁਕਾਨ ਦੀ ਜਾਣਕਾਰੀ")</f>
        <v>ਦੁਕਾਨ ਦੀ ਜਾਣਕਾਰੀ</v>
      </c>
      <c r="L53" s="2" t="str">
        <f>IFERROR(__xludf.DUMMYFUNCTION("""COMPUTED_VALUE"""),"கடை தகவல்")</f>
        <v>கடை தகவல்</v>
      </c>
      <c r="M53" s="2" t="str">
        <f>IFERROR(__xludf.DUMMYFUNCTION("""COMPUTED_VALUE"""),"షాప్ సమాచారం")</f>
        <v>షాప్ సమాచారం</v>
      </c>
    </row>
    <row r="54">
      <c r="A54" s="2" t="str">
        <f>Master_en!A54</f>
        <v>more</v>
      </c>
      <c r="B54" s="2" t="str">
        <f>Master_en!B54</f>
        <v>More </v>
      </c>
      <c r="C54" s="2" t="str">
        <f>IFERROR(__xludf.DUMMYFUNCTION("""COMPUTED_VALUE"""),"আরও")</f>
        <v>আরও</v>
      </c>
      <c r="D54" s="2" t="str">
        <f>IFERROR(__xludf.DUMMYFUNCTION("""COMPUTED_VALUE"""),"अधिक")</f>
        <v>अधिक</v>
      </c>
      <c r="E54" s="2" t="str">
        <f>IFERROR(__xludf.DUMMYFUNCTION("""COMPUTED_VALUE"""),"ಇನ್ನೂ ಹೆಚ್ಚು")</f>
        <v>ಇನ್ನೂ ಹೆಚ್ಚು</v>
      </c>
      <c r="F54" s="2" t="str">
        <f>IFERROR(__xludf.DUMMYFUNCTION("""COMPUTED_VALUE"""),"ଅଧିକ")</f>
        <v>ଅଧିକ</v>
      </c>
      <c r="G54" s="2" t="str">
        <f>IFERROR(__xludf.DUMMYFUNCTION("""COMPUTED_VALUE"""),"অধিক")</f>
        <v>অধিক</v>
      </c>
      <c r="H54" s="2" t="str">
        <f>IFERROR(__xludf.DUMMYFUNCTION("""COMPUTED_VALUE"""),"વધારે")</f>
        <v>વધારે</v>
      </c>
      <c r="I54" s="2" t="str">
        <f>IFERROR(__xludf.DUMMYFUNCTION("""COMPUTED_VALUE"""),"अधिक")</f>
        <v>अधिक</v>
      </c>
      <c r="J54" s="2" t="str">
        <f>IFERROR(__xludf.DUMMYFUNCTION("""COMPUTED_VALUE"""),"കൂടുതൽ")</f>
        <v>കൂടുതൽ</v>
      </c>
      <c r="K54" s="2" t="str">
        <f>IFERROR(__xludf.DUMMYFUNCTION("""COMPUTED_VALUE"""),"ਹੋਰ")</f>
        <v>ਹੋਰ</v>
      </c>
      <c r="L54" s="2" t="str">
        <f>IFERROR(__xludf.DUMMYFUNCTION("""COMPUTED_VALUE"""),"மேலும்")</f>
        <v>மேலும்</v>
      </c>
      <c r="M54" s="2" t="str">
        <f>IFERROR(__xludf.DUMMYFUNCTION("""COMPUTED_VALUE"""),"మరింత")</f>
        <v>మరింత</v>
      </c>
    </row>
    <row r="55">
      <c r="A55" s="2" t="str">
        <f>Master_en!A55</f>
        <v>no.of pieces</v>
      </c>
      <c r="B55" s="2" t="str">
        <f>Master_en!B55</f>
        <v>No.of Pieces</v>
      </c>
      <c r="C55" s="2" t="str">
        <f>IFERROR(__xludf.DUMMYFUNCTION("""COMPUTED_VALUE"""),"নং টুকরা")</f>
        <v>নং টুকরা</v>
      </c>
      <c r="D55" s="2" t="str">
        <f>IFERROR(__xludf.DUMMYFUNCTION("""COMPUTED_VALUE"""),"सं।")</f>
        <v>सं।</v>
      </c>
      <c r="E55" s="2" t="str">
        <f>IFERROR(__xludf.DUMMYFUNCTION("""COMPUTED_VALUE"""),"ತುಣುಕುಗಳು")</f>
        <v>ತುಣುಕುಗಳು</v>
      </c>
      <c r="F55" s="2" t="str">
        <f>IFERROR(__xludf.DUMMYFUNCTION("""COMPUTED_VALUE"""),"ନଂ")</f>
        <v>ନଂ</v>
      </c>
      <c r="G55" s="2" t="str">
        <f>IFERROR(__xludf.DUMMYFUNCTION("""COMPUTED_VALUE"""),"No.of Pieces")</f>
        <v>No.of Pieces</v>
      </c>
      <c r="H55" s="2" t="str">
        <f>IFERROR(__xludf.DUMMYFUNCTION("""COMPUTED_VALUE"""),"ના ટુકડાઓ")</f>
        <v>ના ટુકડાઓ</v>
      </c>
      <c r="I55" s="2" t="str">
        <f>IFERROR(__xludf.DUMMYFUNCTION("""COMPUTED_VALUE"""),"तुकड्यांची संख्या")</f>
        <v>तुकड्यांची संख्या</v>
      </c>
      <c r="J55" s="2" t="str">
        <f>IFERROR(__xludf.DUMMYFUNCTION("""COMPUTED_VALUE"""),"ഇല്ല. കഷണങ്ങൾ")</f>
        <v>ഇല്ല. കഷണങ്ങൾ</v>
      </c>
      <c r="K55" s="2" t="str">
        <f>IFERROR(__xludf.DUMMYFUNCTION("""COMPUTED_VALUE"""),"ਨੰਬਰ")</f>
        <v>ਨੰਬਰ</v>
      </c>
      <c r="L55" s="2" t="str">
        <f>IFERROR(__xludf.DUMMYFUNCTION("""COMPUTED_VALUE"""),"துண்டுகளின் எண்ணிக்கை")</f>
        <v>துண்டுகளின் எண்ணிக்கை</v>
      </c>
      <c r="M55" s="2" t="str">
        <f>IFERROR(__xludf.DUMMYFUNCTION("""COMPUTED_VALUE"""),"ముక్కల సంఖ్య")</f>
        <v>ముక్కల సంఖ్య</v>
      </c>
    </row>
    <row r="56">
      <c r="A56" s="2" t="str">
        <f>Master_en!A56</f>
        <v>vegetables</v>
      </c>
      <c r="B56" s="2" t="str">
        <f>Master_en!B56</f>
        <v>Vegetables </v>
      </c>
      <c r="C56" s="2" t="str">
        <f>IFERROR(__xludf.DUMMYFUNCTION("""COMPUTED_VALUE"""),"শাকসবজি")</f>
        <v>শাকসবজি</v>
      </c>
      <c r="D56" s="2" t="str">
        <f>IFERROR(__xludf.DUMMYFUNCTION("""COMPUTED_VALUE"""),"सब्ज़ियाँ")</f>
        <v>सब्ज़ियाँ</v>
      </c>
      <c r="E56" s="2" t="str">
        <f>IFERROR(__xludf.DUMMYFUNCTION("""COMPUTED_VALUE"""),"ತರಕಾರಿಗಳು")</f>
        <v>ತರಕಾರಿಗಳು</v>
      </c>
      <c r="F56" s="2" t="str">
        <f>IFERROR(__xludf.DUMMYFUNCTION("""COMPUTED_VALUE"""),"ପନିପରିବା |")</f>
        <v>ପନିପରିବା |</v>
      </c>
      <c r="G56" s="2" t="str">
        <f>IFERROR(__xludf.DUMMYFUNCTION("""COMPUTED_VALUE"""),"শাক-পাচলি")</f>
        <v>শাক-পাচলি</v>
      </c>
      <c r="H56" s="2" t="str">
        <f>IFERROR(__xludf.DUMMYFUNCTION("""COMPUTED_VALUE"""),"શાકભાજી")</f>
        <v>શાકભાજી</v>
      </c>
      <c r="I56" s="2" t="str">
        <f>IFERROR(__xludf.DUMMYFUNCTION("""COMPUTED_VALUE"""),"भाज्या")</f>
        <v>भाज्या</v>
      </c>
      <c r="J56" s="2" t="str">
        <f>IFERROR(__xludf.DUMMYFUNCTION("""COMPUTED_VALUE"""),"പച്ചക്കറികൾ")</f>
        <v>പച്ചക്കറികൾ</v>
      </c>
      <c r="K56" s="2" t="str">
        <f>IFERROR(__xludf.DUMMYFUNCTION("""COMPUTED_VALUE"""),"ਸਬਜ਼ੀਆਂ")</f>
        <v>ਸਬਜ਼ੀਆਂ</v>
      </c>
      <c r="L56" s="2" t="str">
        <f>IFERROR(__xludf.DUMMYFUNCTION("""COMPUTED_VALUE"""),"காய்கறிகள்")</f>
        <v>காய்கறிகள்</v>
      </c>
      <c r="M56" s="2" t="str">
        <f>IFERROR(__xludf.DUMMYFUNCTION("""COMPUTED_VALUE"""),"కూరగాయలు")</f>
        <v>కూరగాయలు</v>
      </c>
    </row>
    <row r="57">
      <c r="A57" s="2" t="str">
        <f>Master_en!A57</f>
        <v>today</v>
      </c>
      <c r="B57" s="2" t="str">
        <f>Master_en!B57</f>
        <v>Today</v>
      </c>
      <c r="C57" s="2" t="str">
        <f>IFERROR(__xludf.DUMMYFUNCTION("""COMPUTED_VALUE"""),"আজ")</f>
        <v>আজ</v>
      </c>
      <c r="D57" s="2" t="str">
        <f>IFERROR(__xludf.DUMMYFUNCTION("""COMPUTED_VALUE"""),"आज")</f>
        <v>आज</v>
      </c>
      <c r="E57" s="2" t="str">
        <f>IFERROR(__xludf.DUMMYFUNCTION("""COMPUTED_VALUE"""),"ಇಂದು")</f>
        <v>ಇಂದು</v>
      </c>
      <c r="F57" s="2" t="str">
        <f>IFERROR(__xludf.DUMMYFUNCTION("""COMPUTED_VALUE"""),"ଆଜି")</f>
        <v>ଆଜି</v>
      </c>
      <c r="G57" s="2" t="str">
        <f>IFERROR(__xludf.DUMMYFUNCTION("""COMPUTED_VALUE"""),"আজি")</f>
        <v>আজি</v>
      </c>
      <c r="H57" s="2" t="str">
        <f>IFERROR(__xludf.DUMMYFUNCTION("""COMPUTED_VALUE"""),"આજ")</f>
        <v>આજ</v>
      </c>
      <c r="I57" s="2" t="str">
        <f>IFERROR(__xludf.DUMMYFUNCTION("""COMPUTED_VALUE"""),"आज")</f>
        <v>आज</v>
      </c>
      <c r="J57" s="2" t="str">
        <f>IFERROR(__xludf.DUMMYFUNCTION("""COMPUTED_VALUE"""),"ഇന്നേദിവസം")</f>
        <v>ഇന്നേദിവസം</v>
      </c>
      <c r="K57" s="2" t="str">
        <f>IFERROR(__xludf.DUMMYFUNCTION("""COMPUTED_VALUE"""),"ਅੱਜ")</f>
        <v>ਅੱਜ</v>
      </c>
      <c r="L57" s="2" t="str">
        <f>IFERROR(__xludf.DUMMYFUNCTION("""COMPUTED_VALUE"""),"இன்று")</f>
        <v>இன்று</v>
      </c>
      <c r="M57" s="2" t="str">
        <f>IFERROR(__xludf.DUMMYFUNCTION("""COMPUTED_VALUE"""),"ఈ రోజు")</f>
        <v>ఈ రోజు</v>
      </c>
    </row>
    <row r="58">
      <c r="A58" s="2" t="str">
        <f>Master_en!A58</f>
        <v>tomorrow</v>
      </c>
      <c r="B58" s="2" t="str">
        <f>Master_en!B58</f>
        <v>Tomorrow</v>
      </c>
      <c r="C58" s="2" t="str">
        <f>IFERROR(__xludf.DUMMYFUNCTION("""COMPUTED_VALUE"""),"আগামীকাল")</f>
        <v>আগামীকাল</v>
      </c>
      <c r="D58" s="2" t="str">
        <f>IFERROR(__xludf.DUMMYFUNCTION("""COMPUTED_VALUE"""),"कल")</f>
        <v>कल</v>
      </c>
      <c r="E58" s="2" t="str">
        <f>IFERROR(__xludf.DUMMYFUNCTION("""COMPUTED_VALUE"""),"ನಾಳೆ")</f>
        <v>ನಾಳೆ</v>
      </c>
      <c r="F58" s="2" t="str">
        <f>IFERROR(__xludf.DUMMYFUNCTION("""COMPUTED_VALUE"""),"ଆସନ୍ତାକାଲି")</f>
        <v>ଆସନ୍ତାକାଲି</v>
      </c>
      <c r="G58" s="2" t="str">
        <f>IFERROR(__xludf.DUMMYFUNCTION("""COMPUTED_VALUE"""),"কাইলৈ")</f>
        <v>কাইলৈ</v>
      </c>
      <c r="H58" s="2" t="str">
        <f>IFERROR(__xludf.DUMMYFUNCTION("""COMPUTED_VALUE"""),"આવતી કાલ")</f>
        <v>આવતી કાલ</v>
      </c>
      <c r="I58" s="2" t="str">
        <f>IFERROR(__xludf.DUMMYFUNCTION("""COMPUTED_VALUE"""),"उद्या")</f>
        <v>उद्या</v>
      </c>
      <c r="J58" s="2" t="str">
        <f>IFERROR(__xludf.DUMMYFUNCTION("""COMPUTED_VALUE"""),"അടുത്തദിവസം")</f>
        <v>അടുത്തദിവസം</v>
      </c>
      <c r="K58" s="2" t="str">
        <f>IFERROR(__xludf.DUMMYFUNCTION("""COMPUTED_VALUE"""),"ਕੱਲ")</f>
        <v>ਕੱਲ</v>
      </c>
      <c r="L58" s="2" t="str">
        <f>IFERROR(__xludf.DUMMYFUNCTION("""COMPUTED_VALUE"""),"நாளை")</f>
        <v>நாளை</v>
      </c>
      <c r="M58" s="2" t="str">
        <f>IFERROR(__xludf.DUMMYFUNCTION("""COMPUTED_VALUE"""),"రేపు")</f>
        <v>రేపు</v>
      </c>
    </row>
    <row r="59">
      <c r="A59" s="2" t="str">
        <f>Master_en!A59</f>
        <v>addQuantity</v>
      </c>
      <c r="B59" s="2" t="str">
        <f>Master_en!B59</f>
        <v>Add Quantity </v>
      </c>
      <c r="C59" s="2" t="str">
        <f>IFERROR(__xludf.DUMMYFUNCTION("""COMPUTED_VALUE"""),"পরিমাণ যোগ করুন")</f>
        <v>পরিমাণ যোগ করুন</v>
      </c>
      <c r="D59" s="2" t="str">
        <f>IFERROR(__xludf.DUMMYFUNCTION("""COMPUTED_VALUE"""),"मात्रा जोड़ें")</f>
        <v>मात्रा जोड़ें</v>
      </c>
      <c r="E59" s="2" t="str">
        <f>IFERROR(__xludf.DUMMYFUNCTION("""COMPUTED_VALUE"""),"ಪ್ರಮಾಣವನ್ನು ಸೇರಿಸಿ")</f>
        <v>ಪ್ರಮಾಣವನ್ನು ಸೇರಿಸಿ</v>
      </c>
      <c r="F59" s="2" t="str">
        <f>IFERROR(__xludf.DUMMYFUNCTION("""COMPUTED_VALUE"""),"ପରିମାଣ ଯୋଗ କରନ୍ତୁ |")</f>
        <v>ପରିମାଣ ଯୋଗ କରନ୍ତୁ |</v>
      </c>
      <c r="G59" s="2" t="str">
        <f>IFERROR(__xludf.DUMMYFUNCTION("""COMPUTED_VALUE"""),"পৰিমাণ যোগ কৰক")</f>
        <v>পৰিমাণ যোগ কৰক</v>
      </c>
      <c r="H59" s="2" t="str">
        <f>IFERROR(__xludf.DUMMYFUNCTION("""COMPUTED_VALUE"""),"જથ્થો ઉમેરો")</f>
        <v>જથ્થો ઉમેરો</v>
      </c>
      <c r="I59" s="2" t="str">
        <f>IFERROR(__xludf.DUMMYFUNCTION("""COMPUTED_VALUE"""),"प्रमाण जोडा")</f>
        <v>प्रमाण जोडा</v>
      </c>
      <c r="J59" s="2" t="str">
        <f>IFERROR(__xludf.DUMMYFUNCTION("""COMPUTED_VALUE"""),"അളവ് ചേർക്കുക")</f>
        <v>അളവ് ചേർക്കുക</v>
      </c>
      <c r="K59" s="2" t="str">
        <f>IFERROR(__xludf.DUMMYFUNCTION("""COMPUTED_VALUE"""),"ਮਾਤਰਾ ਸ਼ਾਮਲ ਕਰੋ")</f>
        <v>ਮਾਤਰਾ ਸ਼ਾਮਲ ਕਰੋ</v>
      </c>
      <c r="L59" s="2" t="str">
        <f>IFERROR(__xludf.DUMMYFUNCTION("""COMPUTED_VALUE"""),"அளவு சேர்க்கவும்")</f>
        <v>அளவு சேர்க்கவும்</v>
      </c>
      <c r="M59" s="2" t="str">
        <f>IFERROR(__xludf.DUMMYFUNCTION("""COMPUTED_VALUE"""),"పరిమాణాన్ని జోడించండి")</f>
        <v>పరిమాణాన్ని జోడించండి</v>
      </c>
    </row>
    <row r="60">
      <c r="A60" s="2" t="str">
        <f>Master_en!A60</f>
        <v>pieces</v>
      </c>
      <c r="B60" s="2" t="str">
        <f>Master_en!B60</f>
        <v>Pieces</v>
      </c>
      <c r="C60" s="2" t="str">
        <f>IFERROR(__xludf.DUMMYFUNCTION("""COMPUTED_VALUE"""),"টুকরা")</f>
        <v>টুকরা</v>
      </c>
      <c r="D60" s="2" t="str">
        <f>IFERROR(__xludf.DUMMYFUNCTION("""COMPUTED_VALUE"""),"टुकड़े")</f>
        <v>टुकड़े</v>
      </c>
      <c r="E60" s="2" t="str">
        <f>IFERROR(__xludf.DUMMYFUNCTION("""COMPUTED_VALUE"""),"ತುಂಡು")</f>
        <v>ತುಂಡು</v>
      </c>
      <c r="F60" s="2" t="str">
        <f>IFERROR(__xludf.DUMMYFUNCTION("""COMPUTED_VALUE"""),"ଖଣ୍ଡଗୁଡ଼ିକ")</f>
        <v>ଖଣ୍ଡଗୁଡ଼ିକ</v>
      </c>
      <c r="G60" s="2" t="str">
        <f>IFERROR(__xludf.DUMMYFUNCTION("""COMPUTED_VALUE"""),"টুকুৰাসমূহ")</f>
        <v>টুকুৰাসমূহ</v>
      </c>
      <c r="H60" s="2" t="str">
        <f>IFERROR(__xludf.DUMMYFUNCTION("""COMPUTED_VALUE"""),"ટુકડાઓ")</f>
        <v>ટુકડાઓ</v>
      </c>
      <c r="I60" s="2" t="str">
        <f>IFERROR(__xludf.DUMMYFUNCTION("""COMPUTED_VALUE"""),"तुकडे")</f>
        <v>तुकडे</v>
      </c>
      <c r="J60" s="2" t="str">
        <f>IFERROR(__xludf.DUMMYFUNCTION("""COMPUTED_VALUE"""),"കഷണങ്ങൾ")</f>
        <v>കഷണങ്ങൾ</v>
      </c>
      <c r="K60" s="2" t="str">
        <f>IFERROR(__xludf.DUMMYFUNCTION("""COMPUTED_VALUE"""),"ਟੁਕੜੇ")</f>
        <v>ਟੁਕੜੇ</v>
      </c>
      <c r="L60" s="2" t="str">
        <f>IFERROR(__xludf.DUMMYFUNCTION("""COMPUTED_VALUE"""),"துண்டுகள்")</f>
        <v>துண்டுகள்</v>
      </c>
      <c r="M60" s="2" t="str">
        <f>IFERROR(__xludf.DUMMYFUNCTION("""COMPUTED_VALUE"""),"ముక్కలు")</f>
        <v>ముక్కలు</v>
      </c>
    </row>
    <row r="61">
      <c r="A61" s="2" t="str">
        <f>Master_en!A61</f>
        <v>numberOfpieces</v>
      </c>
      <c r="B61" s="2" t="str">
        <f>Master_en!B61</f>
        <v>Number of Pieces</v>
      </c>
      <c r="C61" s="2" t="str">
        <f>IFERROR(__xludf.DUMMYFUNCTION("""COMPUTED_VALUE"""),"টুকরা সংখ্যা")</f>
        <v>টুকরা সংখ্যা</v>
      </c>
      <c r="D61" s="2" t="str">
        <f>IFERROR(__xludf.DUMMYFUNCTION("""COMPUTED_VALUE"""),"टुकड़ों की संख्या")</f>
        <v>टुकड़ों की संख्या</v>
      </c>
      <c r="E61" s="2" t="str">
        <f>IFERROR(__xludf.DUMMYFUNCTION("""COMPUTED_VALUE"""),"ತುಣುಕುಗಳ ಸಂಖ್ಯೆ")</f>
        <v>ತುಣುಕುಗಳ ಸಂಖ್ಯೆ</v>
      </c>
      <c r="F61" s="2" t="str">
        <f>IFERROR(__xludf.DUMMYFUNCTION("""COMPUTED_VALUE"""),"ଖଣ୍ଡଗୁଡ଼ିକର ସଂଖ୍ୟା")</f>
        <v>ଖଣ୍ଡଗୁଡ଼ିକର ସଂଖ୍ୟା</v>
      </c>
      <c r="G61" s="2" t="str">
        <f>IFERROR(__xludf.DUMMYFUNCTION("""COMPUTED_VALUE"""),"টুকুৰাৰ সংখ্যা")</f>
        <v>টুকুৰাৰ সংখ্যা</v>
      </c>
      <c r="H61" s="2" t="str">
        <f>IFERROR(__xludf.DUMMYFUNCTION("""COMPUTED_VALUE"""),"ટુકડાઓની સંખ્યા")</f>
        <v>ટુકડાઓની સંખ્યા</v>
      </c>
      <c r="I61" s="2" t="str">
        <f>IFERROR(__xludf.DUMMYFUNCTION("""COMPUTED_VALUE"""),"तुकड्यांची संख्या")</f>
        <v>तुकड्यांची संख्या</v>
      </c>
      <c r="J61" s="2" t="str">
        <f>IFERROR(__xludf.DUMMYFUNCTION("""COMPUTED_VALUE"""),"കഷണങ്ങളുടെ എണ്ണം")</f>
        <v>കഷണങ്ങളുടെ എണ്ണം</v>
      </c>
      <c r="K61" s="2" t="str">
        <f>IFERROR(__xludf.DUMMYFUNCTION("""COMPUTED_VALUE"""),"ਟੁਕੜੇ ਦੀ ਗਿਣਤੀ")</f>
        <v>ਟੁਕੜੇ ਦੀ ਗਿਣਤੀ</v>
      </c>
      <c r="L61" s="2" t="str">
        <f>IFERROR(__xludf.DUMMYFUNCTION("""COMPUTED_VALUE"""),"துண்டுகளின் எண்ணிக்கை")</f>
        <v>துண்டுகளின் எண்ணிக்கை</v>
      </c>
      <c r="M61" s="2" t="str">
        <f>IFERROR(__xludf.DUMMYFUNCTION("""COMPUTED_VALUE"""),"ముక్కల సంఖ్య")</f>
        <v>ముక్కల సంఖ్య</v>
      </c>
    </row>
    <row r="62">
      <c r="A62" s="2" t="str">
        <f>Master_en!A62</f>
        <v>amount</v>
      </c>
      <c r="B62" s="2" t="str">
        <f>Master_en!B62</f>
        <v>Amount </v>
      </c>
      <c r="C62" s="2" t="str">
        <f>IFERROR(__xludf.DUMMYFUNCTION("""COMPUTED_VALUE"""),"পরিমাণ")</f>
        <v>পরিমাণ</v>
      </c>
      <c r="D62" s="2" t="str">
        <f>IFERROR(__xludf.DUMMYFUNCTION("""COMPUTED_VALUE"""),"मात्रा")</f>
        <v>मात्रा</v>
      </c>
      <c r="E62" s="2" t="str">
        <f>IFERROR(__xludf.DUMMYFUNCTION("""COMPUTED_VALUE"""),"ಮೊತ್ತ")</f>
        <v>ಮೊತ್ತ</v>
      </c>
      <c r="F62" s="2" t="str">
        <f>IFERROR(__xludf.DUMMYFUNCTION("""COMPUTED_VALUE"""),"ପରିମାଣ")</f>
        <v>ପରିମାଣ</v>
      </c>
      <c r="G62" s="2" t="str">
        <f>IFERROR(__xludf.DUMMYFUNCTION("""COMPUTED_VALUE"""),"পৰিমাণ")</f>
        <v>পৰিমাণ</v>
      </c>
      <c r="H62" s="2" t="str">
        <f>IFERROR(__xludf.DUMMYFUNCTION("""COMPUTED_VALUE"""),"રકમ")</f>
        <v>રકમ</v>
      </c>
      <c r="I62" s="2" t="str">
        <f>IFERROR(__xludf.DUMMYFUNCTION("""COMPUTED_VALUE"""),"रक्कम")</f>
        <v>रक्कम</v>
      </c>
      <c r="J62" s="2" t="str">
        <f>IFERROR(__xludf.DUMMYFUNCTION("""COMPUTED_VALUE"""),"സംഖ")</f>
        <v>സംഖ</v>
      </c>
      <c r="K62" s="2" t="str">
        <f>IFERROR(__xludf.DUMMYFUNCTION("""COMPUTED_VALUE"""),"ਦੀ ਰਕਮ")</f>
        <v>ਦੀ ਰਕਮ</v>
      </c>
      <c r="L62" s="2" t="str">
        <f>IFERROR(__xludf.DUMMYFUNCTION("""COMPUTED_VALUE"""),"தொகை")</f>
        <v>தொகை</v>
      </c>
      <c r="M62" s="2" t="str">
        <f>IFERROR(__xludf.DUMMYFUNCTION("""COMPUTED_VALUE"""),"మొత్తం")</f>
        <v>మొత్తం</v>
      </c>
    </row>
    <row r="63">
      <c r="A63" s="2" t="str">
        <f>Master_en!A63</f>
        <v>viewCart</v>
      </c>
      <c r="B63" s="2" t="str">
        <f>Master_en!B63</f>
        <v>View Cart</v>
      </c>
      <c r="C63" s="2" t="str">
        <f>IFERROR(__xludf.DUMMYFUNCTION("""COMPUTED_VALUE"""),"কার্ট দেখুন")</f>
        <v>কার্ট দেখুন</v>
      </c>
      <c r="D63" s="2" t="str">
        <f>IFERROR(__xludf.DUMMYFUNCTION("""COMPUTED_VALUE"""),"ऑर्डर विवरण")</f>
        <v>ऑर्डर विवरण</v>
      </c>
      <c r="E63" s="2" t="str">
        <f>IFERROR(__xludf.DUMMYFUNCTION("""COMPUTED_VALUE"""),"ಕಾರ್ಟ್ ವೀಕ್ಷಿಸಿ")</f>
        <v>ಕಾರ್ಟ್ ವೀಕ್ಷಿಸಿ</v>
      </c>
      <c r="F63" s="2" t="str">
        <f>IFERROR(__xludf.DUMMYFUNCTION("""COMPUTED_VALUE"""),"କାର୍ଟ ଦେଖନ୍ତୁ |")</f>
        <v>କାର୍ଟ ଦେଖନ୍ତୁ |</v>
      </c>
      <c r="G63" s="2" t="str">
        <f>IFERROR(__xludf.DUMMYFUNCTION("""COMPUTED_VALUE"""),"কাৰ্ট চাওক")</f>
        <v>কাৰ্ট চাওক</v>
      </c>
      <c r="H63" s="2" t="str">
        <f>IFERROR(__xludf.DUMMYFUNCTION("""COMPUTED_VALUE"""),"જુઓ")</f>
        <v>જુઓ</v>
      </c>
      <c r="I63" s="2" t="str">
        <f>IFERROR(__xludf.DUMMYFUNCTION("""COMPUTED_VALUE"""),"कार्ट पहा")</f>
        <v>कार्ट पहा</v>
      </c>
      <c r="J63" s="2" t="str">
        <f>IFERROR(__xludf.DUMMYFUNCTION("""COMPUTED_VALUE"""),"സഞ്ചി കാണുക")</f>
        <v>സഞ്ചി കാണുക</v>
      </c>
      <c r="K63" s="2" t="str">
        <f>IFERROR(__xludf.DUMMYFUNCTION("""COMPUTED_VALUE"""),"ਕਾਰਟ ਵੇਖੋ")</f>
        <v>ਕਾਰਟ ਵੇਖੋ</v>
      </c>
      <c r="L63" s="2" t="str">
        <f>IFERROR(__xludf.DUMMYFUNCTION("""COMPUTED_VALUE"""),"கார்டை காண்க ")</f>
        <v>கார்டை காண்க </v>
      </c>
      <c r="M63" s="2" t="str">
        <f>IFERROR(__xludf.DUMMYFUNCTION("""COMPUTED_VALUE"""),"బండిని చూడండి")</f>
        <v>బండిని చూడండి</v>
      </c>
    </row>
    <row r="64">
      <c r="A64" s="2" t="str">
        <f>Master_en!A64</f>
        <v>orderSummary</v>
      </c>
      <c r="B64" s="2" t="str">
        <f>Master_en!B64</f>
        <v>Order Summary</v>
      </c>
      <c r="C64" s="2" t="str">
        <f>IFERROR(__xludf.DUMMYFUNCTION("""COMPUTED_VALUE"""),"অর্ডার সংক্ষিপ্তসার")</f>
        <v>অর্ডার সংক্ষিপ্তসার</v>
      </c>
      <c r="D64" s="2" t="str">
        <f>IFERROR(__xludf.DUMMYFUNCTION("""COMPUTED_VALUE"""),"आदेश सारांश")</f>
        <v>आदेश सारांश</v>
      </c>
      <c r="E64" s="2" t="str">
        <f>IFERROR(__xludf.DUMMYFUNCTION("""COMPUTED_VALUE"""),"ಆದೇಶ ಸಾರಾಂಶ")</f>
        <v>ಆದೇಶ ಸಾರಾಂಶ</v>
      </c>
      <c r="F64" s="2" t="str">
        <f>IFERROR(__xludf.DUMMYFUNCTION("""COMPUTED_VALUE"""),"କ୍ରମ ସାରାଂଶ")</f>
        <v>କ୍ରମ ସାରାଂଶ</v>
      </c>
      <c r="G64" s="2" t="str">
        <f>IFERROR(__xludf.DUMMYFUNCTION("""COMPUTED_VALUE"""),"অৰ্ডাৰ সাৰাংশ")</f>
        <v>অৰ্ডাৰ সাৰাংশ</v>
      </c>
      <c r="H64" s="2" t="str">
        <f>IFERROR(__xludf.DUMMYFUNCTION("""COMPUTED_VALUE"""),"સારાંશ")</f>
        <v>સારાંશ</v>
      </c>
      <c r="I64" s="2" t="str">
        <f>IFERROR(__xludf.DUMMYFUNCTION("""COMPUTED_VALUE"""),"ऑर्डर सारांश")</f>
        <v>ऑर्डर सारांश</v>
      </c>
      <c r="J64" s="2" t="str">
        <f>IFERROR(__xludf.DUMMYFUNCTION("""COMPUTED_VALUE"""),"ഓർഡർ സംഗ്രഹം")</f>
        <v>ഓർഡർ സംഗ്രഹം</v>
      </c>
      <c r="K64" s="2" t="str">
        <f>IFERROR(__xludf.DUMMYFUNCTION("""COMPUTED_VALUE"""),"ਆਰਡਰ ਸੰਖੇਪ")</f>
        <v>ਆਰਡਰ ਸੰਖੇਪ</v>
      </c>
      <c r="L64" s="2" t="str">
        <f>IFERROR(__xludf.DUMMYFUNCTION("""COMPUTED_VALUE"""),"ஆர்டர் சுருக்கம்")</f>
        <v>ஆர்டர் சுருக்கம்</v>
      </c>
      <c r="M64" s="2" t="str">
        <f>IFERROR(__xludf.DUMMYFUNCTION("""COMPUTED_VALUE"""),"కొనుగోలు వివరణ")</f>
        <v>కొనుగోలు వివరణ</v>
      </c>
    </row>
    <row r="65">
      <c r="A65" s="2" t="str">
        <f>Master_en!A65</f>
        <v>detailedBill</v>
      </c>
      <c r="B65" s="2" t="str">
        <f>Master_en!B65</f>
        <v>Detailed Bill</v>
      </c>
      <c r="C65" s="2" t="str">
        <f>IFERROR(__xludf.DUMMYFUNCTION("""COMPUTED_VALUE"""),"বিস্তারিত বিল")</f>
        <v>বিস্তারিত বিল</v>
      </c>
      <c r="D65" s="2" t="str">
        <f>IFERROR(__xludf.DUMMYFUNCTION("""COMPUTED_VALUE"""),"विस्तृत बिल")</f>
        <v>विस्तृत बिल</v>
      </c>
      <c r="E65" s="2" t="str">
        <f>IFERROR(__xludf.DUMMYFUNCTION("""COMPUTED_VALUE"""),"ವಿವರವಾದ ಬಿಲ್")</f>
        <v>ವಿವರವಾದ ಬಿಲ್</v>
      </c>
      <c r="F65" s="2" t="str">
        <f>IFERROR(__xludf.DUMMYFUNCTION("""COMPUTED_VALUE"""),"ବିସ୍ତୃତ ବିଲ୍ |")</f>
        <v>ବିସ୍ତୃତ ବିଲ୍ |</v>
      </c>
      <c r="G65" s="2" t="str">
        <f>IFERROR(__xludf.DUMMYFUNCTION("""COMPUTED_VALUE"""),"বিশদ বিল")</f>
        <v>বিশদ বিল</v>
      </c>
      <c r="H65" s="2" t="str">
        <f>IFERROR(__xludf.DUMMYFUNCTION("""COMPUTED_VALUE"""),"વિગતવાર બીલ")</f>
        <v>વિગતવાર બીલ</v>
      </c>
      <c r="I65" s="2" t="str">
        <f>IFERROR(__xludf.DUMMYFUNCTION("""COMPUTED_VALUE"""),"तपशीलवार बिल")</f>
        <v>तपशीलवार बिल</v>
      </c>
      <c r="J65" s="2" t="str">
        <f>IFERROR(__xludf.DUMMYFUNCTION("""COMPUTED_VALUE"""),"വിശദമായ ബിൽ")</f>
        <v>വിശദമായ ബിൽ</v>
      </c>
      <c r="K65" s="2" t="str">
        <f>IFERROR(__xludf.DUMMYFUNCTION("""COMPUTED_VALUE"""),"ਵਿਸਤ੍ਰਿਤ ਬਿੱਲ")</f>
        <v>ਵਿਸਤ੍ਰਿਤ ਬਿੱਲ</v>
      </c>
      <c r="L65" s="2" t="str">
        <f>IFERROR(__xludf.DUMMYFUNCTION("""COMPUTED_VALUE"""),"விரிவான மசோதா")</f>
        <v>விரிவான மசோதா</v>
      </c>
      <c r="M65" s="2" t="str">
        <f>IFERROR(__xludf.DUMMYFUNCTION("""COMPUTED_VALUE"""),"వివరణాత్మక బిల్లు")</f>
        <v>వివరణాత్మక బిల్లు</v>
      </c>
    </row>
    <row r="66">
      <c r="A66" s="2" t="str">
        <f>Master_en!A66</f>
        <v>cartTotal</v>
      </c>
      <c r="B66" s="2" t="str">
        <f>Master_en!B66</f>
        <v>Cart Total</v>
      </c>
      <c r="C66" s="2" t="str">
        <f>IFERROR(__xludf.DUMMYFUNCTION("""COMPUTED_VALUE"""),"কার্ট মোট")</f>
        <v>কার্ট মোট</v>
      </c>
      <c r="D66" s="2" t="str">
        <f>IFERROR(__xludf.DUMMYFUNCTION("""COMPUTED_VALUE"""),"कुल योग")</f>
        <v>कुल योग</v>
      </c>
      <c r="E66" s="2" t="str">
        <f>IFERROR(__xludf.DUMMYFUNCTION("""COMPUTED_VALUE"""),"ಕಾರ್ಟ್ ಒಟ್ಟು")</f>
        <v>ಕಾರ್ಟ್ ಒಟ್ಟು</v>
      </c>
      <c r="F66" s="2" t="str">
        <f>IFERROR(__xludf.DUMMYFUNCTION("""COMPUTED_VALUE"""),"କାର୍ଟ ସମୁଦାୟ")</f>
        <v>କାର୍ଟ ସମୁଦାୟ</v>
      </c>
      <c r="G66" s="2" t="str">
        <f>IFERROR(__xludf.DUMMYFUNCTION("""COMPUTED_VALUE"""),"কাৰ্ট মুঠ")</f>
        <v>কাৰ্ট মুঠ</v>
      </c>
      <c r="H66" s="2" t="str">
        <f>IFERROR(__xludf.DUMMYFUNCTION("""COMPUTED_VALUE"""),"કાર્ટનનો સરવાળો")</f>
        <v>કાર્ટનનો સરવાળો</v>
      </c>
      <c r="I66" s="2" t="str">
        <f>IFERROR(__xludf.DUMMYFUNCTION("""COMPUTED_VALUE"""),"एकूण कार्ट")</f>
        <v>एकूण कार्ट</v>
      </c>
      <c r="J66" s="2" t="str">
        <f>IFERROR(__xludf.DUMMYFUNCTION("""COMPUTED_VALUE"""),"കാർട്ട് ആകെ")</f>
        <v>കാർട്ട് ആകെ</v>
      </c>
      <c r="K66" s="2" t="str">
        <f>IFERROR(__xludf.DUMMYFUNCTION("""COMPUTED_VALUE"""),"ਕਾਰਟ ਕੁੱਲ")</f>
        <v>ਕਾਰਟ ਕੁੱਲ</v>
      </c>
      <c r="L66" s="2" t="str">
        <f>IFERROR(__xludf.DUMMYFUNCTION("""COMPUTED_VALUE"""),"கார்ட் மொத்தம்")</f>
        <v>கார்ட் மொத்தம்</v>
      </c>
      <c r="M66" s="2" t="str">
        <f>IFERROR(__xludf.DUMMYFUNCTION("""COMPUTED_VALUE"""),"కార్ట్ మొత్తం")</f>
        <v>కార్ట్ మొత్తం</v>
      </c>
    </row>
    <row r="67">
      <c r="A67" s="2" t="str">
        <f>Master_en!A67</f>
        <v>discount</v>
      </c>
      <c r="B67" s="2" t="str">
        <f>Master_en!B67</f>
        <v>Discount</v>
      </c>
      <c r="C67" s="2" t="str">
        <f>IFERROR(__xludf.DUMMYFUNCTION("""COMPUTED_VALUE"""),"ছাড়")</f>
        <v>ছাড়</v>
      </c>
      <c r="D67" s="2" t="str">
        <f>IFERROR(__xludf.DUMMYFUNCTION("""COMPUTED_VALUE"""),"छूट")</f>
        <v>छूट</v>
      </c>
      <c r="E67" s="2" t="str">
        <f>IFERROR(__xludf.DUMMYFUNCTION("""COMPUTED_VALUE"""),"ರಿಯಾಯಿತಿ")</f>
        <v>ರಿಯಾಯಿತಿ</v>
      </c>
      <c r="F67" s="2" t="str">
        <f>IFERROR(__xludf.DUMMYFUNCTION("""COMPUTED_VALUE"""),"ରିହାତି")</f>
        <v>ରିହାତି</v>
      </c>
      <c r="G67" s="2" t="str">
        <f>IFERROR(__xludf.DUMMYFUNCTION("""COMPUTED_VALUE"""),"ৰেহাই")</f>
        <v>ৰেহাই</v>
      </c>
      <c r="H67" s="2" t="str">
        <f>IFERROR(__xludf.DUMMYFUNCTION("""COMPUTED_VALUE"""),"છૂટ")</f>
        <v>છૂટ</v>
      </c>
      <c r="I67" s="2" t="str">
        <f>IFERROR(__xludf.DUMMYFUNCTION("""COMPUTED_VALUE"""),"सूट")</f>
        <v>सूट</v>
      </c>
      <c r="J67" s="2" t="str">
        <f>IFERROR(__xludf.DUMMYFUNCTION("""COMPUTED_VALUE"""),"കിഴിവ്")</f>
        <v>കിഴിവ്</v>
      </c>
      <c r="K67" s="2" t="str">
        <f>IFERROR(__xludf.DUMMYFUNCTION("""COMPUTED_VALUE"""),"ਛੂਟ")</f>
        <v>ਛੂਟ</v>
      </c>
      <c r="L67" s="2" t="str">
        <f>IFERROR(__xludf.DUMMYFUNCTION("""COMPUTED_VALUE"""),"தள்ளுபடி")</f>
        <v>தள்ளுபடி</v>
      </c>
      <c r="M67" s="2" t="str">
        <f>IFERROR(__xludf.DUMMYFUNCTION("""COMPUTED_VALUE"""),"తగ్గింపు")</f>
        <v>తగ్గింపు</v>
      </c>
    </row>
    <row r="68">
      <c r="A68" s="2" t="str">
        <f>Master_en!A68</f>
        <v>total</v>
      </c>
      <c r="B68" s="2" t="str">
        <f>Master_en!B68</f>
        <v>Total</v>
      </c>
      <c r="C68" s="2" t="str">
        <f>IFERROR(__xludf.DUMMYFUNCTION("""COMPUTED_VALUE"""),"মোট")</f>
        <v>মোট</v>
      </c>
      <c r="D68" s="2" t="str">
        <f>IFERROR(__xludf.DUMMYFUNCTION("""COMPUTED_VALUE"""),"कुल")</f>
        <v>कुल</v>
      </c>
      <c r="E68" s="2" t="str">
        <f>IFERROR(__xludf.DUMMYFUNCTION("""COMPUTED_VALUE"""),"ಒಟ್ಟು ಮೊತ")</f>
        <v>ಒಟ್ಟು ಮೊತ</v>
      </c>
      <c r="F68" s="2" t="str">
        <f>IFERROR(__xludf.DUMMYFUNCTION("""COMPUTED_VALUE"""),"ସମୁଦାୟ")</f>
        <v>ସମୁଦାୟ</v>
      </c>
      <c r="G68" s="2" t="str">
        <f>IFERROR(__xludf.DUMMYFUNCTION("""COMPUTED_VALUE"""),"মুঠ")</f>
        <v>মুঠ</v>
      </c>
      <c r="H68" s="2" t="str">
        <f>IFERROR(__xludf.DUMMYFUNCTION("""COMPUTED_VALUE"""),"કુલ")</f>
        <v>કુલ</v>
      </c>
      <c r="I68" s="2" t="str">
        <f>IFERROR(__xludf.DUMMYFUNCTION("""COMPUTED_VALUE"""),"एकूण")</f>
        <v>एकूण</v>
      </c>
      <c r="J68" s="2" t="str">
        <f>IFERROR(__xludf.DUMMYFUNCTION("""COMPUTED_VALUE"""),"മൊത്തമായ")</f>
        <v>മൊത്തമായ</v>
      </c>
      <c r="K68" s="2" t="str">
        <f>IFERROR(__xludf.DUMMYFUNCTION("""COMPUTED_VALUE"""),"ਕੁੱਲ")</f>
        <v>ਕੁੱਲ</v>
      </c>
      <c r="L68" s="2" t="str">
        <f>IFERROR(__xludf.DUMMYFUNCTION("""COMPUTED_VALUE"""),"மொத்தம்")</f>
        <v>மொத்தம்</v>
      </c>
      <c r="M68" s="2" t="str">
        <f>IFERROR(__xludf.DUMMYFUNCTION("""COMPUTED_VALUE"""),"మొత్తం")</f>
        <v>మొత్తం</v>
      </c>
    </row>
    <row r="69">
      <c r="A69" s="2" t="str">
        <f>Master_en!A69</f>
        <v>selfPickup</v>
      </c>
      <c r="B69" s="2" t="str">
        <f>Master_en!B69</f>
        <v>Self Pickup</v>
      </c>
      <c r="C69" s="2" t="str">
        <f>IFERROR(__xludf.DUMMYFUNCTION("""COMPUTED_VALUE"""),"স্ব পিকআপ")</f>
        <v>স্ব পিকআপ</v>
      </c>
      <c r="D69" s="2" t="str">
        <f>IFERROR(__xludf.DUMMYFUNCTION("""COMPUTED_VALUE"""),"स्व चयन")</f>
        <v>स्व चयन</v>
      </c>
      <c r="E69" s="2" t="str">
        <f>IFERROR(__xludf.DUMMYFUNCTION("""COMPUTED_VALUE"""),"ಸ್ವಸಹಾಯ")</f>
        <v>ಸ್ವಸಹಾಯ</v>
      </c>
      <c r="F69" s="2" t="str">
        <f>IFERROR(__xludf.DUMMYFUNCTION("""COMPUTED_VALUE"""),"ସେଲ୍ପ୍ ପିକଅପ୍ |")</f>
        <v>ସେଲ୍ପ୍ ପିକଅପ୍ |</v>
      </c>
      <c r="G69" s="2" t="str">
        <f>IFERROR(__xludf.DUMMYFUNCTION("""COMPUTED_VALUE"""),"স্বয়ং পিকআপ")</f>
        <v>স্বয়ং পিকআপ</v>
      </c>
      <c r="H69" s="2" t="str">
        <f>IFERROR(__xludf.DUMMYFUNCTION("""COMPUTED_VALUE"""),"જાતે પિકઅપ")</f>
        <v>જાતે પિકઅપ</v>
      </c>
      <c r="I69" s="2" t="str">
        <f>IFERROR(__xludf.DUMMYFUNCTION("""COMPUTED_VALUE"""),"सेल्फ पिकअप")</f>
        <v>सेल्फ पिकअप</v>
      </c>
      <c r="J69" s="2" t="str">
        <f>IFERROR(__xludf.DUMMYFUNCTION("""COMPUTED_VALUE"""),"സ്വയം പിക്കപ്പ്")</f>
        <v>സ്വയം പിക്കപ്പ്</v>
      </c>
      <c r="K69" s="2" t="str">
        <f>IFERROR(__xludf.DUMMYFUNCTION("""COMPUTED_VALUE"""),"ਸਵੈ ਪਿਕਅਪ")</f>
        <v>ਸਵੈ ਪਿਕਅਪ</v>
      </c>
      <c r="L69" s="2" t="str">
        <f>IFERROR(__xludf.DUMMYFUNCTION("""COMPUTED_VALUE"""),"சுய பிக்கப்")</f>
        <v>சுய பிக்கப்</v>
      </c>
      <c r="M69" s="2" t="str">
        <f>IFERROR(__xludf.DUMMYFUNCTION("""COMPUTED_VALUE"""),"తనకు తాను తీసుకోవడం")</f>
        <v>తనకు తాను తీసుకోవడం</v>
      </c>
    </row>
    <row r="70">
      <c r="A70" s="2" t="str">
        <f>Master_en!A70</f>
        <v>totalPayable</v>
      </c>
      <c r="B70" s="2" t="str">
        <f>Master_en!B70</f>
        <v>Total Payable</v>
      </c>
      <c r="C70" s="2" t="str">
        <f>IFERROR(__xludf.DUMMYFUNCTION("""COMPUTED_VALUE"""),"মোট প্রদেয়")</f>
        <v>মোট প্রদেয়</v>
      </c>
      <c r="D70" s="2" t="str">
        <f>IFERROR(__xludf.DUMMYFUNCTION("""COMPUTED_VALUE"""),"कुल देय")</f>
        <v>कुल देय</v>
      </c>
      <c r="E70" s="2" t="str">
        <f>IFERROR(__xludf.DUMMYFUNCTION("""COMPUTED_VALUE"""),"ಪಾವತಿಸಬೇಕಾದ ಒಟ್ಟು")</f>
        <v>ಪಾವತಿಸಬೇಕಾದ ಒಟ್ಟು</v>
      </c>
      <c r="F70" s="2" t="str">
        <f>IFERROR(__xludf.DUMMYFUNCTION("""COMPUTED_VALUE"""),"ସମୁଦାୟ ଦେୟଯୋଗ୍ୟ |")</f>
        <v>ସମୁଦାୟ ଦେୟଯୋଗ୍ୟ |</v>
      </c>
      <c r="G70" s="2" t="str">
        <f>IFERROR(__xludf.DUMMYFUNCTION("""COMPUTED_VALUE"""),"মুঠ প্ৰদানযোগ্য")</f>
        <v>মুঠ প্ৰদানযোগ্য</v>
      </c>
      <c r="H70" s="2" t="str">
        <f>IFERROR(__xludf.DUMMYFUNCTION("""COMPUTED_VALUE"""),"ચૂકવવાપાત્ર")</f>
        <v>ચૂકવવાપાત્ર</v>
      </c>
      <c r="I70" s="2" t="str">
        <f>IFERROR(__xludf.DUMMYFUNCTION("""COMPUTED_VALUE"""),"एकूण देय")</f>
        <v>एकूण देय</v>
      </c>
      <c r="J70" s="2" t="str">
        <f>IFERROR(__xludf.DUMMYFUNCTION("""COMPUTED_VALUE"""),"ആകെ നൽകേണ്ടതാണ്")</f>
        <v>ആകെ നൽകേണ്ടതാണ്</v>
      </c>
      <c r="K70" s="2" t="str">
        <f>IFERROR(__xludf.DUMMYFUNCTION("""COMPUTED_VALUE"""),"ਕੁੱਲ ਭੁਗਤਾਨ ਯੋਗ")</f>
        <v>ਕੁੱਲ ਭੁਗਤਾਨ ਯੋਗ</v>
      </c>
      <c r="L70" s="2" t="str">
        <f>IFERROR(__xludf.DUMMYFUNCTION("""COMPUTED_VALUE"""),"மொத்தம் செலுத்த வேண்டும்")</f>
        <v>மொத்தம் செலுத்த வேண்டும்</v>
      </c>
      <c r="M70" s="2" t="str">
        <f>IFERROR(__xludf.DUMMYFUNCTION("""COMPUTED_VALUE"""),"చెల్లించవలసిన మొత్తం")</f>
        <v>చెల్లించవలసిన మొత్తం</v>
      </c>
    </row>
    <row r="71">
      <c r="A71" s="2" t="str">
        <f>Master_en!A71</f>
        <v>payAtPickup</v>
      </c>
      <c r="B71" s="2" t="str">
        <f>Master_en!B71</f>
        <v>Pay at Pickup</v>
      </c>
      <c r="C71" s="2" t="str">
        <f>IFERROR(__xludf.DUMMYFUNCTION("""COMPUTED_VALUE"""),"পিকআপে প্রদান করুন")</f>
        <v>পিকআপে প্রদান করুন</v>
      </c>
      <c r="D71" s="2" t="str">
        <f>IFERROR(__xludf.DUMMYFUNCTION("""COMPUTED_VALUE"""),"पिकअप पर भुगतान करें")</f>
        <v>पिकअप पर भुगतान करें</v>
      </c>
      <c r="E71" s="2" t="str">
        <f>IFERROR(__xludf.DUMMYFUNCTION("""COMPUTED_VALUE"""),"ಪಿಕಪ್ನಲ್ಲಿ ಪಾವತಿಸಿ")</f>
        <v>ಪಿಕಪ್ನಲ್ಲಿ ಪಾವತಿಸಿ</v>
      </c>
      <c r="F71" s="2" t="str">
        <f>IFERROR(__xludf.DUMMYFUNCTION("""COMPUTED_VALUE"""),"ପିକଅପ୍ ରେ ଦେୟ ଦିଅ |")</f>
        <v>ପିକଅପ୍ ରେ ଦେୟ ଦିଅ |</v>
      </c>
      <c r="G71" s="2" t="str">
        <f>IFERROR(__xludf.DUMMYFUNCTION("""COMPUTED_VALUE"""),"পিকআপত পেই দিয়ক")</f>
        <v>পিকআপত পেই দিয়ক</v>
      </c>
      <c r="H71" s="2" t="str">
        <f>IFERROR(__xludf.DUMMYFUNCTION("""COMPUTED_VALUE"""),"પિકઅપ પર પગાર")</f>
        <v>પિકઅપ પર પગાર</v>
      </c>
      <c r="I71" s="2" t="str">
        <f>IFERROR(__xludf.DUMMYFUNCTION("""COMPUTED_VALUE"""),"पिकअपवर पैसे द्या")</f>
        <v>पिकअपवर पैसे द्या</v>
      </c>
      <c r="J71" s="2" t="str">
        <f>IFERROR(__xludf.DUMMYFUNCTION("""COMPUTED_VALUE"""),"പിക്കപ്പിൽ പണമടയ്ക്കുക")</f>
        <v>പിക്കപ്പിൽ പണമടയ്ക്കുക</v>
      </c>
      <c r="K71" s="2" t="str">
        <f>IFERROR(__xludf.DUMMYFUNCTION("""COMPUTED_VALUE"""),"ਪਿਕਅਪ ਵਿਖੇ ਭੁਗਤਾਨ ਕਰੋ")</f>
        <v>ਪਿਕਅਪ ਵਿਖੇ ਭੁਗਤਾਨ ਕਰੋ</v>
      </c>
      <c r="L71" s="2" t="str">
        <f>IFERROR(__xludf.DUMMYFUNCTION("""COMPUTED_VALUE"""),"பிக்அப்பில் பணம் செலுத்துங்கள்")</f>
        <v>பிக்அப்பில் பணம் செலுத்துங்கள்</v>
      </c>
      <c r="M71" s="2" t="str">
        <f>IFERROR(__xludf.DUMMYFUNCTION("""COMPUTED_VALUE"""),"పికప్ వద్ద చెల్లించండి")</f>
        <v>పికప్ వద్ద చెల్లించండి</v>
      </c>
    </row>
    <row r="72">
      <c r="A72" s="2" t="str">
        <f>Master_en!A72</f>
        <v>savedDetails</v>
      </c>
      <c r="B72" s="2" t="str">
        <f>Master_en!B72</f>
        <v>Saved Details</v>
      </c>
      <c r="C72" s="2" t="str">
        <f>IFERROR(__xludf.DUMMYFUNCTION("""COMPUTED_VALUE"""),"সংরক্ষণ বিশদ")</f>
        <v>সংরক্ষণ বিশদ</v>
      </c>
      <c r="D72" s="2" t="str">
        <f>IFERROR(__xludf.DUMMYFUNCTION("""COMPUTED_VALUE"""),"बचाए गए विवरण")</f>
        <v>बचाए गए विवरण</v>
      </c>
      <c r="E72" s="2" t="str">
        <f>IFERROR(__xludf.DUMMYFUNCTION("""COMPUTED_VALUE"""),"ಉಳಿಸಿದ ವಿವರಗಳು")</f>
        <v>ಉಳಿಸಿದ ವಿವರಗಳು</v>
      </c>
      <c r="F72" s="2" t="str">
        <f>IFERROR(__xludf.DUMMYFUNCTION("""COMPUTED_VALUE"""),"ସବିଶେଷ ବିବରଣୀ ସଞ୍ଚୟ ହୋଇଛି |")</f>
        <v>ସବିଶେଷ ବିବରଣୀ ସଞ୍ଚୟ ହୋଇଛି |</v>
      </c>
      <c r="G72" s="2" t="str">
        <f>IFERROR(__xludf.DUMMYFUNCTION("""COMPUTED_VALUE"""),"সংৰক্ষিত বিৱৰণ")</f>
        <v>সংৰক্ষিত বিৱৰণ</v>
      </c>
      <c r="H72" s="2" t="str">
        <f>IFERROR(__xludf.DUMMYFUNCTION("""COMPUTED_VALUE"""),"સાચવેલ વિગતો")</f>
        <v>સાચવેલ વિગતો</v>
      </c>
      <c r="I72" s="2" t="str">
        <f>IFERROR(__xludf.DUMMYFUNCTION("""COMPUTED_VALUE"""),"जतन केलेले तपशील")</f>
        <v>जतन केलेले तपशील</v>
      </c>
      <c r="J72" s="2" t="str">
        <f>IFERROR(__xludf.DUMMYFUNCTION("""COMPUTED_VALUE"""),"സംരക്ഷിച്ച വിശദാംശങ്ങൾ")</f>
        <v>സംരക്ഷിച്ച വിശദാംശങ്ങൾ</v>
      </c>
      <c r="K72" s="2" t="str">
        <f>IFERROR(__xludf.DUMMYFUNCTION("""COMPUTED_VALUE"""),"ਸੁਰੱਖਿਅਤ ਕੀਤੇ ਵੇਰਵੇ")</f>
        <v>ਸੁਰੱਖਿਅਤ ਕੀਤੇ ਵੇਰਵੇ</v>
      </c>
      <c r="L72" s="2" t="str">
        <f>IFERROR(__xludf.DUMMYFUNCTION("""COMPUTED_VALUE"""),"சேமித்த விவரங்கள்")</f>
        <v>சேமித்த விவரங்கள்</v>
      </c>
      <c r="M72" s="2" t="str">
        <f>IFERROR(__xludf.DUMMYFUNCTION("""COMPUTED_VALUE"""),"సేవ్ చేసిన వివరాలు")</f>
        <v>సేవ్ చేసిన వివరాలు</v>
      </c>
    </row>
    <row r="73">
      <c r="A73" s="2" t="str">
        <f>Master_en!A73</f>
        <v>debitAtmCard</v>
      </c>
      <c r="B73" s="2" t="str">
        <f>Master_en!B73</f>
        <v>Debit/ATM Card</v>
      </c>
      <c r="C73" s="2" t="str">
        <f>IFERROR(__xludf.DUMMYFUNCTION("""COMPUTED_VALUE"""),"ডেবিট/এটিএম কার্ড")</f>
        <v>ডেবিট/এটিএম কার্ড</v>
      </c>
      <c r="D73" s="2" t="str">
        <f>IFERROR(__xludf.DUMMYFUNCTION("""COMPUTED_VALUE"""),"डेबिट/एटीएम कार्ड")</f>
        <v>डेबिट/एटीएम कार्ड</v>
      </c>
      <c r="E73" s="2" t="str">
        <f>IFERROR(__xludf.DUMMYFUNCTION("""COMPUTED_VALUE"""),"ಜಮಾ/ಖರ್ಚು")</f>
        <v>ಜಮಾ/ಖರ್ಚು</v>
      </c>
      <c r="F73" s="2" t="str">
        <f>IFERROR(__xludf.DUMMYFUNCTION("""COMPUTED_VALUE"""),"ଡେବିଟ୍ / ଏଟିଏମ୍ କାର୍ଡ |")</f>
        <v>ଡେବିଟ୍ / ଏଟିଏମ୍ କାର୍ଡ |</v>
      </c>
      <c r="G73" s="2" t="str">
        <f>IFERROR(__xludf.DUMMYFUNCTION("""COMPUTED_VALUE"""),"ডেবিট/এটিএম কাৰ্ড")</f>
        <v>ডেবিট/এটিএম কাৰ্ড</v>
      </c>
      <c r="H73" s="2" t="str">
        <f>IFERROR(__xludf.DUMMYFUNCTION("""COMPUTED_VALUE"""),"ડેબિટ/એટીએમ કાર્ડ")</f>
        <v>ડેબિટ/એટીએમ કાર્ડ</v>
      </c>
      <c r="I73" s="2" t="str">
        <f>IFERROR(__xludf.DUMMYFUNCTION("""COMPUTED_VALUE"""),"डेबिट/एटीएम कार्ड")</f>
        <v>डेबिट/एटीएम कार्ड</v>
      </c>
      <c r="J73" s="2" t="str">
        <f>IFERROR(__xludf.DUMMYFUNCTION("""COMPUTED_VALUE"""),"ഡെബിറ്റ് / എടിഎം കാർഡ്")</f>
        <v>ഡെബിറ്റ് / എടിഎം കാർഡ്</v>
      </c>
      <c r="K73" s="2" t="str">
        <f>IFERROR(__xludf.DUMMYFUNCTION("""COMPUTED_VALUE"""),"ਡੈਬਿਟ / ਏਟੀਐਮ ਕਾਰਡ")</f>
        <v>ਡੈਬਿਟ / ਏਟੀਐਮ ਕਾਰਡ</v>
      </c>
      <c r="L73" s="2" t="str">
        <f>IFERROR(__xludf.DUMMYFUNCTION("""COMPUTED_VALUE"""),"டெபிட்/ஏடிஎம் அட்டை")</f>
        <v>டெபிட்/ஏடிஎம் அட்டை</v>
      </c>
      <c r="M73" s="2" t="str">
        <f>IFERROR(__xludf.DUMMYFUNCTION("""COMPUTED_VALUE"""),"డెబిట్/ఎటిఎమ్ కార్డు")</f>
        <v>డెబిట్/ఎటిఎమ్ కార్డు</v>
      </c>
    </row>
    <row r="74">
      <c r="A74" s="2" t="str">
        <f>Master_en!A74</f>
        <v>netBanking</v>
      </c>
      <c r="B74" s="2" t="str">
        <f>Master_en!B74</f>
        <v>Net Banking</v>
      </c>
      <c r="C74" s="2" t="str">
        <f>IFERROR(__xludf.DUMMYFUNCTION("""COMPUTED_VALUE"""),"নেট ব্যাংকিং")</f>
        <v>নেট ব্যাংকিং</v>
      </c>
      <c r="D74" s="2" t="str">
        <f>IFERROR(__xludf.DUMMYFUNCTION("""COMPUTED_VALUE"""),"
नेट बैंकिंग")</f>
        <v>
नेट बैंकिंग</v>
      </c>
      <c r="E74" s="2" t="str">
        <f>IFERROR(__xludf.DUMMYFUNCTION("""COMPUTED_VALUE"""),"ನೆಟ್ ಬ್ಯಾಂಕಿಂಗ್")</f>
        <v>ನೆಟ್ ಬ್ಯಾಂಕಿಂಗ್</v>
      </c>
      <c r="F74" s="2" t="str">
        <f>IFERROR(__xludf.DUMMYFUNCTION("""COMPUTED_VALUE"""),"ନିଟ୍ ବ୍ୟାଙ୍କିଙ୍ଗ୍ |")</f>
        <v>ନିଟ୍ ବ୍ୟାଙ୍କିଙ୍ଗ୍ |</v>
      </c>
      <c r="G74" s="2" t="str">
        <f>IFERROR(__xludf.DUMMYFUNCTION("""COMPUTED_VALUE"""),"নেট বেংকিং")</f>
        <v>নেট বেংকিং</v>
      </c>
      <c r="H74" s="2" t="str">
        <f>IFERROR(__xludf.DUMMYFUNCTION("""COMPUTED_VALUE"""),"નેટ બેંકિંગ")</f>
        <v>નેટ બેંકિંગ</v>
      </c>
      <c r="I74" s="2" t="str">
        <f>IFERROR(__xludf.DUMMYFUNCTION("""COMPUTED_VALUE"""),"नेट बँकिंग")</f>
        <v>नेट बँकिंग</v>
      </c>
      <c r="J74" s="2" t="str">
        <f>IFERROR(__xludf.DUMMYFUNCTION("""COMPUTED_VALUE"""),"നെറ്റ് ബാങ്കിംഗ്")</f>
        <v>നെറ്റ് ബാങ്കിംഗ്</v>
      </c>
      <c r="K74" s="2" t="str">
        <f>IFERROR(__xludf.DUMMYFUNCTION("""COMPUTED_VALUE"""),"ਨੈੱਟ ਬੈਂਕਿੰਗ")</f>
        <v>ਨੈੱਟ ਬੈਂਕਿੰਗ</v>
      </c>
      <c r="L74" s="2" t="str">
        <f>IFERROR(__xludf.DUMMYFUNCTION("""COMPUTED_VALUE"""),"நிகர வங்கி")</f>
        <v>நிகர வங்கி</v>
      </c>
      <c r="M74" s="2" t="str">
        <f>IFERROR(__xludf.DUMMYFUNCTION("""COMPUTED_VALUE"""),"నికర బ్యాంకింగ్")</f>
        <v>నికర బ్యాంకింగ్</v>
      </c>
    </row>
    <row r="75">
      <c r="A75" s="2" t="str">
        <f>Master_en!A75</f>
        <v>addDebitCreditCard</v>
      </c>
      <c r="B75" s="2" t="str">
        <f>Master_en!B75</f>
        <v>Add Debit/Credit Card</v>
      </c>
      <c r="C75" s="2" t="str">
        <f>IFERROR(__xludf.DUMMYFUNCTION("""COMPUTED_VALUE"""),"ডেবিট/ক্রেডিট কার্ড যুক্ত করুন")</f>
        <v>ডেবিট/ক্রেডিট কার্ড যুক্ত করুন</v>
      </c>
      <c r="D75" s="2" t="str">
        <f>IFERROR(__xludf.DUMMYFUNCTION("""COMPUTED_VALUE"""),"डेबिट/क्रेडिट कार्ड जोड़ें")</f>
        <v>डेबिट/क्रेडिट कार्ड जोड़ें</v>
      </c>
      <c r="E75" s="2" t="str">
        <f>IFERROR(__xludf.DUMMYFUNCTION("""COMPUTED_VALUE"""),"ಜಮಾ/ಖರ್ಚು ಕಾರ್ಡ್ ಸೇರಿಸು")</f>
        <v>ಜಮಾ/ಖರ್ಚು ಕಾರ್ಡ್ ಸೇರಿಸು</v>
      </c>
      <c r="F75" s="2" t="str">
        <f>IFERROR(__xludf.DUMMYFUNCTION("""COMPUTED_VALUE"""),"ଡେବିଟ୍ / କ୍ରେଡିଟ୍ କାର୍ଡ ଯୋଡନ୍ତୁ |")</f>
        <v>ଡେବିଟ୍ / କ୍ରେଡିଟ୍ କାର୍ଡ ଯୋଡନ୍ତୁ |</v>
      </c>
      <c r="G75" s="2" t="str">
        <f>IFERROR(__xludf.DUMMYFUNCTION("""COMPUTED_VALUE"""),"ডেবিট/ক্ৰেডিট কাৰ্ড যোগ কৰক")</f>
        <v>ডেবিট/ক্ৰেডিট কাৰ্ড যোগ কৰক</v>
      </c>
      <c r="H75" s="2" t="str">
        <f>IFERROR(__xludf.DUMMYFUNCTION("""COMPUTED_VALUE"""),"ડેબિટ/ક્રેડિટ કાર્ડ ઉમેરો")</f>
        <v>ડેબિટ/ક્રેડિટ કાર્ડ ઉમેરો</v>
      </c>
      <c r="I75" s="2" t="str">
        <f>IFERROR(__xludf.DUMMYFUNCTION("""COMPUTED_VALUE"""),"डेबिट/क्रेडिट कार्ड जोडा")</f>
        <v>डेबिट/क्रेडिट कार्ड जोडा</v>
      </c>
      <c r="J75" s="2" t="str">
        <f>IFERROR(__xludf.DUMMYFUNCTION("""COMPUTED_VALUE"""),"ഡെബിറ്റ് / ക്രെഡിറ്റ് കാർഡ് ചേർക്കുക")</f>
        <v>ഡെബിറ്റ് / ക്രെഡിറ്റ് കാർഡ് ചേർക്കുക</v>
      </c>
      <c r="K75" s="2" t="str">
        <f>IFERROR(__xludf.DUMMYFUNCTION("""COMPUTED_VALUE"""),"ਡੈਬਿਟ / ਕ੍ਰੈਡਿਟ ਕਾਰਡ ਸ਼ਾਮਲ ਕਰੋ")</f>
        <v>ਡੈਬਿਟ / ਕ੍ਰੈਡਿਟ ਕਾਰਡ ਸ਼ਾਮਲ ਕਰੋ</v>
      </c>
      <c r="L75" s="2" t="str">
        <f>IFERROR(__xludf.DUMMYFUNCTION("""COMPUTED_VALUE"""),"டெபிட்/கிரெடிட் கார்டைச் சேர்க்கவும்")</f>
        <v>டெபிட்/கிரெடிட் கார்டைச் சேர்க்கவும்</v>
      </c>
      <c r="M75" s="2" t="str">
        <f>IFERROR(__xludf.DUMMYFUNCTION("""COMPUTED_VALUE"""),"డెబిట్/క్రెడిట్ కార్డును జోడించండి")</f>
        <v>డెబిట్/క్రెడిట్ కార్డును జోడించండి</v>
      </c>
    </row>
    <row r="76">
      <c r="A76" s="2" t="str">
        <f>Master_en!A76</f>
        <v>wallets&amp;Upi</v>
      </c>
      <c r="B76" s="2" t="str">
        <f>Master_en!B76</f>
        <v>Wallets &amp; UPI</v>
      </c>
      <c r="C76" s="2" t="str">
        <f>IFERROR(__xludf.DUMMYFUNCTION("""COMPUTED_VALUE"""),"ওয়ালেট এবং আপি")</f>
        <v>ওয়ালেট এবং আপি</v>
      </c>
      <c r="D76" s="2" t="str">
        <f>IFERROR(__xludf.DUMMYFUNCTION("""COMPUTED_VALUE"""),"बटुए और यूपीआई")</f>
        <v>बटुए और यूपीआई</v>
      </c>
      <c r="E76" s="2" t="str">
        <f>IFERROR(__xludf.DUMMYFUNCTION("""COMPUTED_VALUE"""),"ಕೈಚೀಲಗಳು ಮತ್ತು ಯುಪಿಐ")</f>
        <v>ಕೈಚೀಲಗಳು ಮತ್ತು ಯುಪಿಐ</v>
      </c>
      <c r="F76" s="2" t="str">
        <f>IFERROR(__xludf.DUMMYFUNCTION("""COMPUTED_VALUE"""),"ୱାଲେଟ୍ ଏବଂ ୟୁଇ")</f>
        <v>ୱାଲେଟ୍ ଏବଂ ୟୁଇ</v>
      </c>
      <c r="G76" s="2" t="str">
        <f>IFERROR(__xludf.DUMMYFUNCTION("""COMPUTED_VALUE"""),"ৱালেট আৰু ইউপিআই")</f>
        <v>ৱালেট আৰু ইউপিআই</v>
      </c>
      <c r="H76" s="2" t="str">
        <f>IFERROR(__xludf.DUMMYFUNCTION("""COMPUTED_VALUE"""),"વોલેટ્‌સ તથા યુપીઆઇ")</f>
        <v>વોલેટ્‌સ તથા યુપીઆઇ</v>
      </c>
      <c r="I76" s="2" t="str">
        <f>IFERROR(__xludf.DUMMYFUNCTION("""COMPUTED_VALUE"""),"वॉलेट्स आणि यूपीआय")</f>
        <v>वॉलेट्स आणि यूपीआय</v>
      </c>
      <c r="J76" s="2" t="str">
        <f>IFERROR(__xludf.DUMMYFUNCTION("""COMPUTED_VALUE"""),"വാലറ്റുകൾ &amp; യുപിഐ")</f>
        <v>വാലറ്റുകൾ &amp; യുപിഐ</v>
      </c>
      <c r="K76" s="2" t="str">
        <f>IFERROR(__xludf.DUMMYFUNCTION("""COMPUTED_VALUE"""),"ਵਾਲਲੇਟਸ ਅਤੇ ਯੂਪੀਆਈ")</f>
        <v>ਵਾਲਲੇਟਸ ਅਤੇ ਯੂਪੀਆਈ</v>
      </c>
      <c r="L76" s="2" t="str">
        <f>IFERROR(__xludf.DUMMYFUNCTION("""COMPUTED_VALUE"""),"பணப்பைகள் &amp; யுபிஐ")</f>
        <v>பணப்பைகள் &amp; யுபிஐ</v>
      </c>
      <c r="M76" s="2" t="str">
        <f>IFERROR(__xludf.DUMMYFUNCTION("""COMPUTED_VALUE"""),"వాలెట్స్ &amp; యుపిఐ")</f>
        <v>వాలెట్స్ &amp; యుపిఐ</v>
      </c>
    </row>
    <row r="77">
      <c r="A77" s="2" t="str">
        <f>Master_en!A77</f>
        <v>phonepe</v>
      </c>
      <c r="B77" s="2" t="str">
        <f>Master_en!B77</f>
        <v>PhonePe</v>
      </c>
      <c r="C77" s="2" t="str">
        <f>IFERROR(__xludf.DUMMYFUNCTION("""COMPUTED_VALUE"""),"ফোনপ")</f>
        <v>ফোনপ</v>
      </c>
      <c r="D77" s="2" t="str">
        <f>IFERROR(__xludf.DUMMYFUNCTION("""COMPUTED_VALUE"""),"फोनपे")</f>
        <v>फोनपे</v>
      </c>
      <c r="E77" s="2" t="str">
        <f>IFERROR(__xludf.DUMMYFUNCTION("""COMPUTED_VALUE"""),"ಫನ್‌ಪೆ")</f>
        <v>ಫನ್‌ಪೆ</v>
      </c>
      <c r="F77" s="2" t="str">
        <f>IFERROR(__xludf.DUMMYFUNCTION("""COMPUTED_VALUE"""),"ଫୋନ୍ଦେ")</f>
        <v>ଫୋନ୍ଦେ</v>
      </c>
      <c r="G77" s="2" t="str">
        <f>IFERROR(__xludf.DUMMYFUNCTION("""COMPUTED_VALUE"""),"PhonePe")</f>
        <v>PhonePe</v>
      </c>
      <c r="H77" s="2" t="str">
        <f>IFERROR(__xludf.DUMMYFUNCTION("""COMPUTED_VALUE"""),"ફોન પે")</f>
        <v>ફોન પે</v>
      </c>
      <c r="I77" s="2" t="str">
        <f>IFERROR(__xludf.DUMMYFUNCTION("""COMPUTED_VALUE"""),"फोनपे")</f>
        <v>फोनपे</v>
      </c>
      <c r="J77" s="2" t="str">
        <f>IFERROR(__xludf.DUMMYFUNCTION("""COMPUTED_VALUE"""),"ഫോഗ്പെ")</f>
        <v>ഫോഗ്പെ</v>
      </c>
      <c r="K77" s="2" t="str">
        <f>IFERROR(__xludf.DUMMYFUNCTION("""COMPUTED_VALUE"""),"ਫੋਨਪ")</f>
        <v>ਫੋਨਪ</v>
      </c>
      <c r="L77" s="2" t="str">
        <f>IFERROR(__xludf.DUMMYFUNCTION("""COMPUTED_VALUE"""),"ஃபோன்பே")</f>
        <v>ஃபோன்பே</v>
      </c>
      <c r="M77" s="2" t="str">
        <f>IFERROR(__xludf.DUMMYFUNCTION("""COMPUTED_VALUE"""),"ఫోన్‌పే")</f>
        <v>ఫోన్‌పే</v>
      </c>
    </row>
    <row r="78">
      <c r="A78" s="2" t="str">
        <f>Master_en!A78</f>
        <v>paytm</v>
      </c>
      <c r="B78" s="2" t="str">
        <f>Master_en!B78</f>
        <v>Paytm</v>
      </c>
      <c r="C78" s="2" t="str">
        <f>IFERROR(__xludf.DUMMYFUNCTION("""COMPUTED_VALUE"""),"পেটিএম")</f>
        <v>পেটিএম</v>
      </c>
      <c r="D78" s="2" t="str">
        <f>IFERROR(__xludf.DUMMYFUNCTION("""COMPUTED_VALUE"""),"पेटीएम")</f>
        <v>पेटीएम</v>
      </c>
      <c r="E78" s="2" t="str">
        <f>IFERROR(__xludf.DUMMYFUNCTION("""COMPUTED_VALUE"""),"ಪೇಟಿಎಂ")</f>
        <v>ಪೇಟಿಎಂ</v>
      </c>
      <c r="F78" s="2" t="str">
        <f>IFERROR(__xludf.DUMMYFUNCTION("""COMPUTED_VALUE"""),"ପେଟି")</f>
        <v>ପେଟି</v>
      </c>
      <c r="G78" s="2" t="str">
        <f>IFERROR(__xludf.DUMMYFUNCTION("""COMPUTED_VALUE"""),"পেটিএম")</f>
        <v>পেটিএম</v>
      </c>
      <c r="H78" s="2" t="str">
        <f>IFERROR(__xludf.DUMMYFUNCTION("""COMPUTED_VALUE"""),"પેટીએમ")</f>
        <v>પેટીએમ</v>
      </c>
      <c r="I78" s="2" t="str">
        <f>IFERROR(__xludf.DUMMYFUNCTION("""COMPUTED_VALUE"""),"पेटीएम")</f>
        <v>पेटीएम</v>
      </c>
      <c r="J78" s="2" t="str">
        <f>IFERROR(__xludf.DUMMYFUNCTION("""COMPUTED_VALUE"""),"പെഡ്ം")</f>
        <v>പെഡ്ം</v>
      </c>
      <c r="K78" s="2" t="str">
        <f>IFERROR(__xludf.DUMMYFUNCTION("""COMPUTED_VALUE"""),"ਪੇਟੀਐਮ")</f>
        <v>ਪੇਟੀਐਮ</v>
      </c>
      <c r="L78" s="2" t="str">
        <f>IFERROR(__xludf.DUMMYFUNCTION("""COMPUTED_VALUE"""),"Paytm")</f>
        <v>Paytm</v>
      </c>
      <c r="M78" s="2" t="str">
        <f>IFERROR(__xludf.DUMMYFUNCTION("""COMPUTED_VALUE"""),"Paytm")</f>
        <v>Paytm</v>
      </c>
    </row>
    <row r="79">
      <c r="A79" s="2" t="str">
        <f>Master_en!A79</f>
        <v>otherUpi</v>
      </c>
      <c r="B79" s="2" t="str">
        <f>Master_en!B79</f>
        <v>Other UPI</v>
      </c>
      <c r="C79" s="2" t="str">
        <f>IFERROR(__xludf.DUMMYFUNCTION("""COMPUTED_VALUE"""),"অন্যান্য আপি")</f>
        <v>অন্যান্য আপি</v>
      </c>
      <c r="D79" s="2" t="str">
        <f>IFERROR(__xludf.DUMMYFUNCTION("""COMPUTED_VALUE"""),"अन्य यूपीआई")</f>
        <v>अन्य यूपीआई</v>
      </c>
      <c r="E79" s="2" t="str">
        <f>IFERROR(__xludf.DUMMYFUNCTION("""COMPUTED_VALUE"""),"ಇತರ ಯುಪಿಐ")</f>
        <v>ಇತರ ಯುಪಿಐ</v>
      </c>
      <c r="F79" s="2" t="str">
        <f>IFERROR(__xludf.DUMMYFUNCTION("""COMPUTED_VALUE"""),"ଅନ୍ୟ ଉତ୍ତୋଳୁଛି")</f>
        <v>ଅନ୍ୟ ଉତ୍ତୋଳୁଛି</v>
      </c>
      <c r="G79" s="2" t="str">
        <f>IFERROR(__xludf.DUMMYFUNCTION("""COMPUTED_VALUE"""),"অন্যান্য ইউ পি আই")</f>
        <v>অন্যান্য ইউ পি আই</v>
      </c>
      <c r="H79" s="2" t="str">
        <f>IFERROR(__xludf.DUMMYFUNCTION("""COMPUTED_VALUE"""),"અન્ય યુપીઆઇ")</f>
        <v>અન્ય યુપીઆઇ</v>
      </c>
      <c r="I79" s="2" t="str">
        <f>IFERROR(__xludf.DUMMYFUNCTION("""COMPUTED_VALUE"""),"इतर यूपीआय")</f>
        <v>इतर यूपीआय</v>
      </c>
      <c r="J79" s="2" t="str">
        <f>IFERROR(__xludf.DUMMYFUNCTION("""COMPUTED_VALUE"""),"മറ്റ് യുപി")</f>
        <v>മറ്റ് യുപി</v>
      </c>
      <c r="K79" s="2" t="str">
        <f>IFERROR(__xludf.DUMMYFUNCTION("""COMPUTED_VALUE"""),"ਹੋਰ ਯੂਪੀਆਈ")</f>
        <v>ਹੋਰ ਯੂਪੀਆਈ</v>
      </c>
      <c r="L79" s="2" t="str">
        <f>IFERROR(__xludf.DUMMYFUNCTION("""COMPUTED_VALUE"""),"மற்ற UPI")</f>
        <v>மற்ற UPI</v>
      </c>
      <c r="M79" s="2" t="str">
        <f>IFERROR(__xludf.DUMMYFUNCTION("""COMPUTED_VALUE"""),"ఇతర యుపిఐ")</f>
        <v>ఇతర యుపిఐ</v>
      </c>
    </row>
    <row r="80">
      <c r="A80" s="2" t="str">
        <f>Master_en!A80</f>
        <v>payNow</v>
      </c>
      <c r="B80" s="2" t="str">
        <f>Master_en!B80</f>
        <v>Pay Now</v>
      </c>
      <c r="C80" s="2" t="str">
        <f>IFERROR(__xludf.DUMMYFUNCTION("""COMPUTED_VALUE"""),"এখন পরিশোধ করুন")</f>
        <v>এখন পরিশোধ করুন</v>
      </c>
      <c r="D80" s="2" t="str">
        <f>IFERROR(__xludf.DUMMYFUNCTION("""COMPUTED_VALUE"""),"अब भुगतान करें")</f>
        <v>अब भुगतान करें</v>
      </c>
      <c r="E80" s="2" t="str">
        <f>IFERROR(__xludf.DUMMYFUNCTION("""COMPUTED_VALUE"""),"ಈಗ ಪಾವತಿಸಿ")</f>
        <v>ಈಗ ಪಾವತಿಸಿ</v>
      </c>
      <c r="F80" s="2" t="str">
        <f>IFERROR(__xludf.DUMMYFUNCTION("""COMPUTED_VALUE"""),"ଏବେ ପରିଶୋଧ କର")</f>
        <v>ଏବେ ପରିଶୋଧ କର</v>
      </c>
      <c r="G80" s="2" t="str">
        <f>IFERROR(__xludf.DUMMYFUNCTION("""COMPUTED_VALUE"""),"সুৰক্ষিতভাৱে পেমেণ্ট কৰক")</f>
        <v>সুৰক্ষিতভাৱে পেমেণ্ট কৰক</v>
      </c>
      <c r="H80" s="2" t="str">
        <f>IFERROR(__xludf.DUMMYFUNCTION("""COMPUTED_VALUE"""),"હવે પૈસા આપો")</f>
        <v>હવે પૈસા આપો</v>
      </c>
      <c r="I80" s="2" t="str">
        <f>IFERROR(__xludf.DUMMYFUNCTION("""COMPUTED_VALUE"""),"आता द्या")</f>
        <v>आता द्या</v>
      </c>
      <c r="J80" s="2" t="str">
        <f>IFERROR(__xludf.DUMMYFUNCTION("""COMPUTED_VALUE"""),"ഇപ്പോള് പണമടയ്ക്കൂ")</f>
        <v>ഇപ്പോള് പണമടയ്ക്കൂ</v>
      </c>
      <c r="K80" s="2" t="str">
        <f>IFERROR(__xludf.DUMMYFUNCTION("""COMPUTED_VALUE"""),"ਹੁਣੇ ਭੁਗਤਾਨ ਕਰੋ")</f>
        <v>ਹੁਣੇ ਭੁਗਤਾਨ ਕਰੋ</v>
      </c>
      <c r="L80" s="2" t="str">
        <f>IFERROR(__xludf.DUMMYFUNCTION("""COMPUTED_VALUE"""),"இப்போது செலுத்த")</f>
        <v>இப்போது செலுத்த</v>
      </c>
      <c r="M80" s="2" t="str">
        <f>IFERROR(__xludf.DUMMYFUNCTION("""COMPUTED_VALUE"""),"ఇప్పుడు చెల్లించండి")</f>
        <v>ఇప్పుడు చెల్లించండి</v>
      </c>
    </row>
    <row r="81">
      <c r="A81" s="2" t="str">
        <f>Master_en!A81</f>
        <v>deliverAt</v>
      </c>
      <c r="B81" s="2" t="str">
        <f>Master_en!B81</f>
        <v>Deliver at</v>
      </c>
      <c r="C81" s="2" t="str">
        <f>IFERROR(__xludf.DUMMYFUNCTION("""COMPUTED_VALUE"""),"বিতরণ")</f>
        <v>বিতরণ</v>
      </c>
      <c r="D81" s="2" t="str">
        <f>IFERROR(__xludf.DUMMYFUNCTION("""COMPUTED_VALUE"""),"पर वितरित करें")</f>
        <v>पर वितरित करें</v>
      </c>
      <c r="E81" s="2" t="str">
        <f>IFERROR(__xludf.DUMMYFUNCTION("""COMPUTED_VALUE"""),"ತಳುಪಿಸಬೇಕಾದ ಸ್ಥಳ")</f>
        <v>ತಳುಪಿಸಬೇಕಾದ ಸ್ಥಳ</v>
      </c>
      <c r="F81" s="2" t="str">
        <f>IFERROR(__xludf.DUMMYFUNCTION("""COMPUTED_VALUE"""),"ରେ ବିତରଣ କରନ୍ତୁ |")</f>
        <v>ରେ ବିତରଣ କରନ୍ତୁ |</v>
      </c>
      <c r="G81" s="2" t="str">
        <f>IFERROR(__xludf.DUMMYFUNCTION("""COMPUTED_VALUE"""),"ডেলিভাৰী কৰক")</f>
        <v>ডেলিভাৰী কৰক</v>
      </c>
      <c r="H81" s="2" t="str">
        <f>IFERROR(__xludf.DUMMYFUNCTION("""COMPUTED_VALUE"""),"નાથી પહોંચાડવું")</f>
        <v>નાથી પહોંચાડવું</v>
      </c>
      <c r="I81" s="2" t="str">
        <f>IFERROR(__xludf.DUMMYFUNCTION("""COMPUTED_VALUE"""),"येथे वितरित करा")</f>
        <v>येथे वितरित करा</v>
      </c>
      <c r="J81" s="2" t="str">
        <f>IFERROR(__xludf.DUMMYFUNCTION("""COMPUTED_VALUE"""),"കൈമാറുക")</f>
        <v>കൈമാറുക</v>
      </c>
      <c r="K81" s="2" t="str">
        <f>IFERROR(__xludf.DUMMYFUNCTION("""COMPUTED_VALUE"""),"'ਤੇ ਸਪੁਰਦ ਕਰੋ")</f>
        <v>'ਤੇ ਸਪੁਰਦ ਕਰੋ</v>
      </c>
      <c r="L81" s="2" t="str">
        <f>IFERROR(__xludf.DUMMYFUNCTION("""COMPUTED_VALUE"""),"வழங்கவும்")</f>
        <v>வழங்கவும்</v>
      </c>
      <c r="M81" s="2" t="str">
        <f>IFERROR(__xludf.DUMMYFUNCTION("""COMPUTED_VALUE"""),"వద్ద అప్పగించు")</f>
        <v>వద్ద అప్పగించు</v>
      </c>
    </row>
    <row r="82">
      <c r="A82" s="2" t="str">
        <f>Master_en!A82</f>
        <v>noContact</v>
      </c>
      <c r="B82" s="2" t="str">
        <f>Master_en!B82</f>
        <v>No Contact</v>
      </c>
      <c r="C82" s="2" t="str">
        <f>IFERROR(__xludf.DUMMYFUNCTION("""COMPUTED_VALUE"""),"কোনো যোগাযোগ নেই")</f>
        <v>কোনো যোগাযোগ নেই</v>
      </c>
      <c r="D82" s="2" t="str">
        <f>IFERROR(__xludf.DUMMYFUNCTION("""COMPUTED_VALUE"""),"कोई संपर्क नहीं")</f>
        <v>कोई संपर्क नहीं</v>
      </c>
      <c r="E82" s="2" t="str">
        <f>IFERROR(__xludf.DUMMYFUNCTION("""COMPUTED_VALUE"""),"ಸಂಪರ್ಕವಿಲ್ಲ")</f>
        <v>ಸಂಪರ್ಕವಿಲ್ಲ</v>
      </c>
      <c r="F82" s="2" t="str">
        <f>IFERROR(__xludf.DUMMYFUNCTION("""COMPUTED_VALUE"""),"କ contaction ଣସି ସମ୍ପର୍କ ନାହିଁ")</f>
        <v>କ contaction ଣସି ସମ୍ପର୍କ ନାହିଁ</v>
      </c>
      <c r="G82" s="2" t="str">
        <f>IFERROR(__xludf.DUMMYFUNCTION("""COMPUTED_VALUE"""),"কোনো যোগাযোগ নাই")</f>
        <v>কোনো যোগাযোগ নাই</v>
      </c>
      <c r="H82" s="2" t="str">
        <f>IFERROR(__xludf.DUMMYFUNCTION("""COMPUTED_VALUE"""),"કોઈ સંપર્ક નથી")</f>
        <v>કોઈ સંપર્ક નથી</v>
      </c>
      <c r="I82" s="2" t="str">
        <f>IFERROR(__xludf.DUMMYFUNCTION("""COMPUTED_VALUE"""),"संपर्क नाही")</f>
        <v>संपर्क नाही</v>
      </c>
      <c r="J82" s="2" t="str">
        <f>IFERROR(__xludf.DUMMYFUNCTION("""COMPUTED_VALUE"""),"കോൺടാക്റ്റ് ഇല്ല")</f>
        <v>കോൺടാക്റ്റ് ഇല്ല</v>
      </c>
      <c r="K82" s="2" t="str">
        <f>IFERROR(__xludf.DUMMYFUNCTION("""COMPUTED_VALUE"""),"ਕੋਈ ਸੰਪਰਕ ਨਹੀਂ")</f>
        <v>ਕੋਈ ਸੰਪਰਕ ਨਹੀਂ</v>
      </c>
      <c r="L82" s="2" t="str">
        <f>IFERROR(__xludf.DUMMYFUNCTION("""COMPUTED_VALUE"""),"தொடர்பு இல்லை")</f>
        <v>தொடர்பு இல்லை</v>
      </c>
      <c r="M82" s="2" t="str">
        <f>IFERROR(__xludf.DUMMYFUNCTION("""COMPUTED_VALUE"""),"పరిచయం లేదు")</f>
        <v>పరిచయం లేదు</v>
      </c>
    </row>
    <row r="83">
      <c r="A83" s="2" t="str">
        <f>Master_en!A83</f>
        <v>scheduleDelivery</v>
      </c>
      <c r="B83" s="2" t="str">
        <f>Master_en!B83</f>
        <v>Schedule Delivery</v>
      </c>
      <c r="C83" s="2" t="str">
        <f>IFERROR(__xludf.DUMMYFUNCTION("""COMPUTED_VALUE"""),"সময়সূচী বিতরণ")</f>
        <v>সময়সূচী বিতরণ</v>
      </c>
      <c r="D83" s="2" t="str">
        <f>IFERROR(__xludf.DUMMYFUNCTION("""COMPUTED_VALUE"""),"अनुसूची वितरण")</f>
        <v>अनुसूची वितरण</v>
      </c>
      <c r="E83" s="2" t="str">
        <f>IFERROR(__xludf.DUMMYFUNCTION("""COMPUTED_VALUE"""),"ವೇಳಾಪಟ್ಟಿ ವಿತರಣೆ")</f>
        <v>ವೇಳಾಪಟ್ಟಿ ವಿತರಣೆ</v>
      </c>
      <c r="F83" s="2" t="str">
        <f>IFERROR(__xludf.DUMMYFUNCTION("""COMPUTED_VALUE"""),"ସ୍ଥାୟୀ ବିତରଣ କାର୍ଯ୍ୟସୂଚୀ |")</f>
        <v>ସ୍ଥାୟୀ ବିତରଣ କାର୍ଯ୍ୟସୂଚୀ |</v>
      </c>
      <c r="G83" s="2" t="str">
        <f>IFERROR(__xludf.DUMMYFUNCTION("""COMPUTED_VALUE"""),"ডেলিভাৰীৰ সময়সূচী")</f>
        <v>ডেলিভাৰীৰ সময়সূচী</v>
      </c>
      <c r="H83" s="2" t="str">
        <f>IFERROR(__xludf.DUMMYFUNCTION("""COMPUTED_VALUE"""),"અનુસૂચિ -વિતરણ")</f>
        <v>અનુસૂચિ -વિતરણ</v>
      </c>
      <c r="I83" s="2" t="str">
        <f>IFERROR(__xludf.DUMMYFUNCTION("""COMPUTED_VALUE"""),"शेड्यूल वितरण")</f>
        <v>शेड्यूल वितरण</v>
      </c>
      <c r="J83" s="2" t="str">
        <f>IFERROR(__xludf.DUMMYFUNCTION("""COMPUTED_VALUE"""),"ഷെഡ്യൂൾ ഡെലിവറി")</f>
        <v>ഷെഡ്യൂൾ ഡെലിവറി</v>
      </c>
      <c r="K83" s="2" t="str">
        <f>IFERROR(__xludf.DUMMYFUNCTION("""COMPUTED_VALUE"""),"ਤਹਿ ਡਿਲਿਵਰੀ")</f>
        <v>ਤਹਿ ਡਿਲਿਵਰੀ</v>
      </c>
      <c r="L83" s="2" t="str">
        <f>IFERROR(__xludf.DUMMYFUNCTION("""COMPUTED_VALUE"""),"அட்டவணை டெலிவரி")</f>
        <v>அட்டவணை டெலிவரி</v>
      </c>
      <c r="M83" s="2" t="str">
        <f>IFERROR(__xludf.DUMMYFUNCTION("""COMPUTED_VALUE"""),"షెడ్యూల్ చేయబడిన డెలివరీ")</f>
        <v>షెడ్యూల్ చేయబడిన డెలివరీ</v>
      </c>
    </row>
    <row r="84">
      <c r="A84" s="2" t="str">
        <f>Master_en!A84</f>
        <v>am</v>
      </c>
      <c r="B84" s="2" t="str">
        <f>Master_en!B84</f>
        <v>AM</v>
      </c>
      <c r="C84" s="2" t="str">
        <f>IFERROR(__xludf.DUMMYFUNCTION("""COMPUTED_VALUE"""),"আমি")</f>
        <v>আমি</v>
      </c>
      <c r="D84" s="2" t="str">
        <f>IFERROR(__xludf.DUMMYFUNCTION("""COMPUTED_VALUE"""),"पूर्वाह्न")</f>
        <v>पूर्वाह्न</v>
      </c>
      <c r="E84" s="2" t="str">
        <f>IFERROR(__xludf.DUMMYFUNCTION("""COMPUTED_VALUE"""),"ಬೆಲಿಗ್ಗೆ")</f>
        <v>ಬೆಲಿಗ್ಗೆ</v>
      </c>
      <c r="F84" s="2" t="str">
        <f>IFERROR(__xludf.DUMMYFUNCTION("""COMPUTED_VALUE"""),"ମୁଁ")</f>
        <v>ମୁଁ</v>
      </c>
      <c r="G84" s="2" t="str">
        <f>IFERROR(__xludf.DUMMYFUNCTION("""COMPUTED_VALUE"""),"am")</f>
        <v>am</v>
      </c>
      <c r="H84" s="2" t="str">
        <f>IFERROR(__xludf.DUMMYFUNCTION("""COMPUTED_VALUE"""),"સવારે")</f>
        <v>સવારે</v>
      </c>
      <c r="I84" s="2" t="str">
        <f>IFERROR(__xludf.DUMMYFUNCTION("""COMPUTED_VALUE"""),"ए एम ")</f>
        <v>ए एम </v>
      </c>
      <c r="J84" s="2" t="str">
        <f>IFERROR(__xludf.DUMMYFUNCTION("""COMPUTED_VALUE"""),"ആകുന്നു")</f>
        <v>ആകുന്നു</v>
      </c>
      <c r="K84" s="2" t="str">
        <f>IFERROR(__xludf.DUMMYFUNCTION("""COMPUTED_VALUE"""),"ਸਵੇਰੇ")</f>
        <v>ਸਵੇਰੇ</v>
      </c>
      <c r="L84" s="2" t="str">
        <f>IFERROR(__xludf.DUMMYFUNCTION("""COMPUTED_VALUE"""),"எ.ம்")</f>
        <v>எ.ம்</v>
      </c>
      <c r="M84" s="2" t="str">
        <f>IFERROR(__xludf.DUMMYFUNCTION("""COMPUTED_VALUE"""),"AM")</f>
        <v>AM</v>
      </c>
    </row>
    <row r="85">
      <c r="A85" s="2" t="str">
        <f>Master_en!A85</f>
        <v>pm</v>
      </c>
      <c r="B85" s="2" t="str">
        <f>Master_en!B85</f>
        <v>PM</v>
      </c>
      <c r="C85" s="2" t="str">
        <f>IFERROR(__xludf.DUMMYFUNCTION("""COMPUTED_VALUE"""),"প্রধানমন্ত্রী")</f>
        <v>প্রধানমন্ত্রী</v>
      </c>
      <c r="D85" s="2" t="str">
        <f>IFERROR(__xludf.DUMMYFUNCTION("""COMPUTED_VALUE"""),"बजे")</f>
        <v>बजे</v>
      </c>
      <c r="E85" s="2" t="str">
        <f>IFERROR(__xludf.DUMMYFUNCTION("""COMPUTED_VALUE"""),"ಮಧ್ಯಾಹ್ನ")</f>
        <v>ಮಧ್ಯಾಹ್ನ</v>
      </c>
      <c r="F85" s="2" t="str">
        <f>IFERROR(__xludf.DUMMYFUNCTION("""COMPUTED_VALUE"""),"PM")</f>
        <v>PM</v>
      </c>
      <c r="G85" s="2" t="str">
        <f>IFERROR(__xludf.DUMMYFUNCTION("""COMPUTED_VALUE"""),"pm")</f>
        <v>pm</v>
      </c>
      <c r="H85" s="2" t="str">
        <f>IFERROR(__xludf.DUMMYFUNCTION("""COMPUTED_VALUE"""),"બપોરે")</f>
        <v>બપોરે</v>
      </c>
      <c r="I85" s="2" t="str">
        <f>IFERROR(__xludf.DUMMYFUNCTION("""COMPUTED_VALUE"""),"पि एम")</f>
        <v>पि एम</v>
      </c>
      <c r="J85" s="2" t="str">
        <f>IFERROR(__xludf.DUMMYFUNCTION("""COMPUTED_VALUE"""),"പ്രധാനമന്ത്രി")</f>
        <v>പ്രധാനമന്ത്രി</v>
      </c>
      <c r="K85" s="2" t="str">
        <f>IFERROR(__xludf.DUMMYFUNCTION("""COMPUTED_VALUE"""),"ਪ੍ਰਧਾਨ ਮੰਤਰੀ")</f>
        <v>ਪ੍ਰਧਾਨ ਮੰਤਰੀ</v>
      </c>
      <c r="L85" s="2" t="str">
        <f>IFERROR(__xludf.DUMMYFUNCTION("""COMPUTED_VALUE"""),"பி.ம்")</f>
        <v>பி.ம்</v>
      </c>
      <c r="M85" s="2" t="str">
        <f>IFERROR(__xludf.DUMMYFUNCTION("""COMPUTED_VALUE"""),"PM")</f>
        <v>PM</v>
      </c>
    </row>
    <row r="86">
      <c r="A86" s="2" t="str">
        <f>Master_en!A86</f>
        <v>hour</v>
      </c>
      <c r="B86" s="2" t="str">
        <f>Master_en!B86</f>
        <v>Hour</v>
      </c>
      <c r="C86" s="2" t="str">
        <f>IFERROR(__xludf.DUMMYFUNCTION("""COMPUTED_VALUE"""),"ঘন্টা")</f>
        <v>ঘন্টা</v>
      </c>
      <c r="D86" s="2" t="str">
        <f>IFERROR(__xludf.DUMMYFUNCTION("""COMPUTED_VALUE"""),"घंटा")</f>
        <v>घंटा</v>
      </c>
      <c r="E86" s="2" t="str">
        <f>IFERROR(__xludf.DUMMYFUNCTION("""COMPUTED_VALUE"""),"ಗಂಟೆ")</f>
        <v>ಗಂಟೆ</v>
      </c>
      <c r="F86" s="2" t="str">
        <f>IFERROR(__xludf.DUMMYFUNCTION("""COMPUTED_VALUE"""),"ଘଣ୍ଟା")</f>
        <v>ଘଣ୍ଟା</v>
      </c>
      <c r="G86" s="2" t="str">
        <f>IFERROR(__xludf.DUMMYFUNCTION("""COMPUTED_VALUE"""),"ঘণ্টা")</f>
        <v>ঘণ্টা</v>
      </c>
      <c r="H86" s="2" t="str">
        <f>IFERROR(__xludf.DUMMYFUNCTION("""COMPUTED_VALUE"""),"કલાક")</f>
        <v>કલાક</v>
      </c>
      <c r="I86" s="2" t="str">
        <f>IFERROR(__xludf.DUMMYFUNCTION("""COMPUTED_VALUE"""),"तास")</f>
        <v>तास</v>
      </c>
      <c r="J86" s="2" t="str">
        <f>IFERROR(__xludf.DUMMYFUNCTION("""COMPUTED_VALUE"""),"മണിക്കൂര്")</f>
        <v>മണിക്കൂര്</v>
      </c>
      <c r="K86" s="2" t="str">
        <f>IFERROR(__xludf.DUMMYFUNCTION("""COMPUTED_VALUE"""),"ਘੰਟਾ")</f>
        <v>ਘੰਟਾ</v>
      </c>
      <c r="L86" s="2" t="str">
        <f>IFERROR(__xludf.DUMMYFUNCTION("""COMPUTED_VALUE"""),"மணி")</f>
        <v>மணி</v>
      </c>
      <c r="M86" s="2" t="str">
        <f>IFERROR(__xludf.DUMMYFUNCTION("""COMPUTED_VALUE"""),"గంట")</f>
        <v>గంట</v>
      </c>
    </row>
    <row r="87">
      <c r="A87" s="2" t="str">
        <f>Master_en!A87</f>
        <v>freeDelivery</v>
      </c>
      <c r="B87" s="2" t="str">
        <f>Master_en!B87</f>
        <v>Free Delivery</v>
      </c>
      <c r="C87" s="2" t="str">
        <f>IFERROR(__xludf.DUMMYFUNCTION("""COMPUTED_VALUE"""),"বিনামূল্যে বিতরণ")</f>
        <v>বিনামূল্যে বিতরণ</v>
      </c>
      <c r="D87" s="2" t="str">
        <f>IFERROR(__xludf.DUMMYFUNCTION("""COMPUTED_VALUE"""),"नि: शुल्क डिलिवरी")</f>
        <v>नि: शुल्क डिलिवरी</v>
      </c>
      <c r="E87" s="2" t="str">
        <f>IFERROR(__xludf.DUMMYFUNCTION("""COMPUTED_VALUE"""),"ಉಚಿತ ವಿತರಣೆ")</f>
        <v>ಉಚಿತ ವಿತರಣೆ</v>
      </c>
      <c r="F87" s="2" t="str">
        <f>IFERROR(__xludf.DUMMYFUNCTION("""COMPUTED_VALUE"""),"ମାଗଣା ବିତରଣ |")</f>
        <v>ମାଗଣା ବିତରଣ |</v>
      </c>
      <c r="G87" s="2" t="str">
        <f>IFERROR(__xludf.DUMMYFUNCTION("""COMPUTED_VALUE"""),"বিনামূলীয়া ডেলিভাৰী")</f>
        <v>বিনামূলীয়া ডেলিভাৰী</v>
      </c>
      <c r="H87" s="2" t="str">
        <f>IFERROR(__xludf.DUMMYFUNCTION("""COMPUTED_VALUE"""),"મફત ડીલીવરી")</f>
        <v>મફત ડીલીવરી</v>
      </c>
      <c r="I87" s="2" t="str">
        <f>IFERROR(__xludf.DUMMYFUNCTION("""COMPUTED_VALUE"""),"विनामूल्य वितरण")</f>
        <v>विनामूल्य वितरण</v>
      </c>
      <c r="J87" s="2" t="str">
        <f>IFERROR(__xludf.DUMMYFUNCTION("""COMPUTED_VALUE"""),"സൌജന്യമായി എത്തിച്ചു കൊടുക്കുക")</f>
        <v>സൌജന്യമായി എത്തിച്ചു കൊടുക്കുക</v>
      </c>
      <c r="K87" s="2" t="str">
        <f>IFERROR(__xludf.DUMMYFUNCTION("""COMPUTED_VALUE"""),"ਮੁਫਤ ਡਿਲਿਵਰੀ")</f>
        <v>ਮੁਫਤ ਡਿਲਿਵਰੀ</v>
      </c>
      <c r="L87" s="2" t="str">
        <f>IFERROR(__xludf.DUMMYFUNCTION("""COMPUTED_VALUE"""),"இலவச விநியோகம்")</f>
        <v>இலவச விநியோகம்</v>
      </c>
      <c r="M87" s="2" t="str">
        <f>IFERROR(__xludf.DUMMYFUNCTION("""COMPUTED_VALUE"""),"ఉచిత డెలివరీ")</f>
        <v>ఉచిత డెలివరీ</v>
      </c>
    </row>
    <row r="88">
      <c r="A88" s="2" t="str">
        <f>Master_en!A88</f>
        <v>enterCvv</v>
      </c>
      <c r="B88" s="2" t="str">
        <f>Master_en!B88</f>
        <v>Enter CVV</v>
      </c>
      <c r="C88" s="2" t="str">
        <f>IFERROR(__xludf.DUMMYFUNCTION("""COMPUTED_VALUE"""),"সিভিভি লিখুন")</f>
        <v>সিভিভি লিখুন</v>
      </c>
      <c r="D88" s="2" t="str">
        <f>IFERROR(__xludf.DUMMYFUNCTION("""COMPUTED_VALUE"""),"CVV दर्ज करें")</f>
        <v>CVV दर्ज करें</v>
      </c>
      <c r="E88" s="2" t="str">
        <f>IFERROR(__xludf.DUMMYFUNCTION("""COMPUTED_VALUE"""),"ಸಿವಿವಿ ನಮೂದಿಸಿ")</f>
        <v>ಸಿವಿವಿ ನಮೂದಿಸಿ</v>
      </c>
      <c r="F88" s="2" t="str">
        <f>IFERROR(__xludf.DUMMYFUNCTION("""COMPUTED_VALUE"""),"CVV ପ୍ରବେଶ କରନ୍ତୁ |")</f>
        <v>CVV ପ୍ରବେଶ କରନ୍ତୁ |</v>
      </c>
      <c r="G88" s="2" t="str">
        <f>IFERROR(__xludf.DUMMYFUNCTION("""COMPUTED_VALUE"""),"চিভিভি দিয়ক")</f>
        <v>চিভিভি দিয়ক</v>
      </c>
      <c r="H88" s="2" t="str">
        <f>IFERROR(__xludf.DUMMYFUNCTION("""COMPUTED_VALUE"""),"સીવીવી દાખલ કરો")</f>
        <v>સીવીવી દાખલ કરો</v>
      </c>
      <c r="I88" s="2" t="str">
        <f>IFERROR(__xludf.DUMMYFUNCTION("""COMPUTED_VALUE"""),"सीव्हीव्ही प्रविष्ट करा")</f>
        <v>सीव्हीव्ही प्रविष्ट करा</v>
      </c>
      <c r="J88" s="2" t="str">
        <f>IFERROR(__xludf.DUMMYFUNCTION("""COMPUTED_VALUE"""),"സിവിവി നൽകുക")</f>
        <v>സിവിവി നൽകുക</v>
      </c>
      <c r="K88" s="2" t="str">
        <f>IFERROR(__xludf.DUMMYFUNCTION("""COMPUTED_VALUE"""),"ਸੀਵੀਵੀ ਦਰਜ ਕਰੋ")</f>
        <v>ਸੀਵੀਵੀ ਦਰਜ ਕਰੋ</v>
      </c>
      <c r="L88" s="2" t="str">
        <f>IFERROR(__xludf.DUMMYFUNCTION("""COMPUTED_VALUE"""),"சி.வி.வி உள்ளிடவும்")</f>
        <v>சி.வி.வி உள்ளிடவும்</v>
      </c>
      <c r="M88" s="2" t="str">
        <f>IFERROR(__xludf.DUMMYFUNCTION("""COMPUTED_VALUE"""),"CVV ని నమోదు చేయండి")</f>
        <v>CVV ని నమోదు చేయండి</v>
      </c>
    </row>
    <row r="89">
      <c r="A89" s="2" t="str">
        <f>Master_en!A89</f>
        <v>cardNumber</v>
      </c>
      <c r="B89" s="2" t="str">
        <f>Master_en!B89</f>
        <v>Card Number</v>
      </c>
      <c r="C89" s="2" t="str">
        <f>IFERROR(__xludf.DUMMYFUNCTION("""COMPUTED_VALUE"""),"কার্ড নম্বর")</f>
        <v>কার্ড নম্বর</v>
      </c>
      <c r="D89" s="2" t="str">
        <f>IFERROR(__xludf.DUMMYFUNCTION("""COMPUTED_VALUE"""),"कार्ड संख्या")</f>
        <v>कार्ड संख्या</v>
      </c>
      <c r="E89" s="2" t="str">
        <f>IFERROR(__xludf.DUMMYFUNCTION("""COMPUTED_VALUE"""),"ಕಾರ್ಡ್ ಸಂಖ್ಯೆ")</f>
        <v>ಕಾರ್ಡ್ ಸಂಖ್ಯೆ</v>
      </c>
      <c r="F89" s="2" t="str">
        <f>IFERROR(__xludf.DUMMYFUNCTION("""COMPUTED_VALUE"""),"କାର୍ଡ଼ ସଂଖ୍ୟା")</f>
        <v>କାର୍ଡ଼ ସଂଖ୍ୟା</v>
      </c>
      <c r="G89" s="2" t="str">
        <f>IFERROR(__xludf.DUMMYFUNCTION("""COMPUTED_VALUE"""),"কাৰ্ড নম্বৰ")</f>
        <v>কাৰ্ড নম্বৰ</v>
      </c>
      <c r="H89" s="2" t="str">
        <f>IFERROR(__xludf.DUMMYFUNCTION("""COMPUTED_VALUE"""),"કાર્ડ ક્રમાંક")</f>
        <v>કાર્ડ ક્રમાંક</v>
      </c>
      <c r="I89" s="2" t="str">
        <f>IFERROR(__xludf.DUMMYFUNCTION("""COMPUTED_VALUE"""),"कार्ड नंबर")</f>
        <v>कार्ड नंबर</v>
      </c>
      <c r="J89" s="2" t="str">
        <f>IFERROR(__xludf.DUMMYFUNCTION("""COMPUTED_VALUE"""),"കാർഡ് നമ്പർ")</f>
        <v>കാർഡ് നമ്പർ</v>
      </c>
      <c r="K89" s="2" t="str">
        <f>IFERROR(__xludf.DUMMYFUNCTION("""COMPUTED_VALUE"""),"ਕਾਰਡ ਨੰਬਰ")</f>
        <v>ਕਾਰਡ ਨੰਬਰ</v>
      </c>
      <c r="L89" s="2" t="str">
        <f>IFERROR(__xludf.DUMMYFUNCTION("""COMPUTED_VALUE"""),"அட்டை எண்")</f>
        <v>அட்டை எண்</v>
      </c>
      <c r="M89" s="2" t="str">
        <f>IFERROR(__xludf.DUMMYFUNCTION("""COMPUTED_VALUE"""),"కార్డ్ నంబర్")</f>
        <v>కార్డ్ నంబర్</v>
      </c>
    </row>
    <row r="90">
      <c r="A90" s="2" t="str">
        <f>Master_en!A90</f>
        <v>expiry</v>
      </c>
      <c r="B90" s="2" t="str">
        <f>Master_en!B90</f>
        <v>Expiry</v>
      </c>
      <c r="C90" s="2" t="str">
        <f>IFERROR(__xludf.DUMMYFUNCTION("""COMPUTED_VALUE"""),"মেয়াদোত্তীর্ণ")</f>
        <v>মেয়াদোত্তীর্ণ</v>
      </c>
      <c r="D90" s="2" t="str">
        <f>IFERROR(__xludf.DUMMYFUNCTION("""COMPUTED_VALUE"""),"समाप्ति")</f>
        <v>समाप्ति</v>
      </c>
      <c r="E90" s="2" t="str">
        <f>IFERROR(__xludf.DUMMYFUNCTION("""COMPUTED_VALUE"""),"ಮುಗಿದಿದೆ")</f>
        <v>ಮುಗಿದಿದೆ</v>
      </c>
      <c r="F90" s="2" t="str">
        <f>IFERROR(__xludf.DUMMYFUNCTION("""COMPUTED_VALUE"""),"ସମାପ୍ତି")</f>
        <v>ସମାପ୍ତି</v>
      </c>
      <c r="G90" s="2" t="str">
        <f>IFERROR(__xludf.DUMMYFUNCTION("""COMPUTED_VALUE"""),"মেয়াদ উকলি যোৱা")</f>
        <v>মেয়াদ উকলি যোৱা</v>
      </c>
      <c r="H90" s="2" t="str">
        <f>IFERROR(__xludf.DUMMYFUNCTION("""COMPUTED_VALUE"""),"એક્સપાયરી")</f>
        <v>એક્સપાયરી</v>
      </c>
      <c r="I90" s="2" t="str">
        <f>IFERROR(__xludf.DUMMYFUNCTION("""COMPUTED_VALUE"""),"समाप्ती")</f>
        <v>समाप्ती</v>
      </c>
      <c r="J90" s="2" t="str">
        <f>IFERROR(__xludf.DUMMYFUNCTION("""COMPUTED_VALUE"""),"കാലഹരണപ്പെടൽ")</f>
        <v>കാലഹരണപ്പെടൽ</v>
      </c>
      <c r="K90" s="2" t="str">
        <f>IFERROR(__xludf.DUMMYFUNCTION("""COMPUTED_VALUE"""),"ਮਿਆਦ ਖਤਮ")</f>
        <v>ਮਿਆਦ ਖਤਮ</v>
      </c>
      <c r="L90" s="2" t="str">
        <f>IFERROR(__xludf.DUMMYFUNCTION("""COMPUTED_VALUE"""),"காலாவதியாகும்")</f>
        <v>காலாவதியாகும்</v>
      </c>
      <c r="M90" s="2" t="str">
        <f>IFERROR(__xludf.DUMMYFUNCTION("""COMPUTED_VALUE"""),"గడువు")</f>
        <v>గడువు</v>
      </c>
    </row>
    <row r="91">
      <c r="A91" s="2" t="str">
        <f>Master_en!A91</f>
        <v>nameOnCard</v>
      </c>
      <c r="B91" s="2" t="str">
        <f>Master_en!B91</f>
        <v>Name on Card</v>
      </c>
      <c r="C91" s="2" t="str">
        <f>IFERROR(__xludf.DUMMYFUNCTION("""COMPUTED_VALUE"""),"কার্ডের ওপর নাম")</f>
        <v>কার্ডের ওপর নাম</v>
      </c>
      <c r="D91" s="2" t="str">
        <f>IFERROR(__xludf.DUMMYFUNCTION("""COMPUTED_VALUE"""),"कार्ड पर नाम")</f>
        <v>कार्ड पर नाम</v>
      </c>
      <c r="E91" s="2" t="str">
        <f>IFERROR(__xludf.DUMMYFUNCTION("""COMPUTED_VALUE"""),"ಕಾರ್ಡ್ನಲ್ಲಿ ಹೆಸರು")</f>
        <v>ಕಾರ್ಡ್ನಲ್ಲಿ ಹೆಸರು</v>
      </c>
      <c r="F91" s="2" t="str">
        <f>IFERROR(__xludf.DUMMYFUNCTION("""COMPUTED_VALUE"""),"ପତ୍ର ଉପରେ ଲିଖିତ ନାମ")</f>
        <v>ପତ୍ର ଉପରେ ଲିଖିତ ନାମ</v>
      </c>
      <c r="G91" s="2" t="str">
        <f>IFERROR(__xludf.DUMMYFUNCTION("""COMPUTED_VALUE"""),"কাৰ্ডত নাম।")</f>
        <v>কাৰ্ডত নাম।</v>
      </c>
      <c r="H91" s="2" t="str">
        <f>IFERROR(__xludf.DUMMYFUNCTION("""COMPUTED_VALUE"""),"કાર્ડ પરનું નામ")</f>
        <v>કાર્ડ પરનું નામ</v>
      </c>
      <c r="I91" s="2" t="str">
        <f>IFERROR(__xludf.DUMMYFUNCTION("""COMPUTED_VALUE"""),"कार्डवरील नाव")</f>
        <v>कार्डवरील नाव</v>
      </c>
      <c r="J91" s="2" t="str">
        <f>IFERROR(__xludf.DUMMYFUNCTION("""COMPUTED_VALUE"""),"കാർഡിലെ പേര്")</f>
        <v>കാർഡിലെ പേര്</v>
      </c>
      <c r="K91" s="2" t="str">
        <f>IFERROR(__xludf.DUMMYFUNCTION("""COMPUTED_VALUE"""),"ਕਾਰਡ 'ਤੇ ਨਾਮ")</f>
        <v>ਕਾਰਡ 'ਤੇ ਨਾਮ</v>
      </c>
      <c r="L91" s="2" t="str">
        <f>IFERROR(__xludf.DUMMYFUNCTION("""COMPUTED_VALUE"""),"அட்டையிலுள்ள பெயர்")</f>
        <v>அட்டையிலுள்ள பெயர்</v>
      </c>
      <c r="M91" s="2" t="str">
        <f>IFERROR(__xludf.DUMMYFUNCTION("""COMPUTED_VALUE"""),"కర్డుపై పేరు")</f>
        <v>కర్డుపై పేరు</v>
      </c>
    </row>
    <row r="92">
      <c r="A92" s="2" t="str">
        <f>Master_en!A92</f>
        <v>saveCardDetails</v>
      </c>
      <c r="B92" s="2" t="str">
        <f>Master_en!B92</f>
        <v>Save Card Details</v>
      </c>
      <c r="C92" s="2" t="str">
        <f>IFERROR(__xludf.DUMMYFUNCTION("""COMPUTED_VALUE"""),"কার্ডের বিশদ সংরক্ষণ করুন")</f>
        <v>কার্ডের বিশদ সংরক্ষণ করুন</v>
      </c>
      <c r="D92" s="2" t="str">
        <f>IFERROR(__xludf.DUMMYFUNCTION("""COMPUTED_VALUE"""),"कार्ड विवरण सहेजें")</f>
        <v>कार्ड विवरण सहेजें</v>
      </c>
      <c r="E92" s="2" t="str">
        <f>IFERROR(__xludf.DUMMYFUNCTION("""COMPUTED_VALUE"""),"ಕಾರ್ಡ್ ವಿವರಗಳನ್ನು ಉಳಿಸಿ")</f>
        <v>ಕಾರ್ಡ್ ವಿವರಗಳನ್ನು ಉಳಿಸಿ</v>
      </c>
      <c r="F92" s="2" t="str">
        <f>IFERROR(__xludf.DUMMYFUNCTION("""COMPUTED_VALUE"""),"କାର୍ଡ ବିବରଣୀ ସଞ୍ଚୟ କରନ୍ତୁ |")</f>
        <v>କାର୍ଡ ବିବରଣୀ ସଞ୍ଚୟ କରନ୍ତୁ |</v>
      </c>
      <c r="G92" s="2" t="str">
        <f>IFERROR(__xludf.DUMMYFUNCTION("""COMPUTED_VALUE"""),"কাৰ্ডৰ বিৱৰণ সংৰক্ষণ কৰক")</f>
        <v>কাৰ্ডৰ বিৱৰণ সংৰক্ষণ কৰক</v>
      </c>
      <c r="H92" s="2" t="str">
        <f>IFERROR(__xludf.DUMMYFUNCTION("""COMPUTED_VALUE"""),"કાર્ડની વિગતો સાચવો")</f>
        <v>કાર્ડની વિગતો સાચવો</v>
      </c>
      <c r="I92" s="2" t="str">
        <f>IFERROR(__xludf.DUMMYFUNCTION("""COMPUTED_VALUE"""),"कार्ड तपशील जतन करा")</f>
        <v>कार्ड तपशील जतन करा</v>
      </c>
      <c r="J92" s="2" t="str">
        <f>IFERROR(__xludf.DUMMYFUNCTION("""COMPUTED_VALUE"""),"കാർഡ് വിശദാംശങ്ങൾ സംരക്ഷിക്കുക")</f>
        <v>കാർഡ് വിശദാംശങ്ങൾ സംരക്ഷിക്കുക</v>
      </c>
      <c r="K92" s="2" t="str">
        <f>IFERROR(__xludf.DUMMYFUNCTION("""COMPUTED_VALUE"""),"ਕਾਰਡ ਦੇ ਵੇਰਵੇ ਸੁਰੱਖਿਅਤ ਕਰੋ")</f>
        <v>ਕਾਰਡ ਦੇ ਵੇਰਵੇ ਸੁਰੱਖਿਅਤ ਕਰੋ</v>
      </c>
      <c r="L92" s="2" t="str">
        <f>IFERROR(__xludf.DUMMYFUNCTION("""COMPUTED_VALUE"""),"அட்டை விவரங்களை சேமிக்கவும்")</f>
        <v>அட்டை விவரங்களை சேமிக்கவும்</v>
      </c>
      <c r="M92" s="2" t="str">
        <f>IFERROR(__xludf.DUMMYFUNCTION("""COMPUTED_VALUE"""),"కార్డు వివరాలను సేవ్ చేయండి")</f>
        <v>కార్డు వివరాలను సేవ్ చేయండి</v>
      </c>
    </row>
    <row r="93">
      <c r="A93" s="2" t="str">
        <f>Master_en!A93</f>
        <v>icici</v>
      </c>
      <c r="B93" s="2" t="str">
        <f>Master_en!B93</f>
        <v>ICICI</v>
      </c>
      <c r="C93" s="2" t="str">
        <f>IFERROR(__xludf.DUMMYFUNCTION("""COMPUTED_VALUE"""),"আইসিআইসিআই")</f>
        <v>আইসিআইসিআই</v>
      </c>
      <c r="D93" s="2" t="str">
        <f>IFERROR(__xludf.DUMMYFUNCTION("""COMPUTED_VALUE"""),"आईसीआईसीआई")</f>
        <v>आईसीआईसीआई</v>
      </c>
      <c r="E93" s="2" t="str">
        <f>IFERROR(__xludf.DUMMYFUNCTION("""COMPUTED_VALUE"""),"ಐಸಿಐಸಿಐ")</f>
        <v>ಐಸಿಐಸಿಐ</v>
      </c>
      <c r="F93" s="2" t="str">
        <f>IFERROR(__xludf.DUMMYFUNCTION("""COMPUTED_VALUE"""),"ଆଇସିସି")</f>
        <v>ଆଇସିସି</v>
      </c>
      <c r="G93" s="2" t="str">
        <f>IFERROR(__xludf.DUMMYFUNCTION("""COMPUTED_VALUE"""),"আইচিআইচিআই")</f>
        <v>আইচিআইচিআই</v>
      </c>
      <c r="H93" s="2" t="str">
        <f>IFERROR(__xludf.DUMMYFUNCTION("""COMPUTED_VALUE"""),"આઇસીઆઈસીઆઈ")</f>
        <v>આઇસીઆઈસીઆઈ</v>
      </c>
      <c r="I93" s="2" t="str">
        <f>IFERROR(__xludf.DUMMYFUNCTION("""COMPUTED_VALUE"""),"आयसीआयसीआय")</f>
        <v>आयसीआयसीआय</v>
      </c>
      <c r="J93" s="2" t="str">
        <f>IFERROR(__xludf.DUMMYFUNCTION("""COMPUTED_VALUE"""),"ഐസിഐസിഐ")</f>
        <v>ഐസിഐസിഐ</v>
      </c>
      <c r="K93" s="2" t="str">
        <f>IFERROR(__xludf.DUMMYFUNCTION("""COMPUTED_VALUE"""),"ਆਈਸੀਆਈਸੀਆਈ")</f>
        <v>ਆਈਸੀਆਈਸੀਆਈ</v>
      </c>
      <c r="L93" s="2" t="str">
        <f>IFERROR(__xludf.DUMMYFUNCTION("""COMPUTED_VALUE"""),"ICICI")</f>
        <v>ICICI</v>
      </c>
      <c r="M93" s="2" t="str">
        <f>IFERROR(__xludf.DUMMYFUNCTION("""COMPUTED_VALUE"""),"ఐసిసి")</f>
        <v>ఐసిసి</v>
      </c>
    </row>
    <row r="94">
      <c r="A94" s="2" t="str">
        <f>Master_en!A94</f>
        <v>sbi</v>
      </c>
      <c r="B94" s="2" t="str">
        <f>Master_en!B94</f>
        <v>SBI</v>
      </c>
      <c r="C94" s="2" t="str">
        <f>IFERROR(__xludf.DUMMYFUNCTION("""COMPUTED_VALUE"""),"এসবিআই")</f>
        <v>এসবিআই</v>
      </c>
      <c r="D94" s="2" t="str">
        <f>IFERROR(__xludf.DUMMYFUNCTION("""COMPUTED_VALUE"""),"स्टेट बैंक ऑफ इंडिया")</f>
        <v>स्टेट बैंक ऑफ इंडिया</v>
      </c>
      <c r="E94" s="2" t="str">
        <f>IFERROR(__xludf.DUMMYFUNCTION("""COMPUTED_VALUE"""),"ಎಸ್.ಬಿ.ಐ")</f>
        <v>ಎಸ್.ಬಿ.ಐ</v>
      </c>
      <c r="F94" s="2" t="str">
        <f>IFERROR(__xludf.DUMMYFUNCTION("""COMPUTED_VALUE"""),"SBI")</f>
        <v>SBI</v>
      </c>
      <c r="G94" s="2" t="str">
        <f>IFERROR(__xludf.DUMMYFUNCTION("""COMPUTED_VALUE"""),"এছ বি আই")</f>
        <v>এছ বি আই</v>
      </c>
      <c r="H94" s="2" t="str">
        <f>IFERROR(__xludf.DUMMYFUNCTION("""COMPUTED_VALUE"""),"એસ.બી.આઈ.")</f>
        <v>એસ.બી.આઈ.</v>
      </c>
      <c r="I94" s="2" t="str">
        <f>IFERROR(__xludf.DUMMYFUNCTION("""COMPUTED_VALUE"""),"एसबीआय")</f>
        <v>एसबीआय</v>
      </c>
      <c r="J94" s="2" t="str">
        <f>IFERROR(__xludf.DUMMYFUNCTION("""COMPUTED_VALUE"""),"എസ്ബിഐ")</f>
        <v>എസ്ബിഐ</v>
      </c>
      <c r="K94" s="2" t="str">
        <f>IFERROR(__xludf.DUMMYFUNCTION("""COMPUTED_VALUE"""),"ਐਸਬੀਆਈ")</f>
        <v>ਐਸਬੀਆਈ</v>
      </c>
      <c r="L94" s="2" t="str">
        <f>IFERROR(__xludf.DUMMYFUNCTION("""COMPUTED_VALUE"""),"எஸ்பிஐ")</f>
        <v>எஸ்பிஐ</v>
      </c>
      <c r="M94" s="2" t="str">
        <f>IFERROR(__xludf.DUMMYFUNCTION("""COMPUTED_VALUE"""),"Sbi")</f>
        <v>Sbi</v>
      </c>
    </row>
    <row r="95">
      <c r="A95" s="2" t="str">
        <f>Master_en!A95</f>
        <v>hdfc</v>
      </c>
      <c r="B95" s="2" t="str">
        <f>Master_en!B95</f>
        <v>HDFC</v>
      </c>
      <c r="C95" s="2" t="str">
        <f>IFERROR(__xludf.DUMMYFUNCTION("""COMPUTED_VALUE"""),"এইচডিএফসি")</f>
        <v>এইচডিএফসি</v>
      </c>
      <c r="D95" s="2" t="str">
        <f>IFERROR(__xludf.DUMMYFUNCTION("""COMPUTED_VALUE"""),"एचडीएफसी")</f>
        <v>एचडीएफसी</v>
      </c>
      <c r="E95" s="2" t="str">
        <f>IFERROR(__xludf.DUMMYFUNCTION("""COMPUTED_VALUE"""),"ಎಚ್ಡಿಎಫ್ಸಿ")</f>
        <v>ಎಚ್ಡಿಎಫ್ಸಿ</v>
      </c>
      <c r="F95" s="2" t="str">
        <f>IFERROR(__xludf.DUMMYFUNCTION("""COMPUTED_VALUE"""),"HDFC")</f>
        <v>HDFC</v>
      </c>
      <c r="G95" s="2" t="str">
        <f>IFERROR(__xludf.DUMMYFUNCTION("""COMPUTED_VALUE"""),"এইচডিএফচি")</f>
        <v>এইচডিএফচি</v>
      </c>
      <c r="H95" s="2" t="str">
        <f>IFERROR(__xludf.DUMMYFUNCTION("""COMPUTED_VALUE"""),"એચડીએફસી")</f>
        <v>એચડીએફસી</v>
      </c>
      <c r="I95" s="2" t="str">
        <f>IFERROR(__xludf.DUMMYFUNCTION("""COMPUTED_VALUE"""),"एचडीएफसी")</f>
        <v>एचडीएफसी</v>
      </c>
      <c r="J95" s="2" t="str">
        <f>IFERROR(__xludf.DUMMYFUNCTION("""COMPUTED_VALUE"""),"എച്ച്ഡിഎഫ്സി")</f>
        <v>എച്ച്ഡിഎഫ്സി</v>
      </c>
      <c r="K95" s="2" t="str">
        <f>IFERROR(__xludf.DUMMYFUNCTION("""COMPUTED_VALUE"""),"ਐਚਡੀਐਫਸੀ")</f>
        <v>ਐਚਡੀਐਫਸੀ</v>
      </c>
      <c r="L95" s="2" t="str">
        <f>IFERROR(__xludf.DUMMYFUNCTION("""COMPUTED_VALUE"""),"HDFC")</f>
        <v>HDFC</v>
      </c>
      <c r="M95" s="2" t="str">
        <f>IFERROR(__xludf.DUMMYFUNCTION("""COMPUTED_VALUE"""),"HDFC")</f>
        <v>HDFC</v>
      </c>
    </row>
    <row r="96">
      <c r="A96" s="2" t="str">
        <f>Master_en!A96</f>
        <v>moreBanks</v>
      </c>
      <c r="B96" s="2" t="str">
        <f>Master_en!B96</f>
        <v>More Banks</v>
      </c>
      <c r="C96" s="2" t="str">
        <f>IFERROR(__xludf.DUMMYFUNCTION("""COMPUTED_VALUE"""),"আরও ব্যাংক")</f>
        <v>আরও ব্যাংক</v>
      </c>
      <c r="D96" s="2" t="str">
        <f>IFERROR(__xludf.DUMMYFUNCTION("""COMPUTED_VALUE"""),"अधिक बैंक")</f>
        <v>अधिक बैंक</v>
      </c>
      <c r="E96" s="2" t="str">
        <f>IFERROR(__xludf.DUMMYFUNCTION("""COMPUTED_VALUE"""),"ಇತರೆ ಬ್ಯಾಂಕುಗಳು")</f>
        <v>ಇತರೆ ಬ್ಯಾಂಕುಗಳು</v>
      </c>
      <c r="F96" s="2" t="str">
        <f>IFERROR(__xludf.DUMMYFUNCTION("""COMPUTED_VALUE"""),"ଅଧିକ ବ୍ୟାଙ୍କଗୁଡିକ |")</f>
        <v>ଅଧିକ ବ୍ୟାଙ୍କଗୁଡିକ |</v>
      </c>
      <c r="G96" s="2" t="str">
        <f>IFERROR(__xludf.DUMMYFUNCTION("""COMPUTED_VALUE"""),"অধিক বেংক")</f>
        <v>অধিক বেংক</v>
      </c>
      <c r="H96" s="2" t="str">
        <f>IFERROR(__xludf.DUMMYFUNCTION("""COMPUTED_VALUE"""),"અન્ય બેંકો")</f>
        <v>અન્ય બેંકો</v>
      </c>
      <c r="I96" s="2" t="str">
        <f>IFERROR(__xludf.DUMMYFUNCTION("""COMPUTED_VALUE"""),"अधिक बँका")</f>
        <v>अधिक बँका</v>
      </c>
      <c r="J96" s="2" t="str">
        <f>IFERROR(__xludf.DUMMYFUNCTION("""COMPUTED_VALUE"""),"കൂടുതൽ ബാങ്കുകൾ")</f>
        <v>കൂടുതൽ ബാങ്കുകൾ</v>
      </c>
      <c r="K96" s="2" t="str">
        <f>IFERROR(__xludf.DUMMYFUNCTION("""COMPUTED_VALUE"""),"ਹੋਰ ਬੈਂਕਾਂ")</f>
        <v>ਹੋਰ ਬੈਂਕਾਂ</v>
      </c>
      <c r="L96" s="2" t="str">
        <f>IFERROR(__xludf.DUMMYFUNCTION("""COMPUTED_VALUE"""),"மேலும் வங்கிகள்")</f>
        <v>மேலும் வங்கிகள்</v>
      </c>
      <c r="M96" s="2" t="str">
        <f>IFERROR(__xludf.DUMMYFUNCTION("""COMPUTED_VALUE"""),"మరిన్ని బ్యాంకులు")</f>
        <v>మరిన్ని బ్యాంకులు</v>
      </c>
    </row>
    <row r="97">
      <c r="A97" s="2" t="str">
        <f>Master_en!A97</f>
        <v>orderConfirmed</v>
      </c>
      <c r="B97" s="2" t="str">
        <f>Master_en!B97</f>
        <v>Order Confirmed</v>
      </c>
      <c r="C97" s="2" t="str">
        <f>IFERROR(__xludf.DUMMYFUNCTION("""COMPUTED_VALUE"""),"আদেশ সমর্থন করা হলো")</f>
        <v>আদেশ সমর্থন করা হলো</v>
      </c>
      <c r="D97" s="2" t="str">
        <f>IFERROR(__xludf.DUMMYFUNCTION("""COMPUTED_VALUE"""),"ऑर्डर की पुष्टि की गई")</f>
        <v>ऑर्डर की पुष्टि की गई</v>
      </c>
      <c r="E97" s="2" t="str">
        <f>IFERROR(__xludf.DUMMYFUNCTION("""COMPUTED_VALUE"""),"ಆದೇಶವನ್ನು ದೃಢೀಕರಿಸಲಾಗಿದೆ")</f>
        <v>ಆದೇಶವನ್ನು ದೃಢೀಕರಿಸಲಾಗಿದೆ</v>
      </c>
      <c r="F97" s="2" t="str">
        <f>IFERROR(__xludf.DUMMYFUNCTION("""COMPUTED_VALUE"""),"ଅର୍ଡର ନିଶ୍ଚିତ ହୋଇଛି |")</f>
        <v>ଅର୍ଡର ନିଶ୍ଚିତ ହୋଇଛି |</v>
      </c>
      <c r="G97" s="2" t="str">
        <f>IFERROR(__xludf.DUMMYFUNCTION("""COMPUTED_VALUE"""),"অৰ্ডাৰ নিশ্চিত কৰা হৈছে")</f>
        <v>অৰ্ডাৰ নিশ্চিত কৰা হৈছে</v>
      </c>
      <c r="H97" s="2" t="str">
        <f>IFERROR(__xludf.DUMMYFUNCTION("""COMPUTED_VALUE"""),"ઓર્ડર કન્ફર્મ")</f>
        <v>ઓર્ડર કન્ફર્મ</v>
      </c>
      <c r="I97" s="2" t="str">
        <f>IFERROR(__xludf.DUMMYFUNCTION("""COMPUTED_VALUE"""),"निश्चित ऑर्डर ")</f>
        <v>निश्चित ऑर्डर </v>
      </c>
      <c r="J97" s="2" t="str">
        <f>IFERROR(__xludf.DUMMYFUNCTION("""COMPUTED_VALUE"""),"ഓർഡർ സ്ഥിരീകരിച്ചു")</f>
        <v>ഓർഡർ സ്ഥിരീകരിച്ചു</v>
      </c>
      <c r="K97" s="2" t="str">
        <f>IFERROR(__xludf.DUMMYFUNCTION("""COMPUTED_VALUE"""),"ਆਰਡਰ ਦੀ ਪੁਸ਼ਟੀ ਕੀਤੀ ਗਈ")</f>
        <v>ਆਰਡਰ ਦੀ ਪੁਸ਼ਟੀ ਕੀਤੀ ਗਈ</v>
      </c>
      <c r="L97" s="2" t="str">
        <f>IFERROR(__xludf.DUMMYFUNCTION("""COMPUTED_VALUE"""),"ஆர்டர் உறுதிப்படுத்தப்பட்டது")</f>
        <v>ஆர்டர் உறுதிப்படுத்தப்பட்டது</v>
      </c>
      <c r="M97" s="2" t="str">
        <f>IFERROR(__xludf.DUMMYFUNCTION("""COMPUTED_VALUE"""),"ఆర్డర్ ధృవీకరించబడింది")</f>
        <v>ఆర్డర్ ధృవీకరించబడింది</v>
      </c>
    </row>
    <row r="98">
      <c r="A98" s="2" t="str">
        <f>Master_en!A98</f>
        <v>orderNumber</v>
      </c>
      <c r="B98" s="2" t="str">
        <f>Master_en!B98</f>
        <v>Order Number</v>
      </c>
      <c r="C98" s="2" t="str">
        <f>IFERROR(__xludf.DUMMYFUNCTION("""COMPUTED_VALUE"""),"অর্ডার নম্বর")</f>
        <v>অর্ডার নম্বর</v>
      </c>
      <c r="D98" s="2" t="str">
        <f>IFERROR(__xludf.DUMMYFUNCTION("""COMPUTED_VALUE"""),"क्रम संख्या")</f>
        <v>क्रम संख्या</v>
      </c>
      <c r="E98" s="2" t="str">
        <f>IFERROR(__xludf.DUMMYFUNCTION("""COMPUTED_VALUE"""),"ಆದೇಶ ಸಂಖ್ಯೆ")</f>
        <v>ಆದೇಶ ಸಂಖ್ಯೆ</v>
      </c>
      <c r="F98" s="2" t="str">
        <f>IFERROR(__xludf.DUMMYFUNCTION("""COMPUTED_VALUE"""),"ଅର୍ଡର ନମ୍ବର")</f>
        <v>ଅର୍ଡର ନମ୍ବର</v>
      </c>
      <c r="G98" s="2" t="str">
        <f>IFERROR(__xludf.DUMMYFUNCTION("""COMPUTED_VALUE"""),"অৰ্ডাৰ নম্বৰ")</f>
        <v>অৰ্ডাৰ নম্বৰ</v>
      </c>
      <c r="H98" s="2" t="str">
        <f>IFERROR(__xludf.DUMMYFUNCTION("""COMPUTED_VALUE"""),"ઓર્ડર નંબર")</f>
        <v>ઓર્ડર નંબર</v>
      </c>
      <c r="I98" s="2" t="str">
        <f>IFERROR(__xludf.DUMMYFUNCTION("""COMPUTED_VALUE"""),"ऑर्डर क्रमांक")</f>
        <v>ऑर्डर क्रमांक</v>
      </c>
      <c r="J98" s="2" t="str">
        <f>IFERROR(__xludf.DUMMYFUNCTION("""COMPUTED_VALUE"""),"ഓർഡർ നമ്പർ")</f>
        <v>ഓർഡർ നമ്പർ</v>
      </c>
      <c r="K98" s="2" t="str">
        <f>IFERROR(__xludf.DUMMYFUNCTION("""COMPUTED_VALUE"""),"ਕ੍ਰਮ ਸੰਖਿਆ")</f>
        <v>ਕ੍ਰਮ ਸੰਖਿਆ</v>
      </c>
      <c r="L98" s="2" t="str">
        <f>IFERROR(__xludf.DUMMYFUNCTION("""COMPUTED_VALUE"""),"ஆர்டர் எண்")</f>
        <v>ஆர்டர் எண்</v>
      </c>
      <c r="M98" s="2" t="str">
        <f>IFERROR(__xludf.DUMMYFUNCTION("""COMPUTED_VALUE"""),"ఆర్డర్ సంఖ్య")</f>
        <v>ఆర్డర్ సంఖ్య</v>
      </c>
    </row>
    <row r="99">
      <c r="A99" s="2" t="str">
        <f>Master_en!A99</f>
        <v>payment</v>
      </c>
      <c r="B99" s="2" t="str">
        <f>Master_en!B99</f>
        <v>Payment </v>
      </c>
      <c r="C99" s="2" t="str">
        <f>IFERROR(__xludf.DUMMYFUNCTION("""COMPUTED_VALUE"""),"অর্থ প্রদান")</f>
        <v>অর্থ প্রদান</v>
      </c>
      <c r="D99" s="2" t="str">
        <f>IFERROR(__xludf.DUMMYFUNCTION("""COMPUTED_VALUE"""),"भुगतान")</f>
        <v>भुगतान</v>
      </c>
      <c r="E99" s="2" t="str">
        <f>IFERROR(__xludf.DUMMYFUNCTION("""COMPUTED_VALUE"""),"ಪಾವತಿ")</f>
        <v>ಪಾವತಿ</v>
      </c>
      <c r="F99" s="2" t="str">
        <f>IFERROR(__xludf.DUMMYFUNCTION("""COMPUTED_VALUE"""),"ଦେୟ")</f>
        <v>ଦେୟ</v>
      </c>
      <c r="G99" s="2" t="str">
        <f>IFERROR(__xludf.DUMMYFUNCTION("""COMPUTED_VALUE"""),"পৰিশোধ")</f>
        <v>পৰিশোধ</v>
      </c>
      <c r="H99" s="2" t="str">
        <f>IFERROR(__xludf.DUMMYFUNCTION("""COMPUTED_VALUE"""),"ચુકવણી")</f>
        <v>ચુકવણી</v>
      </c>
      <c r="I99" s="2" t="str">
        <f>IFERROR(__xludf.DUMMYFUNCTION("""COMPUTED_VALUE"""),"पेमेंट")</f>
        <v>पेमेंट</v>
      </c>
      <c r="J99" s="2" t="str">
        <f>IFERROR(__xludf.DUMMYFUNCTION("""COMPUTED_VALUE"""),"പേയ്മെന്റ്")</f>
        <v>പേയ്മെന്റ്</v>
      </c>
      <c r="K99" s="2" t="str">
        <f>IFERROR(__xludf.DUMMYFUNCTION("""COMPUTED_VALUE"""),"ਭੁਗਤਾਨ")</f>
        <v>ਭੁਗਤਾਨ</v>
      </c>
      <c r="L99" s="2" t="str">
        <f>IFERROR(__xludf.DUMMYFUNCTION("""COMPUTED_VALUE"""),"கட்டணம்")</f>
        <v>கட்டணம்</v>
      </c>
      <c r="M99" s="2" t="str">
        <f>IFERROR(__xludf.DUMMYFUNCTION("""COMPUTED_VALUE"""),"చెల్లింపు")</f>
        <v>చెల్లింపు</v>
      </c>
    </row>
    <row r="100">
      <c r="A100" s="2" t="str">
        <f>Master_en!A100</f>
        <v>dateOfOrder</v>
      </c>
      <c r="B100" s="2" t="str">
        <f>Master_en!B100</f>
        <v>Date of Order</v>
      </c>
      <c r="C100" s="2" t="str">
        <f>IFERROR(__xludf.DUMMYFUNCTION("""COMPUTED_VALUE"""),"আদেশের তারিখ")</f>
        <v>আদেশের তারিখ</v>
      </c>
      <c r="D100" s="2" t="str">
        <f>IFERROR(__xludf.DUMMYFUNCTION("""COMPUTED_VALUE"""),"आदेश की तिथि")</f>
        <v>आदेश की तिथि</v>
      </c>
      <c r="E100" s="2" t="str">
        <f>IFERROR(__xludf.DUMMYFUNCTION("""COMPUTED_VALUE"""),"ಆದೇಶದ ದಿನಾಂಕ")</f>
        <v>ಆದೇಶದ ದಿನಾಂಕ</v>
      </c>
      <c r="F100" s="2" t="str">
        <f>IFERROR(__xludf.DUMMYFUNCTION("""COMPUTED_VALUE"""),"କ୍ରମର ତାରିଖ")</f>
        <v>କ୍ରମର ତାରିଖ</v>
      </c>
      <c r="G100" s="2" t="str">
        <f>IFERROR(__xludf.DUMMYFUNCTION("""COMPUTED_VALUE"""),"অৰ্ডাৰৰ তাৰিখ")</f>
        <v>অৰ্ডাৰৰ তাৰিখ</v>
      </c>
      <c r="H100" s="2" t="str">
        <f>IFERROR(__xludf.DUMMYFUNCTION("""COMPUTED_VALUE"""),"ઓર્ડર તારીખ")</f>
        <v>ઓર્ડર તારીખ</v>
      </c>
      <c r="I100" s="2" t="str">
        <f>IFERROR(__xludf.DUMMYFUNCTION("""COMPUTED_VALUE"""),"ऑर्डरची तारीख")</f>
        <v>ऑर्डरची तारीख</v>
      </c>
      <c r="J100" s="2" t="str">
        <f>IFERROR(__xludf.DUMMYFUNCTION("""COMPUTED_VALUE"""),"ക്രമത്തിന്റെ തീയതി")</f>
        <v>ക്രമത്തിന്റെ തീയതി</v>
      </c>
      <c r="K100" s="2" t="str">
        <f>IFERROR(__xludf.DUMMYFUNCTION("""COMPUTED_VALUE"""),"ਆਰਡਰ ਦੀ ਮਿਤੀ")</f>
        <v>ਆਰਡਰ ਦੀ ਮਿਤੀ</v>
      </c>
      <c r="L100" s="2" t="str">
        <f>IFERROR(__xludf.DUMMYFUNCTION("""COMPUTED_VALUE"""),"ஆர்டர் தேதி")</f>
        <v>ஆர்டர் தேதி</v>
      </c>
      <c r="M100" s="2" t="str">
        <f>IFERROR(__xludf.DUMMYFUNCTION("""COMPUTED_VALUE"""),"ఆర్డర్ తేదీ")</f>
        <v>ఆర్డర్ తేదీ</v>
      </c>
    </row>
    <row r="101">
      <c r="A101" s="2" t="str">
        <f>Master_en!A101</f>
        <v>terms&amp;conditionsandprivacypolicy</v>
      </c>
      <c r="B101" s="2" t="str">
        <f>Master_en!B101</f>
        <v>Terms &amp; Conditions and Privacy Policy</v>
      </c>
      <c r="C101" s="2" t="str">
        <f>IFERROR(__xludf.DUMMYFUNCTION("""COMPUTED_VALUE"""),"শর্তাদি এবং শর্তাদি এবং গোপনীয়তা নীতি")</f>
        <v>শর্তাদি এবং শর্তাদি এবং গোপনীয়তা নীতি</v>
      </c>
      <c r="D101" s="2" t="str">
        <f>IFERROR(__xludf.DUMMYFUNCTION("""COMPUTED_VALUE"""),"नियम और शर्तें और गोपनीयता नीति")</f>
        <v>नियम और शर्तें और गोपनीयता नीति</v>
      </c>
      <c r="E101" s="2" t="str">
        <f>IFERROR(__xludf.DUMMYFUNCTION("""COMPUTED_VALUE"""),"ನಿಯಮಗಳು ಮತ್ತು ಷರತ್ತುಗಳು ಮತ್ತು ಗೌಪ್ಯತೆ ನೀತಿ")</f>
        <v>ನಿಯಮಗಳು ಮತ್ತು ಷರತ್ತುಗಳು ಮತ್ತು ಗೌಪ್ಯತೆ ನೀತಿ</v>
      </c>
      <c r="F101" s="2" t="str">
        <f>IFERROR(__xludf.DUMMYFUNCTION("""COMPUTED_VALUE"""),"ସର୍ତ୍ତାବଳୀ ଏବଂ ସର୍ତ୍ତ ଏବଂ ଗୋପନୀୟତା ନୀତି |")</f>
        <v>ସର୍ତ୍ତାବଳୀ ଏବଂ ସର୍ତ୍ତ ଏବଂ ଗୋପନୀୟତା ନୀତି |</v>
      </c>
      <c r="G101" s="2" t="str">
        <f>IFERROR(__xludf.DUMMYFUNCTION("""COMPUTED_VALUE"""),"চৰ্ত আৰু নিয়ম আৰু গোপনীয়তা নীতি")</f>
        <v>চৰ্ত আৰু নিয়ম আৰু গোপনীয়তা নীতি</v>
      </c>
      <c r="H101" s="2" t="str">
        <f>IFERROR(__xludf.DUMMYFUNCTION("""COMPUTED_VALUE"""),"શરતો અને શરતો અને ગોપનીયતા નીતિ")</f>
        <v>શરતો અને શરતો અને ગોપનીયતા નીતિ</v>
      </c>
      <c r="I101" s="2" t="str">
        <f>IFERROR(__xludf.DUMMYFUNCTION("""COMPUTED_VALUE"""),"अटी व शर्ती आणि गोपनीयता धोरण")</f>
        <v>अटी व शर्ती आणि गोपनीयता धोरण</v>
      </c>
      <c r="J101" s="2" t="str">
        <f>IFERROR(__xludf.DUMMYFUNCTION("""COMPUTED_VALUE"""),"നിബന്ധനകളും വ്യവസ്ഥകളും സ്വകാര്യതാ നയവും")</f>
        <v>നിബന്ധനകളും വ്യവസ്ഥകളും സ്വകാര്യതാ നയവും</v>
      </c>
      <c r="K101" s="2" t="str">
        <f>IFERROR(__xludf.DUMMYFUNCTION("""COMPUTED_VALUE"""),"ਨਿਯਮ ਅਤੇ ਸ਼ਰਤਾਂ ਅਤੇ ਗੋਪਨੀਯਤਾ ਨੀਤੀ")</f>
        <v>ਨਿਯਮ ਅਤੇ ਸ਼ਰਤਾਂ ਅਤੇ ਗੋਪਨੀਯਤਾ ਨੀਤੀ</v>
      </c>
      <c r="L101" s="2" t="str">
        <f>IFERROR(__xludf.DUMMYFUNCTION("""COMPUTED_VALUE"""),"விதிமுறைகள் மற்றும் நிபந்தனைகள் மற்றும் தனியுரிமைக் கொள்கை")</f>
        <v>விதிமுறைகள் மற்றும் நிபந்தனைகள் மற்றும் தனியுரிமைக் கொள்கை</v>
      </c>
      <c r="M101" s="2" t="str">
        <f>IFERROR(__xludf.DUMMYFUNCTION("""COMPUTED_VALUE"""),"నిబంధనలు &amp; షరతులు మరియు గోప్యతా విధానం")</f>
        <v>నిబంధనలు &amp; షరతులు మరియు గోప్యతా విధానం</v>
      </c>
    </row>
    <row r="102">
      <c r="A102" s="2" t="str">
        <f>Master_en!A102</f>
        <v>trackOrder</v>
      </c>
      <c r="B102" s="2" t="str">
        <f>Master_en!B102</f>
        <v>Track Order</v>
      </c>
      <c r="C102" s="2" t="str">
        <f>IFERROR(__xludf.DUMMYFUNCTION("""COMPUTED_VALUE"""),"ট্র্যাক আদেশ")</f>
        <v>ট্র্যাক আদেশ</v>
      </c>
      <c r="D102" s="2" t="str">
        <f>IFERROR(__xludf.DUMMYFUNCTION("""COMPUTED_VALUE"""),"ऑर्डर पर नज़र रखना")</f>
        <v>ऑर्डर पर नज़र रखना</v>
      </c>
      <c r="E102" s="2" t="str">
        <f>IFERROR(__xludf.DUMMYFUNCTION("""COMPUTED_VALUE"""),"ಟ್ರ್ಯಾಕ್ ಆದೇಶ")</f>
        <v>ಟ್ರ್ಯಾಕ್ ಆದೇಶ</v>
      </c>
      <c r="F102" s="2" t="str">
        <f>IFERROR(__xludf.DUMMYFUNCTION("""COMPUTED_VALUE"""),"ଟ୍ରାକ୍ ଅର୍ଡର |")</f>
        <v>ଟ୍ରାକ୍ ଅର୍ଡର |</v>
      </c>
      <c r="G102" s="2" t="str">
        <f>IFERROR(__xludf.DUMMYFUNCTION("""COMPUTED_VALUE"""),"ট্ৰেক অৰ্ডাৰ")</f>
        <v>ট্ৰেক অৰ্ডাৰ</v>
      </c>
      <c r="H102" s="2" t="str">
        <f>IFERROR(__xludf.DUMMYFUNCTION("""COMPUTED_VALUE"""),"ટ્રેક ઓર્ડર")</f>
        <v>ટ્રેક ઓર્ડર</v>
      </c>
      <c r="I102" s="2" t="str">
        <f>IFERROR(__xludf.DUMMYFUNCTION("""COMPUTED_VALUE"""),"ट्रॅक ऑर्डर")</f>
        <v>ट्रॅक ऑर्डर</v>
      </c>
      <c r="J102" s="2" t="str">
        <f>IFERROR(__xludf.DUMMYFUNCTION("""COMPUTED_VALUE"""),"ട്രാക്ക് ഓർഡർ")</f>
        <v>ട്രാക്ക് ഓർഡർ</v>
      </c>
      <c r="K102" s="2" t="str">
        <f>IFERROR(__xludf.DUMMYFUNCTION("""COMPUTED_VALUE"""),"ਟਰੈਕ ਆਰਡਰ")</f>
        <v>ਟਰੈਕ ਆਰਡਰ</v>
      </c>
      <c r="L102" s="2" t="str">
        <f>IFERROR(__xludf.DUMMYFUNCTION("""COMPUTED_VALUE"""),"டிராக் ஆர்டர் ")</f>
        <v>டிராக் ஆர்டர் </v>
      </c>
      <c r="M102" s="2" t="str">
        <f>IFERROR(__xludf.DUMMYFUNCTION("""COMPUTED_VALUE"""),"ట్రాక్ ఆర్డర్")</f>
        <v>ట్రాక్ ఆర్డర్</v>
      </c>
    </row>
    <row r="103">
      <c r="A103" s="2" t="str">
        <f>Master_en!A103</f>
        <v>activeOrders</v>
      </c>
      <c r="B103" s="2" t="str">
        <f>Master_en!B103</f>
        <v>Active Orders</v>
      </c>
      <c r="C103" s="2" t="str">
        <f>IFERROR(__xludf.DUMMYFUNCTION("""COMPUTED_VALUE"""),"সক্রিয় আদেশ")</f>
        <v>সক্রিয় আদেশ</v>
      </c>
      <c r="D103" s="2" t="str">
        <f>IFERROR(__xludf.DUMMYFUNCTION("""COMPUTED_VALUE"""),"सक्रिय आदेश")</f>
        <v>सक्रिय आदेश</v>
      </c>
      <c r="E103" s="2" t="str">
        <f>IFERROR(__xludf.DUMMYFUNCTION("""COMPUTED_VALUE"""),"ಸಕ್ರಿಯ ಆದೇಶಗಳು")</f>
        <v>ಸಕ್ರಿಯ ಆದೇಶಗಳು</v>
      </c>
      <c r="F103" s="2" t="str">
        <f>IFERROR(__xludf.DUMMYFUNCTION("""COMPUTED_VALUE"""),"ସକ୍ରିୟ ଅର୍ଡର |")</f>
        <v>ସକ୍ରିୟ ଅର୍ଡର |</v>
      </c>
      <c r="G103" s="2" t="str">
        <f>IFERROR(__xludf.DUMMYFUNCTION("""COMPUTED_VALUE"""),"সক্ৰিয় অৰ্ডাৰ")</f>
        <v>সক্ৰিয় অৰ্ডাৰ</v>
      </c>
      <c r="H103" s="2" t="str">
        <f>IFERROR(__xludf.DUMMYFUNCTION("""COMPUTED_VALUE"""),"એક્ટીવ ઓર્ડર")</f>
        <v>એક્ટીવ ઓર્ડર</v>
      </c>
      <c r="I103" s="2" t="str">
        <f>IFERROR(__xludf.DUMMYFUNCTION("""COMPUTED_VALUE"""),"सक्रिय ऑर्डर")</f>
        <v>सक्रिय ऑर्डर</v>
      </c>
      <c r="J103" s="2" t="str">
        <f>IFERROR(__xludf.DUMMYFUNCTION("""COMPUTED_VALUE"""),"സജീവ ഓർഡറുകൾ")</f>
        <v>സജീവ ഓർഡറുകൾ</v>
      </c>
      <c r="K103" s="2" t="str">
        <f>IFERROR(__xludf.DUMMYFUNCTION("""COMPUTED_VALUE"""),"ਐਕਟਿਵ ਆਰਡਰ")</f>
        <v>ਐਕਟਿਵ ਆਰਡਰ</v>
      </c>
      <c r="L103" s="2" t="str">
        <f>IFERROR(__xludf.DUMMYFUNCTION("""COMPUTED_VALUE"""),"செயலில் ஆர்டர்கள்")</f>
        <v>செயலில் ஆர்டர்கள்</v>
      </c>
      <c r="M103" s="2" t="str">
        <f>IFERROR(__xludf.DUMMYFUNCTION("""COMPUTED_VALUE"""),"క్రియాశీల ఆర్డర్లు")</f>
        <v>క్రియాశీల ఆర్డర్లు</v>
      </c>
    </row>
    <row r="104">
      <c r="A104" s="2" t="str">
        <f>Master_en!A104</f>
        <v>view</v>
      </c>
      <c r="B104" s="2" t="str">
        <f>Master_en!B104</f>
        <v>View</v>
      </c>
      <c r="C104" s="2" t="str">
        <f>IFERROR(__xludf.DUMMYFUNCTION("""COMPUTED_VALUE"""),"দেখুন")</f>
        <v>দেখুন</v>
      </c>
      <c r="D104" s="2" t="str">
        <f>IFERROR(__xludf.DUMMYFUNCTION("""COMPUTED_VALUE"""),"देखना")</f>
        <v>देखना</v>
      </c>
      <c r="E104" s="2" t="str">
        <f>IFERROR(__xludf.DUMMYFUNCTION("""COMPUTED_VALUE"""),"ನೋಟ")</f>
        <v>ನೋಟ</v>
      </c>
      <c r="F104" s="2" t="str">
        <f>IFERROR(__xludf.DUMMYFUNCTION("""COMPUTED_VALUE"""),"ଦର୍ଶନ")</f>
        <v>ଦର୍ଶନ</v>
      </c>
      <c r="G104" s="2" t="str">
        <f>IFERROR(__xludf.DUMMYFUNCTION("""COMPUTED_VALUE"""),"দৰ্শন")</f>
        <v>দৰ্শন</v>
      </c>
      <c r="H104" s="2" t="str">
        <f>IFERROR(__xludf.DUMMYFUNCTION("""COMPUTED_VALUE"""),"જુઓ")</f>
        <v>જુઓ</v>
      </c>
      <c r="I104" s="2" t="str">
        <f>IFERROR(__xludf.DUMMYFUNCTION("""COMPUTED_VALUE"""),"पहा")</f>
        <v>पहा</v>
      </c>
      <c r="J104" s="2" t="str">
        <f>IFERROR(__xludf.DUMMYFUNCTION("""COMPUTED_VALUE"""),"ദര്ശനം")</f>
        <v>ദര്ശനം</v>
      </c>
      <c r="K104" s="2" t="str">
        <f>IFERROR(__xludf.DUMMYFUNCTION("""COMPUTED_VALUE"""),"ਵੇਖੋ")</f>
        <v>ਵੇਖੋ</v>
      </c>
      <c r="L104" s="2" t="str">
        <f>IFERROR(__xludf.DUMMYFUNCTION("""COMPUTED_VALUE"""),"பார்வை")</f>
        <v>பார்வை</v>
      </c>
      <c r="M104" s="2" t="str">
        <f>IFERROR(__xludf.DUMMYFUNCTION("""COMPUTED_VALUE"""),"వీక్షణ")</f>
        <v>వీక్షణ</v>
      </c>
    </row>
    <row r="105">
      <c r="A105" s="2" t="str">
        <f>Master_en!A105</f>
        <v>chat</v>
      </c>
      <c r="B105" s="2" t="str">
        <f>Master_en!B105</f>
        <v>Chat</v>
      </c>
      <c r="C105" s="2" t="str">
        <f>IFERROR(__xludf.DUMMYFUNCTION("""COMPUTED_VALUE"""),"চ্যাট")</f>
        <v>চ্যাট</v>
      </c>
      <c r="D105" s="2" t="str">
        <f>IFERROR(__xludf.DUMMYFUNCTION("""COMPUTED_VALUE"""),"बात करना")</f>
        <v>बात करना</v>
      </c>
      <c r="E105" s="2" t="str">
        <f>IFERROR(__xludf.DUMMYFUNCTION("""COMPUTED_VALUE"""),"ಸಂಭಾಷಣೆ")</f>
        <v>ಸಂಭಾಷಣೆ</v>
      </c>
      <c r="F105" s="2" t="str">
        <f>IFERROR(__xludf.DUMMYFUNCTION("""COMPUTED_VALUE"""),"ଚାଟ୍ କରନ୍ତୁ |")</f>
        <v>ଚାଟ୍ କରନ୍ତୁ |</v>
      </c>
      <c r="G105" s="2" t="str">
        <f>IFERROR(__xludf.DUMMYFUNCTION("""COMPUTED_VALUE"""),"চাট")</f>
        <v>চাট</v>
      </c>
      <c r="H105" s="2" t="str">
        <f>IFERROR(__xludf.DUMMYFUNCTION("""COMPUTED_VALUE"""),"ચેટ")</f>
        <v>ચેટ</v>
      </c>
      <c r="I105" s="2" t="str">
        <f>IFERROR(__xludf.DUMMYFUNCTION("""COMPUTED_VALUE"""),"गप्पा")</f>
        <v>गप्पा</v>
      </c>
      <c r="J105" s="2" t="str">
        <f>IFERROR(__xludf.DUMMYFUNCTION("""COMPUTED_VALUE"""),"സല്ലാപം")</f>
        <v>സല്ലാപം</v>
      </c>
      <c r="K105" s="2" t="str">
        <f>IFERROR(__xludf.DUMMYFUNCTION("""COMPUTED_VALUE"""),"ਗੱਲਬਾਤ")</f>
        <v>ਗੱਲਬਾਤ</v>
      </c>
      <c r="L105" s="2" t="str">
        <f>IFERROR(__xludf.DUMMYFUNCTION("""COMPUTED_VALUE"""),"அரட்டை")</f>
        <v>அரட்டை</v>
      </c>
      <c r="M105" s="2" t="str">
        <f>IFERROR(__xludf.DUMMYFUNCTION("""COMPUTED_VALUE"""),"చాట్")</f>
        <v>చాట్</v>
      </c>
    </row>
    <row r="106">
      <c r="A106" s="2" t="str">
        <f>Master_en!A106</f>
        <v>orderDetails</v>
      </c>
      <c r="B106" s="2" t="str">
        <f>Master_en!B106</f>
        <v>Order Details</v>
      </c>
      <c r="C106" s="2" t="str">
        <f>IFERROR(__xludf.DUMMYFUNCTION("""COMPUTED_VALUE"""),"আদেশ বিবরণী")</f>
        <v>আদেশ বিবরণী</v>
      </c>
      <c r="D106" s="2" t="str">
        <f>IFERROR(__xludf.DUMMYFUNCTION("""COMPUTED_VALUE"""),"ऑर्डर का विवरण")</f>
        <v>ऑर्डर का विवरण</v>
      </c>
      <c r="E106" s="2" t="str">
        <f>IFERROR(__xludf.DUMMYFUNCTION("""COMPUTED_VALUE"""),"ಆದೇಶದ ವಿವರಗಳು")</f>
        <v>ಆದೇಶದ ವಿವರಗಳು</v>
      </c>
      <c r="F106" s="2" t="str">
        <f>IFERROR(__xludf.DUMMYFUNCTION("""COMPUTED_VALUE"""),"ବିବରଣୀ ଅର୍ଡର କରନ୍ତୁ |")</f>
        <v>ବିବରଣୀ ଅର୍ଡର କରନ୍ତୁ |</v>
      </c>
      <c r="G106" s="2" t="str">
        <f>IFERROR(__xludf.DUMMYFUNCTION("""COMPUTED_VALUE"""),"অৰ্ডাৰৰ বিৱৰণ")</f>
        <v>অৰ্ডাৰৰ বিৱৰণ</v>
      </c>
      <c r="H106" s="2" t="str">
        <f>IFERROR(__xludf.DUMMYFUNCTION("""COMPUTED_VALUE"""),"ઓર્ડરની વિગતતો")</f>
        <v>ઓર્ડરની વિગતતો</v>
      </c>
      <c r="I106" s="2" t="str">
        <f>IFERROR(__xludf.DUMMYFUNCTION("""COMPUTED_VALUE"""),"ऑर्डर तपशील")</f>
        <v>ऑर्डर तपशील</v>
      </c>
      <c r="J106" s="2" t="str">
        <f>IFERROR(__xludf.DUMMYFUNCTION("""COMPUTED_VALUE"""),"വിശദാംശങ്ങൾ ഓർഡർ ചെയ്യുക")</f>
        <v>വിശദാംശങ്ങൾ ഓർഡർ ചെയ്യുക</v>
      </c>
      <c r="K106" s="2" t="str">
        <f>IFERROR(__xludf.DUMMYFUNCTION("""COMPUTED_VALUE"""),"ਆਰਡਰ ਵੇਰਵੇ")</f>
        <v>ਆਰਡਰ ਵੇਰਵੇ</v>
      </c>
      <c r="L106" s="2" t="str">
        <f>IFERROR(__xludf.DUMMYFUNCTION("""COMPUTED_VALUE"""),"ஆர்டர் விவரங்கள்")</f>
        <v>ஆர்டர் விவரங்கள்</v>
      </c>
      <c r="M106" s="2" t="str">
        <f>IFERROR(__xludf.DUMMYFUNCTION("""COMPUTED_VALUE"""),"ఆర్డర్ వివరాలు")</f>
        <v>ఆర్డర్ వివరాలు</v>
      </c>
    </row>
    <row r="107">
      <c r="A107" s="2" t="str">
        <f>Master_en!A107</f>
        <v>cancel</v>
      </c>
      <c r="B107" s="2" t="str">
        <f>Master_en!B107</f>
        <v>Cancel </v>
      </c>
      <c r="C107" s="2" t="str">
        <f>IFERROR(__xludf.DUMMYFUNCTION("""COMPUTED_VALUE"""),"বাতিল")</f>
        <v>বাতিল</v>
      </c>
      <c r="D107" s="2" t="str">
        <f>IFERROR(__xludf.DUMMYFUNCTION("""COMPUTED_VALUE"""),"रद्द करना")</f>
        <v>रद्द करना</v>
      </c>
      <c r="E107" s="2" t="str">
        <f>IFERROR(__xludf.DUMMYFUNCTION("""COMPUTED_VALUE"""),"ರದ್ದುಮಾಡು")</f>
        <v>ರದ್ದುಮಾಡು</v>
      </c>
      <c r="F107" s="2" t="str">
        <f>IFERROR(__xludf.DUMMYFUNCTION("""COMPUTED_VALUE"""),"ବାତିଲ୍ କରନ୍ତୁ |")</f>
        <v>ବାତିଲ୍ କରନ୍ତୁ |</v>
      </c>
      <c r="G107" s="2" t="str">
        <f>IFERROR(__xludf.DUMMYFUNCTION("""COMPUTED_VALUE"""),"বাতিল কৰক")</f>
        <v>বাতিল কৰক</v>
      </c>
      <c r="H107" s="2" t="str">
        <f>IFERROR(__xludf.DUMMYFUNCTION("""COMPUTED_VALUE"""),"રદ કરવું")</f>
        <v>રદ કરવું</v>
      </c>
      <c r="I107" s="2" t="str">
        <f>IFERROR(__xludf.DUMMYFUNCTION("""COMPUTED_VALUE"""),"रद्द करा")</f>
        <v>रद्द करा</v>
      </c>
      <c r="J107" s="2" t="str">
        <f>IFERROR(__xludf.DUMMYFUNCTION("""COMPUTED_VALUE"""),"റദ്ദാക്കുക")</f>
        <v>റദ്ദാക്കുക</v>
      </c>
      <c r="K107" s="2" t="str">
        <f>IFERROR(__xludf.DUMMYFUNCTION("""COMPUTED_VALUE"""),"ਰੱਦ ਕਰੋ")</f>
        <v>ਰੱਦ ਕਰੋ</v>
      </c>
      <c r="L107" s="2" t="str">
        <f>IFERROR(__xludf.DUMMYFUNCTION("""COMPUTED_VALUE"""),"ரத்துசெய்")</f>
        <v>ரத்துசெய்</v>
      </c>
      <c r="M107" s="2" t="str">
        <f>IFERROR(__xludf.DUMMYFUNCTION("""COMPUTED_VALUE"""),"రద్దు చేయండి")</f>
        <v>రద్దు చేయండి</v>
      </c>
    </row>
    <row r="108">
      <c r="A108" s="2" t="str">
        <f>Master_en!A108</f>
        <v>PaymentPending</v>
      </c>
      <c r="B108" s="2" t="str">
        <f>Master_en!B108</f>
        <v>Payment Pending</v>
      </c>
      <c r="C108" s="2" t="str">
        <f>IFERROR(__xludf.DUMMYFUNCTION("""COMPUTED_VALUE"""),"পেমেন্ট মুলতুবি")</f>
        <v>পেমেন্ট মুলতুবি</v>
      </c>
      <c r="D108" s="2" t="str">
        <f>IFERROR(__xludf.DUMMYFUNCTION("""COMPUTED_VALUE"""),"भुगतान लंबित")</f>
        <v>भुगतान लंबित</v>
      </c>
      <c r="E108" s="2" t="str">
        <f>IFERROR(__xludf.DUMMYFUNCTION("""COMPUTED_VALUE"""),"ಪಾವತಿ ಬಾಕಿ ಇದೆ")</f>
        <v>ಪಾವತಿ ಬಾಕಿ ಇದೆ</v>
      </c>
      <c r="F108" s="2" t="str">
        <f>IFERROR(__xludf.DUMMYFUNCTION("""COMPUTED_VALUE"""),"ବିଚାରାଧୀନ ଦେୟ")</f>
        <v>ବିଚାରାଧୀନ ଦେୟ</v>
      </c>
      <c r="G108" s="2" t="str">
        <f>IFERROR(__xludf.DUMMYFUNCTION("""COMPUTED_VALUE"""),"পেমেন্ট পেণ্ডিং")</f>
        <v>পেমেন্ট পেণ্ডিং</v>
      </c>
      <c r="H108" s="2" t="str">
        <f>IFERROR(__xludf.DUMMYFUNCTION("""COMPUTED_VALUE"""),"ચુકવણી બાકી")</f>
        <v>ચુકવણી બાકી</v>
      </c>
      <c r="I108" s="2" t="str">
        <f>IFERROR(__xludf.DUMMYFUNCTION("""COMPUTED_VALUE"""),"देयक प्रलंबित")</f>
        <v>देयक प्रलंबित</v>
      </c>
      <c r="J108" s="2" t="str">
        <f>IFERROR(__xludf.DUMMYFUNCTION("""COMPUTED_VALUE"""),"പണമടയ്ക്കൽ ശേഷിക്കുന്നു")</f>
        <v>പണമടയ്ക്കൽ ശേഷിക്കുന്നു</v>
      </c>
      <c r="K108" s="2" t="str">
        <f>IFERROR(__xludf.DUMMYFUNCTION("""COMPUTED_VALUE"""),"ਭੁਗਤਾਨ ਬਕਾਇਆ")</f>
        <v>ਭੁਗਤਾਨ ਬਕਾਇਆ</v>
      </c>
      <c r="L108" s="2" t="str">
        <f>IFERROR(__xludf.DUMMYFUNCTION("""COMPUTED_VALUE"""),"கட்டணம் நிலுவையில் உள்ளது")</f>
        <v>கட்டணம் நிலுவையில் உள்ளது</v>
      </c>
      <c r="M108" s="2" t="str">
        <f>IFERROR(__xludf.DUMMYFUNCTION("""COMPUTED_VALUE"""),"చెల్లింపు పెండింగ్‌లో ఉంది")</f>
        <v>చెల్లింపు పెండింగ్‌లో ఉంది</v>
      </c>
    </row>
    <row r="109">
      <c r="A109" s="2" t="str">
        <f>Master_en!A109</f>
        <v>support</v>
      </c>
      <c r="B109" s="2" t="str">
        <f>Master_en!B109</f>
        <v>Support</v>
      </c>
      <c r="C109" s="2" t="str">
        <f>IFERROR(__xludf.DUMMYFUNCTION("""COMPUTED_VALUE"""),"সমর্থন")</f>
        <v>সমর্থন</v>
      </c>
      <c r="D109" s="2" t="str">
        <f>IFERROR(__xludf.DUMMYFUNCTION("""COMPUTED_VALUE"""),"सहायता")</f>
        <v>सहायता</v>
      </c>
      <c r="E109" s="2" t="str">
        <f>IFERROR(__xludf.DUMMYFUNCTION("""COMPUTED_VALUE"""),"ಬೆಂಬಲ")</f>
        <v>ಬೆಂಬಲ</v>
      </c>
      <c r="F109" s="2" t="str">
        <f>IFERROR(__xludf.DUMMYFUNCTION("""COMPUTED_VALUE"""),"ସମର୍ଥନ")</f>
        <v>ସମର୍ଥନ</v>
      </c>
      <c r="G109" s="2" t="str">
        <f>IFERROR(__xludf.DUMMYFUNCTION("""COMPUTED_VALUE"""),"সমৰ্থন")</f>
        <v>সমৰ্থন</v>
      </c>
      <c r="H109" s="2" t="str">
        <f>IFERROR(__xludf.DUMMYFUNCTION("""COMPUTED_VALUE"""),"સપોર્ટ")</f>
        <v>સપોર્ટ</v>
      </c>
      <c r="I109" s="2" t="str">
        <f>IFERROR(__xludf.DUMMYFUNCTION("""COMPUTED_VALUE"""),"मदत")</f>
        <v>मदत</v>
      </c>
      <c r="J109" s="2" t="str">
        <f>IFERROR(__xludf.DUMMYFUNCTION("""COMPUTED_VALUE"""),"പിന്താങ്ങല്")</f>
        <v>പിന്താങ്ങല്</v>
      </c>
      <c r="K109" s="2" t="str">
        <f>IFERROR(__xludf.DUMMYFUNCTION("""COMPUTED_VALUE"""),"ਸਹਾਇਤਾ")</f>
        <v>ਸਹਾਇਤਾ</v>
      </c>
      <c r="L109" s="2" t="str">
        <f>IFERROR(__xludf.DUMMYFUNCTION("""COMPUTED_VALUE"""),"ஆதரவு")</f>
        <v>ஆதரவு</v>
      </c>
      <c r="M109" s="2" t="str">
        <f>IFERROR(__xludf.DUMMYFUNCTION("""COMPUTED_VALUE"""),"మద్దతు")</f>
        <v>మద్దతు</v>
      </c>
    </row>
    <row r="110">
      <c r="A110" s="2" t="str">
        <f>Master_en!A110</f>
        <v>payment</v>
      </c>
      <c r="B110" s="2" t="str">
        <f>Master_en!B110</f>
        <v>Payment</v>
      </c>
      <c r="C110" s="2" t="str">
        <f>IFERROR(__xludf.DUMMYFUNCTION("""COMPUTED_VALUE"""),"অর্থ প্রদান")</f>
        <v>অর্থ প্রদান</v>
      </c>
      <c r="D110" s="2" t="str">
        <f>IFERROR(__xludf.DUMMYFUNCTION("""COMPUTED_VALUE"""),"भुगतान")</f>
        <v>भुगतान</v>
      </c>
      <c r="E110" s="2" t="str">
        <f>IFERROR(__xludf.DUMMYFUNCTION("""COMPUTED_VALUE"""),"ಪಾವತಿ")</f>
        <v>ಪಾವತಿ</v>
      </c>
      <c r="F110" s="2" t="str">
        <f>IFERROR(__xludf.DUMMYFUNCTION("""COMPUTED_VALUE"""),"ଦେୟ")</f>
        <v>ଦେୟ</v>
      </c>
      <c r="G110" s="2" t="str">
        <f>IFERROR(__xludf.DUMMYFUNCTION("""COMPUTED_VALUE"""),"পৰিশোধ")</f>
        <v>পৰিশোধ</v>
      </c>
      <c r="H110" s="2" t="str">
        <f>IFERROR(__xludf.DUMMYFUNCTION("""COMPUTED_VALUE"""),"ચુકવણી")</f>
        <v>ચુકવણી</v>
      </c>
      <c r="I110" s="2" t="str">
        <f>IFERROR(__xludf.DUMMYFUNCTION("""COMPUTED_VALUE"""),"पेमेंट")</f>
        <v>पेमेंट</v>
      </c>
      <c r="J110" s="2" t="str">
        <f>IFERROR(__xludf.DUMMYFUNCTION("""COMPUTED_VALUE"""),"പേയ്മെന്റ്")</f>
        <v>പേയ്മെന്റ്</v>
      </c>
      <c r="K110" s="2" t="str">
        <f>IFERROR(__xludf.DUMMYFUNCTION("""COMPUTED_VALUE"""),"ਭੁਗਤਾਨ")</f>
        <v>ਭੁਗਤਾਨ</v>
      </c>
      <c r="L110" s="2" t="str">
        <f>IFERROR(__xludf.DUMMYFUNCTION("""COMPUTED_VALUE"""),"கட்டணம்")</f>
        <v>கட்டணம்</v>
      </c>
      <c r="M110" s="2" t="str">
        <f>IFERROR(__xludf.DUMMYFUNCTION("""COMPUTED_VALUE"""),"చెల్లింపు")</f>
        <v>చెల్లింపు</v>
      </c>
    </row>
    <row r="111">
      <c r="A111" s="2" t="str">
        <f>Master_en!A111</f>
        <v>orderTotal</v>
      </c>
      <c r="B111" s="2" t="str">
        <f>Master_en!B111</f>
        <v>Order Total</v>
      </c>
      <c r="C111" s="2" t="str">
        <f>IFERROR(__xludf.DUMMYFUNCTION("""COMPUTED_VALUE"""),"আদেশ মোট")</f>
        <v>আদেশ মোট</v>
      </c>
      <c r="D111" s="2" t="str">
        <f>IFERROR(__xludf.DUMMYFUNCTION("""COMPUTED_VALUE"""),"कुल आर्डर")</f>
        <v>कुल आर्डर</v>
      </c>
      <c r="E111" s="2" t="str">
        <f>IFERROR(__xludf.DUMMYFUNCTION("""COMPUTED_VALUE"""),"ಆದೇಶದ ಒಟ್ಟು")</f>
        <v>ಆದೇಶದ ಒಟ್ಟು</v>
      </c>
      <c r="F111" s="2" t="str">
        <f>IFERROR(__xludf.DUMMYFUNCTION("""COMPUTED_VALUE"""),"ସମୁଦାୟ ଅର୍ଡର କରନ୍ତୁ |")</f>
        <v>ସମୁଦାୟ ଅର୍ଡର କରନ୍ତୁ |</v>
      </c>
      <c r="G111" s="2" t="str">
        <f>IFERROR(__xludf.DUMMYFUNCTION("""COMPUTED_VALUE"""),"অৰ্ডাৰ মুঠ")</f>
        <v>অৰ্ডাৰ মুঠ</v>
      </c>
      <c r="H111" s="2" t="str">
        <f>IFERROR(__xludf.DUMMYFUNCTION("""COMPUTED_VALUE"""),"હુકમ")</f>
        <v>હુકમ</v>
      </c>
      <c r="I111" s="2" t="str">
        <f>IFERROR(__xludf.DUMMYFUNCTION("""COMPUTED_VALUE"""),"एकूण ऑर्डर")</f>
        <v>एकूण ऑर्डर</v>
      </c>
      <c r="J111" s="2" t="str">
        <f>IFERROR(__xludf.DUMMYFUNCTION("""COMPUTED_VALUE"""),"ഓർഡർ ആകെ")</f>
        <v>ഓർഡർ ആകെ</v>
      </c>
      <c r="K111" s="2" t="str">
        <f>IFERROR(__xludf.DUMMYFUNCTION("""COMPUTED_VALUE"""),"ਆਰਡਰ ਕੁੱਲ")</f>
        <v>ਆਰਡਰ ਕੁੱਲ</v>
      </c>
      <c r="L111" s="2" t="str">
        <f>IFERROR(__xludf.DUMMYFUNCTION("""COMPUTED_VALUE"""),"மொத்தம் ஆர்டர்")</f>
        <v>மொத்தம் ஆர்டர்</v>
      </c>
      <c r="M111" s="2" t="str">
        <f>IFERROR(__xludf.DUMMYFUNCTION("""COMPUTED_VALUE"""),"ఆర్డర్ మొత్తం")</f>
        <v>ఆర్డర్ మొత్తం</v>
      </c>
    </row>
    <row r="112">
      <c r="A112" s="2" t="str">
        <f>Master_en!A112</f>
        <v>orderPlaced</v>
      </c>
      <c r="B112" s="2" t="str">
        <f>Master_en!B112</f>
        <v>Order Placed</v>
      </c>
      <c r="C112" s="2" t="str">
        <f>IFERROR(__xludf.DUMMYFUNCTION("""COMPUTED_VALUE"""),"আদেশ স্থাপন")</f>
        <v>আদেশ স্থাপন</v>
      </c>
      <c r="D112" s="2" t="str">
        <f>IFERROR(__xludf.DUMMYFUNCTION("""COMPUTED_VALUE"""),"आदेश रखा")</f>
        <v>आदेश रखा</v>
      </c>
      <c r="E112" s="2" t="str">
        <f>IFERROR(__xludf.DUMMYFUNCTION("""COMPUTED_VALUE"""),"ಆದೇಶವನ್ನು ಇರಿಸಲಾಗಿದೆ")</f>
        <v>ಆದೇಶವನ್ನು ಇರಿಸಲಾಗಿದೆ</v>
      </c>
      <c r="F112" s="2" t="str">
        <f>IFERROR(__xludf.DUMMYFUNCTION("""COMPUTED_VALUE"""),"ଦିଆଯାଇଥିବା ଆଦେଶ")</f>
        <v>ଦିଆଯାଇଥିବା ଆଦେଶ</v>
      </c>
      <c r="G112" s="2" t="str">
        <f>IFERROR(__xludf.DUMMYFUNCTION("""COMPUTED_VALUE"""),"অৰ্ডাৰ দিয়া হৈছে")</f>
        <v>অৰ্ডাৰ দিয়া হৈছে</v>
      </c>
      <c r="H112" s="2" t="str">
        <f>IFERROR(__xludf.DUMMYFUNCTION("""COMPUTED_VALUE"""),"ઓર્ડર નોંધાઇ ચૂક્યો છે")</f>
        <v>ઓર્ડર નોંધાઇ ચૂક્યો છે</v>
      </c>
      <c r="I112" s="2" t="str">
        <f>IFERROR(__xludf.DUMMYFUNCTION("""COMPUTED_VALUE"""),"ऑर्डर दिली")</f>
        <v>ऑर्डर दिली</v>
      </c>
      <c r="J112" s="2" t="str">
        <f>IFERROR(__xludf.DUMMYFUNCTION("""COMPUTED_VALUE"""),"ഓർഡർ ചെയ്തു")</f>
        <v>ഓർഡർ ചെയ്തു</v>
      </c>
      <c r="K112" s="2" t="str">
        <f>IFERROR(__xludf.DUMMYFUNCTION("""COMPUTED_VALUE"""),"ਆਰਡਰ ਰੱਖਿਆ")</f>
        <v>ਆਰਡਰ ਰੱਖਿਆ</v>
      </c>
      <c r="L112" s="2" t="str">
        <f>IFERROR(__xludf.DUMMYFUNCTION("""COMPUTED_VALUE"""),"ஒழுங்கு வைக்கப்பட்டது")</f>
        <v>ஒழுங்கு வைக்கப்பட்டது</v>
      </c>
      <c r="M112" s="2" t="str">
        <f>IFERROR(__xludf.DUMMYFUNCTION("""COMPUTED_VALUE"""),"ఆర్డర్ ఉంచబడింది")</f>
        <v>ఆర్డర్ ఉంచబడింది</v>
      </c>
    </row>
    <row r="113">
      <c r="A113" s="2" t="str">
        <f>Master_en!A113</f>
        <v>orderAccepted</v>
      </c>
      <c r="B113" s="2" t="str">
        <f>Master_en!B113</f>
        <v>Order Accepted</v>
      </c>
      <c r="C113" s="2" t="str">
        <f>IFERROR(__xludf.DUMMYFUNCTION("""COMPUTED_VALUE"""),"অর্ডার গৃহীত")</f>
        <v>অর্ডার গৃহীত</v>
      </c>
      <c r="D113" s="2" t="str">
        <f>IFERROR(__xludf.DUMMYFUNCTION("""COMPUTED_VALUE"""),"आदेश स्वीकार किया गया")</f>
        <v>आदेश स्वीकार किया गया</v>
      </c>
      <c r="E113" s="2" t="str">
        <f>IFERROR(__xludf.DUMMYFUNCTION("""COMPUTED_VALUE"""),"ಆದೇಶವನ್ನು ಸ್ವೀಕರಿಸಲಾಗಿದೆ")</f>
        <v>ಆದೇಶವನ್ನು ಸ್ವೀಕರಿಸಲಾಗಿದೆ</v>
      </c>
      <c r="F113" s="2" t="str">
        <f>IFERROR(__xludf.DUMMYFUNCTION("""COMPUTED_VALUE"""),"ଆଦେଶ ଗ୍ରହଣ")</f>
        <v>ଆଦେଶ ଗ୍ରହଣ</v>
      </c>
      <c r="G113" s="2" t="str">
        <f>IFERROR(__xludf.DUMMYFUNCTION("""COMPUTED_VALUE"""),"অৰ্ডাৰ গ্ৰহণ কৰা হৈছে")</f>
        <v>অৰ্ডাৰ গ্ৰহণ কৰা হৈছে</v>
      </c>
      <c r="H113" s="2" t="str">
        <f>IFERROR(__xludf.DUMMYFUNCTION("""COMPUTED_VALUE"""),"સ્વીકૃત હુકમ")</f>
        <v>સ્વીકૃત હુકમ</v>
      </c>
      <c r="I113" s="2" t="str">
        <f>IFERROR(__xludf.DUMMYFUNCTION("""COMPUTED_VALUE"""),"ऑर्डर स्वीकारली")</f>
        <v>ऑर्डर स्वीकारली</v>
      </c>
      <c r="J113" s="2" t="str">
        <f>IFERROR(__xludf.DUMMYFUNCTION("""COMPUTED_VALUE"""),"ഓർഡർ സ്വീകരിച്ചു")</f>
        <v>ഓർഡർ സ്വീകരിച്ചു</v>
      </c>
      <c r="K113" s="2" t="str">
        <f>IFERROR(__xludf.DUMMYFUNCTION("""COMPUTED_VALUE"""),"ਆਰਡਰ ਸਵੀਕਾਰ")</f>
        <v>ਆਰਡਰ ਸਵੀਕਾਰ</v>
      </c>
      <c r="L113" s="2" t="str">
        <f>IFERROR(__xludf.DUMMYFUNCTION("""COMPUTED_VALUE"""),"ஆர்டர் ஏற்றுக்கொள்ளப்பட்டது")</f>
        <v>ஆர்டர் ஏற்றுக்கொள்ளப்பட்டது</v>
      </c>
      <c r="M113" s="2" t="str">
        <f>IFERROR(__xludf.DUMMYFUNCTION("""COMPUTED_VALUE"""),"ఆర్డర్ అంగీకరించబడింది")</f>
        <v>ఆర్డర్ అంగీకరించబడింది</v>
      </c>
    </row>
    <row r="114">
      <c r="A114" s="2" t="str">
        <f>Master_en!A114</f>
        <v>processing</v>
      </c>
      <c r="B114" s="2" t="str">
        <f>Master_en!B114</f>
        <v>Processing</v>
      </c>
      <c r="C114" s="2" t="str">
        <f>IFERROR(__xludf.DUMMYFUNCTION("""COMPUTED_VALUE"""),"প্রক্রিয়াজাতকরণ")</f>
        <v>প্রক্রিয়াজাতকরণ</v>
      </c>
      <c r="D114" s="2" t="str">
        <f>IFERROR(__xludf.DUMMYFUNCTION("""COMPUTED_VALUE"""),"प्रसंस्करण")</f>
        <v>प्रसंस्करण</v>
      </c>
      <c r="E114" s="2" t="str">
        <f>IFERROR(__xludf.DUMMYFUNCTION("""COMPUTED_VALUE"""),"ಸಂಸ್ಕರಣೆ")</f>
        <v>ಸಂಸ್ಕರಣೆ</v>
      </c>
      <c r="F114" s="2" t="str">
        <f>IFERROR(__xludf.DUMMYFUNCTION("""COMPUTED_VALUE"""),"ପ୍ରକ୍ରିୟାକରଣ")</f>
        <v>ପ୍ରକ୍ରିୟାକରଣ</v>
      </c>
      <c r="G114" s="2" t="str">
        <f>IFERROR(__xludf.DUMMYFUNCTION("""COMPUTED_VALUE"""),"প্ৰচেছিং")</f>
        <v>প্ৰচেছিং</v>
      </c>
      <c r="H114" s="2" t="str">
        <f>IFERROR(__xludf.DUMMYFUNCTION("""COMPUTED_VALUE"""),"પ્રક્રિયા")</f>
        <v>પ્રક્રિયા</v>
      </c>
      <c r="I114" s="2" t="str">
        <f>IFERROR(__xludf.DUMMYFUNCTION("""COMPUTED_VALUE"""),"प्रक्रिया")</f>
        <v>प्रक्रिया</v>
      </c>
      <c r="J114" s="2" t="str">
        <f>IFERROR(__xludf.DUMMYFUNCTION("""COMPUTED_VALUE"""),"നടപടി")</f>
        <v>നടപടി</v>
      </c>
      <c r="K114" s="2" t="str">
        <f>IFERROR(__xludf.DUMMYFUNCTION("""COMPUTED_VALUE"""),"ਕਾਰਵਾਈ")</f>
        <v>ਕਾਰਵਾਈ</v>
      </c>
      <c r="L114" s="2" t="str">
        <f>IFERROR(__xludf.DUMMYFUNCTION("""COMPUTED_VALUE"""),"செயலாக்கம்")</f>
        <v>செயலாக்கம்</v>
      </c>
      <c r="M114" s="2" t="str">
        <f>IFERROR(__xludf.DUMMYFUNCTION("""COMPUTED_VALUE"""),"ప్రాసెసింగ్")</f>
        <v>ప్రాసెసింగ్</v>
      </c>
    </row>
    <row r="115">
      <c r="A115" s="2" t="str">
        <f>Master_en!A115</f>
        <v>ready</v>
      </c>
      <c r="B115" s="2" t="str">
        <f>Master_en!B115</f>
        <v>Ready</v>
      </c>
      <c r="C115" s="2" t="str">
        <f>IFERROR(__xludf.DUMMYFUNCTION("""COMPUTED_VALUE"""),"প্রস্তুত")</f>
        <v>প্রস্তুত</v>
      </c>
      <c r="D115" s="2" t="str">
        <f>IFERROR(__xludf.DUMMYFUNCTION("""COMPUTED_VALUE"""),"तैयार")</f>
        <v>तैयार</v>
      </c>
      <c r="E115" s="2" t="str">
        <f>IFERROR(__xludf.DUMMYFUNCTION("""COMPUTED_VALUE"""),"ಸಿದ್ಧವಾದ")</f>
        <v>ಸಿದ್ಧವಾದ</v>
      </c>
      <c r="F115" s="2" t="str">
        <f>IFERROR(__xludf.DUMMYFUNCTION("""COMPUTED_VALUE"""),"ପ୍ରସ୍ତୁତ")</f>
        <v>ପ୍ରସ୍ତୁତ</v>
      </c>
      <c r="G115" s="2" t="str">
        <f>IFERROR(__xludf.DUMMYFUNCTION("""COMPUTED_VALUE"""),"সাজু")</f>
        <v>সাজু</v>
      </c>
      <c r="H115" s="2" t="str">
        <f>IFERROR(__xludf.DUMMYFUNCTION("""COMPUTED_VALUE"""),"તૈયાર")</f>
        <v>તૈયાર</v>
      </c>
      <c r="I115" s="2" t="str">
        <f>IFERROR(__xludf.DUMMYFUNCTION("""COMPUTED_VALUE"""),"तयार")</f>
        <v>तयार</v>
      </c>
      <c r="J115" s="2" t="str">
        <f>IFERROR(__xludf.DUMMYFUNCTION("""COMPUTED_VALUE"""),"തയ്യാറാണ്")</f>
        <v>തയ്യാറാണ്</v>
      </c>
      <c r="K115" s="2" t="str">
        <f>IFERROR(__xludf.DUMMYFUNCTION("""COMPUTED_VALUE"""),"ਤਿਆਰ")</f>
        <v>ਤਿਆਰ</v>
      </c>
      <c r="L115" s="2" t="str">
        <f>IFERROR(__xludf.DUMMYFUNCTION("""COMPUTED_VALUE"""),"தயார்")</f>
        <v>தயார்</v>
      </c>
      <c r="M115" s="2" t="str">
        <f>IFERROR(__xludf.DUMMYFUNCTION("""COMPUTED_VALUE"""),"సిద్ధంగా ఉంది")</f>
        <v>సిద్ధంగా ఉంది</v>
      </c>
    </row>
    <row r="116">
      <c r="A116" s="2" t="str">
        <f>Master_en!A116</f>
        <v>dispatched</v>
      </c>
      <c r="B116" s="2" t="str">
        <f>Master_en!B116</f>
        <v>Dispatched</v>
      </c>
      <c r="C116" s="2" t="str">
        <f>IFERROR(__xludf.DUMMYFUNCTION("""COMPUTED_VALUE"""),"প্রেরণ")</f>
        <v>প্রেরণ</v>
      </c>
      <c r="D116" s="2" t="str">
        <f>IFERROR(__xludf.DUMMYFUNCTION("""COMPUTED_VALUE"""),"भेजा गया")</f>
        <v>भेजा गया</v>
      </c>
      <c r="E116" s="2" t="str">
        <f>IFERROR(__xludf.DUMMYFUNCTION("""COMPUTED_VALUE"""),"ರವಾನಿಸಿದ")</f>
        <v>ರವಾನಿಸಿದ</v>
      </c>
      <c r="F116" s="2" t="str">
        <f>IFERROR(__xludf.DUMMYFUNCTION("""COMPUTED_VALUE"""),"ପଠାଗଲା")</f>
        <v>ପଠାଗଲା</v>
      </c>
      <c r="G116" s="2" t="str">
        <f>IFERROR(__xludf.DUMMYFUNCTION("""COMPUTED_VALUE"""),"প্ৰেৰণ কৰা হৈছে")</f>
        <v>প্ৰেৰণ কৰা হৈছে</v>
      </c>
      <c r="H116" s="2" t="str">
        <f>IFERROR(__xludf.DUMMYFUNCTION("""COMPUTED_VALUE"""),"રવાના")</f>
        <v>રવાના</v>
      </c>
      <c r="I116" s="2" t="str">
        <f>IFERROR(__xludf.DUMMYFUNCTION("""COMPUTED_VALUE"""),"पाठवले")</f>
        <v>पाठवले</v>
      </c>
      <c r="J116" s="2" t="str">
        <f>IFERROR(__xludf.DUMMYFUNCTION("""COMPUTED_VALUE"""),"അയച്ചു")</f>
        <v>അയച്ചു</v>
      </c>
      <c r="K116" s="2" t="str">
        <f>IFERROR(__xludf.DUMMYFUNCTION("""COMPUTED_VALUE"""),"ਭੇਜਿਆ")</f>
        <v>ਭੇਜਿਆ</v>
      </c>
      <c r="L116" s="2" t="str">
        <f>IFERROR(__xludf.DUMMYFUNCTION("""COMPUTED_VALUE"""),"அனுப்பப்பட்டது")</f>
        <v>அனுப்பப்பட்டது</v>
      </c>
      <c r="M116" s="2" t="str">
        <f>IFERROR(__xludf.DUMMYFUNCTION("""COMPUTED_VALUE"""),"పంపబడింది")</f>
        <v>పంపబడింది</v>
      </c>
    </row>
    <row r="117">
      <c r="A117" s="2" t="str">
        <f>Master_en!A117</f>
        <v>contactSeller</v>
      </c>
      <c r="B117" s="2" t="str">
        <f>Master_en!B117</f>
        <v>Contact Seller</v>
      </c>
      <c r="C117" s="2" t="str">
        <f>IFERROR(__xludf.DUMMYFUNCTION("""COMPUTED_VALUE"""),"বিক্রেতার সাথে যোগাযোগ করুন")</f>
        <v>বিক্রেতার সাথে যোগাযোগ করুন</v>
      </c>
      <c r="D117" s="2" t="str">
        <f>IFERROR(__xludf.DUMMYFUNCTION("""COMPUTED_VALUE"""),"विक्रेता से संपर्क कारें")</f>
        <v>विक्रेता से संपर्क कारें</v>
      </c>
      <c r="E117" s="2" t="str">
        <f>IFERROR(__xludf.DUMMYFUNCTION("""COMPUTED_VALUE"""),"ಸಂಪರ್ಕ ಮಾರಾಟಗಾರ")</f>
        <v>ಸಂಪರ್ಕ ಮಾರಾಟಗಾರ</v>
      </c>
      <c r="F117" s="2" t="str">
        <f>IFERROR(__xludf.DUMMYFUNCTION("""COMPUTED_VALUE"""),"ବିକ୍ରେତାଙ୍କ ସହିତ ଯୋଗାଯୋଗ କରନ୍ତୁ |")</f>
        <v>ବିକ୍ରେତାଙ୍କ ସହିତ ଯୋଗାଯୋଗ କରନ୍ତୁ |</v>
      </c>
      <c r="G117" s="2" t="str">
        <f>IFERROR(__xludf.DUMMYFUNCTION("""COMPUTED_VALUE"""),"বিক্ৰেতাৰ সৈতে যোগাযোগ কৰক")</f>
        <v>বিক্ৰেতাৰ সৈতে যোগাযোগ কৰক</v>
      </c>
      <c r="H117" s="2" t="str">
        <f>IFERROR(__xludf.DUMMYFUNCTION("""COMPUTED_VALUE"""),"સંપર્ક વિક્રેતા")</f>
        <v>સંપર્ક વિક્રેતા</v>
      </c>
      <c r="I117" s="2" t="str">
        <f>IFERROR(__xludf.DUMMYFUNCTION("""COMPUTED_VALUE"""),"विक्रेत्याशी संपर्क साधा")</f>
        <v>विक्रेत्याशी संपर्क साधा</v>
      </c>
      <c r="J117" s="2" t="str">
        <f>IFERROR(__xludf.DUMMYFUNCTION("""COMPUTED_VALUE"""),"വിൽപ്പനക്കാരനെ ബന്ധപ്പെടുക")</f>
        <v>വിൽപ്പനക്കാരനെ ബന്ധപ്പെടുക</v>
      </c>
      <c r="K117" s="2" t="str">
        <f>IFERROR(__xludf.DUMMYFUNCTION("""COMPUTED_VALUE"""),"ਸੰਪਰਕ ਵੇਚਣ ਵਾਲੇ")</f>
        <v>ਸੰਪਰਕ ਵੇਚਣ ਵਾਲੇ</v>
      </c>
      <c r="L117" s="2" t="str">
        <f>IFERROR(__xludf.DUMMYFUNCTION("""COMPUTED_VALUE"""),"விற்பனையாளரை தொடர்புகொள்ளுங்கள்")</f>
        <v>விற்பனையாளரை தொடர்புகொள்ளுங்கள்</v>
      </c>
      <c r="M117" s="2" t="str">
        <f>IFERROR(__xludf.DUMMYFUNCTION("""COMPUTED_VALUE"""),"విక్రేతను సంప్రదించండి")</f>
        <v>విక్రేతను సంప్రదించండి</v>
      </c>
    </row>
    <row r="118">
      <c r="A118" s="2" t="str">
        <f>Master_en!A118</f>
        <v>viewOrderSummary</v>
      </c>
      <c r="B118" s="2" t="str">
        <f>Master_en!B118</f>
        <v>View Order Summary</v>
      </c>
      <c r="C118" s="2" t="str">
        <f>IFERROR(__xludf.DUMMYFUNCTION("""COMPUTED_VALUE"""),"অর্ডার সংক্ষিপ্তসার দেখুন")</f>
        <v>অর্ডার সংক্ষিপ্তসার দেখুন</v>
      </c>
      <c r="D118" s="2" t="str">
        <f>IFERROR(__xludf.DUMMYFUNCTION("""COMPUTED_VALUE"""),"देखें आदेश सारांश")</f>
        <v>देखें आदेश सारांश</v>
      </c>
      <c r="E118" s="2" t="str">
        <f>IFERROR(__xludf.DUMMYFUNCTION("""COMPUTED_VALUE"""),"ಆದೇಶದ ಸಾರಾಂಶವನ್ನು ವೀಕ್ಷಿಸಿ")</f>
        <v>ಆದೇಶದ ಸಾರಾಂಶವನ್ನು ವೀಕ್ಷಿಸಿ</v>
      </c>
      <c r="F118" s="2" t="str">
        <f>IFERROR(__xludf.DUMMYFUNCTION("""COMPUTED_VALUE"""),"ଅର୍ଡର ସାରାଂଶ ଦେଖନ୍ତୁ |")</f>
        <v>ଅର୍ଡର ସାରାଂଶ ଦେଖନ୍ତୁ |</v>
      </c>
      <c r="G118" s="2" t="str">
        <f>IFERROR(__xludf.DUMMYFUNCTION("""COMPUTED_VALUE"""),"অৰ্ডাৰৰ সাৰাংশ চাওক")</f>
        <v>অৰ্ডাৰৰ সাৰাংশ চাওক</v>
      </c>
      <c r="H118" s="2" t="str">
        <f>IFERROR(__xludf.DUMMYFUNCTION("""COMPUTED_VALUE"""),"ઓર્ડર સારાંશ જુઓ")</f>
        <v>ઓર્ડર સારાંશ જુઓ</v>
      </c>
      <c r="I118" s="2" t="str">
        <f>IFERROR(__xludf.DUMMYFUNCTION("""COMPUTED_VALUE"""),"ऑर्डर सारांश पहा")</f>
        <v>ऑर्डर सारांश पहा</v>
      </c>
      <c r="J118" s="2" t="str">
        <f>IFERROR(__xludf.DUMMYFUNCTION("""COMPUTED_VALUE"""),"ഓർഡർ സംഗ്രഹം കാണുക")</f>
        <v>ഓർഡർ സംഗ്രഹം കാണുക</v>
      </c>
      <c r="K118" s="2" t="str">
        <f>IFERROR(__xludf.DUMMYFUNCTION("""COMPUTED_VALUE"""),"ਆਰਡਰ ਸੰਖੇਪ ਵੇਖੋ")</f>
        <v>ਆਰਡਰ ਸੰਖੇਪ ਵੇਖੋ</v>
      </c>
      <c r="L118" s="2" t="str">
        <f>IFERROR(__xludf.DUMMYFUNCTION("""COMPUTED_VALUE"""),"ஆர்டர் சுருக்கத்தைக் காண்க")</f>
        <v>ஆர்டர் சுருக்கத்தைக் காண்க</v>
      </c>
      <c r="M118" s="2" t="str">
        <f>IFERROR(__xludf.DUMMYFUNCTION("""COMPUTED_VALUE"""),"ఆర్డర్ సారాంశాన్ని చూడండి")</f>
        <v>ఆర్డర్ సారాంశాన్ని చూడండి</v>
      </c>
    </row>
    <row r="119">
      <c r="A119" s="2" t="str">
        <f>Master_en!A119</f>
        <v>addInstructions</v>
      </c>
      <c r="B119" s="2" t="str">
        <f>Master_en!B119</f>
        <v>Add Instructions</v>
      </c>
      <c r="C119" s="2" t="str">
        <f>IFERROR(__xludf.DUMMYFUNCTION("""COMPUTED_VALUE"""),"নির্দেশাবলী যুক্ত করুন")</f>
        <v>নির্দেশাবলী যুক্ত করুন</v>
      </c>
      <c r="D119" s="2" t="str">
        <f>IFERROR(__xludf.DUMMYFUNCTION("""COMPUTED_VALUE"""),"निर्देश जोड़ें")</f>
        <v>निर्देश जोड़ें</v>
      </c>
      <c r="E119" s="2" t="str">
        <f>IFERROR(__xludf.DUMMYFUNCTION("""COMPUTED_VALUE"""),"ಸೂಚನೆಗಳನ್ನು ಸೇರಿಸಿ")</f>
        <v>ಸೂಚನೆಗಳನ್ನು ಸೇರಿಸಿ</v>
      </c>
      <c r="F119" s="2" t="str">
        <f>IFERROR(__xludf.DUMMYFUNCTION("""COMPUTED_VALUE"""),"ନିର୍ଦ୍ଦେଶାବଳୀ ଯୋଡନ୍ତୁ")</f>
        <v>ନିର୍ଦ୍ଦେଶାବଳୀ ଯୋଡନ୍ତୁ</v>
      </c>
      <c r="G119" s="2" t="str">
        <f>IFERROR(__xludf.DUMMYFUNCTION("""COMPUTED_VALUE"""),"নিৰ্দেশনা যোগ কৰক")</f>
        <v>নিৰ্দেশনা যোগ কৰক</v>
      </c>
      <c r="H119" s="2" t="str">
        <f>IFERROR(__xludf.DUMMYFUNCTION("""COMPUTED_VALUE"""),"સૂચનાઓ ઉમેરો")</f>
        <v>સૂચનાઓ ઉમેરો</v>
      </c>
      <c r="I119" s="2" t="str">
        <f>IFERROR(__xludf.DUMMYFUNCTION("""COMPUTED_VALUE"""),"सूचना जोडा")</f>
        <v>सूचना जोडा</v>
      </c>
      <c r="J119" s="2" t="str">
        <f>IFERROR(__xludf.DUMMYFUNCTION("""COMPUTED_VALUE"""),"നിർദ്ദേശങ്ങൾ ചേർക്കുക")</f>
        <v>നിർദ്ദേശങ്ങൾ ചേർക്കുക</v>
      </c>
      <c r="K119" s="2" t="str">
        <f>IFERROR(__xludf.DUMMYFUNCTION("""COMPUTED_VALUE"""),"ਨਿਰਦੇਸ਼ ਸ਼ਾਮਲ ਕਰੋ")</f>
        <v>ਨਿਰਦੇਸ਼ ਸ਼ਾਮਲ ਕਰੋ</v>
      </c>
      <c r="L119" s="2" t="str">
        <f>IFERROR(__xludf.DUMMYFUNCTION("""COMPUTED_VALUE"""),"வழிமுறைகளைச் சேர்க்கவும்")</f>
        <v>வழிமுறைகளைச் சேர்க்கவும்</v>
      </c>
      <c r="M119" s="2" t="str">
        <f>IFERROR(__xludf.DUMMYFUNCTION("""COMPUTED_VALUE"""),"సూచనలను జోడించండి")</f>
        <v>సూచనలను జోడించండి</v>
      </c>
    </row>
    <row r="120">
      <c r="A120" s="2" t="str">
        <f>Master_en!A120</f>
        <v>myAccount</v>
      </c>
      <c r="B120" s="2" t="str">
        <f>Master_en!B120</f>
        <v>My Account </v>
      </c>
      <c r="C120" s="2" t="str">
        <f>IFERROR(__xludf.DUMMYFUNCTION("""COMPUTED_VALUE"""),"আমার অ্যাকাউন্ট")</f>
        <v>আমার অ্যাকাউন্ট</v>
      </c>
      <c r="D120" s="2" t="str">
        <f>IFERROR(__xludf.DUMMYFUNCTION("""COMPUTED_VALUE"""),"मेरा खाता")</f>
        <v>मेरा खाता</v>
      </c>
      <c r="E120" s="2" t="str">
        <f>IFERROR(__xludf.DUMMYFUNCTION("""COMPUTED_VALUE"""),"ನನ್ನ ಖಾತೆ")</f>
        <v>ನನ್ನ ಖಾತೆ</v>
      </c>
      <c r="F120" s="2" t="str">
        <f>IFERROR(__xludf.DUMMYFUNCTION("""COMPUTED_VALUE"""),"ମୋ ଖାତା")</f>
        <v>ମୋ ଖାତା</v>
      </c>
      <c r="G120" s="2" t="str">
        <f>IFERROR(__xludf.DUMMYFUNCTION("""COMPUTED_VALUE"""),"মোৰ একাউণ্ট")</f>
        <v>মোৰ একাউণ্ট</v>
      </c>
      <c r="H120" s="2" t="str">
        <f>IFERROR(__xludf.DUMMYFUNCTION("""COMPUTED_VALUE"""),"મારું ખાતું")</f>
        <v>મારું ખાતું</v>
      </c>
      <c r="I120" s="2" t="str">
        <f>IFERROR(__xludf.DUMMYFUNCTION("""COMPUTED_VALUE"""),"माझे खाते")</f>
        <v>माझे खाते</v>
      </c>
      <c r="J120" s="2" t="str">
        <f>IFERROR(__xludf.DUMMYFUNCTION("""COMPUTED_VALUE"""),"എന്റെ അക്കൗണ്ട്")</f>
        <v>എന്റെ അക്കൗണ്ട്</v>
      </c>
      <c r="K120" s="2" t="str">
        <f>IFERROR(__xludf.DUMMYFUNCTION("""COMPUTED_VALUE"""),"ਮੇਰਾ ਖਾਤਾ")</f>
        <v>ਮੇਰਾ ਖਾਤਾ</v>
      </c>
      <c r="L120" s="2" t="str">
        <f>IFERROR(__xludf.DUMMYFUNCTION("""COMPUTED_VALUE"""),"என் கணக்கு")</f>
        <v>என் கணக்கு</v>
      </c>
      <c r="M120" s="2" t="str">
        <f>IFERROR(__xludf.DUMMYFUNCTION("""COMPUTED_VALUE"""),"నా ఖాతా")</f>
        <v>నా ఖాతా</v>
      </c>
    </row>
    <row r="121">
      <c r="A121" s="2" t="str">
        <f>Master_en!A121</f>
        <v>favourite</v>
      </c>
      <c r="B121" s="2" t="str">
        <f>Master_en!B121</f>
        <v>Favourite</v>
      </c>
      <c r="C121" s="2" t="str">
        <f>IFERROR(__xludf.DUMMYFUNCTION("""COMPUTED_VALUE"""),"প্রিয়")</f>
        <v>প্রিয়</v>
      </c>
      <c r="D121" s="2" t="str">
        <f>IFERROR(__xludf.DUMMYFUNCTION("""COMPUTED_VALUE"""),"पसंदीदा")</f>
        <v>पसंदीदा</v>
      </c>
      <c r="E121" s="2" t="str">
        <f>IFERROR(__xludf.DUMMYFUNCTION("""COMPUTED_VALUE"""),"ನೆಚ್ಚಿನ")</f>
        <v>ನೆಚ್ಚಿನ</v>
      </c>
      <c r="F121" s="2" t="str">
        <f>IFERROR(__xludf.DUMMYFUNCTION("""COMPUTED_VALUE"""),"ପ୍ରିୟ")</f>
        <v>ପ୍ରିୟ</v>
      </c>
      <c r="G121" s="2" t="str">
        <f>IFERROR(__xludf.DUMMYFUNCTION("""COMPUTED_VALUE"""),"প্ৰিয়")</f>
        <v>প্ৰিয়</v>
      </c>
      <c r="H121" s="2" t="str">
        <f>IFERROR(__xludf.DUMMYFUNCTION("""COMPUTED_VALUE"""),"મનપસંદ")</f>
        <v>મનપસંદ</v>
      </c>
      <c r="I121" s="2" t="str">
        <f>IFERROR(__xludf.DUMMYFUNCTION("""COMPUTED_VALUE"""),"आवडते")</f>
        <v>आवडते</v>
      </c>
      <c r="J121" s="2" t="str">
        <f>IFERROR(__xludf.DUMMYFUNCTION("""COMPUTED_VALUE"""),"പേമഭാജനം")</f>
        <v>പേമഭാജനം</v>
      </c>
      <c r="K121" s="2" t="str">
        <f>IFERROR(__xludf.DUMMYFUNCTION("""COMPUTED_VALUE"""),"ਪਸੰਦੀਦਾ")</f>
        <v>ਪਸੰਦੀਦਾ</v>
      </c>
      <c r="L121" s="2" t="str">
        <f>IFERROR(__xludf.DUMMYFUNCTION("""COMPUTED_VALUE"""),"பிடித்த")</f>
        <v>பிடித்த</v>
      </c>
      <c r="M121" s="2" t="str">
        <f>IFERROR(__xludf.DUMMYFUNCTION("""COMPUTED_VALUE"""),"ఇష్టమైన")</f>
        <v>ఇష్టమైన</v>
      </c>
    </row>
    <row r="122">
      <c r="A122" s="2" t="str">
        <f>Master_en!A122</f>
        <v>settings</v>
      </c>
      <c r="B122" s="2" t="str">
        <f>Master_en!B122</f>
        <v>Settings</v>
      </c>
      <c r="C122" s="2" t="str">
        <f>IFERROR(__xludf.DUMMYFUNCTION("""COMPUTED_VALUE"""),"সেটিংস")</f>
        <v>সেটিংস</v>
      </c>
      <c r="D122" s="2" t="str">
        <f>IFERROR(__xludf.DUMMYFUNCTION("""COMPUTED_VALUE"""),"समायोजन")</f>
        <v>समायोजन</v>
      </c>
      <c r="E122" s="2" t="str">
        <f>IFERROR(__xludf.DUMMYFUNCTION("""COMPUTED_VALUE"""),"ಸಂಯೋಜನೆಗಳು")</f>
        <v>ಸಂಯೋಜನೆಗಳು</v>
      </c>
      <c r="F122" s="2" t="str">
        <f>IFERROR(__xludf.DUMMYFUNCTION("""COMPUTED_VALUE"""),"ସେଟିଂସମୂହ")</f>
        <v>ସେଟିଂସମୂହ</v>
      </c>
      <c r="G122" s="2" t="str">
        <f>IFERROR(__xludf.DUMMYFUNCTION("""COMPUTED_VALUE"""),"ছেটিংছ")</f>
        <v>ছেটিংছ</v>
      </c>
      <c r="H122" s="2" t="str">
        <f>IFERROR(__xludf.DUMMYFUNCTION("""COMPUTED_VALUE"""),"સેટીંગ્સ")</f>
        <v>સેટીંગ્સ</v>
      </c>
      <c r="I122" s="2" t="str">
        <f>IFERROR(__xludf.DUMMYFUNCTION("""COMPUTED_VALUE"""),"सेटिंग्ज")</f>
        <v>सेटिंग्ज</v>
      </c>
      <c r="J122" s="2" t="str">
        <f>IFERROR(__xludf.DUMMYFUNCTION("""COMPUTED_VALUE"""),"ക്രമീകരണങ്ങൾ")</f>
        <v>ക്രമീകരണങ്ങൾ</v>
      </c>
      <c r="K122" s="2" t="str">
        <f>IFERROR(__xludf.DUMMYFUNCTION("""COMPUTED_VALUE"""),"ਸੈਟਿੰਗਜ਼")</f>
        <v>ਸੈਟਿੰਗਜ਼</v>
      </c>
      <c r="L122" s="2" t="str">
        <f>IFERROR(__xludf.DUMMYFUNCTION("""COMPUTED_VALUE"""),"அமைப்புகள்")</f>
        <v>அமைப்புகள்</v>
      </c>
      <c r="M122" s="2" t="str">
        <f>IFERROR(__xludf.DUMMYFUNCTION("""COMPUTED_VALUE"""),"సెట్టింగులు")</f>
        <v>సెట్టింగులు</v>
      </c>
    </row>
    <row r="123">
      <c r="A123" s="2" t="str">
        <f>Master_en!A123</f>
        <v>myAddress</v>
      </c>
      <c r="B123" s="2" t="str">
        <f>Master_en!B123</f>
        <v>My Address</v>
      </c>
      <c r="C123" s="2" t="str">
        <f>IFERROR(__xludf.DUMMYFUNCTION("""COMPUTED_VALUE"""),"আমার ঠিকানা")</f>
        <v>আমার ঠিকানা</v>
      </c>
      <c r="D123" s="2" t="str">
        <f>IFERROR(__xludf.DUMMYFUNCTION("""COMPUTED_VALUE"""),"मेरा पता")</f>
        <v>मेरा पता</v>
      </c>
      <c r="E123" s="2" t="str">
        <f>IFERROR(__xludf.DUMMYFUNCTION("""COMPUTED_VALUE"""),"ನನ್ನ ವಿಳಾಸ")</f>
        <v>ನನ್ನ ವಿಳಾಸ</v>
      </c>
      <c r="F123" s="2" t="str">
        <f>IFERROR(__xludf.DUMMYFUNCTION("""COMPUTED_VALUE"""),"ମୋ ଠିକଣା")</f>
        <v>ମୋ ଠିକଣା</v>
      </c>
      <c r="G123" s="2" t="str">
        <f>IFERROR(__xludf.DUMMYFUNCTION("""COMPUTED_VALUE"""),"মোৰ ঠিকনা")</f>
        <v>মোৰ ঠিকনা</v>
      </c>
      <c r="H123" s="2" t="str">
        <f>IFERROR(__xludf.DUMMYFUNCTION("""COMPUTED_VALUE"""),"મારું સરનામું")</f>
        <v>મારું સરનામું</v>
      </c>
      <c r="I123" s="2" t="str">
        <f>IFERROR(__xludf.DUMMYFUNCTION("""COMPUTED_VALUE"""),"माझा पत्ता")</f>
        <v>माझा पत्ता</v>
      </c>
      <c r="J123" s="2" t="str">
        <f>IFERROR(__xludf.DUMMYFUNCTION("""COMPUTED_VALUE"""),"എന്റെ വിലാസം")</f>
        <v>എന്റെ വിലാസം</v>
      </c>
      <c r="K123" s="2" t="str">
        <f>IFERROR(__xludf.DUMMYFUNCTION("""COMPUTED_VALUE"""),"ਮੇਰਾ ਪਤਾ")</f>
        <v>ਮੇਰਾ ਪਤਾ</v>
      </c>
      <c r="L123" s="2" t="str">
        <f>IFERROR(__xludf.DUMMYFUNCTION("""COMPUTED_VALUE"""),"என் முகவரி")</f>
        <v>என் முகவரி</v>
      </c>
      <c r="M123" s="2" t="str">
        <f>IFERROR(__xludf.DUMMYFUNCTION("""COMPUTED_VALUE"""),"నా చిరునామా")</f>
        <v>నా చిరునామా</v>
      </c>
    </row>
    <row r="124">
      <c r="A124" s="2" t="str">
        <f>Master_en!A124</f>
        <v>myFamily</v>
      </c>
      <c r="B124" s="2" t="str">
        <f>Master_en!B124</f>
        <v>My Family</v>
      </c>
      <c r="C124" s="2" t="str">
        <f>IFERROR(__xludf.DUMMYFUNCTION("""COMPUTED_VALUE"""),"আমার পরিবার")</f>
        <v>আমার পরিবার</v>
      </c>
      <c r="D124" s="2" t="str">
        <f>IFERROR(__xludf.DUMMYFUNCTION("""COMPUTED_VALUE"""),"मेरा परिवार")</f>
        <v>मेरा परिवार</v>
      </c>
      <c r="E124" s="2" t="str">
        <f>IFERROR(__xludf.DUMMYFUNCTION("""COMPUTED_VALUE"""),"ನನ್ನ ಕುಟುಂಬ")</f>
        <v>ನನ್ನ ಕುಟುಂಬ</v>
      </c>
      <c r="F124" s="2" t="str">
        <f>IFERROR(__xludf.DUMMYFUNCTION("""COMPUTED_VALUE"""),"ମୋ ପରିବାର")</f>
        <v>ମୋ ପରିବାର</v>
      </c>
      <c r="G124" s="2" t="str">
        <f>IFERROR(__xludf.DUMMYFUNCTION("""COMPUTED_VALUE"""),"মোৰ পৰিয়াল")</f>
        <v>মোৰ পৰিয়াল</v>
      </c>
      <c r="H124" s="2" t="str">
        <f>IFERROR(__xludf.DUMMYFUNCTION("""COMPUTED_VALUE"""),"મારું કુટુંબ")</f>
        <v>મારું કુટુંબ</v>
      </c>
      <c r="I124" s="2" t="str">
        <f>IFERROR(__xludf.DUMMYFUNCTION("""COMPUTED_VALUE"""),"माझे कुटुंब")</f>
        <v>माझे कुटुंब</v>
      </c>
      <c r="J124" s="2" t="str">
        <f>IFERROR(__xludf.DUMMYFUNCTION("""COMPUTED_VALUE"""),"എന്റെ കുടുംബം")</f>
        <v>എന്റെ കുടുംബം</v>
      </c>
      <c r="K124" s="2" t="str">
        <f>IFERROR(__xludf.DUMMYFUNCTION("""COMPUTED_VALUE"""),"ਮੇਰਾ ਪਰਿਵਾਰ")</f>
        <v>ਮੇਰਾ ਪਰਿਵਾਰ</v>
      </c>
      <c r="L124" s="2" t="str">
        <f>IFERROR(__xludf.DUMMYFUNCTION("""COMPUTED_VALUE"""),"என் குடும்பம்")</f>
        <v>என் குடும்பம்</v>
      </c>
      <c r="M124" s="2" t="str">
        <f>IFERROR(__xludf.DUMMYFUNCTION("""COMPUTED_VALUE"""),"నా కుటుంబం")</f>
        <v>నా కుటుంబం</v>
      </c>
    </row>
    <row r="125">
      <c r="A125" s="2" t="str">
        <f>Master_en!A125</f>
        <v>refer</v>
      </c>
      <c r="B125" s="2" t="str">
        <f>Master_en!B125</f>
        <v>Refer</v>
      </c>
      <c r="C125" s="2" t="str">
        <f>IFERROR(__xludf.DUMMYFUNCTION("""COMPUTED_VALUE"""),"উল্লেখ করুন")</f>
        <v>উল্লেখ করুন</v>
      </c>
      <c r="D125" s="2" t="str">
        <f>IFERROR(__xludf.DUMMYFUNCTION("""COMPUTED_VALUE"""),"उद्घृत करना")</f>
        <v>उद्घृत करना</v>
      </c>
      <c r="E125" s="2" t="str">
        <f>IFERROR(__xludf.DUMMYFUNCTION("""COMPUTED_VALUE"""),"ಉಲ್ಲೇಖಿಸು")</f>
        <v>ಉಲ್ಲೇಖಿಸು</v>
      </c>
      <c r="F125" s="2" t="str">
        <f>IFERROR(__xludf.DUMMYFUNCTION("""COMPUTED_VALUE"""),"ଅନୁସରଣ କରନ୍ତୁ |")</f>
        <v>ଅନୁସରଣ କରନ୍ତୁ |</v>
      </c>
      <c r="G125" s="2" t="str">
        <f>IFERROR(__xludf.DUMMYFUNCTION("""COMPUTED_VALUE"""),"উল্লেখ")</f>
        <v>উল্লেখ</v>
      </c>
      <c r="H125" s="2" t="str">
        <f>IFERROR(__xludf.DUMMYFUNCTION("""COMPUTED_VALUE"""),"સંદર્ભ")</f>
        <v>સંદર્ભ</v>
      </c>
      <c r="I125" s="2" t="str">
        <f>IFERROR(__xludf.DUMMYFUNCTION("""COMPUTED_VALUE"""),"संदर्भ")</f>
        <v>संदर्भ</v>
      </c>
      <c r="J125" s="2" t="str">
        <f>IFERROR(__xludf.DUMMYFUNCTION("""COMPUTED_VALUE"""),"അവലംബിക്കുക")</f>
        <v>അവലംബിക്കുക</v>
      </c>
      <c r="K125" s="2" t="str">
        <f>IFERROR(__xludf.DUMMYFUNCTION("""COMPUTED_VALUE"""),"ਵੇਖੋ")</f>
        <v>ਵੇਖੋ</v>
      </c>
      <c r="L125" s="2" t="str">
        <f>IFERROR(__xludf.DUMMYFUNCTION("""COMPUTED_VALUE"""),"பரிந்துரை")</f>
        <v>பரிந்துரை</v>
      </c>
      <c r="M125" s="2" t="str">
        <f>IFERROR(__xludf.DUMMYFUNCTION("""COMPUTED_VALUE"""),"సూచించండి")</f>
        <v>సూచించండి</v>
      </c>
    </row>
    <row r="126">
      <c r="A126" s="2" t="str">
        <f>Master_en!A126</f>
        <v>consumer</v>
      </c>
      <c r="B126" s="2" t="str">
        <f>Master_en!B126</f>
        <v>Consumer</v>
      </c>
      <c r="C126" s="2" t="str">
        <f>IFERROR(__xludf.DUMMYFUNCTION("""COMPUTED_VALUE"""),"গ্রাহক")</f>
        <v>গ্রাহক</v>
      </c>
      <c r="D126" s="2" t="str">
        <f>IFERROR(__xludf.DUMMYFUNCTION("""COMPUTED_VALUE"""),"उपभोक्ता")</f>
        <v>उपभोक्ता</v>
      </c>
      <c r="E126" s="2" t="str">
        <f>IFERROR(__xludf.DUMMYFUNCTION("""COMPUTED_VALUE"""),"ಗ್ರಾಹಕ")</f>
        <v>ಗ್ರಾಹಕ</v>
      </c>
      <c r="F126" s="2" t="str">
        <f>IFERROR(__xludf.DUMMYFUNCTION("""COMPUTED_VALUE"""),"ଗ୍ରାହକ")</f>
        <v>ଗ୍ରାହକ</v>
      </c>
      <c r="G126" s="2" t="str">
        <f>IFERROR(__xludf.DUMMYFUNCTION("""COMPUTED_VALUE"""),"গ্ৰাহক")</f>
        <v>গ্ৰাহক</v>
      </c>
      <c r="H126" s="2" t="str">
        <f>IFERROR(__xludf.DUMMYFUNCTION("""COMPUTED_VALUE"""),"ગ્રાહક")</f>
        <v>ગ્રાહક</v>
      </c>
      <c r="I126" s="2" t="str">
        <f>IFERROR(__xludf.DUMMYFUNCTION("""COMPUTED_VALUE"""),"ग्राहक")</f>
        <v>ग्राहक</v>
      </c>
      <c r="J126" s="2" t="str">
        <f>IFERROR(__xludf.DUMMYFUNCTION("""COMPUTED_VALUE"""),"ഉപഭോക്താവ്")</f>
        <v>ഉപഭോക്താവ്</v>
      </c>
      <c r="K126" s="2" t="str">
        <f>IFERROR(__xludf.DUMMYFUNCTION("""COMPUTED_VALUE"""),"ਖਪਤਕਾਰ")</f>
        <v>ਖਪਤਕਾਰ</v>
      </c>
      <c r="L126" s="2" t="str">
        <f>IFERROR(__xludf.DUMMYFUNCTION("""COMPUTED_VALUE"""),"நுகர்வோர்")</f>
        <v>நுகர்வோர்</v>
      </c>
      <c r="M126" s="2" t="str">
        <f>IFERROR(__xludf.DUMMYFUNCTION("""COMPUTED_VALUE"""),"వినియోగదారు")</f>
        <v>వినియోగదారు</v>
      </c>
    </row>
    <row r="127">
      <c r="A127" s="2" t="str">
        <f>Master_en!A127</f>
        <v>business</v>
      </c>
      <c r="B127" s="2" t="str">
        <f>Master_en!B127</f>
        <v>Business</v>
      </c>
      <c r="C127" s="2" t="str">
        <f>IFERROR(__xludf.DUMMYFUNCTION("""COMPUTED_VALUE"""),"ব্যবসা")</f>
        <v>ব্যবসা</v>
      </c>
      <c r="D127" s="2" t="str">
        <f>IFERROR(__xludf.DUMMYFUNCTION("""COMPUTED_VALUE"""),"व्यवसाय")</f>
        <v>व्यवसाय</v>
      </c>
      <c r="E127" s="2" t="str">
        <f>IFERROR(__xludf.DUMMYFUNCTION("""COMPUTED_VALUE"""),"ವ್ಯವಹಾರ")</f>
        <v>ವ್ಯವಹಾರ</v>
      </c>
      <c r="F127" s="2" t="str">
        <f>IFERROR(__xludf.DUMMYFUNCTION("""COMPUTED_VALUE"""),"ବ୍ୟବସାୟ")</f>
        <v>ବ୍ୟବସାୟ</v>
      </c>
      <c r="G127" s="2" t="str">
        <f>IFERROR(__xludf.DUMMYFUNCTION("""COMPUTED_VALUE"""),"ব্যৱসায়")</f>
        <v>ব্যৱসায়</v>
      </c>
      <c r="H127" s="2" t="str">
        <f>IFERROR(__xludf.DUMMYFUNCTION("""COMPUTED_VALUE"""),"બિઝનેસ")</f>
        <v>બિઝનેસ</v>
      </c>
      <c r="I127" s="2" t="str">
        <f>IFERROR(__xludf.DUMMYFUNCTION("""COMPUTED_VALUE"""),"व्यवसाय")</f>
        <v>व्यवसाय</v>
      </c>
      <c r="J127" s="2" t="str">
        <f>IFERROR(__xludf.DUMMYFUNCTION("""COMPUTED_VALUE"""),"വാപാരം")</f>
        <v>വാപാരം</v>
      </c>
      <c r="K127" s="2" t="str">
        <f>IFERROR(__xludf.DUMMYFUNCTION("""COMPUTED_VALUE"""),"ਕਾਰੋਬਾਰ")</f>
        <v>ਕਾਰੋਬਾਰ</v>
      </c>
      <c r="L127" s="2" t="str">
        <f>IFERROR(__xludf.DUMMYFUNCTION("""COMPUTED_VALUE"""),"வணிக")</f>
        <v>வணிக</v>
      </c>
      <c r="M127" s="2" t="str">
        <f>IFERROR(__xludf.DUMMYFUNCTION("""COMPUTED_VALUE"""),"వ్యాపారం")</f>
        <v>వ్యాపారం</v>
      </c>
    </row>
    <row r="128">
      <c r="A128" s="2" t="str">
        <f>Master_en!A128</f>
        <v>postOrder</v>
      </c>
      <c r="B128" s="2" t="str">
        <f>Master_en!B128</f>
        <v>Post Order</v>
      </c>
      <c r="C128" s="2" t="str">
        <f>IFERROR(__xludf.DUMMYFUNCTION("""COMPUTED_VALUE"""),"পোস্ট অর্ডার")</f>
        <v>পোস্ট অর্ডার</v>
      </c>
      <c r="D128" s="2" t="str">
        <f>IFERROR(__xludf.DUMMYFUNCTION("""COMPUTED_VALUE"""),"पोस्ट ऑर्डर")</f>
        <v>पोस्ट ऑर्डर</v>
      </c>
      <c r="E128" s="2" t="str">
        <f>IFERROR(__xludf.DUMMYFUNCTION("""COMPUTED_VALUE"""),"ಪೋಸ್ಟ್ ಆದೇಶ")</f>
        <v>ಪೋಸ್ಟ್ ಆದೇಶ</v>
      </c>
      <c r="F128" s="2" t="str">
        <f>IFERROR(__xludf.DUMMYFUNCTION("""COMPUTED_VALUE"""),"ପୋଷ୍ଟ କ୍ରମ")</f>
        <v>ପୋଷ୍ଟ କ୍ରମ</v>
      </c>
      <c r="G128" s="2" t="str">
        <f>IFERROR(__xludf.DUMMYFUNCTION("""COMPUTED_VALUE"""),"পোষ্ট অৰ্ডাৰ")</f>
        <v>পোষ্ট অৰ্ডাৰ</v>
      </c>
      <c r="H128" s="2" t="str">
        <f>IFERROR(__xludf.DUMMYFUNCTION("""COMPUTED_VALUE"""),"પોસ્ટ ઓર્ડર")</f>
        <v>પોસ્ટ ઓર્ડર</v>
      </c>
      <c r="I128" s="2" t="str">
        <f>IFERROR(__xludf.DUMMYFUNCTION("""COMPUTED_VALUE"""),"पोस्ट ऑर्डर")</f>
        <v>पोस्ट ऑर्डर</v>
      </c>
      <c r="J128" s="2" t="str">
        <f>IFERROR(__xludf.DUMMYFUNCTION("""COMPUTED_VALUE"""),"പോസ്റ്റ് ഓർഡർ")</f>
        <v>പോസ്റ്റ് ഓർഡർ</v>
      </c>
      <c r="K128" s="2" t="str">
        <f>IFERROR(__xludf.DUMMYFUNCTION("""COMPUTED_VALUE"""),"ਪੋਸਟ ਆਰਡਰ")</f>
        <v>ਪੋਸਟ ਆਰਡਰ</v>
      </c>
      <c r="L128" s="2" t="str">
        <f>IFERROR(__xludf.DUMMYFUNCTION("""COMPUTED_VALUE"""),"போஸ்ட் ஆர்டர்")</f>
        <v>போஸ்ட் ஆர்டர்</v>
      </c>
      <c r="M128" s="2" t="str">
        <f>IFERROR(__xludf.DUMMYFUNCTION("""COMPUTED_VALUE"""),"పోస్ట్ ఆర్డర్")</f>
        <v>పోస్ట్ ఆర్డర్</v>
      </c>
    </row>
    <row r="129">
      <c r="A129" s="2" t="str">
        <f>Master_en!A129</f>
        <v>logout</v>
      </c>
      <c r="B129" s="2" t="str">
        <f>Master_en!B129</f>
        <v>Log Out</v>
      </c>
      <c r="C129" s="2" t="str">
        <f>IFERROR(__xludf.DUMMYFUNCTION("""COMPUTED_VALUE"""),"প্রস্থান")</f>
        <v>প্রস্থান</v>
      </c>
      <c r="D129" s="2" t="str">
        <f>IFERROR(__xludf.DUMMYFUNCTION("""COMPUTED_VALUE"""),"लॉग आउट")</f>
        <v>लॉग आउट</v>
      </c>
      <c r="E129" s="2" t="str">
        <f>IFERROR(__xludf.DUMMYFUNCTION("""COMPUTED_VALUE"""),"ಲಾಗ್ ಔಟ್")</f>
        <v>ಲಾಗ್ ಔಟ್</v>
      </c>
      <c r="F129" s="2" t="str">
        <f>IFERROR(__xludf.DUMMYFUNCTION("""COMPUTED_VALUE"""),"ପ୍ରସ୍ଥାନ କର")</f>
        <v>ପ୍ରସ୍ଥାନ କର</v>
      </c>
      <c r="G129" s="2" t="str">
        <f>IFERROR(__xludf.DUMMYFUNCTION("""COMPUTED_VALUE"""),"লগআউট কৰক")</f>
        <v>লগআউট কৰক</v>
      </c>
      <c r="H129" s="2" t="str">
        <f>IFERROR(__xludf.DUMMYFUNCTION("""COMPUTED_VALUE"""),"લૉગ આઉટ")</f>
        <v>લૉગ આઉટ</v>
      </c>
      <c r="I129" s="2" t="str">
        <f>IFERROR(__xludf.DUMMYFUNCTION("""COMPUTED_VALUE"""),"बाहेर पडणे")</f>
        <v>बाहेर पडणे</v>
      </c>
      <c r="J129" s="2" t="str">
        <f>IFERROR(__xludf.DUMMYFUNCTION("""COMPUTED_VALUE"""),"ലോഗ് out ട്ട് ചെയ്യുക")</f>
        <v>ലോഗ് out ട്ട് ചെയ്യുക</v>
      </c>
      <c r="K129" s="2" t="str">
        <f>IFERROR(__xludf.DUMMYFUNCTION("""COMPUTED_VALUE"""),"ਲਾੱਗ ਆਊਟ, ਬਾਹਰ ਆਉਣਾ")</f>
        <v>ਲਾੱਗ ਆਊਟ, ਬਾਹਰ ਆਉਣਾ</v>
      </c>
      <c r="L129" s="2" t="str">
        <f>IFERROR(__xludf.DUMMYFUNCTION("""COMPUTED_VALUE"""),"வெளியேறு")</f>
        <v>வெளியேறு</v>
      </c>
      <c r="M129" s="2" t="str">
        <f>IFERROR(__xludf.DUMMYFUNCTION("""COMPUTED_VALUE"""),"లాగ్ అవుట్")</f>
        <v>లాగ్ అవుట్</v>
      </c>
    </row>
    <row r="130">
      <c r="A130" s="2" t="str">
        <f>Master_en!A130</f>
        <v>me</v>
      </c>
      <c r="B130" s="2" t="str">
        <f>Master_en!B130</f>
        <v>Me</v>
      </c>
      <c r="C130" s="2" t="str">
        <f>IFERROR(__xludf.DUMMYFUNCTION("""COMPUTED_VALUE"""),"আমাকে")</f>
        <v>আমাকে</v>
      </c>
      <c r="D130" s="2" t="str">
        <f>IFERROR(__xludf.DUMMYFUNCTION("""COMPUTED_VALUE"""),"मुझे")</f>
        <v>मुझे</v>
      </c>
      <c r="E130" s="2" t="str">
        <f>IFERROR(__xludf.DUMMYFUNCTION("""COMPUTED_VALUE"""),"ನಾನು")</f>
        <v>ನಾನು</v>
      </c>
      <c r="F130" s="2" t="str">
        <f>IFERROR(__xludf.DUMMYFUNCTION("""COMPUTED_VALUE"""),"ମୁଁ")</f>
        <v>ମୁଁ</v>
      </c>
      <c r="G130" s="2" t="str">
        <f>IFERROR(__xludf.DUMMYFUNCTION("""COMPUTED_VALUE"""),"মোক")</f>
        <v>মোক</v>
      </c>
      <c r="H130" s="2" t="str">
        <f>IFERROR(__xludf.DUMMYFUNCTION("""COMPUTED_VALUE"""),"મને")</f>
        <v>મને</v>
      </c>
      <c r="I130" s="2" t="str">
        <f>IFERROR(__xludf.DUMMYFUNCTION("""COMPUTED_VALUE"""),"मी")</f>
        <v>मी</v>
      </c>
      <c r="J130" s="2" t="str">
        <f>IFERROR(__xludf.DUMMYFUNCTION("""COMPUTED_VALUE"""),"എന്നോട്")</f>
        <v>എന്നോട്</v>
      </c>
      <c r="K130" s="2" t="str">
        <f>IFERROR(__xludf.DUMMYFUNCTION("""COMPUTED_VALUE"""),"ਮੈਂ")</f>
        <v>ਮੈਂ</v>
      </c>
      <c r="L130" s="2" t="str">
        <f>IFERROR(__xludf.DUMMYFUNCTION("""COMPUTED_VALUE"""),"நான்")</f>
        <v>நான்</v>
      </c>
      <c r="M130" s="2" t="str">
        <f>IFERROR(__xludf.DUMMYFUNCTION("""COMPUTED_VALUE"""),"నేను")</f>
        <v>నేను</v>
      </c>
    </row>
    <row r="131">
      <c r="A131" s="2" t="str">
        <f>Master_en!A131</f>
        <v>contactNumber</v>
      </c>
      <c r="B131" s="2" t="str">
        <f>Master_en!B131</f>
        <v>Contact Number</v>
      </c>
      <c r="C131" s="2" t="str">
        <f>IFERROR(__xludf.DUMMYFUNCTION("""COMPUTED_VALUE"""),"যোগাযোগের নম্বর")</f>
        <v>যোগাযোগের নম্বর</v>
      </c>
      <c r="D131" s="2" t="str">
        <f>IFERROR(__xludf.DUMMYFUNCTION("""COMPUTED_VALUE"""),"संपर्क संख्या")</f>
        <v>संपर्क संख्या</v>
      </c>
      <c r="E131" s="2" t="str">
        <f>IFERROR(__xludf.DUMMYFUNCTION("""COMPUTED_VALUE"""),"ಸಂಪರ್ಕ ಸಂಖ್ಯೆ")</f>
        <v>ಸಂಪರ್ಕ ಸಂಖ್ಯೆ</v>
      </c>
      <c r="F131" s="2" t="str">
        <f>IFERROR(__xludf.DUMMYFUNCTION("""COMPUTED_VALUE"""),"ଯୋଗାଯୋଗ ସଂଖ୍ୟା")</f>
        <v>ଯୋଗାଯୋଗ ସଂଖ୍ୟା</v>
      </c>
      <c r="G131" s="2" t="str">
        <f>IFERROR(__xludf.DUMMYFUNCTION("""COMPUTED_VALUE"""),"যোগাযোগ নম্বৰ")</f>
        <v>যোগাযোগ নম্বৰ</v>
      </c>
      <c r="H131" s="2" t="str">
        <f>IFERROR(__xludf.DUMMYFUNCTION("""COMPUTED_VALUE"""),"સંપર્ક નંબર")</f>
        <v>સંપર્ક નંબર</v>
      </c>
      <c r="I131" s="2" t="str">
        <f>IFERROR(__xludf.DUMMYFUNCTION("""COMPUTED_VALUE"""),"संपर्क क्रमांक")</f>
        <v>संपर्क क्रमांक</v>
      </c>
      <c r="J131" s="2" t="str">
        <f>IFERROR(__xludf.DUMMYFUNCTION("""COMPUTED_VALUE"""),"കോൺടാക്റ്റ് നമ്പർ")</f>
        <v>കോൺടാക്റ്റ് നമ്പർ</v>
      </c>
      <c r="K131" s="2" t="str">
        <f>IFERROR(__xludf.DUMMYFUNCTION("""COMPUTED_VALUE"""),"ਸੰਪਰਕ ਨੰਬਰ")</f>
        <v>ਸੰਪਰਕ ਨੰਬਰ</v>
      </c>
      <c r="L131" s="2" t="str">
        <f>IFERROR(__xludf.DUMMYFUNCTION("""COMPUTED_VALUE"""),"தொடர்பு எண்")</f>
        <v>தொடர்பு எண்</v>
      </c>
      <c r="M131" s="2" t="str">
        <f>IFERROR(__xludf.DUMMYFUNCTION("""COMPUTED_VALUE"""),"సంప్రదింపు సంఖ్య")</f>
        <v>సంప్రదింపు సంఖ్య</v>
      </c>
    </row>
    <row r="132">
      <c r="A132" s="2" t="str">
        <f>Master_en!A132</f>
        <v>relation</v>
      </c>
      <c r="B132" s="2" t="str">
        <f>Master_en!B132</f>
        <v>Relation</v>
      </c>
      <c r="C132" s="2" t="str">
        <f>IFERROR(__xludf.DUMMYFUNCTION("""COMPUTED_VALUE"""),"সম্পর্ক")</f>
        <v>সম্পর্ক</v>
      </c>
      <c r="D132" s="2" t="str">
        <f>IFERROR(__xludf.DUMMYFUNCTION("""COMPUTED_VALUE"""),"रिश्ता")</f>
        <v>रिश्ता</v>
      </c>
      <c r="E132" s="2" t="str">
        <f>IFERROR(__xludf.DUMMYFUNCTION("""COMPUTED_VALUE"""),"ಸಂಬಂಧ")</f>
        <v>ಸಂಬಂಧ</v>
      </c>
      <c r="F132" s="2" t="str">
        <f>IFERROR(__xludf.DUMMYFUNCTION("""COMPUTED_VALUE"""),"ସମ୍ପର୍କ")</f>
        <v>ସମ୍ପର୍କ</v>
      </c>
      <c r="G132" s="2" t="str">
        <f>IFERROR(__xludf.DUMMYFUNCTION("""COMPUTED_VALUE"""),"সম্পৰ্ক")</f>
        <v>সম্পৰ্ক</v>
      </c>
      <c r="H132" s="2" t="str">
        <f>IFERROR(__xludf.DUMMYFUNCTION("""COMPUTED_VALUE"""),"સંબંધ")</f>
        <v>સંબંધ</v>
      </c>
      <c r="I132" s="2" t="str">
        <f>IFERROR(__xludf.DUMMYFUNCTION("""COMPUTED_VALUE"""),"संबंध")</f>
        <v>संबंध</v>
      </c>
      <c r="J132" s="2" t="str">
        <f>IFERROR(__xludf.DUMMYFUNCTION("""COMPUTED_VALUE"""),"ബന്ധു")</f>
        <v>ബന്ധു</v>
      </c>
      <c r="K132" s="2" t="str">
        <f>IFERROR(__xludf.DUMMYFUNCTION("""COMPUTED_VALUE"""),"ਸਬੰਧ")</f>
        <v>ਸਬੰਧ</v>
      </c>
      <c r="L132" s="2" t="str">
        <f>IFERROR(__xludf.DUMMYFUNCTION("""COMPUTED_VALUE"""),"உறவு")</f>
        <v>உறவு</v>
      </c>
      <c r="M132" s="2" t="str">
        <f>IFERROR(__xludf.DUMMYFUNCTION("""COMPUTED_VALUE"""),"సంబంధం")</f>
        <v>సంబంధం</v>
      </c>
    </row>
    <row r="133">
      <c r="A133" s="2" t="str">
        <f>Master_en!A133</f>
        <v>getOtp</v>
      </c>
      <c r="B133" s="2" t="str">
        <f>Master_en!B133</f>
        <v>Get OTP</v>
      </c>
      <c r="C133" s="2" t="str">
        <f>IFERROR(__xludf.DUMMYFUNCTION("""COMPUTED_VALUE"""),"ওটিপি পান")</f>
        <v>ওটিপি পান</v>
      </c>
      <c r="D133" s="2" t="str">
        <f>IFERROR(__xludf.DUMMYFUNCTION("""COMPUTED_VALUE"""),"ओटीपी प्राप्त करें")</f>
        <v>ओटीपी प्राप्त करें</v>
      </c>
      <c r="E133" s="2" t="str">
        <f>IFERROR(__xludf.DUMMYFUNCTION("""COMPUTED_VALUE"""),"ಒಟಿಪಿ ಪಡೆಯಿರಿ")</f>
        <v>ಒಟಿಪಿ ಪಡೆಯಿರಿ</v>
      </c>
      <c r="F133" s="2" t="str">
        <f>IFERROR(__xludf.DUMMYFUNCTION("""COMPUTED_VALUE"""),"OTP ପାଆନ୍ତୁ |")</f>
        <v>OTP ପାଆନ୍ତୁ |</v>
      </c>
      <c r="G133" s="2" t="str">
        <f>IFERROR(__xludf.DUMMYFUNCTION("""COMPUTED_VALUE"""),"OTP লাভ কৰক")</f>
        <v>OTP লাভ কৰক</v>
      </c>
      <c r="H133" s="2" t="str">
        <f>IFERROR(__xludf.DUMMYFUNCTION("""COMPUTED_VALUE"""),"ઓટીપી મેળવો")</f>
        <v>ઓટીપી મેળવો</v>
      </c>
      <c r="I133" s="2" t="str">
        <f>IFERROR(__xludf.DUMMYFUNCTION("""COMPUTED_VALUE"""),"ओटीपी मिळवा")</f>
        <v>ओटीपी मिळवा</v>
      </c>
      <c r="J133" s="2" t="str">
        <f>IFERROR(__xludf.DUMMYFUNCTION("""COMPUTED_VALUE"""),"OTP നേടുക")</f>
        <v>OTP നേടുക</v>
      </c>
      <c r="K133" s="2" t="str">
        <f>IFERROR(__xludf.DUMMYFUNCTION("""COMPUTED_VALUE"""),"ਓਟੀਪੀ ਪ੍ਰਾਪਤ ਕਰੋ")</f>
        <v>ਓਟੀਪੀ ਪ੍ਰਾਪਤ ਕਰੋ</v>
      </c>
      <c r="L133" s="2" t="str">
        <f>IFERROR(__xludf.DUMMYFUNCTION("""COMPUTED_VALUE"""),"OTP ஐப் பெறுங்கள்")</f>
        <v>OTP ஐப் பெறுங்கள்</v>
      </c>
      <c r="M133" s="2" t="str">
        <f>IFERROR(__xludf.DUMMYFUNCTION("""COMPUTED_VALUE"""),"OTP పొందండి")</f>
        <v>OTP పొందండి</v>
      </c>
    </row>
    <row r="134">
      <c r="A134" s="2" t="str">
        <f>Master_en!A134</f>
        <v>enterOtp</v>
      </c>
      <c r="B134" s="2" t="str">
        <f>Master_en!B134</f>
        <v>Enter OTP</v>
      </c>
      <c r="C134" s="2" t="str">
        <f>IFERROR(__xludf.DUMMYFUNCTION("""COMPUTED_VALUE"""),"ওটিপি প্রবেশ করান")</f>
        <v>ওটিপি প্রবেশ করান</v>
      </c>
      <c r="D134" s="2" t="str">
        <f>IFERROR(__xludf.DUMMYFUNCTION("""COMPUTED_VALUE"""),"ओटीपी दर्ज करें")</f>
        <v>ओटीपी दर्ज करें</v>
      </c>
      <c r="E134" s="2" t="str">
        <f>IFERROR(__xludf.DUMMYFUNCTION("""COMPUTED_VALUE"""),"ಒಟಿಪಿ ನಮೂದಿಸಿ")</f>
        <v>ಒಟಿಪಿ ನಮೂದಿಸಿ</v>
      </c>
      <c r="F134" s="2" t="str">
        <f>IFERROR(__xludf.DUMMYFUNCTION("""COMPUTED_VALUE"""),"OTP ପ୍ରବେଶ କରନ୍ତୁ |")</f>
        <v>OTP ପ୍ରବେଶ କରନ୍ତୁ |</v>
      </c>
      <c r="G134" s="2" t="str">
        <f>IFERROR(__xludf.DUMMYFUNCTION("""COMPUTED_VALUE"""),"OTP সুমুৱাওক")</f>
        <v>OTP সুমুৱাওক</v>
      </c>
      <c r="H134" s="2" t="str">
        <f>IFERROR(__xludf.DUMMYFUNCTION("""COMPUTED_VALUE"""),"ઓટીપી દાખલ કરો")</f>
        <v>ઓટીપી દાખલ કરો</v>
      </c>
      <c r="I134" s="2" t="str">
        <f>IFERROR(__xludf.DUMMYFUNCTION("""COMPUTED_VALUE"""),"ओटीपी प्रविष्ट करा")</f>
        <v>ओटीपी प्रविष्ट करा</v>
      </c>
      <c r="J134" s="2" t="str">
        <f>IFERROR(__xludf.DUMMYFUNCTION("""COMPUTED_VALUE"""),"OTP നൽകുക")</f>
        <v>OTP നൽകുക</v>
      </c>
      <c r="K134" s="2" t="str">
        <f>IFERROR(__xludf.DUMMYFUNCTION("""COMPUTED_VALUE"""),"ਓਟੀਪੀ ਦਰਜ ਕਰੋ")</f>
        <v>ਓਟੀਪੀ ਦਰਜ ਕਰੋ</v>
      </c>
      <c r="L134" s="2" t="str">
        <f>IFERROR(__xludf.DUMMYFUNCTION("""COMPUTED_VALUE"""),"OTP ஐ உள்ளிடவும்")</f>
        <v>OTP ஐ உள்ளிடவும்</v>
      </c>
      <c r="M134" s="2" t="str">
        <f>IFERROR(__xludf.DUMMYFUNCTION("""COMPUTED_VALUE"""),"OTP ని నమోదు చేయండి")</f>
        <v>OTP ని నమోదు చేయండి</v>
      </c>
    </row>
    <row r="135">
      <c r="A135" s="2" t="str">
        <f>Master_en!A135</f>
        <v>mail</v>
      </c>
      <c r="B135" s="2" t="str">
        <f>Master_en!B135</f>
        <v>Mail</v>
      </c>
      <c r="C135" s="2" t="str">
        <f>IFERROR(__xludf.DUMMYFUNCTION("""COMPUTED_VALUE"""),"মেল")</f>
        <v>মেল</v>
      </c>
      <c r="D135" s="2" t="str">
        <f>IFERROR(__xludf.DUMMYFUNCTION("""COMPUTED_VALUE"""),"मेल")</f>
        <v>मेल</v>
      </c>
      <c r="E135" s="2" t="str">
        <f>IFERROR(__xludf.DUMMYFUNCTION("""COMPUTED_VALUE"""),"ಸಂದೇಶ")</f>
        <v>ಸಂದೇಶ</v>
      </c>
      <c r="F135" s="2" t="str">
        <f>IFERROR(__xludf.DUMMYFUNCTION("""COMPUTED_VALUE"""),"ମେଲ୍")</f>
        <v>ମେଲ୍</v>
      </c>
      <c r="G135" s="2" t="str">
        <f>IFERROR(__xludf.DUMMYFUNCTION("""COMPUTED_VALUE"""),"মেইল")</f>
        <v>মেইল</v>
      </c>
      <c r="H135" s="2" t="str">
        <f>IFERROR(__xludf.DUMMYFUNCTION("""COMPUTED_VALUE"""),"મેઇલ")</f>
        <v>મેઇલ</v>
      </c>
      <c r="I135" s="2" t="str">
        <f>IFERROR(__xludf.DUMMYFUNCTION("""COMPUTED_VALUE"""),"मेल")</f>
        <v>मेल</v>
      </c>
      <c r="J135" s="2" t="str">
        <f>IFERROR(__xludf.DUMMYFUNCTION("""COMPUTED_VALUE"""),"മെയിൽ")</f>
        <v>മെയിൽ</v>
      </c>
      <c r="K135" s="2" t="str">
        <f>IFERROR(__xludf.DUMMYFUNCTION("""COMPUTED_VALUE"""),"ਮੇਲ")</f>
        <v>ਮੇਲ</v>
      </c>
      <c r="L135" s="2" t="str">
        <f>IFERROR(__xludf.DUMMYFUNCTION("""COMPUTED_VALUE"""),"அஞ்சல்")</f>
        <v>அஞ்சல்</v>
      </c>
      <c r="M135" s="2" t="str">
        <f>IFERROR(__xludf.DUMMYFUNCTION("""COMPUTED_VALUE"""),"మెయిల్")</f>
        <v>మెయిల్</v>
      </c>
    </row>
    <row r="136">
      <c r="A136" s="2" t="str">
        <f>Master_en!A136</f>
        <v>facebook</v>
      </c>
      <c r="B136" s="2" t="str">
        <f>Master_en!B136</f>
        <v>Facebook</v>
      </c>
      <c r="C136" s="2" t="str">
        <f>IFERROR(__xludf.DUMMYFUNCTION("""COMPUTED_VALUE"""),"ফেসবুক")</f>
        <v>ফেসবুক</v>
      </c>
      <c r="D136" s="2" t="str">
        <f>IFERROR(__xludf.DUMMYFUNCTION("""COMPUTED_VALUE"""),"फेसबुक")</f>
        <v>फेसबुक</v>
      </c>
      <c r="E136" s="2" t="str">
        <f>IFERROR(__xludf.DUMMYFUNCTION("""COMPUTED_VALUE"""),"ಮುಖ ಪುಟ")</f>
        <v>ಮುಖ ಪುಟ</v>
      </c>
      <c r="F136" s="2" t="str">
        <f>IFERROR(__xludf.DUMMYFUNCTION("""COMPUTED_VALUE"""),"ଫେସବୁକ୍")</f>
        <v>ଫେସବୁକ୍</v>
      </c>
      <c r="G136" s="2" t="str">
        <f>IFERROR(__xludf.DUMMYFUNCTION("""COMPUTED_VALUE"""),"ফেচবুক")</f>
        <v>ফেচবুক</v>
      </c>
      <c r="H136" s="2" t="str">
        <f>IFERROR(__xludf.DUMMYFUNCTION("""COMPUTED_VALUE"""),"ફેસબુક")</f>
        <v>ફેસબુક</v>
      </c>
      <c r="I136" s="2" t="str">
        <f>IFERROR(__xludf.DUMMYFUNCTION("""COMPUTED_VALUE"""),"फेसबुक")</f>
        <v>फेसबुक</v>
      </c>
      <c r="J136" s="2" t="str">
        <f>IFERROR(__xludf.DUMMYFUNCTION("""COMPUTED_VALUE"""),"ഫേസ്ബുക്ക്")</f>
        <v>ഫേസ്ബുക്ക്</v>
      </c>
      <c r="K136" s="2" t="str">
        <f>IFERROR(__xludf.DUMMYFUNCTION("""COMPUTED_VALUE"""),"ਫੇਸਬੁੱਕ")</f>
        <v>ਫੇਸਬੁੱਕ</v>
      </c>
      <c r="L136" s="2" t="str">
        <f>IFERROR(__xludf.DUMMYFUNCTION("""COMPUTED_VALUE"""),"முகநூல்")</f>
        <v>முகநூல்</v>
      </c>
      <c r="M136" s="2" t="str">
        <f>IFERROR(__xludf.DUMMYFUNCTION("""COMPUTED_VALUE"""),"ఫేస్బుక్")</f>
        <v>ఫేస్బుక్</v>
      </c>
    </row>
    <row r="137">
      <c r="A137" s="2" t="str">
        <f>Master_en!A137</f>
        <v>newaddress</v>
      </c>
      <c r="B137" s="2" t="str">
        <f>Master_en!B137</f>
        <v>New Address</v>
      </c>
      <c r="C137" s="2" t="str">
        <f>IFERROR(__xludf.DUMMYFUNCTION("""COMPUTED_VALUE"""),"নতুন ঠিকানা")</f>
        <v>নতুন ঠিকানা</v>
      </c>
      <c r="D137" s="2" t="str">
        <f>IFERROR(__xludf.DUMMYFUNCTION("""COMPUTED_VALUE"""),"नया पता")</f>
        <v>नया पता</v>
      </c>
      <c r="E137" s="2" t="str">
        <f>IFERROR(__xludf.DUMMYFUNCTION("""COMPUTED_VALUE"""),"ಹೊಸ ವಿಳಾಸ")</f>
        <v>ಹೊಸ ವಿಳಾಸ</v>
      </c>
      <c r="F137" s="2" t="str">
        <f>IFERROR(__xludf.DUMMYFUNCTION("""COMPUTED_VALUE"""),"ନୂତନ ଠିକଣା")</f>
        <v>ନୂତନ ଠିକଣା</v>
      </c>
      <c r="G137" s="2" t="str">
        <f>IFERROR(__xludf.DUMMYFUNCTION("""COMPUTED_VALUE"""),"নতুন ঠিকনা")</f>
        <v>নতুন ঠিকনা</v>
      </c>
      <c r="H137" s="2" t="str">
        <f>IFERROR(__xludf.DUMMYFUNCTION("""COMPUTED_VALUE"""),"નવું સરનામું")</f>
        <v>નવું સરનામું</v>
      </c>
      <c r="I137" s="2" t="str">
        <f>IFERROR(__xludf.DUMMYFUNCTION("""COMPUTED_VALUE"""),"नवीन पत्ता")</f>
        <v>नवीन पत्ता</v>
      </c>
      <c r="J137" s="2" t="str">
        <f>IFERROR(__xludf.DUMMYFUNCTION("""COMPUTED_VALUE"""),"പുതിയ വിലാസം")</f>
        <v>പുതിയ വിലാസം</v>
      </c>
      <c r="K137" s="2" t="str">
        <f>IFERROR(__xludf.DUMMYFUNCTION("""COMPUTED_VALUE"""),"ਨਵਾਂ ਪਤਾ")</f>
        <v>ਨਵਾਂ ਪਤਾ</v>
      </c>
      <c r="L137" s="2" t="str">
        <f>IFERROR(__xludf.DUMMYFUNCTION("""COMPUTED_VALUE"""),"புதிய முகவரி")</f>
        <v>புதிய முகவரி</v>
      </c>
      <c r="M137" s="2" t="str">
        <f>IFERROR(__xludf.DUMMYFUNCTION("""COMPUTED_VALUE"""),"క్రొత్త చిరునామా")</f>
        <v>క్రొత్త చిరునామా</v>
      </c>
    </row>
    <row r="138">
      <c r="A138" s="2" t="str">
        <f>Master_en!A138</f>
        <v>reorder </v>
      </c>
      <c r="B138" s="2" t="str">
        <f>Master_en!B138</f>
        <v>Reorder</v>
      </c>
      <c r="C138" s="2" t="str">
        <f>IFERROR(__xludf.DUMMYFUNCTION("""COMPUTED_VALUE"""),"পুনরায় অর্ডার")</f>
        <v>পুনরায় অর্ডার</v>
      </c>
      <c r="D138" s="2" t="str">
        <f>IFERROR(__xludf.DUMMYFUNCTION("""COMPUTED_VALUE"""),"पुन: व्यवस्थित करें")</f>
        <v>पुन: व्यवस्थित करें</v>
      </c>
      <c r="E138" s="2" t="str">
        <f>IFERROR(__xludf.DUMMYFUNCTION("""COMPUTED_VALUE"""),"ಪುನಃ ಕೋರಿಕೆ")</f>
        <v>ಪುನಃ ಕೋರಿಕೆ</v>
      </c>
      <c r="F138" s="2" t="str">
        <f>IFERROR(__xludf.DUMMYFUNCTION("""COMPUTED_VALUE"""),"ରେକର୍ଡ କର |")</f>
        <v>ରେକର୍ଡ କର |</v>
      </c>
      <c r="G138" s="2" t="str">
        <f>IFERROR(__xludf.DUMMYFUNCTION("""COMPUTED_VALUE"""),"পুনৰ ক্ৰমবদ্ধ কৰক")</f>
        <v>পুনৰ ক্ৰমবদ্ধ কৰক</v>
      </c>
      <c r="H138" s="2" t="str">
        <f>IFERROR(__xludf.DUMMYFUNCTION("""COMPUTED_VALUE"""),"ફરીથી ગોઠવવું")</f>
        <v>ફરીથી ગોઠવવું</v>
      </c>
      <c r="I138" s="2" t="str">
        <f>IFERROR(__xludf.DUMMYFUNCTION("""COMPUTED_VALUE"""),"पुनर्क्रमित")</f>
        <v>पुनर्क्रमित</v>
      </c>
      <c r="J138" s="2" t="str">
        <f>IFERROR(__xludf.DUMMYFUNCTION("""COMPUTED_VALUE"""),"പുന order ക്രമീകരിക്കുക")</f>
        <v>പുന order ക്രമീകരിക്കുക</v>
      </c>
      <c r="K138" s="2" t="str">
        <f>IFERROR(__xludf.DUMMYFUNCTION("""COMPUTED_VALUE"""),"ਮੁੜ ਕ੍ਰਮਬੱਧ")</f>
        <v>ਮੁੜ ਕ੍ਰਮਬੱਧ</v>
      </c>
      <c r="L138" s="2" t="str">
        <f>IFERROR(__xludf.DUMMYFUNCTION("""COMPUTED_VALUE"""),"மீண்டும் ஆர்டர்")</f>
        <v>மீண்டும் ஆர்டர்</v>
      </c>
      <c r="M138" s="2" t="str">
        <f>IFERROR(__xludf.DUMMYFUNCTION("""COMPUTED_VALUE"""),"క్రమాన్ని మార్చండి")</f>
        <v>క్రమాన్ని మార్చండి</v>
      </c>
    </row>
    <row r="139">
      <c r="A139" s="2" t="str">
        <f>Master_en!A139</f>
        <v>contact</v>
      </c>
      <c r="B139" s="2" t="str">
        <f>Master_en!B139</f>
        <v>Contact </v>
      </c>
      <c r="C139" s="2" t="str">
        <f>IFERROR(__xludf.DUMMYFUNCTION("""COMPUTED_VALUE"""),"যোগাযোগ")</f>
        <v>যোগাযোগ</v>
      </c>
      <c r="D139" s="2" t="str">
        <f>IFERROR(__xludf.DUMMYFUNCTION("""COMPUTED_VALUE"""),"संपर्क")</f>
        <v>संपर्क</v>
      </c>
      <c r="E139" s="2" t="str">
        <f>IFERROR(__xludf.DUMMYFUNCTION("""COMPUTED_VALUE"""),"ಸಂಪರ್ಕ")</f>
        <v>ಸಂಪರ್ಕ</v>
      </c>
      <c r="F139" s="2" t="str">
        <f>IFERROR(__xludf.DUMMYFUNCTION("""COMPUTED_VALUE"""),"ଯୋଗାଯୋଗ କରନ୍ତୁ |")</f>
        <v>ଯୋଗାଯୋଗ କରନ୍ତୁ |</v>
      </c>
      <c r="G139" s="2" t="str">
        <f>IFERROR(__xludf.DUMMYFUNCTION("""COMPUTED_VALUE"""),"যোগাযোগ কৰক")</f>
        <v>যোগাযোগ কৰক</v>
      </c>
      <c r="H139" s="2" t="str">
        <f>IFERROR(__xludf.DUMMYFUNCTION("""COMPUTED_VALUE"""),"સંપર્ક")</f>
        <v>સંપર્ક</v>
      </c>
      <c r="I139" s="2" t="str">
        <f>IFERROR(__xludf.DUMMYFUNCTION("""COMPUTED_VALUE"""),"संपर्क")</f>
        <v>संपर्क</v>
      </c>
      <c r="J139" s="2" t="str">
        <f>IFERROR(__xludf.DUMMYFUNCTION("""COMPUTED_VALUE"""),"സന്വര്ക്കം")</f>
        <v>സന്വര്ക്കം</v>
      </c>
      <c r="K139" s="2" t="str">
        <f>IFERROR(__xludf.DUMMYFUNCTION("""COMPUTED_VALUE"""),"ਸੰਪਰਕ")</f>
        <v>ਸੰਪਰਕ</v>
      </c>
      <c r="L139" s="2" t="str">
        <f>IFERROR(__xludf.DUMMYFUNCTION("""COMPUTED_VALUE"""),"தொடர்பு")</f>
        <v>தொடர்பு</v>
      </c>
      <c r="M139" s="2" t="str">
        <f>IFERROR(__xludf.DUMMYFUNCTION("""COMPUTED_VALUE"""),"సంప్రదించండి")</f>
        <v>సంప్రదించండి</v>
      </c>
    </row>
    <row r="140">
      <c r="A140" s="2" t="str">
        <f>Master_en!A140</f>
        <v>update</v>
      </c>
      <c r="B140" s="2" t="str">
        <f>Master_en!B140</f>
        <v>Update </v>
      </c>
      <c r="C140" s="2" t="str">
        <f>IFERROR(__xludf.DUMMYFUNCTION("""COMPUTED_VALUE"""),"হালনাগাদ")</f>
        <v>হালনাগাদ</v>
      </c>
      <c r="D140" s="2" t="str">
        <f>IFERROR(__xludf.DUMMYFUNCTION("""COMPUTED_VALUE"""),"अद्यतन")</f>
        <v>अद्यतन</v>
      </c>
      <c r="E140" s="2" t="str">
        <f>IFERROR(__xludf.DUMMYFUNCTION("""COMPUTED_VALUE"""),"ನವೀಕರಿಸು")</f>
        <v>ನವೀಕರಿಸು</v>
      </c>
      <c r="F140" s="2" t="str">
        <f>IFERROR(__xludf.DUMMYFUNCTION("""COMPUTED_VALUE"""),"ଅଦ୍ୟତନ କରନ୍ତୁ |")</f>
        <v>ଅଦ୍ୟତନ କରନ୍ତୁ |</v>
      </c>
      <c r="G140" s="2" t="str">
        <f>IFERROR(__xludf.DUMMYFUNCTION("""COMPUTED_VALUE"""),"নবীকৰণ")</f>
        <v>নবীকৰণ</v>
      </c>
      <c r="H140" s="2" t="str">
        <f>IFERROR(__xludf.DUMMYFUNCTION("""COMPUTED_VALUE"""),"અપડેટ કરવું")</f>
        <v>અપડેટ કરવું</v>
      </c>
      <c r="I140" s="2" t="str">
        <f>IFERROR(__xludf.DUMMYFUNCTION("""COMPUTED_VALUE"""),"अपडेट")</f>
        <v>अपडेट</v>
      </c>
      <c r="J140" s="2" t="str">
        <f>IFERROR(__xludf.DUMMYFUNCTION("""COMPUTED_VALUE"""),"അപ്ഡേറ്റ് ചെയ്യുക")</f>
        <v>അപ്ഡേറ്റ് ചെയ്യുക</v>
      </c>
      <c r="K140" s="2" t="str">
        <f>IFERROR(__xludf.DUMMYFUNCTION("""COMPUTED_VALUE"""),"ਅਪਡੇਟ")</f>
        <v>ਅਪਡੇਟ</v>
      </c>
      <c r="L140" s="2" t="str">
        <f>IFERROR(__xludf.DUMMYFUNCTION("""COMPUTED_VALUE"""),"புதுப்பிப்பு")</f>
        <v>புதுப்பிப்பு</v>
      </c>
      <c r="M140" s="2" t="str">
        <f>IFERROR(__xludf.DUMMYFUNCTION("""COMPUTED_VALUE"""),"నవీకరణ")</f>
        <v>నవీకరణ</v>
      </c>
    </row>
    <row r="141">
      <c r="A141" s="2" t="str">
        <f>Master_en!A141</f>
        <v>OrderNotification</v>
      </c>
      <c r="B141" s="2" t="str">
        <f>Master_en!B141</f>
        <v>Order Notification</v>
      </c>
      <c r="C141" s="2" t="str">
        <f>IFERROR(__xludf.DUMMYFUNCTION("""COMPUTED_VALUE"""),"এই আদেশ বিতরণ করা হয়েছিল")</f>
        <v>এই আদেশ বিতরণ করা হয়েছিল</v>
      </c>
      <c r="D141" s="2" t="str">
        <f>IFERROR(__xludf.DUMMYFUNCTION("""COMPUTED_VALUE"""),"आदेश अधिसूचना")</f>
        <v>आदेश अधिसूचना</v>
      </c>
      <c r="E141" s="2" t="str">
        <f>IFERROR(__xludf.DUMMYFUNCTION("""COMPUTED_VALUE"""),"ಆದೇಶ ಅಧಿಸೂಚನೆ")</f>
        <v>ಆದೇಶ ಅಧಿಸೂಚನೆ</v>
      </c>
      <c r="F141" s="2" t="str">
        <f>IFERROR(__xludf.DUMMYFUNCTION("""COMPUTED_VALUE"""),"ଅର୍ଡର ବିଜ୍ଞପ୍ତି |")</f>
        <v>ଅର୍ଡର ବିଜ୍ଞପ୍ତି |</v>
      </c>
      <c r="G141" s="2" t="str">
        <f>IFERROR(__xludf.DUMMYFUNCTION("""COMPUTED_VALUE"""),"অৰ্ডাৰ জাননী")</f>
        <v>অৰ্ডাৰ জাননী</v>
      </c>
      <c r="H141" s="2" t="str">
        <f>IFERROR(__xludf.DUMMYFUNCTION("""COMPUTED_VALUE"""),"હુકમ")</f>
        <v>હુકમ</v>
      </c>
      <c r="I141" s="2" t="str">
        <f>IFERROR(__xludf.DUMMYFUNCTION("""COMPUTED_VALUE"""),"ऑर्डर सूचना")</f>
        <v>ऑर्डर सूचना</v>
      </c>
      <c r="J141" s="2" t="str">
        <f>IFERROR(__xludf.DUMMYFUNCTION("""COMPUTED_VALUE"""),"ഓർഡർ അറിയിപ്പ്")</f>
        <v>ഓർഡർ അറിയിപ്പ്</v>
      </c>
      <c r="K141" s="2" t="str">
        <f>IFERROR(__xludf.DUMMYFUNCTION("""COMPUTED_VALUE"""),"ਆਰਡਰ ਨੋਟੀਫਿਕੇਸ਼ਨ")</f>
        <v>ਆਰਡਰ ਨੋਟੀਫਿਕੇਸ਼ਨ</v>
      </c>
      <c r="L141" s="2" t="str">
        <f>IFERROR(__xludf.DUMMYFUNCTION("""COMPUTED_VALUE"""),"ஆர்டர் அறிவிப்பு")</f>
        <v>ஆர்டர் அறிவிப்பு</v>
      </c>
      <c r="M141" s="2" t="str">
        <f>IFERROR(__xludf.DUMMYFUNCTION("""COMPUTED_VALUE"""),"ఆర్డర్ నోటిఫికేషన్")</f>
        <v>ఆర్డర్ నోటిఫికేషన్</v>
      </c>
    </row>
    <row r="142">
      <c r="A142" s="2" t="str">
        <f>Master_en!A142</f>
        <v>items</v>
      </c>
      <c r="B142" s="2" t="str">
        <f>Master_en!B142</f>
        <v>Items</v>
      </c>
      <c r="C142" s="2" t="str">
        <f>IFERROR(__xludf.DUMMYFUNCTION("""COMPUTED_VALUE"""),"আইটেম")</f>
        <v>আইটেম</v>
      </c>
      <c r="D142" s="2" t="str">
        <f>IFERROR(__xludf.DUMMYFUNCTION("""COMPUTED_VALUE"""),"सामान")</f>
        <v>सामान</v>
      </c>
      <c r="E142" s="2" t="str">
        <f>IFERROR(__xludf.DUMMYFUNCTION("""COMPUTED_VALUE"""),"ವಸ್ತುಗಳು")</f>
        <v>ವಸ್ತುಗಳು</v>
      </c>
      <c r="F142" s="2" t="str">
        <f>IFERROR(__xludf.DUMMYFUNCTION("""COMPUTED_VALUE"""),"ବସ୍ତୁଗୁଡ଼ିକ")</f>
        <v>ବସ୍ତୁଗୁଡ଼ିକ</v>
      </c>
      <c r="G142" s="2" t="str">
        <f>IFERROR(__xludf.DUMMYFUNCTION("""COMPUTED_VALUE"""),"সামগ্ৰী")</f>
        <v>সামগ্ৰী</v>
      </c>
      <c r="H142" s="2" t="str">
        <f>IFERROR(__xludf.DUMMYFUNCTION("""COMPUTED_VALUE"""),"વસ્તુઓ")</f>
        <v>વસ્તુઓ</v>
      </c>
      <c r="I142" s="2" t="str">
        <f>IFERROR(__xludf.DUMMYFUNCTION("""COMPUTED_VALUE"""),"वस्तू")</f>
        <v>वस्तू</v>
      </c>
      <c r="J142" s="2" t="str">
        <f>IFERROR(__xludf.DUMMYFUNCTION("""COMPUTED_VALUE"""),"ഇനങ്ങൾ")</f>
        <v>ഇനങ്ങൾ</v>
      </c>
      <c r="K142" s="2" t="str">
        <f>IFERROR(__xludf.DUMMYFUNCTION("""COMPUTED_VALUE"""),"ਇਕਾਈ")</f>
        <v>ਇਕਾਈ</v>
      </c>
      <c r="L142" s="2" t="str">
        <f>IFERROR(__xludf.DUMMYFUNCTION("""COMPUTED_VALUE"""),"பொருட்கள்")</f>
        <v>பொருட்கள்</v>
      </c>
      <c r="M142" s="2" t="str">
        <f>IFERROR(__xludf.DUMMYFUNCTION("""COMPUTED_VALUE"""),"అంశాలు")</f>
        <v>అంశాలు</v>
      </c>
    </row>
    <row r="143">
      <c r="A143" s="2" t="str">
        <f>Master_en!A143</f>
        <v>shops</v>
      </c>
      <c r="B143" s="2" t="str">
        <f>Master_en!B143</f>
        <v>Shops</v>
      </c>
      <c r="C143" s="2" t="str">
        <f>IFERROR(__xludf.DUMMYFUNCTION("""COMPUTED_VALUE"""),"দোকান")</f>
        <v>দোকান</v>
      </c>
      <c r="D143" s="2" t="str">
        <f>IFERROR(__xludf.DUMMYFUNCTION("""COMPUTED_VALUE"""),"दुकानें")</f>
        <v>दुकानें</v>
      </c>
      <c r="E143" s="2" t="str">
        <f>IFERROR(__xludf.DUMMYFUNCTION("""COMPUTED_VALUE"""),"ಅಂಗಡಿಗಳು")</f>
        <v>ಅಂಗಡಿಗಳು</v>
      </c>
      <c r="F143" s="2" t="str">
        <f>IFERROR(__xludf.DUMMYFUNCTION("""COMPUTED_VALUE"""),"ଦୋକାନଗୁଡିକ")</f>
        <v>ଦୋକାନଗୁଡିକ</v>
      </c>
      <c r="G143" s="2" t="str">
        <f>IFERROR(__xludf.DUMMYFUNCTION("""COMPUTED_VALUE"""),"দোকানৰ")</f>
        <v>দোকানৰ</v>
      </c>
      <c r="H143" s="2" t="str">
        <f>IFERROR(__xludf.DUMMYFUNCTION("""COMPUTED_VALUE"""),"ચોપડી")</f>
        <v>ચોપડી</v>
      </c>
      <c r="I143" s="2" t="str">
        <f>IFERROR(__xludf.DUMMYFUNCTION("""COMPUTED_VALUE"""),"दुकाने")</f>
        <v>दुकाने</v>
      </c>
      <c r="J143" s="2" t="str">
        <f>IFERROR(__xludf.DUMMYFUNCTION("""COMPUTED_VALUE"""),"കടകൾ")</f>
        <v>കടകൾ</v>
      </c>
      <c r="K143" s="2" t="str">
        <f>IFERROR(__xludf.DUMMYFUNCTION("""COMPUTED_VALUE"""),"ਦੁਕਾਨਾਂ")</f>
        <v>ਦੁਕਾਨਾਂ</v>
      </c>
      <c r="L143" s="2" t="str">
        <f>IFERROR(__xludf.DUMMYFUNCTION("""COMPUTED_VALUE"""),"கடைகள்")</f>
        <v>கடைகள்</v>
      </c>
      <c r="M143" s="2" t="str">
        <f>IFERROR(__xludf.DUMMYFUNCTION("""COMPUTED_VALUE"""),"దుకాణాలు")</f>
        <v>దుకాణాలు</v>
      </c>
    </row>
    <row r="144">
      <c r="A144" s="2" t="str">
        <f>Master_en!A144</f>
        <v>allowLocation</v>
      </c>
      <c r="B144" s="2" t="str">
        <f>Master_en!B144</f>
        <v>Allow Location</v>
      </c>
      <c r="C144" s="2" t="str">
        <f>IFERROR(__xludf.DUMMYFUNCTION("""COMPUTED_VALUE"""),"অবস্থান অনুমতি দিন")</f>
        <v>অবস্থান অনুমতি দিন</v>
      </c>
      <c r="D144" s="2" t="str">
        <f>IFERROR(__xludf.DUMMYFUNCTION("""COMPUTED_VALUE"""),"स्थान की अनुमति दें")</f>
        <v>स्थान की अनुमति दें</v>
      </c>
      <c r="E144" s="2" t="str">
        <f>IFERROR(__xludf.DUMMYFUNCTION("""COMPUTED_VALUE"""),"ಸ್ಥಳವನ್ನು ಅನುಮತಿಸಿ")</f>
        <v>ಸ್ಥಳವನ್ನು ಅನುಮತಿಸಿ</v>
      </c>
      <c r="F144" s="2" t="str">
        <f>IFERROR(__xludf.DUMMYFUNCTION("""COMPUTED_VALUE"""),"ଅବସ୍ଥାନକୁ ଅନୁମତି ଦିଅନ୍ତୁ |")</f>
        <v>ଅବସ୍ଥାନକୁ ଅନୁମତି ଦିଅନ୍ତୁ |</v>
      </c>
      <c r="G144" s="2" t="str">
        <f>IFERROR(__xludf.DUMMYFUNCTION("""COMPUTED_VALUE"""),"অৱস্থানৰ অনুমতি দিয়ক")</f>
        <v>অৱস্থানৰ অনুমতি দিয়ক</v>
      </c>
      <c r="H144" s="2" t="str">
        <f>IFERROR(__xludf.DUMMYFUNCTION("""COMPUTED_VALUE"""),"સ્થાનને મંજૂરી આપો")</f>
        <v>સ્થાનને મંજૂરી આપો</v>
      </c>
      <c r="I144" s="2" t="str">
        <f>IFERROR(__xludf.DUMMYFUNCTION("""COMPUTED_VALUE"""),"स्थान परवानगी द्या")</f>
        <v>स्थान परवानगी द्या</v>
      </c>
      <c r="J144" s="2" t="str">
        <f>IFERROR(__xludf.DUMMYFUNCTION("""COMPUTED_VALUE"""),"ലൊക്കേഷൻ അനുവദിക്കുക")</f>
        <v>ലൊക്കേഷൻ അനുവദിക്കുക</v>
      </c>
      <c r="K144" s="2" t="str">
        <f>IFERROR(__xludf.DUMMYFUNCTION("""COMPUTED_VALUE"""),"ਸਥਾਨ ਦੀ ਆਗਿਆ ਦਿਓ")</f>
        <v>ਸਥਾਨ ਦੀ ਆਗਿਆ ਦਿਓ</v>
      </c>
      <c r="L144" s="2" t="str">
        <f>IFERROR(__xludf.DUMMYFUNCTION("""COMPUTED_VALUE"""),"இருப்பிடத்தை அனுமதிக்கவும்")</f>
        <v>இருப்பிடத்தை அனுமதிக்கவும்</v>
      </c>
      <c r="M144" s="2" t="str">
        <f>IFERROR(__xludf.DUMMYFUNCTION("""COMPUTED_VALUE"""),"స్థానాన్ని అనుమతించండి")</f>
        <v>స్థానాన్ని అనుమతించండి</v>
      </c>
    </row>
    <row r="145">
      <c r="A145" s="2" t="str">
        <f>Master_en!A145</f>
        <v>allowNotification</v>
      </c>
      <c r="B145" s="2" t="str">
        <f>Master_en!B145</f>
        <v>Allow Notification</v>
      </c>
      <c r="C145" s="2" t="str">
        <f>IFERROR(__xludf.DUMMYFUNCTION("""COMPUTED_VALUE"""),"বিজ্ঞপ্তি অনুমতি দিন")</f>
        <v>বিজ্ঞপ্তি অনুমতি দিন</v>
      </c>
      <c r="D145" s="2" t="str">
        <f>IFERROR(__xludf.DUMMYFUNCTION("""COMPUTED_VALUE"""),"अधिसूचना की अनुमति दें")</f>
        <v>अधिसूचना की अनुमति दें</v>
      </c>
      <c r="E145" s="2" t="str">
        <f>IFERROR(__xludf.DUMMYFUNCTION("""COMPUTED_VALUE"""),"ಅಧಿಸೂಚನೆಯನ್ನು ಅನುಮತಿಸಿ")</f>
        <v>ಅಧಿಸೂಚನೆಯನ್ನು ಅನುಮತಿಸಿ</v>
      </c>
      <c r="F145" s="2" t="str">
        <f>IFERROR(__xludf.DUMMYFUNCTION("""COMPUTED_VALUE"""),"ବିଜ୍ଞପ୍ତି ଅନୁମତି ଦିଅନ୍ତୁ |")</f>
        <v>ବିଜ୍ଞପ୍ତି ଅନୁମତି ଦିଅନ୍ତୁ |</v>
      </c>
      <c r="G145" s="2" t="str">
        <f>IFERROR(__xludf.DUMMYFUNCTION("""COMPUTED_VALUE"""),"জাননীৰ অনুমতি দিয়ক")</f>
        <v>জাননীৰ অনুমতি দিয়ক</v>
      </c>
      <c r="H145" s="2" t="str">
        <f>IFERROR(__xludf.DUMMYFUNCTION("""COMPUTED_VALUE"""),"સૂચના આપો")</f>
        <v>સૂચના આપો</v>
      </c>
      <c r="I145" s="2" t="str">
        <f>IFERROR(__xludf.DUMMYFUNCTION("""COMPUTED_VALUE"""),"सूचनेसाठी परवानगी द्या")</f>
        <v>सूचनेसाठी परवानगी द्या</v>
      </c>
      <c r="J145" s="2" t="str">
        <f>IFERROR(__xludf.DUMMYFUNCTION("""COMPUTED_VALUE"""),"അറിയിപ്പ് അനുവദിക്കുക")</f>
        <v>അറിയിപ്പ് അനുവദിക്കുക</v>
      </c>
      <c r="K145" s="2" t="str">
        <f>IFERROR(__xludf.DUMMYFUNCTION("""COMPUTED_VALUE"""),"ਨੋਟੀਫਿਕੇਸ਼ਨ ਦੀ ਆਗਿਆ ਦਿਓ")</f>
        <v>ਨੋਟੀਫਿਕੇਸ਼ਨ ਦੀ ਆਗਿਆ ਦਿਓ</v>
      </c>
      <c r="L145" s="2" t="str">
        <f>IFERROR(__xludf.DUMMYFUNCTION("""COMPUTED_VALUE"""),"அறிவிப்பை அனுமதிக்கவும்")</f>
        <v>அறிவிப்பை அனுமதிக்கவும்</v>
      </c>
      <c r="M145" s="2" t="str">
        <f>IFERROR(__xludf.DUMMYFUNCTION("""COMPUTED_VALUE"""),"నోటిఫికేషన్‌ను అనుమతించండి")</f>
        <v>నోటిఫికేషన్‌ను అనుమతించండి</v>
      </c>
    </row>
    <row r="146">
      <c r="A146" s="2" t="str">
        <f>Master_en!A146</f>
        <v>History</v>
      </c>
      <c r="B146" s="2" t="str">
        <f>Master_en!B146</f>
        <v>History</v>
      </c>
      <c r="C146" s="2" t="str">
        <f>IFERROR(__xludf.DUMMYFUNCTION("""COMPUTED_VALUE"""),"ফল নির্বাচন করুন")</f>
        <v>ফল নির্বাচন করুন</v>
      </c>
      <c r="D146" s="2" t="str">
        <f>IFERROR(__xludf.DUMMYFUNCTION("""COMPUTED_VALUE"""),"इतिहास")</f>
        <v>इतिहास</v>
      </c>
      <c r="E146" s="2" t="str">
        <f>IFERROR(__xludf.DUMMYFUNCTION("""COMPUTED_VALUE"""),"ಇತಿಹಾಸ")</f>
        <v>ಇತಿಹಾಸ</v>
      </c>
      <c r="F146" s="2" t="str">
        <f>IFERROR(__xludf.DUMMYFUNCTION("""COMPUTED_VALUE"""),"ଇତିହାସ")</f>
        <v>ଇତିହାସ</v>
      </c>
      <c r="G146" s="2" t="str">
        <f>IFERROR(__xludf.DUMMYFUNCTION("""COMPUTED_VALUE"""),"ইতিহাস")</f>
        <v>ইতিহাস</v>
      </c>
      <c r="H146" s="2" t="str">
        <f>IFERROR(__xludf.DUMMYFUNCTION("""COMPUTED_VALUE"""),"ઇતિહાસ")</f>
        <v>ઇતિહાસ</v>
      </c>
      <c r="I146" s="2" t="str">
        <f>IFERROR(__xludf.DUMMYFUNCTION("""COMPUTED_VALUE"""),"इतिहास")</f>
        <v>इतिहास</v>
      </c>
      <c r="J146" s="2" t="str">
        <f>IFERROR(__xludf.DUMMYFUNCTION("""COMPUTED_VALUE"""),"ചരിതം")</f>
        <v>ചരിതം</v>
      </c>
      <c r="K146" s="2" t="str">
        <f>IFERROR(__xludf.DUMMYFUNCTION("""COMPUTED_VALUE"""),"ਇਤਿਹਾਸ")</f>
        <v>ਇਤਿਹਾਸ</v>
      </c>
      <c r="L146" s="2" t="str">
        <f>IFERROR(__xludf.DUMMYFUNCTION("""COMPUTED_VALUE"""),"வரலாறு")</f>
        <v>வரலாறு</v>
      </c>
      <c r="M146" s="2" t="str">
        <f>IFERROR(__xludf.DUMMYFUNCTION("""COMPUTED_VALUE"""),"చరిత్ర")</f>
        <v>చరిత్ర</v>
      </c>
    </row>
    <row r="147">
      <c r="A147" s="2" t="str">
        <f>Master_en!A147</f>
        <v>homeWork</v>
      </c>
      <c r="B147" s="2" t="str">
        <f>Master_en!B147</f>
        <v>Home Work</v>
      </c>
      <c r="C147" s="2" t="str">
        <f>IFERROR(__xludf.DUMMYFUNCTION("""COMPUTED_VALUE"""),"বাড়ির কাজ")</f>
        <v>বাড়ির কাজ</v>
      </c>
      <c r="D147" s="2" t="str">
        <f>IFERROR(__xludf.DUMMYFUNCTION("""COMPUTED_VALUE"""),"गृहकार्य")</f>
        <v>गृहकार्य</v>
      </c>
      <c r="E147" s="2" t="str">
        <f>IFERROR(__xludf.DUMMYFUNCTION("""COMPUTED_VALUE"""),"ಮನೆಕೆಲಸ")</f>
        <v>ಮನೆಕೆಲಸ</v>
      </c>
      <c r="F147" s="2" t="str">
        <f>IFERROR(__xludf.DUMMYFUNCTION("""COMPUTED_VALUE"""),"ଗୃହ କାର୍ଯ୍ୟ")</f>
        <v>ଗୃହ କାର୍ଯ୍ୟ</v>
      </c>
      <c r="G147" s="2" t="str">
        <f>IFERROR(__xludf.DUMMYFUNCTION("""COMPUTED_VALUE"""),"ঘৰত কৰা কাম")</f>
        <v>ঘৰত কৰা কাম</v>
      </c>
      <c r="H147" s="2" t="str">
        <f>IFERROR(__xludf.DUMMYFUNCTION("""COMPUTED_VALUE"""),"ગૃહ કાર્ય")</f>
        <v>ગૃહ કાર્ય</v>
      </c>
      <c r="I147" s="2" t="str">
        <f>IFERROR(__xludf.DUMMYFUNCTION("""COMPUTED_VALUE"""),"गृहपाठ")</f>
        <v>गृहपाठ</v>
      </c>
      <c r="J147" s="2" t="str">
        <f>IFERROR(__xludf.DUMMYFUNCTION("""COMPUTED_VALUE"""),"ഹോം വർക്ക്")</f>
        <v>ഹോം വർക്ക്</v>
      </c>
      <c r="K147" s="2" t="str">
        <f>IFERROR(__xludf.DUMMYFUNCTION("""COMPUTED_VALUE"""),"ਘਰ ਦਾ ਕੰਮ")</f>
        <v>ਘਰ ਦਾ ਕੰਮ</v>
      </c>
      <c r="L147" s="2" t="str">
        <f>IFERROR(__xludf.DUMMYFUNCTION("""COMPUTED_VALUE"""),"வீட்டு பாடம்")</f>
        <v>வீட்டு பாடம்</v>
      </c>
      <c r="M147" s="2" t="str">
        <f>IFERROR(__xludf.DUMMYFUNCTION("""COMPUTED_VALUE"""),"ఇంటి పని")</f>
        <v>ఇంటి పని</v>
      </c>
    </row>
    <row r="148">
      <c r="A148" s="2" t="str">
        <f>Master_en!A148</f>
        <v>addNewAddress</v>
      </c>
      <c r="B148" s="2" t="str">
        <f>Master_en!B148</f>
        <v>Add New Address</v>
      </c>
      <c r="C148" s="2" t="str">
        <f>IFERROR(__xludf.DUMMYFUNCTION("""COMPUTED_VALUE"""),"নতুন ঠিকানা যোগ করুন")</f>
        <v>নতুন ঠিকানা যোগ করুন</v>
      </c>
      <c r="D148" s="2" t="str">
        <f>IFERROR(__xludf.DUMMYFUNCTION("""COMPUTED_VALUE"""),"नया पता जोड़ें")</f>
        <v>नया पता जोड़ें</v>
      </c>
      <c r="E148" s="2" t="str">
        <f>IFERROR(__xludf.DUMMYFUNCTION("""COMPUTED_VALUE"""),"ಹೊಸ ವಿಳಾಸವನ್ನು ಸೇರಿಸಿ")</f>
        <v>ಹೊಸ ವಿಳಾಸವನ್ನು ಸೇರಿಸಿ</v>
      </c>
      <c r="F148" s="2" t="str">
        <f>IFERROR(__xludf.DUMMYFUNCTION("""COMPUTED_VALUE"""),"ନୂତନ ଠିକଣା ଯୋଡନ୍ତୁ |")</f>
        <v>ନୂତନ ଠିକଣା ଯୋଡନ୍ତୁ |</v>
      </c>
      <c r="G148" s="2" t="str">
        <f>IFERROR(__xludf.DUMMYFUNCTION("""COMPUTED_VALUE"""),"নতুন ঠিকনা যোগ কৰক")</f>
        <v>নতুন ঠিকনা যোগ কৰক</v>
      </c>
      <c r="H148" s="2" t="str">
        <f>IFERROR(__xludf.DUMMYFUNCTION("""COMPUTED_VALUE"""),"નવું સરનામું ઉમેરો")</f>
        <v>નવું સરનામું ઉમેરો</v>
      </c>
      <c r="I148" s="2" t="str">
        <f>IFERROR(__xludf.DUMMYFUNCTION("""COMPUTED_VALUE"""),"नवीन पत्ता जोडा")</f>
        <v>नवीन पत्ता जोडा</v>
      </c>
      <c r="J148" s="2" t="str">
        <f>IFERROR(__xludf.DUMMYFUNCTION("""COMPUTED_VALUE"""),"പുതിയ വിലാസം ചേർക്കുക")</f>
        <v>പുതിയ വിലാസം ചേർക്കുക</v>
      </c>
      <c r="K148" s="2" t="str">
        <f>IFERROR(__xludf.DUMMYFUNCTION("""COMPUTED_VALUE"""),"ਨਵਾਂ ਪਤਾ ਸ਼ਾਮਲ ਕਰੋ")</f>
        <v>ਨਵਾਂ ਪਤਾ ਸ਼ਾਮਲ ਕਰੋ</v>
      </c>
      <c r="L148" s="2" t="str">
        <f>IFERROR(__xludf.DUMMYFUNCTION("""COMPUTED_VALUE"""),"புதிய முகவரியைச் சேர்க்கவும்")</f>
        <v>புதிய முகவரியைச் சேர்க்கவும்</v>
      </c>
      <c r="M148" s="2" t="str">
        <f>IFERROR(__xludf.DUMMYFUNCTION("""COMPUTED_VALUE"""),"క్రొత్త చిరునామాను జోడించండి")</f>
        <v>క్రొత్త చిరునామాను జోడించండి</v>
      </c>
    </row>
    <row r="149">
      <c r="A149" s="2" t="str">
        <f>Master_en!A149</f>
        <v>landMark</v>
      </c>
      <c r="B149" s="2" t="str">
        <f>Master_en!B149</f>
        <v>Landmark</v>
      </c>
      <c r="C149" s="2" t="str">
        <f>IFERROR(__xludf.DUMMYFUNCTION("""COMPUTED_VALUE"""),"ল্যান্ডমার্ক")</f>
        <v>ল্যান্ডমার্ক</v>
      </c>
      <c r="D149" s="2" t="str">
        <f>IFERROR(__xludf.DUMMYFUNCTION("""COMPUTED_VALUE"""),"सीमाचिह्न")</f>
        <v>सीमाचिह्न</v>
      </c>
      <c r="E149" s="2" t="str">
        <f>IFERROR(__xludf.DUMMYFUNCTION("""COMPUTED_VALUE"""),"ಹೆಗ್ಗುರುತು")</f>
        <v>ಹೆಗ್ಗುರುತು</v>
      </c>
      <c r="F149" s="2" t="str">
        <f>IFERROR(__xludf.DUMMYFUNCTION("""COMPUTED_VALUE"""),"ଚିହ୍ନ ଚିହ୍ନ")</f>
        <v>ଚିହ୍ନ ଚିହ୍ନ</v>
      </c>
      <c r="G149" s="2" t="str">
        <f>IFERROR(__xludf.DUMMYFUNCTION("""COMPUTED_VALUE"""),"লেণ্ড মাৰ্ক")</f>
        <v>লেণ্ড মাৰ্ক</v>
      </c>
      <c r="H149" s="2" t="str">
        <f>IFERROR(__xludf.DUMMYFUNCTION("""COMPUTED_VALUE"""),"સીમાચિહ્ન")</f>
        <v>સીમાચિહ્ન</v>
      </c>
      <c r="I149" s="2" t="str">
        <f>IFERROR(__xludf.DUMMYFUNCTION("""COMPUTED_VALUE"""),"लॅंडमार्क")</f>
        <v>लॅंडमार्क</v>
      </c>
      <c r="J149" s="2" t="str">
        <f>IFERROR(__xludf.DUMMYFUNCTION("""COMPUTED_VALUE"""),"ചരിതസംഭവം")</f>
        <v>ചരിതസംഭവം</v>
      </c>
      <c r="K149" s="2" t="str">
        <f>IFERROR(__xludf.DUMMYFUNCTION("""COMPUTED_VALUE"""),"ਭੂਮੀਮਾਰਕ")</f>
        <v>ਭੂਮੀਮਾਰਕ</v>
      </c>
      <c r="L149" s="2" t="str">
        <f>IFERROR(__xludf.DUMMYFUNCTION("""COMPUTED_VALUE"""),"மைல்கல்")</f>
        <v>மைல்கல்</v>
      </c>
      <c r="M149" s="2" t="str">
        <f>IFERROR(__xludf.DUMMYFUNCTION("""COMPUTED_VALUE"""),"సరిహద్దు గుర్తు")</f>
        <v>సరిహద్దు గుర్తు</v>
      </c>
    </row>
    <row r="150">
      <c r="A150" s="2" t="str">
        <f>Master_en!A150</f>
        <v>saveAndProceed</v>
      </c>
      <c r="B150" s="2" t="str">
        <f>Master_en!B150</f>
        <v>Save and Proceed</v>
      </c>
      <c r="C150" s="2" t="str">
        <f>IFERROR(__xludf.DUMMYFUNCTION("""COMPUTED_VALUE"""),"সংরক্ষণ এবং এগিয়ে যান")</f>
        <v>সংরক্ষণ এবং এগিয়ে যান</v>
      </c>
      <c r="D150" s="2" t="str">
        <f>IFERROR(__xludf.DUMMYFUNCTION("""COMPUTED_VALUE"""),"सहेजें और आगे बढ़ें")</f>
        <v>सहेजें और आगे बढ़ें</v>
      </c>
      <c r="E150" s="2" t="str">
        <f>IFERROR(__xludf.DUMMYFUNCTION("""COMPUTED_VALUE"""),"ಉಳಿಸಿ ಮತ್ತು ಮುಂದುವರಿಯಿರಿ")</f>
        <v>ಉಳಿಸಿ ಮತ್ತು ಮುಂದುವರಿಯಿರಿ</v>
      </c>
      <c r="F150" s="2" t="str">
        <f>IFERROR(__xludf.DUMMYFUNCTION("""COMPUTED_VALUE"""),"ସଞ୍ଚୟ କର ଏବଂ ଅଗ୍ରଗତି କର |")</f>
        <v>ସଞ୍ଚୟ କର ଏବଂ ଅଗ୍ରଗତି କର |</v>
      </c>
      <c r="G150" s="2" t="str">
        <f>IFERROR(__xludf.DUMMYFUNCTION("""COMPUTED_VALUE"""),"সংৰক্ষণ কৰক আৰু আগবাঢ়ি যাওক")</f>
        <v>সংৰক্ষণ কৰক আৰু আগবাঢ়ি যাওক</v>
      </c>
      <c r="H150" s="2" t="str">
        <f>IFERROR(__xludf.DUMMYFUNCTION("""COMPUTED_VALUE"""),"સાચવો અને આગળ વધો")</f>
        <v>સાચવો અને આગળ વધો</v>
      </c>
      <c r="I150" s="2" t="str">
        <f>IFERROR(__xludf.DUMMYFUNCTION("""COMPUTED_VALUE"""),"जतन करा आणि पुढे जा")</f>
        <v>जतन करा आणि पुढे जा</v>
      </c>
      <c r="J150" s="2" t="str">
        <f>IFERROR(__xludf.DUMMYFUNCTION("""COMPUTED_VALUE"""),"സംരക്ഷിച്ച് തുടരുക")</f>
        <v>സംരക്ഷിച്ച് തുടരുക</v>
      </c>
      <c r="K150" s="2" t="str">
        <f>IFERROR(__xludf.DUMMYFUNCTION("""COMPUTED_VALUE"""),"ਸੇਵ ਅਤੇ ਅੱਗੇ ਵਧੋ")</f>
        <v>ਸੇਵ ਅਤੇ ਅੱਗੇ ਵਧੋ</v>
      </c>
      <c r="L150" s="2" t="str">
        <f>IFERROR(__xludf.DUMMYFUNCTION("""COMPUTED_VALUE"""),"சேமித்து தொடரவும்")</f>
        <v>சேமித்து தொடரவும்</v>
      </c>
      <c r="M150" s="2" t="str">
        <f>IFERROR(__xludf.DUMMYFUNCTION("""COMPUTED_VALUE"""),"సేవ్ చేసి కొనసాగండి")</f>
        <v>సేవ్ చేసి కొనసాగండి</v>
      </c>
    </row>
    <row r="151">
      <c r="A151" s="2" t="str">
        <f>Master_en!A151</f>
        <v>termsAndConditions</v>
      </c>
      <c r="B151" s="2" t="str">
        <f>Master_en!B151</f>
        <v>Terms and Conditions </v>
      </c>
      <c r="C151" s="2" t="str">
        <f>IFERROR(__xludf.DUMMYFUNCTION("""COMPUTED_VALUE"""),"শর্তাবলী")</f>
        <v>শর্তাবলী</v>
      </c>
      <c r="D151" s="2" t="str">
        <f>IFERROR(__xludf.DUMMYFUNCTION("""COMPUTED_VALUE"""),"नियम और शर्तें")</f>
        <v>नियम और शर्तें</v>
      </c>
      <c r="E151" s="2" t="str">
        <f>IFERROR(__xludf.DUMMYFUNCTION("""COMPUTED_VALUE"""),"ನಿಯಮಗಳು ಮತ್ತು ಷರತ್ತುಗಳು")</f>
        <v>ನಿಯಮಗಳು ಮತ್ತು ಷರತ್ತುಗಳು</v>
      </c>
      <c r="F151" s="2" t="str">
        <f>IFERROR(__xludf.DUMMYFUNCTION("""COMPUTED_VALUE"""),"ସର୍ତ୍ତାବଳୀ")</f>
        <v>ସର୍ତ୍ତାବଳୀ</v>
      </c>
      <c r="G151" s="2" t="str">
        <f>IFERROR(__xludf.DUMMYFUNCTION("""COMPUTED_VALUE"""),"চৰ্ত আৰু নিয়মসমূহ")</f>
        <v>চৰ্ত আৰু নিয়মসমূহ</v>
      </c>
      <c r="H151" s="2" t="str">
        <f>IFERROR(__xludf.DUMMYFUNCTION("""COMPUTED_VALUE"""),"નિયમો અને શરતો")</f>
        <v>નિયમો અને શરતો</v>
      </c>
      <c r="I151" s="2" t="str">
        <f>IFERROR(__xludf.DUMMYFUNCTION("""COMPUTED_VALUE"""),"नियम आणि अटी")</f>
        <v>नियम आणि अटी</v>
      </c>
      <c r="J151" s="2" t="str">
        <f>IFERROR(__xludf.DUMMYFUNCTION("""COMPUTED_VALUE"""),"ഉപാധികളും നിബന്ധനകളും")</f>
        <v>ഉപാധികളും നിബന്ധനകളും</v>
      </c>
      <c r="K151" s="2" t="str">
        <f>IFERROR(__xludf.DUMMYFUNCTION("""COMPUTED_VALUE"""),"ਨਿਬੰਧਨ ਅਤੇ ਸ਼ਰਤਾਂ")</f>
        <v>ਨਿਬੰਧਨ ਅਤੇ ਸ਼ਰਤਾਂ</v>
      </c>
      <c r="L151" s="2" t="str">
        <f>IFERROR(__xludf.DUMMYFUNCTION("""COMPUTED_VALUE"""),"விதிமுறைகள் மற்றும் நிபந்தனைகள்")</f>
        <v>விதிமுறைகள் மற்றும் நிபந்தனைகள்</v>
      </c>
      <c r="M151" s="2" t="str">
        <f>IFERROR(__xludf.DUMMYFUNCTION("""COMPUTED_VALUE"""),"నిబంధనలు మరియు షరతులు")</f>
        <v>నిబంధనలు మరియు షరతులు</v>
      </c>
    </row>
    <row r="152">
      <c r="A152" s="2" t="str">
        <f>Master_en!A152</f>
        <v>faqs</v>
      </c>
      <c r="B152" s="2" t="str">
        <f>Master_en!B152</f>
        <v>FAQs</v>
      </c>
      <c r="C152" s="2" t="str">
        <f>IFERROR(__xludf.DUMMYFUNCTION("""COMPUTED_VALUE"""),"FAQS")</f>
        <v>FAQS</v>
      </c>
      <c r="D152" s="2" t="str">
        <f>IFERROR(__xludf.DUMMYFUNCTION("""COMPUTED_VALUE"""),"पूछे जाने वाले प्रश्न")</f>
        <v>पूछे जाने वाले प्रश्न</v>
      </c>
      <c r="E152" s="2" t="str">
        <f>IFERROR(__xludf.DUMMYFUNCTION("""COMPUTED_VALUE"""),"FAQ ಗಳು")</f>
        <v>FAQ ಗಳು</v>
      </c>
      <c r="F152" s="2" t="str">
        <f>IFERROR(__xludf.DUMMYFUNCTION("""COMPUTED_VALUE"""),"FAQs")</f>
        <v>FAQs</v>
      </c>
      <c r="G152" s="2" t="str">
        <f>IFERROR(__xludf.DUMMYFUNCTION("""COMPUTED_VALUE"""),"FAQs")</f>
        <v>FAQs</v>
      </c>
      <c r="H152" s="2" t="str">
        <f>IFERROR(__xludf.DUMMYFUNCTION("""COMPUTED_VALUE"""),"વારંવાર પૂછાતા પ્રશ્નો")</f>
        <v>વારંવાર પૂછાતા પ્રશ્નો</v>
      </c>
      <c r="I152" s="2" t="str">
        <f>IFERROR(__xludf.DUMMYFUNCTION("""COMPUTED_VALUE"""),"सतत विचारले जाणारे प्रश्न")</f>
        <v>सतत विचारले जाणारे प्रश्न</v>
      </c>
      <c r="J152" s="2" t="str">
        <f>IFERROR(__xludf.DUMMYFUNCTION("""COMPUTED_VALUE"""),"പതിവുചോദ്യങ്ങൾ")</f>
        <v>പതിവുചോദ്യങ്ങൾ</v>
      </c>
      <c r="K152" s="2" t="str">
        <f>IFERROR(__xludf.DUMMYFUNCTION("""COMPUTED_VALUE"""),"ਅਕਸਰ ਪੁੱਛੇ ਜਾਂਦੇ ਸਵਾਲ")</f>
        <v>ਅਕਸਰ ਪੁੱਛੇ ਜਾਂਦੇ ਸਵਾਲ</v>
      </c>
      <c r="L152" s="2" t="str">
        <f>IFERROR(__xludf.DUMMYFUNCTION("""COMPUTED_VALUE"""),"கேள்விகள்")</f>
        <v>கேள்விகள்</v>
      </c>
      <c r="M152" s="2" t="str">
        <f>IFERROR(__xludf.DUMMYFUNCTION("""COMPUTED_VALUE"""),"తరచుగా అడిగే ప్రశ్నలు")</f>
        <v>తరచుగా అడిగే ప్రశ్నలు</v>
      </c>
    </row>
    <row r="153">
      <c r="A153" s="2" t="str">
        <f>Master_en!A153</f>
        <v>privacyPolicy</v>
      </c>
      <c r="B153" s="2" t="str">
        <f>Master_en!B153</f>
        <v>Privacy Policy </v>
      </c>
      <c r="C153" s="2" t="str">
        <f>IFERROR(__xludf.DUMMYFUNCTION("""COMPUTED_VALUE"""),"গোপনীয়তা নীতি")</f>
        <v>গোপনীয়তা নীতি</v>
      </c>
      <c r="D153" s="2" t="str">
        <f>IFERROR(__xludf.DUMMYFUNCTION("""COMPUTED_VALUE"""),"गोपनीयता नीति")</f>
        <v>गोपनीयता नीति</v>
      </c>
      <c r="E153" s="2" t="str">
        <f>IFERROR(__xludf.DUMMYFUNCTION("""COMPUTED_VALUE"""),"ಗೌಪ್ಯತಾ ನೀತಿ")</f>
        <v>ಗೌಪ್ಯತಾ ನೀತಿ</v>
      </c>
      <c r="F153" s="2" t="str">
        <f>IFERROR(__xludf.DUMMYFUNCTION("""COMPUTED_VALUE"""),"ଗୋପନୀୟତା ନୀତି")</f>
        <v>ଗୋପନୀୟତା ନୀତି</v>
      </c>
      <c r="G153" s="2" t="str">
        <f>IFERROR(__xludf.DUMMYFUNCTION("""COMPUTED_VALUE"""),"গোপনীয়তা নীতি")</f>
        <v>গোপনীয়তা নীতি</v>
      </c>
      <c r="H153" s="2" t="str">
        <f>IFERROR(__xludf.DUMMYFUNCTION("""COMPUTED_VALUE"""),"ગોપનીયતા નીતિ")</f>
        <v>ગોપનીયતા નીતિ</v>
      </c>
      <c r="I153" s="2" t="str">
        <f>IFERROR(__xludf.DUMMYFUNCTION("""COMPUTED_VALUE"""),"गोपनीयता धोरण")</f>
        <v>गोपनीयता धोरण</v>
      </c>
      <c r="J153" s="2" t="str">
        <f>IFERROR(__xludf.DUMMYFUNCTION("""COMPUTED_VALUE"""),"സ്വകാര്യതാ നയം")</f>
        <v>സ്വകാര്യതാ നയം</v>
      </c>
      <c r="K153" s="2" t="str">
        <f>IFERROR(__xludf.DUMMYFUNCTION("""COMPUTED_VALUE"""),"ਪਰਾਈਵੇਟ ਨੀਤੀ")</f>
        <v>ਪਰਾਈਵੇਟ ਨੀਤੀ</v>
      </c>
      <c r="L153" s="2" t="str">
        <f>IFERROR(__xludf.DUMMYFUNCTION("""COMPUTED_VALUE"""),"தனியுரிமைக் கொள்கை")</f>
        <v>தனியுரிமைக் கொள்கை</v>
      </c>
      <c r="M153" s="2" t="str">
        <f>IFERROR(__xludf.DUMMYFUNCTION("""COMPUTED_VALUE"""),"గోప్యతా విధానం")</f>
        <v>గోప్యతా విధానం</v>
      </c>
    </row>
    <row r="154">
      <c r="A154" s="2" t="str">
        <f>Master_en!A154</f>
        <v>contactUs</v>
      </c>
      <c r="B154" s="2" t="str">
        <f>Master_en!B154</f>
        <v>Contact Us</v>
      </c>
      <c r="C154" s="2" t="str">
        <f>IFERROR(__xludf.DUMMYFUNCTION("""COMPUTED_VALUE"""),"যোগাযোগ করুন")</f>
        <v>যোগাযোগ করুন</v>
      </c>
      <c r="D154" s="2" t="str">
        <f>IFERROR(__xludf.DUMMYFUNCTION("""COMPUTED_VALUE"""),"संपर्क करें")</f>
        <v>संपर्क करें</v>
      </c>
      <c r="E154" s="2" t="str">
        <f>IFERROR(__xludf.DUMMYFUNCTION("""COMPUTED_VALUE"""),"ನಮ್ಮನ್ನು ಸಂಪರ್ಕಿಸಿ")</f>
        <v>ನಮ್ಮನ್ನು ಸಂಪರ್ಕಿಸಿ</v>
      </c>
      <c r="F154" s="2" t="str">
        <f>IFERROR(__xludf.DUMMYFUNCTION("""COMPUTED_VALUE"""),"ଆମ ସହିତ ଯୋଗାଯୋଗ କରନ୍ତୁ |")</f>
        <v>ଆମ ସହିତ ଯୋଗାଯୋଗ କରନ୍ତୁ |</v>
      </c>
      <c r="G154" s="2" t="str">
        <f>IFERROR(__xludf.DUMMYFUNCTION("""COMPUTED_VALUE"""),"আমাৰ সৈতে যোগাযোগ কৰক")</f>
        <v>আমাৰ সৈতে যোগাযোগ কৰক</v>
      </c>
      <c r="H154" s="2" t="str">
        <f>IFERROR(__xludf.DUMMYFUNCTION("""COMPUTED_VALUE"""),"અમારો સંપર્ક કરો")</f>
        <v>અમારો સંપર્ક કરો</v>
      </c>
      <c r="I154" s="2" t="str">
        <f>IFERROR(__xludf.DUMMYFUNCTION("""COMPUTED_VALUE"""),"आमच्याशी संपर्क साधा")</f>
        <v>आमच्याशी संपर्क साधा</v>
      </c>
      <c r="J154" s="2" t="str">
        <f>IFERROR(__xludf.DUMMYFUNCTION("""COMPUTED_VALUE"""),"ഞങ്ങളെ സമീപിക്കുക")</f>
        <v>ഞങ്ങളെ സമീപിക്കുക</v>
      </c>
      <c r="K154" s="2" t="str">
        <f>IFERROR(__xludf.DUMMYFUNCTION("""COMPUTED_VALUE"""),"ਸਾਡੇ ਨਾਲ ਸੰਪਰਕ ਕਰੋ")</f>
        <v>ਸਾਡੇ ਨਾਲ ਸੰਪਰਕ ਕਰੋ</v>
      </c>
      <c r="L154" s="2" t="str">
        <f>IFERROR(__xludf.DUMMYFUNCTION("""COMPUTED_VALUE"""),"எங்களை தொடர்பு கொள்ள")</f>
        <v>எங்களை தொடர்பு கொள்ள</v>
      </c>
      <c r="M154" s="2" t="str">
        <f>IFERROR(__xludf.DUMMYFUNCTION("""COMPUTED_VALUE"""),"మమ్మల్ని సంప్రదించండి")</f>
        <v>మమ్మల్ని సంప్రదించండి</v>
      </c>
    </row>
    <row r="155">
      <c r="A155" s="2" t="str">
        <f>Master_en!A155</f>
        <v>customerCare</v>
      </c>
      <c r="B155" s="2" t="str">
        <f>Master_en!B155</f>
        <v>Customer Care</v>
      </c>
      <c r="C155" s="2" t="str">
        <f>IFERROR(__xludf.DUMMYFUNCTION("""COMPUTED_VALUE"""),"গ্রাহক সেবা")</f>
        <v>গ্রাহক সেবা</v>
      </c>
      <c r="D155" s="2" t="str">
        <f>IFERROR(__xludf.DUMMYFUNCTION("""COMPUTED_VALUE"""),"ग्राहक देखभाल")</f>
        <v>ग्राहक देखभाल</v>
      </c>
      <c r="E155" s="2" t="str">
        <f>IFERROR(__xludf.DUMMYFUNCTION("""COMPUTED_VALUE"""),"ಗ್ರಾಹಕ ಆರೈಕೆ")</f>
        <v>ಗ್ರಾಹಕ ಆರೈಕೆ</v>
      </c>
      <c r="F155" s="2" t="str">
        <f>IFERROR(__xludf.DUMMYFUNCTION("""COMPUTED_VALUE"""),"ଗ୍ରାହକ ସେବା")</f>
        <v>ଗ୍ରାହକ ସେବା</v>
      </c>
      <c r="G155" s="2" t="str">
        <f>IFERROR(__xludf.DUMMYFUNCTION("""COMPUTED_VALUE"""),"গ্ৰাহক সেৱা")</f>
        <v>গ্ৰাহক সেৱা</v>
      </c>
      <c r="H155" s="2" t="str">
        <f>IFERROR(__xludf.DUMMYFUNCTION("""COMPUTED_VALUE"""),"કસ્ટમર કેર")</f>
        <v>કસ્ટમર કેર</v>
      </c>
      <c r="I155" s="2" t="str">
        <f>IFERROR(__xludf.DUMMYFUNCTION("""COMPUTED_VALUE"""),"ग्राहक सेवा")</f>
        <v>ग्राहक सेवा</v>
      </c>
      <c r="J155" s="2" t="str">
        <f>IFERROR(__xludf.DUMMYFUNCTION("""COMPUTED_VALUE"""),"കസ്റ്റമർ കെയർ")</f>
        <v>കസ്റ്റമർ കെയർ</v>
      </c>
      <c r="K155" s="2" t="str">
        <f>IFERROR(__xludf.DUMMYFUNCTION("""COMPUTED_VALUE"""),"ਗ੍ਰਾਹਕ ਸੇਵਾ")</f>
        <v>ਗ੍ਰਾਹਕ ਸੇਵਾ</v>
      </c>
      <c r="L155" s="2" t="str">
        <f>IFERROR(__xludf.DUMMYFUNCTION("""COMPUTED_VALUE"""),"வாடிக்கையாளர் சேவை")</f>
        <v>வாடிக்கையாளர் சேவை</v>
      </c>
      <c r="M155" s="2" t="str">
        <f>IFERROR(__xludf.DUMMYFUNCTION("""COMPUTED_VALUE"""),"వినియోగదారుల సహాయ కేంద్రం")</f>
        <v>వినియోగదారుల సహాయ కేంద్రం</v>
      </c>
    </row>
    <row r="156">
      <c r="A156" s="2" t="str">
        <f>Master_en!A156</f>
        <v>customerCareNumber</v>
      </c>
      <c r="B156" s="2" t="str">
        <f>Master_en!B156</f>
        <v>Customer Care Number </v>
      </c>
      <c r="C156" s="2" t="str">
        <f>IFERROR(__xludf.DUMMYFUNCTION("""COMPUTED_VALUE"""),"গ্রাহক যত্ন নম্বর")</f>
        <v>গ্রাহক যত্ন নম্বর</v>
      </c>
      <c r="D156" s="2" t="str">
        <f>IFERROR(__xludf.DUMMYFUNCTION("""COMPUTED_VALUE"""),"ग्राहक देखभाल संख्या")</f>
        <v>ग्राहक देखभाल संख्या</v>
      </c>
      <c r="E156" s="2" t="str">
        <f>IFERROR(__xludf.DUMMYFUNCTION("""COMPUTED_VALUE"""),"ಗ್ರಾಹಕ ಆರೈಕೆ ಸಂಖ್ಯೆ")</f>
        <v>ಗ್ರಾಹಕ ಆರೈಕೆ ಸಂಖ್ಯೆ</v>
      </c>
      <c r="F156" s="2" t="str">
        <f>IFERROR(__xludf.DUMMYFUNCTION("""COMPUTED_VALUE"""),"ଗ୍ରାହକ ସେବା ସଂଖ୍ୟା |")</f>
        <v>ଗ୍ରାହକ ସେବା ସଂଖ୍ୟା |</v>
      </c>
      <c r="G156" s="2" t="str">
        <f>IFERROR(__xludf.DUMMYFUNCTION("""COMPUTED_VALUE"""),"গ্ৰাহক সেৱা নম্বৰ")</f>
        <v>গ্ৰাহক সেৱা নম্বৰ</v>
      </c>
      <c r="H156" s="2" t="str">
        <f>IFERROR(__xludf.DUMMYFUNCTION("""COMPUTED_VALUE"""),"કસ્ટમર કેર નંબર")</f>
        <v>કસ્ટમર કેર નંબર</v>
      </c>
      <c r="I156" s="2" t="str">
        <f>IFERROR(__xludf.DUMMYFUNCTION("""COMPUTED_VALUE"""),"ग्राहक सेवा क्रमांक")</f>
        <v>ग्राहक सेवा क्रमांक</v>
      </c>
      <c r="J156" s="2" t="str">
        <f>IFERROR(__xludf.DUMMYFUNCTION("""COMPUTED_VALUE"""),"കസ്റ്റമർ കെയർ നമ്പർ")</f>
        <v>കസ്റ്റമർ കെയർ നമ്പർ</v>
      </c>
      <c r="K156" s="2" t="str">
        <f>IFERROR(__xludf.DUMMYFUNCTION("""COMPUTED_VALUE"""),"ਗਾਹਕ ਕੇਅਰ ਨੰਬਰ")</f>
        <v>ਗਾਹਕ ਕੇਅਰ ਨੰਬਰ</v>
      </c>
      <c r="L156" s="2" t="str">
        <f>IFERROR(__xludf.DUMMYFUNCTION("""COMPUTED_VALUE"""),"வாடிக்கையாளர் பராமரிப்பு எண்")</f>
        <v>வாடிக்கையாளர் பராமரிப்பு எண்</v>
      </c>
      <c r="M156" s="2" t="str">
        <f>IFERROR(__xludf.DUMMYFUNCTION("""COMPUTED_VALUE"""),"వినియోగదారుల సహాయ కేంద్రం సంఖ్య")</f>
        <v>వినియోగదారుల సహాయ కేంద్రం సంఖ్య</v>
      </c>
    </row>
    <row r="157">
      <c r="A157" s="2" t="str">
        <f>Master_en!A157</f>
        <v>yes</v>
      </c>
      <c r="B157" s="2" t="str">
        <f>Master_en!B157</f>
        <v>Yes</v>
      </c>
      <c r="C157" s="2" t="str">
        <f>IFERROR(__xludf.DUMMYFUNCTION("""COMPUTED_VALUE"""),"হ্যাঁ")</f>
        <v>হ্যাঁ</v>
      </c>
      <c r="D157" s="2" t="str">
        <f>IFERROR(__xludf.DUMMYFUNCTION("""COMPUTED_VALUE"""),"हाँ")</f>
        <v>हाँ</v>
      </c>
      <c r="E157" s="2" t="str">
        <f>IFERROR(__xludf.DUMMYFUNCTION("""COMPUTED_VALUE"""),"ಹೌದು")</f>
        <v>ಹೌದು</v>
      </c>
      <c r="F157" s="2" t="str">
        <f>IFERROR(__xludf.DUMMYFUNCTION("""COMPUTED_VALUE"""),"ହଁ")</f>
        <v>ହଁ</v>
      </c>
      <c r="G157" s="2" t="str">
        <f>IFERROR(__xludf.DUMMYFUNCTION("""COMPUTED_VALUE"""),"হয়")</f>
        <v>হয়</v>
      </c>
      <c r="H157" s="2" t="str">
        <f>IFERROR(__xludf.DUMMYFUNCTION("""COMPUTED_VALUE"""),"હા")</f>
        <v>હા</v>
      </c>
      <c r="I157" s="2" t="str">
        <f>IFERROR(__xludf.DUMMYFUNCTION("""COMPUTED_VALUE"""),"होय")</f>
        <v>होय</v>
      </c>
      <c r="J157" s="2" t="str">
        <f>IFERROR(__xludf.DUMMYFUNCTION("""COMPUTED_VALUE"""),"സമ്മതം")</f>
        <v>സമ്മതം</v>
      </c>
      <c r="K157" s="2" t="str">
        <f>IFERROR(__xludf.DUMMYFUNCTION("""COMPUTED_VALUE"""),"ਹਾਂ")</f>
        <v>ਹਾਂ</v>
      </c>
      <c r="L157" s="2" t="str">
        <f>IFERROR(__xludf.DUMMYFUNCTION("""COMPUTED_VALUE"""),"ஆம்")</f>
        <v>ஆம்</v>
      </c>
      <c r="M157" s="2" t="str">
        <f>IFERROR(__xludf.DUMMYFUNCTION("""COMPUTED_VALUE"""),"అవును")</f>
        <v>అవును</v>
      </c>
    </row>
    <row r="158">
      <c r="A158" s="2" t="str">
        <f>Master_en!A158</f>
        <v>no</v>
      </c>
      <c r="B158" s="2" t="str">
        <f>Master_en!B158</f>
        <v>No </v>
      </c>
      <c r="C158" s="2" t="str">
        <f>IFERROR(__xludf.DUMMYFUNCTION("""COMPUTED_VALUE"""),"না")</f>
        <v>না</v>
      </c>
      <c r="D158" s="2" t="str">
        <f>IFERROR(__xludf.DUMMYFUNCTION("""COMPUTED_VALUE"""),"नहीं")</f>
        <v>नहीं</v>
      </c>
      <c r="E158" s="2" t="str">
        <f>IFERROR(__xludf.DUMMYFUNCTION("""COMPUTED_VALUE"""),"ಇಲ್ಲ")</f>
        <v>ಇಲ್ಲ</v>
      </c>
      <c r="F158" s="2" t="str">
        <f>IFERROR(__xludf.DUMMYFUNCTION("""COMPUTED_VALUE"""),"ନା")</f>
        <v>ନା</v>
      </c>
      <c r="G158" s="2" t="str">
        <f>IFERROR(__xludf.DUMMYFUNCTION("""COMPUTED_VALUE"""),"নহয়")</f>
        <v>নহয়</v>
      </c>
      <c r="H158" s="2" t="str">
        <f>IFERROR(__xludf.DUMMYFUNCTION("""COMPUTED_VALUE"""),"ના")</f>
        <v>ના</v>
      </c>
      <c r="I158" s="2" t="str">
        <f>IFERROR(__xludf.DUMMYFUNCTION("""COMPUTED_VALUE"""),"नाही")</f>
        <v>नाही</v>
      </c>
      <c r="J158" s="2" t="str">
        <f>IFERROR(__xludf.DUMMYFUNCTION("""COMPUTED_VALUE"""),"ഇല്ല")</f>
        <v>ഇല്ല</v>
      </c>
      <c r="K158" s="2" t="str">
        <f>IFERROR(__xludf.DUMMYFUNCTION("""COMPUTED_VALUE"""),"ਨਹੀਂ")</f>
        <v>ਨਹੀਂ</v>
      </c>
      <c r="L158" s="2" t="str">
        <f>IFERROR(__xludf.DUMMYFUNCTION("""COMPUTED_VALUE"""),"இல்லை")</f>
        <v>இல்லை</v>
      </c>
      <c r="M158" s="2" t="str">
        <f>IFERROR(__xludf.DUMMYFUNCTION("""COMPUTED_VALUE"""),"లేదు")</f>
        <v>లేదు</v>
      </c>
    </row>
    <row r="159">
      <c r="A159" s="2" t="str">
        <f>Master_en!A159</f>
        <v>validateAgain</v>
      </c>
      <c r="B159" s="2" t="str">
        <f>Master_en!B159</f>
        <v>Validate Again</v>
      </c>
      <c r="C159" s="2" t="str">
        <f>IFERROR(__xludf.DUMMYFUNCTION("""COMPUTED_VALUE"""),"আবার বৈধতা")</f>
        <v>আবার বৈধতা</v>
      </c>
      <c r="D159" s="2" t="str">
        <f>IFERROR(__xludf.DUMMYFUNCTION("""COMPUTED_VALUE"""),"फिर से मान्य करें")</f>
        <v>फिर से मान्य करें</v>
      </c>
      <c r="E159" s="2" t="str">
        <f>IFERROR(__xludf.DUMMYFUNCTION("""COMPUTED_VALUE"""),"ಮತ್ತೆ ಮೌಲ್ಯೀಕರಿಸಿ")</f>
        <v>ಮತ್ತೆ ಮೌಲ್ಯೀಕರಿಸಿ</v>
      </c>
      <c r="F159" s="2" t="str">
        <f>IFERROR(__xludf.DUMMYFUNCTION("""COMPUTED_VALUE"""),"ପୁନର୍ବାର ବ valid ଧ କରନ୍ତୁ |")</f>
        <v>ପୁନର୍ବାର ବ valid ଧ କରନ୍ତୁ |</v>
      </c>
      <c r="G159" s="2" t="str">
        <f>IFERROR(__xludf.DUMMYFUNCTION("""COMPUTED_VALUE"""),"আকৌ বৈধ কৰক")</f>
        <v>আকৌ বৈধ কৰক</v>
      </c>
      <c r="H159" s="2" t="str">
        <f>IFERROR(__xludf.DUMMYFUNCTION("""COMPUTED_VALUE"""),"ફરી સ્વીકારો")</f>
        <v>ફરી સ્વીકારો</v>
      </c>
      <c r="I159" s="2" t="str">
        <f>IFERROR(__xludf.DUMMYFUNCTION("""COMPUTED_VALUE"""),"पुन्हा पडताळणी करा")</f>
        <v>पुन्हा पडताळणी करा</v>
      </c>
      <c r="J159" s="2" t="str">
        <f>IFERROR(__xludf.DUMMYFUNCTION("""COMPUTED_VALUE"""),"വീണ്ടും സാധൂകരിക്കുക")</f>
        <v>വീണ്ടും സാധൂകരിക്കുക</v>
      </c>
      <c r="K159" s="2" t="str">
        <f>IFERROR(__xludf.DUMMYFUNCTION("""COMPUTED_VALUE"""),"ਦੁਬਾਰਾ ਪ੍ਰਮਾਣਿਤ ਕਰੋ")</f>
        <v>ਦੁਬਾਰਾ ਪ੍ਰਮਾਣਿਤ ਕਰੋ</v>
      </c>
      <c r="L159" s="2" t="str">
        <f>IFERROR(__xludf.DUMMYFUNCTION("""COMPUTED_VALUE"""),"மீண்டும் சரிபார்க்கவும்")</f>
        <v>மீண்டும் சரிபார்க்கவும்</v>
      </c>
      <c r="M159" s="2" t="str">
        <f>IFERROR(__xludf.DUMMYFUNCTION("""COMPUTED_VALUE"""),"మళ్ళీ ధృవీకరించండి")</f>
        <v>మళ్ళీ ధృవీకరించండి</v>
      </c>
    </row>
    <row r="160">
      <c r="A160" s="2" t="str">
        <f>Master_en!A160</f>
        <v>employee</v>
      </c>
      <c r="B160" s="2" t="str">
        <f>Master_en!B160</f>
        <v>Employee </v>
      </c>
      <c r="C160" s="2" t="str">
        <f>IFERROR(__xludf.DUMMYFUNCTION("""COMPUTED_VALUE"""),"কর্মচারী")</f>
        <v>কর্মচারী</v>
      </c>
      <c r="D160" s="2" t="str">
        <f>IFERROR(__xludf.DUMMYFUNCTION("""COMPUTED_VALUE"""),"कर्मचारी")</f>
        <v>कर्मचारी</v>
      </c>
      <c r="E160" s="2" t="str">
        <f>IFERROR(__xludf.DUMMYFUNCTION("""COMPUTED_VALUE"""),"ಉದ್ಯೋಗಿ")</f>
        <v>ಉದ್ಯೋಗಿ</v>
      </c>
      <c r="F160" s="2" t="str">
        <f>IFERROR(__xludf.DUMMYFUNCTION("""COMPUTED_VALUE"""),"କର୍ମଚାରୀ")</f>
        <v>କର୍ମଚାରୀ</v>
      </c>
      <c r="G160" s="2" t="str">
        <f>IFERROR(__xludf.DUMMYFUNCTION("""COMPUTED_VALUE"""),"কৰ্মচাৰী")</f>
        <v>কৰ্মচাৰী</v>
      </c>
      <c r="H160" s="2" t="str">
        <f>IFERROR(__xludf.DUMMYFUNCTION("""COMPUTED_VALUE"""),"કર્મચારી")</f>
        <v>કર્મચારી</v>
      </c>
      <c r="I160" s="2" t="str">
        <f>IFERROR(__xludf.DUMMYFUNCTION("""COMPUTED_VALUE"""),"कर्मचारी")</f>
        <v>कर्मचारी</v>
      </c>
      <c r="J160" s="2" t="str">
        <f>IFERROR(__xludf.DUMMYFUNCTION("""COMPUTED_VALUE"""),"തൊഴിലാളി")</f>
        <v>തൊഴിലാളി</v>
      </c>
      <c r="K160" s="2" t="str">
        <f>IFERROR(__xludf.DUMMYFUNCTION("""COMPUTED_VALUE"""),"ਕਰਮਚਾਰੀ")</f>
        <v>ਕਰਮਚਾਰੀ</v>
      </c>
      <c r="L160" s="2" t="str">
        <f>IFERROR(__xludf.DUMMYFUNCTION("""COMPUTED_VALUE"""),"பணியாளர்")</f>
        <v>பணியாளர்</v>
      </c>
      <c r="M160" s="2" t="str">
        <f>IFERROR(__xludf.DUMMYFUNCTION("""COMPUTED_VALUE"""),"ఉద్యోగి")</f>
        <v>ఉద్యోగి</v>
      </c>
    </row>
    <row r="161">
      <c r="A161" s="2" t="str">
        <f>Master_en!A161</f>
        <v>ConfirmPayment</v>
      </c>
      <c r="B161" s="2" t="str">
        <f>Master_en!B161</f>
        <v>Confirm Payment</v>
      </c>
      <c r="C161" s="2" t="str">
        <f>IFERROR(__xludf.DUMMYFUNCTION("""COMPUTED_VALUE"""),"পেমেন্ট নিশ্চিত করুন")</f>
        <v>পেমেন্ট নিশ্চিত করুন</v>
      </c>
      <c r="D161" s="2" t="str">
        <f>IFERROR(__xludf.DUMMYFUNCTION("""COMPUTED_VALUE"""),"भुगतान की पुष्टि करें")</f>
        <v>भुगतान की पुष्टि करें</v>
      </c>
      <c r="E161" s="2" t="str">
        <f>IFERROR(__xludf.DUMMYFUNCTION("""COMPUTED_VALUE"""),"ಪಾವತಿಯನ್ನು ದೃಢೀಕರಿಸಿ")</f>
        <v>ಪಾವತಿಯನ್ನು ದೃಢೀಕರಿಸಿ</v>
      </c>
      <c r="F161" s="2" t="str">
        <f>IFERROR(__xludf.DUMMYFUNCTION("""COMPUTED_VALUE"""),"ଦେୟ ନିଶ୍ଚିତ କରନ୍ତୁ |")</f>
        <v>ଦେୟ ନିଶ୍ଚିତ କରନ୍ତୁ |</v>
      </c>
      <c r="G161" s="2" t="str">
        <f>IFERROR(__xludf.DUMMYFUNCTION("""COMPUTED_VALUE"""),"পেমেন্ট নিশ্চিত কৰক")</f>
        <v>পেমেন্ট নিশ্চিত কৰক</v>
      </c>
      <c r="H161" s="2" t="str">
        <f>IFERROR(__xludf.DUMMYFUNCTION("""COMPUTED_VALUE"""),"ચુકવણી")</f>
        <v>ચુકવણી</v>
      </c>
      <c r="I161" s="2" t="str">
        <f>IFERROR(__xludf.DUMMYFUNCTION("""COMPUTED_VALUE"""),"देयकाची पुष्टी करा")</f>
        <v>देयकाची पुष्टी करा</v>
      </c>
      <c r="J161" s="2" t="str">
        <f>IFERROR(__xludf.DUMMYFUNCTION("""COMPUTED_VALUE"""),"പേയ്മെന്റ് സ്ഥിരീകരിക്കുക")</f>
        <v>പേയ്മെന്റ് സ്ഥിരീകരിക്കുക</v>
      </c>
      <c r="K161" s="2" t="str">
        <f>IFERROR(__xludf.DUMMYFUNCTION("""COMPUTED_VALUE"""),"ਭੁਗਤਾਨ ਦੀ ਪੁਸ਼ਟੀ ਕਰੋ")</f>
        <v>ਭੁਗਤਾਨ ਦੀ ਪੁਸ਼ਟੀ ਕਰੋ</v>
      </c>
      <c r="L161" s="2" t="str">
        <f>IFERROR(__xludf.DUMMYFUNCTION("""COMPUTED_VALUE"""),"கட்டணத்தை உறுதிப்படுத்தவும்")</f>
        <v>கட்டணத்தை உறுதிப்படுத்தவும்</v>
      </c>
      <c r="M161" s="2" t="str">
        <f>IFERROR(__xludf.DUMMYFUNCTION("""COMPUTED_VALUE"""),"చెల్లింపును నిర్ధారించండి")</f>
        <v>చెల్లింపును నిర్ధారించండి</v>
      </c>
    </row>
    <row r="162">
      <c r="A162" s="2" t="str">
        <f>Master_en!A162</f>
        <v>rateorder</v>
      </c>
      <c r="B162" s="2" t="str">
        <f>Master_en!B162</f>
        <v>Rate Order</v>
      </c>
      <c r="C162" s="2" t="str">
        <f>IFERROR(__xludf.DUMMYFUNCTION("""COMPUTED_VALUE"""),"রেট অর্ডার")</f>
        <v>রেট অর্ডার</v>
      </c>
      <c r="D162" s="2" t="str">
        <f>IFERROR(__xludf.DUMMYFUNCTION("""COMPUTED_VALUE"""),"दर आदेश")</f>
        <v>दर आदेश</v>
      </c>
      <c r="E162" s="2" t="str">
        <f>IFERROR(__xludf.DUMMYFUNCTION("""COMPUTED_VALUE"""),"ದಾಟದ ಆದೇಶ")</f>
        <v>ದಾಟದ ಆದೇಶ</v>
      </c>
      <c r="F162" s="2" t="str">
        <f>IFERROR(__xludf.DUMMYFUNCTION("""COMPUTED_VALUE"""),"ମୂଲ୍ୟ କ୍ରମ")</f>
        <v>ମୂଲ୍ୟ କ୍ରମ</v>
      </c>
      <c r="G162" s="2" t="str">
        <f>IFERROR(__xludf.DUMMYFUNCTION("""COMPUTED_VALUE"""),"ৰেট অৰ্ডাৰ")</f>
        <v>ৰেট অৰ্ডাৰ</v>
      </c>
      <c r="H162" s="2" t="str">
        <f>IFERROR(__xludf.DUMMYFUNCTION("""COMPUTED_VALUE"""),"દર હુકમ")</f>
        <v>દર હુકમ</v>
      </c>
      <c r="I162" s="2" t="str">
        <f>IFERROR(__xludf.DUMMYFUNCTION("""COMPUTED_VALUE"""),"दर ऑर्डर")</f>
        <v>दर ऑर्डर</v>
      </c>
      <c r="J162" s="2" t="str">
        <f>IFERROR(__xludf.DUMMYFUNCTION("""COMPUTED_VALUE"""),"നിരക്ക് ഓർഡർ")</f>
        <v>നിരക്ക് ഓർഡർ</v>
      </c>
      <c r="K162" s="2" t="str">
        <f>IFERROR(__xludf.DUMMYFUNCTION("""COMPUTED_VALUE"""),"ਰੇਟ ਆਰਡਰ")</f>
        <v>ਰੇਟ ਆਰਡਰ</v>
      </c>
      <c r="L162" s="2" t="str">
        <f>IFERROR(__xludf.DUMMYFUNCTION("""COMPUTED_VALUE"""),"விகித ஆர்டர்")</f>
        <v>விகித ஆர்டர்</v>
      </c>
      <c r="M162" s="2" t="str">
        <f>IFERROR(__xludf.DUMMYFUNCTION("""COMPUTED_VALUE"""),"రేటు క్రమం")</f>
        <v>రేటు క్రమం</v>
      </c>
    </row>
    <row r="163">
      <c r="A163" s="2" t="str">
        <f>Master_en!A163</f>
        <v>onboard</v>
      </c>
      <c r="B163" s="2" t="str">
        <f>Master_en!B163</f>
        <v>Onboard </v>
      </c>
      <c r="C163" s="2" t="str">
        <f>IFERROR(__xludf.DUMMYFUNCTION("""COMPUTED_VALUE"""),"বোর্ডে")</f>
        <v>বোর্ডে</v>
      </c>
      <c r="D163" s="2" t="str">
        <f>IFERROR(__xludf.DUMMYFUNCTION("""COMPUTED_VALUE"""),"सवार")</f>
        <v>सवार</v>
      </c>
      <c r="E163" s="2" t="str">
        <f>IFERROR(__xludf.DUMMYFUNCTION("""COMPUTED_VALUE"""),"ಆನ್ಬೋರ್ಡ್")</f>
        <v>ಆನ್ಬೋರ್ಡ್</v>
      </c>
      <c r="F163" s="2" t="str">
        <f>IFERROR(__xludf.DUMMYFUNCTION("""COMPUTED_VALUE"""),"ସବାର")</f>
        <v>ସବାର</v>
      </c>
      <c r="G163" s="2" t="str">
        <f>IFERROR(__xludf.DUMMYFUNCTION("""COMPUTED_VALUE"""),"অনবোৰ্ড")</f>
        <v>অনবোৰ্ড</v>
      </c>
      <c r="H163" s="2" t="str">
        <f>IFERROR(__xludf.DUMMYFUNCTION("""COMPUTED_VALUE"""),"દ્વારા")</f>
        <v>દ્વારા</v>
      </c>
      <c r="I163" s="2" t="str">
        <f>IFERROR(__xludf.DUMMYFUNCTION("""COMPUTED_VALUE"""),"ऑनबोर्ड")</f>
        <v>ऑनबोर्ड</v>
      </c>
      <c r="J163" s="2" t="str">
        <f>IFERROR(__xludf.DUMMYFUNCTION("""COMPUTED_VALUE"""),"ഓൺ ബോർഡ്")</f>
        <v>ഓൺ ബോർഡ്</v>
      </c>
      <c r="K163" s="2" t="str">
        <f>IFERROR(__xludf.DUMMYFUNCTION("""COMPUTED_VALUE"""),"ਜਹਾਜ ਉੱਤੇ")</f>
        <v>ਜਹਾਜ ਉੱਤੇ</v>
      </c>
      <c r="L163" s="2" t="str">
        <f>IFERROR(__xludf.DUMMYFUNCTION("""COMPUTED_VALUE"""),"உள்")</f>
        <v>உள்</v>
      </c>
      <c r="M163" s="2" t="str">
        <f>IFERROR(__xludf.DUMMYFUNCTION("""COMPUTED_VALUE"""),"ఆన్‌బోర్డ్")</f>
        <v>ఆన్‌బోర్డ్</v>
      </c>
    </row>
    <row r="164">
      <c r="A164" s="2" t="str">
        <f>Master_en!A164</f>
        <v>selfOnBoard</v>
      </c>
      <c r="B164" s="2" t="str">
        <f>Master_en!B164</f>
        <v>Self Onboard </v>
      </c>
      <c r="C164" s="2" t="str">
        <f>IFERROR(__xludf.DUMMYFUNCTION("""COMPUTED_VALUE"""),"অনবোর্ড স্ব")</f>
        <v>অনবোর্ড স্ব</v>
      </c>
      <c r="D164" s="2" t="str">
        <f>IFERROR(__xludf.DUMMYFUNCTION("""COMPUTED_VALUE"""),"स्वप्नल")</f>
        <v>स्वप्नल</v>
      </c>
      <c r="E164" s="2" t="str">
        <f>IFERROR(__xludf.DUMMYFUNCTION("""COMPUTED_VALUE"""),"ಸ್ವಯಂ ಆನ್‌ಬೋರ್ಡ್")</f>
        <v>ಸ್ವಯಂ ಆನ್‌ಬೋರ್ಡ್</v>
      </c>
      <c r="F164" s="2" t="str">
        <f>IFERROR(__xludf.DUMMYFUNCTION("""COMPUTED_VALUE"""),"ସେଲ୍ଫ୍ ଅନ୍ବୋର୍ଡ |")</f>
        <v>ସେଲ୍ଫ୍ ଅନ୍ବୋର୍ଡ |</v>
      </c>
      <c r="G164" s="2" t="str">
        <f>IFERROR(__xludf.DUMMYFUNCTION("""COMPUTED_VALUE"""),"স্বয়ং অনবোৰ্ড")</f>
        <v>স্বয়ং অনবোৰ্ড</v>
      </c>
      <c r="H164" s="2" t="str">
        <f>IFERROR(__xludf.DUMMYFUNCTION("""COMPUTED_VALUE"""),"સ્વ દ્વારા")</f>
        <v>સ્વ દ્વારા</v>
      </c>
      <c r="I164" s="2" t="str">
        <f>IFERROR(__xludf.DUMMYFUNCTION("""COMPUTED_VALUE"""),"सेल्फ ऑनबोर्ड")</f>
        <v>सेल्फ ऑनबोर्ड</v>
      </c>
      <c r="J164" s="2" t="str">
        <f>IFERROR(__xludf.DUMMYFUNCTION("""COMPUTED_VALUE"""),"സ്വയം കപ്പൽ")</f>
        <v>സ്വയം കപ്പൽ</v>
      </c>
      <c r="K164" s="2" t="str">
        <f>IFERROR(__xludf.DUMMYFUNCTION("""COMPUTED_VALUE"""),"ਸਵੈ ਬੋਰਡ")</f>
        <v>ਸਵੈ ਬੋਰਡ</v>
      </c>
      <c r="L164" s="2" t="str">
        <f>IFERROR(__xludf.DUMMYFUNCTION("""COMPUTED_VALUE"""),"சுய உள்")</f>
        <v>சுய உள்</v>
      </c>
      <c r="M164" s="2" t="str">
        <f>IFERROR(__xludf.DUMMYFUNCTION("""COMPUTED_VALUE"""),"స్వీయ ఆన్‌బోర్డ్")</f>
        <v>స్వీయ ఆన్‌బోర్డ్</v>
      </c>
    </row>
    <row r="165">
      <c r="A165" s="2" t="str">
        <f>Master_en!A165</f>
        <v>onboardByBusiness</v>
      </c>
      <c r="B165" s="2" t="str">
        <f>Master_en!B165</f>
        <v>Onboard by Business</v>
      </c>
      <c r="C165" s="2" t="str">
        <f>IFERROR(__xludf.DUMMYFUNCTION("""COMPUTED_VALUE"""),"ব্যবসায়ের দ্বারা জাহাজে")</f>
        <v>ব্যবসায়ের দ্বারা জাহাজে</v>
      </c>
      <c r="D165" s="2" t="str">
        <f>IFERROR(__xludf.DUMMYFUNCTION("""COMPUTED_VALUE"""),"व्यवसाय द्वारा जहाज पर")</f>
        <v>व्यवसाय द्वारा जहाज पर</v>
      </c>
      <c r="E165" s="2" t="str">
        <f>IFERROR(__xludf.DUMMYFUNCTION("""COMPUTED_VALUE"""),"ವ್ಯವಹಾರದಿಂದ ಆನ್‌ಬೋರ್ಡ್")</f>
        <v>ವ್ಯವಹಾರದಿಂದ ಆನ್‌ಬೋರ್ಡ್</v>
      </c>
      <c r="F165" s="2" t="str">
        <f>IFERROR(__xludf.DUMMYFUNCTION("""COMPUTED_VALUE"""),"ବ୍ୟବସାୟ ଦ୍ୱାରା ଅନ୍ବୋର୍ଡ |")</f>
        <v>ବ୍ୟବସାୟ ଦ୍ୱାରା ଅନ୍ବୋର୍ଡ |</v>
      </c>
      <c r="G165" s="2" t="str">
        <f>IFERROR(__xludf.DUMMYFUNCTION("""COMPUTED_VALUE"""),"ব্যৱসায়ৰ দ্বাৰা অনবোৰ্ড")</f>
        <v>ব্যৱসায়ৰ দ্বাৰা অনবোৰ্ড</v>
      </c>
      <c r="H165" s="2" t="str">
        <f>IFERROR(__xludf.DUMMYFUNCTION("""COMPUTED_VALUE"""),"વ્યવસાય દ્વારા")</f>
        <v>વ્યવસાય દ્વારા</v>
      </c>
      <c r="I165" s="2" t="str">
        <f>IFERROR(__xludf.DUMMYFUNCTION("""COMPUTED_VALUE"""),"व्यवसायाद्वारे ऑनबोर्ड")</f>
        <v>व्यवसायाद्वारे ऑनबोर्ड</v>
      </c>
      <c r="J165" s="2" t="str">
        <f>IFERROR(__xludf.DUMMYFUNCTION("""COMPUTED_VALUE"""),"ബിസിനസ്സ് ഓൺബോർഡ്")</f>
        <v>ബിസിനസ്സ് ഓൺബോർഡ്</v>
      </c>
      <c r="K165" s="2" t="str">
        <f>IFERROR(__xludf.DUMMYFUNCTION("""COMPUTED_VALUE"""),"ਕਾਰੋਬਾਰ ਦੁਆਰਾ ਜਹਾਜ਼")</f>
        <v>ਕਾਰੋਬਾਰ ਦੁਆਰਾ ਜਹਾਜ਼</v>
      </c>
      <c r="L165" s="2" t="str">
        <f>IFERROR(__xludf.DUMMYFUNCTION("""COMPUTED_VALUE"""),"வணிகத்தால் உள்")</f>
        <v>வணிகத்தால் உள்</v>
      </c>
      <c r="M165" s="2" t="str">
        <f>IFERROR(__xludf.DUMMYFUNCTION("""COMPUTED_VALUE"""),"వ్యాపారం ద్వారా ఆన్‌బోర్డ్")</f>
        <v>వ్యాపారం ద్వారా ఆన్‌బోర్డ్</v>
      </c>
    </row>
    <row r="166">
      <c r="A166" s="2" t="str">
        <f>Master_en!A166</f>
        <v>retailer</v>
      </c>
      <c r="B166" s="2" t="str">
        <f>Master_en!B166</f>
        <v>Retailer</v>
      </c>
      <c r="C166" s="2" t="str">
        <f>IFERROR(__xludf.DUMMYFUNCTION("""COMPUTED_VALUE"""),"খুচরা বিক্রেতা")</f>
        <v>খুচরা বিক্রেতা</v>
      </c>
      <c r="D166" s="2" t="str">
        <f>IFERROR(__xludf.DUMMYFUNCTION("""COMPUTED_VALUE"""),"फुटकर विक्रेता")</f>
        <v>फुटकर विक्रेता</v>
      </c>
      <c r="E166" s="2" t="str">
        <f>IFERROR(__xludf.DUMMYFUNCTION("""COMPUTED_VALUE"""),"ಚಿಲ್ಲರೆ ವ್ಯಾಪಾರಿ")</f>
        <v>ಚಿಲ್ಲರೆ ವ್ಯಾಪಾರಿ</v>
      </c>
      <c r="F166" s="2" t="str">
        <f>IFERROR(__xludf.DUMMYFUNCTION("""COMPUTED_VALUE"""),"ଖୁଚୁରା ବ୍ୟବସାୟୀ")</f>
        <v>ଖୁଚୁରା ବ୍ୟବସାୟୀ</v>
      </c>
      <c r="G166" s="2" t="str">
        <f>IFERROR(__xludf.DUMMYFUNCTION("""COMPUTED_VALUE"""),"খুচুৰা বিক্ৰেতা")</f>
        <v>খুচুৰা বিক্ৰেতা</v>
      </c>
      <c r="H166" s="2" t="str">
        <f>IFERROR(__xludf.DUMMYFUNCTION("""COMPUTED_VALUE"""),"છૂટક વેચાણ કરનાર")</f>
        <v>છૂટક વેચાણ કરનાર</v>
      </c>
      <c r="I166" s="2" t="str">
        <f>IFERROR(__xludf.DUMMYFUNCTION("""COMPUTED_VALUE"""),"किरकोळ विक्रेता")</f>
        <v>किरकोळ विक्रेता</v>
      </c>
      <c r="J166" s="2" t="str">
        <f>IFERROR(__xludf.DUMMYFUNCTION("""COMPUTED_VALUE"""),"ചില്ലറകാട്")</f>
        <v>ചില്ലറകാട്</v>
      </c>
      <c r="K166" s="2" t="str">
        <f>IFERROR(__xludf.DUMMYFUNCTION("""COMPUTED_VALUE"""),"ਰਿਟੇਲਰ")</f>
        <v>ਰਿਟੇਲਰ</v>
      </c>
      <c r="L166" s="2" t="str">
        <f>IFERROR(__xludf.DUMMYFUNCTION("""COMPUTED_VALUE"""),"சில்லறை விற்பனையாளர்")</f>
        <v>சில்லறை விற்பனையாளர்</v>
      </c>
      <c r="M166" s="2" t="str">
        <f>IFERROR(__xludf.DUMMYFUNCTION("""COMPUTED_VALUE"""),"చిల్లర వర్తకుడు")</f>
        <v>చిల్లర వర్తకుడు</v>
      </c>
    </row>
    <row r="167">
      <c r="A167" s="2" t="str">
        <f>Master_en!A167</f>
        <v>middleMan</v>
      </c>
      <c r="B167" s="2" t="str">
        <f>Master_en!B167</f>
        <v>Middleman</v>
      </c>
      <c r="C167" s="2" t="str">
        <f>IFERROR(__xludf.DUMMYFUNCTION("""COMPUTED_VALUE"""),"মধ্যস্থতাকারী")</f>
        <v>মধ্যস্থতাকারী</v>
      </c>
      <c r="D167" s="2" t="str">
        <f>IFERROR(__xludf.DUMMYFUNCTION("""COMPUTED_VALUE"""),"बिचौलिया")</f>
        <v>बिचौलिया</v>
      </c>
      <c r="E167" s="2" t="str">
        <f>IFERROR(__xludf.DUMMYFUNCTION("""COMPUTED_VALUE"""),"ಮಧ್ಯವರ್ತಿ")</f>
        <v>ಮಧ್ಯವರ್ತಿ</v>
      </c>
      <c r="F167" s="2" t="str">
        <f>IFERROR(__xludf.DUMMYFUNCTION("""COMPUTED_VALUE"""),"ମଧ୍ୟମ")</f>
        <v>ମଧ୍ୟମ</v>
      </c>
      <c r="G167" s="2" t="str">
        <f>IFERROR(__xludf.DUMMYFUNCTION("""COMPUTED_VALUE"""),"মিডলমেন")</f>
        <v>মিডলমেন</v>
      </c>
      <c r="H167" s="2" t="str">
        <f>IFERROR(__xludf.DUMMYFUNCTION("""COMPUTED_VALUE"""),"સામાન્ય માણસ")</f>
        <v>સામાન્ય માણસ</v>
      </c>
      <c r="I167" s="2" t="str">
        <f>IFERROR(__xludf.DUMMYFUNCTION("""COMPUTED_VALUE"""),"मिडलमन")</f>
        <v>मिडलमन</v>
      </c>
      <c r="J167" s="2" t="str">
        <f>IFERROR(__xludf.DUMMYFUNCTION("""COMPUTED_VALUE"""),"മിഡിൽമാൻ")</f>
        <v>മിഡിൽമാൻ</v>
      </c>
      <c r="K167" s="2" t="str">
        <f>IFERROR(__xludf.DUMMYFUNCTION("""COMPUTED_VALUE"""),"ਵਿਚੋਲੇ")</f>
        <v>ਵਿਚੋਲੇ</v>
      </c>
      <c r="L167" s="2" t="str">
        <f>IFERROR(__xludf.DUMMYFUNCTION("""COMPUTED_VALUE"""),"இடைத்தரகர்")</f>
        <v>இடைத்தரகர்</v>
      </c>
      <c r="M167" s="2" t="str">
        <f>IFERROR(__xludf.DUMMYFUNCTION("""COMPUTED_VALUE"""),"మధ్యవర్తి")</f>
        <v>మధ్యవర్తి</v>
      </c>
    </row>
    <row r="168">
      <c r="A168" s="2" t="str">
        <f>Master_en!A168</f>
        <v>farmer</v>
      </c>
      <c r="B168" s="2" t="str">
        <f>Master_en!B168</f>
        <v>Farmer</v>
      </c>
      <c r="C168" s="2" t="str">
        <f>IFERROR(__xludf.DUMMYFUNCTION("""COMPUTED_VALUE"""),"কৃষক")</f>
        <v>কৃষক</v>
      </c>
      <c r="D168" s="2" t="str">
        <f>IFERROR(__xludf.DUMMYFUNCTION("""COMPUTED_VALUE"""),"किसान")</f>
        <v>किसान</v>
      </c>
      <c r="E168" s="2" t="str">
        <f>IFERROR(__xludf.DUMMYFUNCTION("""COMPUTED_VALUE"""),"ರೈತ")</f>
        <v>ರೈತ</v>
      </c>
      <c r="F168" s="2" t="str">
        <f>IFERROR(__xludf.DUMMYFUNCTION("""COMPUTED_VALUE"""),"କୃଷକ")</f>
        <v>କୃଷକ</v>
      </c>
      <c r="G168" s="2" t="str">
        <f>IFERROR(__xludf.DUMMYFUNCTION("""COMPUTED_VALUE"""),"খেতিয়ক")</f>
        <v>খেতিয়ক</v>
      </c>
      <c r="H168" s="2" t="str">
        <f>IFERROR(__xludf.DUMMYFUNCTION("""COMPUTED_VALUE"""),"ખેડૂત")</f>
        <v>ખેડૂત</v>
      </c>
      <c r="I168" s="2" t="str">
        <f>IFERROR(__xludf.DUMMYFUNCTION("""COMPUTED_VALUE"""),"शेतकरी")</f>
        <v>शेतकरी</v>
      </c>
      <c r="J168" s="2" t="str">
        <f>IFERROR(__xludf.DUMMYFUNCTION("""COMPUTED_VALUE"""),"കൃഷിക്കാരന്")</f>
        <v>കൃഷിക്കാരന്</v>
      </c>
      <c r="K168" s="2" t="str">
        <f>IFERROR(__xludf.DUMMYFUNCTION("""COMPUTED_VALUE"""),"ਕਿਸਾਨ")</f>
        <v>ਕਿਸਾਨ</v>
      </c>
      <c r="L168" s="2" t="str">
        <f>IFERROR(__xludf.DUMMYFUNCTION("""COMPUTED_VALUE"""),"உழவர்")</f>
        <v>உழவர்</v>
      </c>
      <c r="M168" s="2" t="str">
        <f>IFERROR(__xludf.DUMMYFUNCTION("""COMPUTED_VALUE"""),"రైతు")</f>
        <v>రైతు</v>
      </c>
    </row>
    <row r="169">
      <c r="A169" s="2" t="str">
        <f>Master_en!A169</f>
        <v>phoneNumber</v>
      </c>
      <c r="B169" s="2" t="str">
        <f>Master_en!B169</f>
        <v>Phone Number </v>
      </c>
      <c r="C169" s="2" t="str">
        <f>IFERROR(__xludf.DUMMYFUNCTION("""COMPUTED_VALUE"""),"ফোন নম্বর")</f>
        <v>ফোন নম্বর</v>
      </c>
      <c r="D169" s="2" t="str">
        <f>IFERROR(__xludf.DUMMYFUNCTION("""COMPUTED_VALUE"""),"फ़ोन नंबर")</f>
        <v>फ़ोन नंबर</v>
      </c>
      <c r="E169" s="2" t="str">
        <f>IFERROR(__xludf.DUMMYFUNCTION("""COMPUTED_VALUE"""),"ದೂರವಾಣಿ ಸಂಖ್ಯೆ")</f>
        <v>ದೂರವಾಣಿ ಸಂಖ್ಯೆ</v>
      </c>
      <c r="F169" s="2" t="str">
        <f>IFERROR(__xludf.DUMMYFUNCTION("""COMPUTED_VALUE"""),"ଫୋନ୍ ନମ୍ବର")</f>
        <v>ଫୋନ୍ ନମ୍ବର</v>
      </c>
      <c r="G169" s="2" t="str">
        <f>IFERROR(__xludf.DUMMYFUNCTION("""COMPUTED_VALUE"""),"ফোন নম্বৰ")</f>
        <v>ফোন নম্বৰ</v>
      </c>
      <c r="H169" s="2" t="str">
        <f>IFERROR(__xludf.DUMMYFUNCTION("""COMPUTED_VALUE"""),"ફોન નંબર")</f>
        <v>ફોન નંબર</v>
      </c>
      <c r="I169" s="2" t="str">
        <f>IFERROR(__xludf.DUMMYFUNCTION("""COMPUTED_VALUE"""),"फोन नंबर")</f>
        <v>फोन नंबर</v>
      </c>
      <c r="J169" s="2" t="str">
        <f>IFERROR(__xludf.DUMMYFUNCTION("""COMPUTED_VALUE"""),"ഫോൺ നമ്പർ")</f>
        <v>ഫോൺ നമ്പർ</v>
      </c>
      <c r="K169" s="2" t="str">
        <f>IFERROR(__xludf.DUMMYFUNCTION("""COMPUTED_VALUE"""),"ਫੋਨ ਨੰਬਰ")</f>
        <v>ਫੋਨ ਨੰਬਰ</v>
      </c>
      <c r="L169" s="2" t="str">
        <f>IFERROR(__xludf.DUMMYFUNCTION("""COMPUTED_VALUE"""),"தொலைபேசி எண்")</f>
        <v>தொலைபேசி எண்</v>
      </c>
      <c r="M169" s="2" t="str">
        <f>IFERROR(__xludf.DUMMYFUNCTION("""COMPUTED_VALUE"""),"ఫోను సంఖ్య")</f>
        <v>ఫోను సంఖ్య</v>
      </c>
    </row>
    <row r="170">
      <c r="A170" s="2" t="str">
        <f>Master_en!A170</f>
        <v>houseNo</v>
      </c>
      <c r="B170" s="2" t="str">
        <f>Master_en!B170</f>
        <v>House No</v>
      </c>
      <c r="C170" s="2" t="str">
        <f>IFERROR(__xludf.DUMMYFUNCTION("""COMPUTED_VALUE"""),"বাসা নং")</f>
        <v>বাসা নং</v>
      </c>
      <c r="D170" s="2" t="str">
        <f>IFERROR(__xludf.DUMMYFUNCTION("""COMPUTED_VALUE"""),"मकान नंबर")</f>
        <v>मकान नंबर</v>
      </c>
      <c r="E170" s="2" t="str">
        <f>IFERROR(__xludf.DUMMYFUNCTION("""COMPUTED_VALUE"""),"ಮನೆ ಸಂಖ್ಯೆ")</f>
        <v>ಮನೆ ಸಂಖ್ಯೆ</v>
      </c>
      <c r="F170" s="2" t="str">
        <f>IFERROR(__xludf.DUMMYFUNCTION("""COMPUTED_VALUE"""),"ଘର ନା")</f>
        <v>ଘର ନା</v>
      </c>
      <c r="G170" s="2" t="str">
        <f>IFERROR(__xludf.DUMMYFUNCTION("""COMPUTED_VALUE"""),"ঘৰ নং")</f>
        <v>ঘৰ নং</v>
      </c>
      <c r="H170" s="2" t="str">
        <f>IFERROR(__xludf.DUMMYFUNCTION("""COMPUTED_VALUE"""),"ઘર નંબર")</f>
        <v>ઘર નંબર</v>
      </c>
      <c r="I170" s="2" t="str">
        <f>IFERROR(__xludf.DUMMYFUNCTION("""COMPUTED_VALUE"""),"घर नंबर")</f>
        <v>घर नंबर</v>
      </c>
      <c r="J170" s="2" t="str">
        <f>IFERROR(__xludf.DUMMYFUNCTION("""COMPUTED_VALUE"""),"വീടിന്റെ നമ്പർ")</f>
        <v>വീടിന്റെ നമ്പർ</v>
      </c>
      <c r="K170" s="2" t="str">
        <f>IFERROR(__xludf.DUMMYFUNCTION("""COMPUTED_VALUE"""),"ਘਰ ਨਹੀਂ")</f>
        <v>ਘਰ ਨਹੀਂ</v>
      </c>
      <c r="L170" s="2" t="str">
        <f>IFERROR(__xludf.DUMMYFUNCTION("""COMPUTED_VALUE"""),"வீட்டு எண் ")</f>
        <v>வீட்டு எண் </v>
      </c>
      <c r="M170" s="2" t="str">
        <f>IFERROR(__xludf.DUMMYFUNCTION("""COMPUTED_VALUE"""),"ఇంటి సంఖ్య")</f>
        <v>ఇంటి సంఖ్య</v>
      </c>
    </row>
    <row r="171">
      <c r="A171" s="2" t="str">
        <f>Master_en!A171</f>
        <v>building</v>
      </c>
      <c r="B171" s="2" t="str">
        <f>Master_en!B171</f>
        <v>Building </v>
      </c>
      <c r="C171" s="2" t="str">
        <f>IFERROR(__xludf.DUMMYFUNCTION("""COMPUTED_VALUE"""),"বিল্ডিং")</f>
        <v>বিল্ডিং</v>
      </c>
      <c r="D171" s="2" t="str">
        <f>IFERROR(__xludf.DUMMYFUNCTION("""COMPUTED_VALUE"""),"इमारत")</f>
        <v>इमारत</v>
      </c>
      <c r="E171" s="2" t="str">
        <f>IFERROR(__xludf.DUMMYFUNCTION("""COMPUTED_VALUE"""),"ಕಟ್ಟಡ")</f>
        <v>ಕಟ್ಟಡ</v>
      </c>
      <c r="F171" s="2" t="str">
        <f>IFERROR(__xludf.DUMMYFUNCTION("""COMPUTED_VALUE"""),"ନିର୍ମାଣ")</f>
        <v>ନିର୍ମାଣ</v>
      </c>
      <c r="G171" s="2" t="str">
        <f>IFERROR(__xludf.DUMMYFUNCTION("""COMPUTED_VALUE"""),"ভৱন")</f>
        <v>ভৱন</v>
      </c>
      <c r="H171" s="2" t="str">
        <f>IFERROR(__xludf.DUMMYFUNCTION("""COMPUTED_VALUE"""),"મકાન")</f>
        <v>મકાન</v>
      </c>
      <c r="I171" s="2" t="str">
        <f>IFERROR(__xludf.DUMMYFUNCTION("""COMPUTED_VALUE"""),"इमारत")</f>
        <v>इमारत</v>
      </c>
      <c r="J171" s="2" t="str">
        <f>IFERROR(__xludf.DUMMYFUNCTION("""COMPUTED_VALUE"""),"കെട്ടിടം")</f>
        <v>കെട്ടിടം</v>
      </c>
      <c r="K171" s="2" t="str">
        <f>IFERROR(__xludf.DUMMYFUNCTION("""COMPUTED_VALUE"""),"ਇਮਾਰਤ")</f>
        <v>ਇਮਾਰਤ</v>
      </c>
      <c r="L171" s="2" t="str">
        <f>IFERROR(__xludf.DUMMYFUNCTION("""COMPUTED_VALUE"""),"கட்டிடம்")</f>
        <v>கட்டிடம்</v>
      </c>
      <c r="M171" s="2" t="str">
        <f>IFERROR(__xludf.DUMMYFUNCTION("""COMPUTED_VALUE"""),"భవనం")</f>
        <v>భవనం</v>
      </c>
    </row>
    <row r="172">
      <c r="A172" s="2" t="str">
        <f>Master_en!A172</f>
        <v>streetno</v>
      </c>
      <c r="B172" s="2" t="str">
        <f>Master_en!B172</f>
        <v>Street no </v>
      </c>
      <c r="C172" s="2" t="str">
        <f>IFERROR(__xludf.DUMMYFUNCTION("""COMPUTED_VALUE"""),"রাস্তা নম্বর")</f>
        <v>রাস্তা নম্বর</v>
      </c>
      <c r="D172" s="2" t="str">
        <f>IFERROR(__xludf.DUMMYFUNCTION("""COMPUTED_VALUE"""),"गली नंबर")</f>
        <v>गली नंबर</v>
      </c>
      <c r="E172" s="2" t="str">
        <f>IFERROR(__xludf.DUMMYFUNCTION("""COMPUTED_VALUE"""),"ರಸ್ತೆ ಸಂಖ್ಯೆ")</f>
        <v>ರಸ್ತೆ ಸಂಖ್ಯೆ</v>
      </c>
      <c r="F172" s="2" t="str">
        <f>IFERROR(__xludf.DUMMYFUNCTION("""COMPUTED_VALUE"""),"ରାସ୍ତା ନଂ")</f>
        <v>ରାସ୍ତା ନଂ</v>
      </c>
      <c r="G172" s="2" t="str">
        <f>IFERROR(__xludf.DUMMYFUNCTION("""COMPUTED_VALUE"""),"ৰাষ্টা")</f>
        <v>ৰাষ্টা</v>
      </c>
      <c r="H172" s="2" t="str">
        <f>IFERROR(__xludf.DUMMYFUNCTION("""COMPUTED_VALUE"""),"શેરી")</f>
        <v>શેરી</v>
      </c>
      <c r="I172" s="2" t="str">
        <f>IFERROR(__xludf.DUMMYFUNCTION("""COMPUTED_VALUE"""),"रस्ता क्रमांक")</f>
        <v>रस्ता क्रमांक</v>
      </c>
      <c r="J172" s="2" t="str">
        <f>IFERROR(__xludf.DUMMYFUNCTION("""COMPUTED_VALUE"""),"തെരുവ് ഇല്ല")</f>
        <v>തെരുവ് ഇല്ല</v>
      </c>
      <c r="K172" s="2" t="str">
        <f>IFERROR(__xludf.DUMMYFUNCTION("""COMPUTED_VALUE"""),"ਗਲੀ ਨਹੀਂ")</f>
        <v>ਗਲੀ ਨਹੀਂ</v>
      </c>
      <c r="L172" s="2" t="str">
        <f>IFERROR(__xludf.DUMMYFUNCTION("""COMPUTED_VALUE"""),"தெரு எண்")</f>
        <v>தெரு எண்</v>
      </c>
      <c r="M172" s="2" t="str">
        <f>IFERROR(__xludf.DUMMYFUNCTION("""COMPUTED_VALUE"""),"వీధి సంఖ్య")</f>
        <v>వీధి సంఖ్య</v>
      </c>
    </row>
    <row r="173">
      <c r="A173" s="2" t="str">
        <f>Master_en!A173</f>
        <v>upi</v>
      </c>
      <c r="B173" s="2" t="str">
        <f>Master_en!B173</f>
        <v>UPI</v>
      </c>
      <c r="C173" s="2" t="str">
        <f>IFERROR(__xludf.DUMMYFUNCTION("""COMPUTED_VALUE"""),"আপি")</f>
        <v>আপি</v>
      </c>
      <c r="D173" s="2" t="str">
        <f>IFERROR(__xludf.DUMMYFUNCTION("""COMPUTED_VALUE"""),"है मैं")</f>
        <v>है मैं</v>
      </c>
      <c r="E173" s="2" t="str">
        <f>IFERROR(__xludf.DUMMYFUNCTION("""COMPUTED_VALUE"""),"ಉಷ್ಣವಲಯ")</f>
        <v>ಉಷ್ಣವಲಯ</v>
      </c>
      <c r="F173" s="2" t="str">
        <f>IFERROR(__xludf.DUMMYFUNCTION("""COMPUTED_VALUE"""),"ୟୁସି")</f>
        <v>ୟୁସି</v>
      </c>
      <c r="G173" s="2" t="str">
        <f>IFERROR(__xludf.DUMMYFUNCTION("""COMPUTED_VALUE"""),"ইউ পি আই")</f>
        <v>ইউ পি আই</v>
      </c>
      <c r="H173" s="2" t="str">
        <f>IFERROR(__xludf.DUMMYFUNCTION("""COMPUTED_VALUE"""),"ઉન્મત્ત")</f>
        <v>ઉન્મત્ત</v>
      </c>
      <c r="I173" s="2" t="str">
        <f>IFERROR(__xludf.DUMMYFUNCTION("""COMPUTED_VALUE"""),"यूपीआय")</f>
        <v>यूपीआय</v>
      </c>
      <c r="J173" s="2" t="str">
        <f>IFERROR(__xludf.DUMMYFUNCTION("""COMPUTED_VALUE"""),"യുപി")</f>
        <v>യുപി</v>
      </c>
      <c r="K173" s="2" t="str">
        <f>IFERROR(__xludf.DUMMYFUNCTION("""COMPUTED_VALUE"""),"Upi")</f>
        <v>Upi</v>
      </c>
      <c r="L173" s="2" t="str">
        <f>IFERROR(__xludf.DUMMYFUNCTION("""COMPUTED_VALUE"""),"யுபிஐ")</f>
        <v>யுபிஐ</v>
      </c>
      <c r="M173" s="2" t="str">
        <f>IFERROR(__xludf.DUMMYFUNCTION("""COMPUTED_VALUE"""),"యుపిఐ")</f>
        <v>యుపిఐ</v>
      </c>
    </row>
    <row r="174">
      <c r="A174" s="2" t="str">
        <f>Master_en!A174</f>
        <v>state</v>
      </c>
      <c r="B174" s="2" t="str">
        <f>Master_en!B174</f>
        <v>State</v>
      </c>
      <c r="C174" s="2" t="str">
        <f>IFERROR(__xludf.DUMMYFUNCTION("""COMPUTED_VALUE"""),"অবস্থা")</f>
        <v>অবস্থা</v>
      </c>
      <c r="D174" s="2" t="str">
        <f>IFERROR(__xludf.DUMMYFUNCTION("""COMPUTED_VALUE"""),"राज्य")</f>
        <v>राज्य</v>
      </c>
      <c r="E174" s="2" t="str">
        <f>IFERROR(__xludf.DUMMYFUNCTION("""COMPUTED_VALUE"""),"ರಾಜ್ಯ")</f>
        <v>ರಾಜ್ಯ</v>
      </c>
      <c r="F174" s="2" t="str">
        <f>IFERROR(__xludf.DUMMYFUNCTION("""COMPUTED_VALUE"""),"ରାଜ୍ୟ")</f>
        <v>ରାଜ୍ୟ</v>
      </c>
      <c r="G174" s="2" t="str">
        <f>IFERROR(__xludf.DUMMYFUNCTION("""COMPUTED_VALUE"""),"ৰাজ্য")</f>
        <v>ৰাজ্য</v>
      </c>
      <c r="H174" s="2" t="str">
        <f>IFERROR(__xludf.DUMMYFUNCTION("""COMPUTED_VALUE"""),"રાજ્ય")</f>
        <v>રાજ્ય</v>
      </c>
      <c r="I174" s="2" t="str">
        <f>IFERROR(__xludf.DUMMYFUNCTION("""COMPUTED_VALUE"""),"राज्य")</f>
        <v>राज्य</v>
      </c>
      <c r="J174" s="2" t="str">
        <f>IFERROR(__xludf.DUMMYFUNCTION("""COMPUTED_VALUE"""),"സംസ്ഥാനം")</f>
        <v>സംസ്ഥാനം</v>
      </c>
      <c r="K174" s="2" t="str">
        <f>IFERROR(__xludf.DUMMYFUNCTION("""COMPUTED_VALUE"""),"ਰਾਜ")</f>
        <v>ਰਾਜ</v>
      </c>
      <c r="L174" s="2" t="str">
        <f>IFERROR(__xludf.DUMMYFUNCTION("""COMPUTED_VALUE"""),"மாநிலம்")</f>
        <v>மாநிலம்</v>
      </c>
      <c r="M174" s="2" t="str">
        <f>IFERROR(__xludf.DUMMYFUNCTION("""COMPUTED_VALUE"""),"రాష్ట్రం")</f>
        <v>రాష్ట్రం</v>
      </c>
    </row>
    <row r="175">
      <c r="A175" s="2" t="str">
        <f>Master_en!A175</f>
        <v>city</v>
      </c>
      <c r="B175" s="2" t="str">
        <f>Master_en!B175</f>
        <v>City </v>
      </c>
      <c r="C175" s="2" t="str">
        <f>IFERROR(__xludf.DUMMYFUNCTION("""COMPUTED_VALUE"""),"শহর")</f>
        <v>শহর</v>
      </c>
      <c r="D175" s="2" t="str">
        <f>IFERROR(__xludf.DUMMYFUNCTION("""COMPUTED_VALUE"""),"शहर")</f>
        <v>शहर</v>
      </c>
      <c r="E175" s="2" t="str">
        <f>IFERROR(__xludf.DUMMYFUNCTION("""COMPUTED_VALUE"""),"ನಗರ")</f>
        <v>ನಗರ</v>
      </c>
      <c r="F175" s="2" t="str">
        <f>IFERROR(__xludf.DUMMYFUNCTION("""COMPUTED_VALUE"""),"ସହର")</f>
        <v>ସହର</v>
      </c>
      <c r="G175" s="2" t="str">
        <f>IFERROR(__xludf.DUMMYFUNCTION("""COMPUTED_VALUE"""),"চহৰ")</f>
        <v>চহৰ</v>
      </c>
      <c r="H175" s="2" t="str">
        <f>IFERROR(__xludf.DUMMYFUNCTION("""COMPUTED_VALUE"""),"શહેર")</f>
        <v>શહેર</v>
      </c>
      <c r="I175" s="2" t="str">
        <f>IFERROR(__xludf.DUMMYFUNCTION("""COMPUTED_VALUE"""),"शहर")</f>
        <v>शहर</v>
      </c>
      <c r="J175" s="2" t="str">
        <f>IFERROR(__xludf.DUMMYFUNCTION("""COMPUTED_VALUE"""),"നഗരം")</f>
        <v>നഗരം</v>
      </c>
      <c r="K175" s="2" t="str">
        <f>IFERROR(__xludf.DUMMYFUNCTION("""COMPUTED_VALUE"""),"ਸ਼ਹਿਰ")</f>
        <v>ਸ਼ਹਿਰ</v>
      </c>
      <c r="L175" s="2" t="str">
        <f>IFERROR(__xludf.DUMMYFUNCTION("""COMPUTED_VALUE"""),"நகரம்")</f>
        <v>நகரம்</v>
      </c>
      <c r="M175" s="2" t="str">
        <f>IFERROR(__xludf.DUMMYFUNCTION("""COMPUTED_VALUE"""),"నగరం")</f>
        <v>నగరం</v>
      </c>
    </row>
    <row r="176">
      <c r="A176" s="2" t="str">
        <f>Master_en!A176</f>
        <v>pincode</v>
      </c>
      <c r="B176" s="2" t="str">
        <f>Master_en!B176</f>
        <v>Pin Code </v>
      </c>
      <c r="C176" s="2" t="str">
        <f>IFERROR(__xludf.DUMMYFUNCTION("""COMPUTED_VALUE"""),"পিনকোড")</f>
        <v>পিনকোড</v>
      </c>
      <c r="D176" s="2" t="str">
        <f>IFERROR(__xludf.DUMMYFUNCTION("""COMPUTED_VALUE"""),"पिन कोड")</f>
        <v>पिन कोड</v>
      </c>
      <c r="E176" s="2" t="str">
        <f>IFERROR(__xludf.DUMMYFUNCTION("""COMPUTED_VALUE"""),"ಪಿನ್ ಕೋಡ್")</f>
        <v>ಪಿನ್ ಕೋಡ್</v>
      </c>
      <c r="F176" s="2" t="str">
        <f>IFERROR(__xludf.DUMMYFUNCTION("""COMPUTED_VALUE"""),"ପିନ୍ କୋଡ୍")</f>
        <v>ପିନ୍ କୋଡ୍</v>
      </c>
      <c r="G176" s="2" t="str">
        <f>IFERROR(__xludf.DUMMYFUNCTION("""COMPUTED_VALUE"""),"পিন কোড")</f>
        <v>পিন কোড</v>
      </c>
      <c r="H176" s="2" t="str">
        <f>IFERROR(__xludf.DUMMYFUNCTION("""COMPUTED_VALUE"""),"પીન કોડ")</f>
        <v>પીન કોડ</v>
      </c>
      <c r="I176" s="2" t="str">
        <f>IFERROR(__xludf.DUMMYFUNCTION("""COMPUTED_VALUE"""),"पिन कोड")</f>
        <v>पिन कोड</v>
      </c>
      <c r="J176" s="2" t="str">
        <f>IFERROR(__xludf.DUMMYFUNCTION("""COMPUTED_VALUE"""),"പിൻ കോഡ്")</f>
        <v>പിൻ കോഡ്</v>
      </c>
      <c r="K176" s="2" t="str">
        <f>IFERROR(__xludf.DUMMYFUNCTION("""COMPUTED_VALUE"""),"ਪਿੰਨ ਕੋਡ")</f>
        <v>ਪਿੰਨ ਕੋਡ</v>
      </c>
      <c r="L176" s="2" t="str">
        <f>IFERROR(__xludf.DUMMYFUNCTION("""COMPUTED_VALUE"""),"அஞ்சல் குறியீடு")</f>
        <v>அஞ்சல் குறியீடு</v>
      </c>
      <c r="M176" s="2" t="str">
        <f>IFERROR(__xludf.DUMMYFUNCTION("""COMPUTED_VALUE"""),"పిన్ కోడ్")</f>
        <v>పిన్ కోడ్</v>
      </c>
    </row>
    <row r="177">
      <c r="A177" s="2" t="str">
        <f>Master_en!A177</f>
        <v>location</v>
      </c>
      <c r="B177" s="2" t="str">
        <f>Master_en!B177</f>
        <v>Location </v>
      </c>
      <c r="C177" s="2" t="str">
        <f>IFERROR(__xludf.DUMMYFUNCTION("""COMPUTED_VALUE"""),"অবস্থান")</f>
        <v>অবস্থান</v>
      </c>
      <c r="D177" s="2" t="str">
        <f>IFERROR(__xludf.DUMMYFUNCTION("""COMPUTED_VALUE"""),"जगह")</f>
        <v>जगह</v>
      </c>
      <c r="E177" s="2" t="str">
        <f>IFERROR(__xludf.DUMMYFUNCTION("""COMPUTED_VALUE"""),"ಸ್ಥಳ")</f>
        <v>ಸ್ಥಳ</v>
      </c>
      <c r="F177" s="2" t="str">
        <f>IFERROR(__xludf.DUMMYFUNCTION("""COMPUTED_VALUE"""),"ଅବସ୍ଥାନ")</f>
        <v>ଅବସ୍ଥାନ</v>
      </c>
      <c r="G177" s="2" t="str">
        <f>IFERROR(__xludf.DUMMYFUNCTION("""COMPUTED_VALUE"""),"অৱস্থান")</f>
        <v>অৱস্থান</v>
      </c>
      <c r="H177" s="2" t="str">
        <f>IFERROR(__xludf.DUMMYFUNCTION("""COMPUTED_VALUE"""),"સ્થાન")</f>
        <v>સ્થાન</v>
      </c>
      <c r="I177" s="2" t="str">
        <f>IFERROR(__xludf.DUMMYFUNCTION("""COMPUTED_VALUE"""),"स्थान")</f>
        <v>स्थान</v>
      </c>
      <c r="J177" s="2" t="str">
        <f>IFERROR(__xludf.DUMMYFUNCTION("""COMPUTED_VALUE"""),"സ്ഥാപിക്കല്")</f>
        <v>സ്ഥാപിക്കല്</v>
      </c>
      <c r="K177" s="2" t="str">
        <f>IFERROR(__xludf.DUMMYFUNCTION("""COMPUTED_VALUE"""),"ਟਿਕਾਣਾ")</f>
        <v>ਟਿਕਾਣਾ</v>
      </c>
      <c r="L177" s="2" t="str">
        <f>IFERROR(__xludf.DUMMYFUNCTION("""COMPUTED_VALUE"""),"இடம்")</f>
        <v>இடம்</v>
      </c>
      <c r="M177" s="2" t="str">
        <f>IFERROR(__xludf.DUMMYFUNCTION("""COMPUTED_VALUE"""),"స్థానం")</f>
        <v>స్థానం</v>
      </c>
    </row>
    <row r="178">
      <c r="A178" s="2" t="str">
        <f>Master_en!A178</f>
        <v>submit</v>
      </c>
      <c r="B178" s="2" t="str">
        <f>Master_en!B178</f>
        <v>Submit </v>
      </c>
      <c r="C178" s="2" t="str">
        <f>IFERROR(__xludf.DUMMYFUNCTION("""COMPUTED_VALUE"""),"জমা দিন")</f>
        <v>জমা দিন</v>
      </c>
      <c r="D178" s="2" t="str">
        <f>IFERROR(__xludf.DUMMYFUNCTION("""COMPUTED_VALUE"""),"जमा करना")</f>
        <v>जमा करना</v>
      </c>
      <c r="E178" s="2" t="str">
        <f>IFERROR(__xludf.DUMMYFUNCTION("""COMPUTED_VALUE"""),"ಸಲ್ಲಿಸು")</f>
        <v>ಸಲ್ಲಿಸು</v>
      </c>
      <c r="F178" s="2" t="str">
        <f>IFERROR(__xludf.DUMMYFUNCTION("""COMPUTED_VALUE"""),"ଦାଖଲ କର |")</f>
        <v>ଦାଖଲ କର |</v>
      </c>
      <c r="G178" s="2" t="str">
        <f>IFERROR(__xludf.DUMMYFUNCTION("""COMPUTED_VALUE"""),"দাখিল কৰক")</f>
        <v>দাখিল কৰক</v>
      </c>
      <c r="H178" s="2" t="str">
        <f>IFERROR(__xludf.DUMMYFUNCTION("""COMPUTED_VALUE"""),"રજૂ કરવું")</f>
        <v>રજૂ કરવું</v>
      </c>
      <c r="I178" s="2" t="str">
        <f>IFERROR(__xludf.DUMMYFUNCTION("""COMPUTED_VALUE"""),"प्रस्तुत करणे")</f>
        <v>प्रस्तुत करणे</v>
      </c>
      <c r="J178" s="2" t="str">
        <f>IFERROR(__xludf.DUMMYFUNCTION("""COMPUTED_VALUE"""),"കീഴടങ്ങുക")</f>
        <v>കീഴടങ്ങുക</v>
      </c>
      <c r="K178" s="2" t="str">
        <f>IFERROR(__xludf.DUMMYFUNCTION("""COMPUTED_VALUE"""),"ਜਮ੍ਹਾਂ ਕਰੋ")</f>
        <v>ਜਮ੍ਹਾਂ ਕਰੋ</v>
      </c>
      <c r="L178" s="2" t="str">
        <f>IFERROR(__xludf.DUMMYFUNCTION("""COMPUTED_VALUE"""),"சமர்ப்பிக்கவும்")</f>
        <v>சமர்ப்பிக்கவும்</v>
      </c>
      <c r="M178" s="2" t="str">
        <f>IFERROR(__xludf.DUMMYFUNCTION("""COMPUTED_VALUE"""),"సమర్పించండి")</f>
        <v>సమర్పించండి</v>
      </c>
    </row>
    <row r="179">
      <c r="A179" s="2" t="str">
        <f>Master_en!A179</f>
        <v>editAddress</v>
      </c>
      <c r="B179" s="2" t="str">
        <f>Master_en!B179</f>
        <v>Edit Address</v>
      </c>
      <c r="C179" s="2" t="str">
        <f>IFERROR(__xludf.DUMMYFUNCTION("""COMPUTED_VALUE"""),"ঠিকানা সম্পাদনা")</f>
        <v>ঠিকানা সম্পাদনা</v>
      </c>
      <c r="D179" s="2" t="str">
        <f>IFERROR(__xludf.DUMMYFUNCTION("""COMPUTED_VALUE"""),"पता संपादित करें")</f>
        <v>पता संपादित करें</v>
      </c>
      <c r="E179" s="2" t="str">
        <f>IFERROR(__xludf.DUMMYFUNCTION("""COMPUTED_VALUE"""),"ವಿಲಾಸದ ತಿದ್ದುಪಡಿ")</f>
        <v>ವಿಲಾಸದ ತಿದ್ದುಪಡಿ</v>
      </c>
      <c r="F179" s="2" t="str">
        <f>IFERROR(__xludf.DUMMYFUNCTION("""COMPUTED_VALUE"""),"ଠିକଣା ସଂପାଦନ କରନ୍ତୁ")</f>
        <v>ଠିକଣା ସଂପାଦନ କରନ୍ତୁ</v>
      </c>
      <c r="G179" s="2" t="str">
        <f>IFERROR(__xludf.DUMMYFUNCTION("""COMPUTED_VALUE"""),"ঠিকনা সম্পাদনা কৰক")</f>
        <v>ঠিকনা সম্পাদনা কৰক</v>
      </c>
      <c r="H179" s="2" t="str">
        <f>IFERROR(__xludf.DUMMYFUNCTION("""COMPUTED_VALUE"""),"સરનામું સુધારો")</f>
        <v>સરનામું સુધારો</v>
      </c>
      <c r="I179" s="2" t="str">
        <f>IFERROR(__xludf.DUMMYFUNCTION("""COMPUTED_VALUE"""),"पत्ता संपादित करा")</f>
        <v>पत्ता संपादित करा</v>
      </c>
      <c r="J179" s="2" t="str">
        <f>IFERROR(__xludf.DUMMYFUNCTION("""COMPUTED_VALUE"""),"വിലാസം എഡിറ്റുചെയ്യുക")</f>
        <v>വിലാസം എഡിറ്റുചെയ്യുക</v>
      </c>
      <c r="K179" s="2" t="str">
        <f>IFERROR(__xludf.DUMMYFUNCTION("""COMPUTED_VALUE"""),"ਸੋਧ ਦਾ ਪਤਾ")</f>
        <v>ਸੋਧ ਦਾ ਪਤਾ</v>
      </c>
      <c r="L179" s="2" t="str">
        <f>IFERROR(__xludf.DUMMYFUNCTION("""COMPUTED_VALUE"""),"முகவரியைத் திருத்து")</f>
        <v>முகவரியைத் திருத்து</v>
      </c>
      <c r="M179" s="2" t="str">
        <f>IFERROR(__xludf.DUMMYFUNCTION("""COMPUTED_VALUE"""),"చిరునామాను సవరించండి")</f>
        <v>చిరునామాను సవరించండి</v>
      </c>
    </row>
    <row r="180">
      <c r="A180" s="2" t="str">
        <f>Master_en!A180</f>
        <v>addMember</v>
      </c>
      <c r="B180" s="2" t="str">
        <f>Master_en!B180</f>
        <v>Add Member</v>
      </c>
      <c r="C180" s="2" t="str">
        <f>IFERROR(__xludf.DUMMYFUNCTION("""COMPUTED_VALUE"""),"সদস্য যুক্ত করুন")</f>
        <v>সদস্য যুক্ত করুন</v>
      </c>
      <c r="D180" s="2" t="str">
        <f>IFERROR(__xludf.DUMMYFUNCTION("""COMPUTED_VALUE"""),"सदस्य जोड़ें")</f>
        <v>सदस्य जोड़ें</v>
      </c>
      <c r="E180" s="2" t="str">
        <f>IFERROR(__xludf.DUMMYFUNCTION("""COMPUTED_VALUE"""),"ಸದಸ್ಯರನ್ನು ಸೇರಿಸಿ")</f>
        <v>ಸದಸ್ಯರನ್ನು ಸೇರಿಸಿ</v>
      </c>
      <c r="F180" s="2" t="str">
        <f>IFERROR(__xludf.DUMMYFUNCTION("""COMPUTED_VALUE"""),"ସଦସ୍ୟ ଯୋଡନ୍ତୁ |")</f>
        <v>ସଦସ୍ୟ ଯୋଡନ୍ତୁ |</v>
      </c>
      <c r="G180" s="2" t="str">
        <f>IFERROR(__xludf.DUMMYFUNCTION("""COMPUTED_VALUE"""),"সদস্য যোগ কৰক")</f>
        <v>সদস্য যোগ কৰক</v>
      </c>
      <c r="H180" s="2" t="str">
        <f>IFERROR(__xludf.DUMMYFUNCTION("""COMPUTED_VALUE"""),"સભ્ય ઉમેરો")</f>
        <v>સભ્ય ઉમેરો</v>
      </c>
      <c r="I180" s="2" t="str">
        <f>IFERROR(__xludf.DUMMYFUNCTION("""COMPUTED_VALUE"""),"सदस्य जोडा")</f>
        <v>सदस्य जोडा</v>
      </c>
      <c r="J180" s="2" t="str">
        <f>IFERROR(__xludf.DUMMYFUNCTION("""COMPUTED_VALUE"""),"അംഗം ചേർക്കുക")</f>
        <v>അംഗം ചേർക്കുക</v>
      </c>
      <c r="K180" s="2" t="str">
        <f>IFERROR(__xludf.DUMMYFUNCTION("""COMPUTED_VALUE"""),"ਸਦੱਸ ਸ਼ਾਮਲ ਕਰੋ")</f>
        <v>ਸਦੱਸ ਸ਼ਾਮਲ ਕਰੋ</v>
      </c>
      <c r="L180" s="2" t="str">
        <f>IFERROR(__xludf.DUMMYFUNCTION("""COMPUTED_VALUE"""),"உறுப்பினரைச் சேர்க்கவும்")</f>
        <v>உறுப்பினரைச் சேர்க்கவும்</v>
      </c>
      <c r="M180" s="2" t="str">
        <f>IFERROR(__xludf.DUMMYFUNCTION("""COMPUTED_VALUE"""),"సభ్యుడిని జోడించండి")</f>
        <v>సభ్యుడిని జోడించండి</v>
      </c>
    </row>
    <row r="181">
      <c r="A181" s="2" t="str">
        <f>Master_en!A181</f>
        <v>deliveryWithin</v>
      </c>
      <c r="B181" s="2" t="str">
        <f>Master_en!B181</f>
        <v>Delivery within</v>
      </c>
      <c r="C181" s="2" t="str">
        <f>IFERROR(__xludf.DUMMYFUNCTION("""COMPUTED_VALUE"""),"মধ্যে বিতরণ")</f>
        <v>মধ্যে বিতরণ</v>
      </c>
      <c r="D181" s="2" t="str">
        <f>IFERROR(__xludf.DUMMYFUNCTION("""COMPUTED_VALUE"""),"भीतर वितरण")</f>
        <v>भीतर वितरण</v>
      </c>
      <c r="E181" s="2" t="str">
        <f>IFERROR(__xludf.DUMMYFUNCTION("""COMPUTED_VALUE"""),"ಒಳಗೆ ವಿತರಣೆ")</f>
        <v>ಒಳಗೆ ವಿತರಣೆ</v>
      </c>
      <c r="F181" s="2" t="str">
        <f>IFERROR(__xludf.DUMMYFUNCTION("""COMPUTED_VALUE"""),"ଭିତରେ ବିତରଣ |")</f>
        <v>ଭିତରେ ବିତରଣ |</v>
      </c>
      <c r="G181" s="2" t="str">
        <f>IFERROR(__xludf.DUMMYFUNCTION("""COMPUTED_VALUE"""),"ভিতৰত ডেলিভাৰী")</f>
        <v>ভিতৰত ডেলিভাৰী</v>
      </c>
      <c r="H181" s="2" t="str">
        <f>IFERROR(__xludf.DUMMYFUNCTION("""COMPUTED_VALUE"""),"અંદરની ડિલિવરી")</f>
        <v>અંદરની ડિલિવરી</v>
      </c>
      <c r="I181" s="2" t="str">
        <f>IFERROR(__xludf.DUMMYFUNCTION("""COMPUTED_VALUE"""),"आत वितरण")</f>
        <v>आत वितरण</v>
      </c>
      <c r="J181" s="2" t="str">
        <f>IFERROR(__xludf.DUMMYFUNCTION("""COMPUTED_VALUE"""),"ഉള്ളിൽ ഡെലിവറി")</f>
        <v>ഉള്ളിൽ ഡെലിവറി</v>
      </c>
      <c r="K181" s="2" t="str">
        <f>IFERROR(__xludf.DUMMYFUNCTION("""COMPUTED_VALUE"""),"ਅੰਦਰ ਡਿਲਿਵਰੀ")</f>
        <v>ਅੰਦਰ ਡਿਲਿਵਰੀ</v>
      </c>
      <c r="L181" s="2" t="str">
        <f>IFERROR(__xludf.DUMMYFUNCTION("""COMPUTED_VALUE"""),"உள்ளே டெலிவரி")</f>
        <v>உள்ளே டெலிவரி</v>
      </c>
      <c r="M181" s="2" t="str">
        <f>IFERROR(__xludf.DUMMYFUNCTION("""COMPUTED_VALUE"""),"లోపల డెలివరీ")</f>
        <v>లోపల డెలివరీ</v>
      </c>
    </row>
    <row r="182">
      <c r="A182" s="2" t="str">
        <f>Master_en!A182</f>
        <v>home</v>
      </c>
      <c r="B182" s="2" t="str">
        <f>Master_en!B182</f>
        <v>Home</v>
      </c>
      <c r="C182" s="2" t="str">
        <f>IFERROR(__xludf.DUMMYFUNCTION("""COMPUTED_VALUE"""),"বাড়ি")</f>
        <v>বাড়ি</v>
      </c>
      <c r="D182" s="2" t="str">
        <f>IFERROR(__xludf.DUMMYFUNCTION("""COMPUTED_VALUE"""),"घर")</f>
        <v>घर</v>
      </c>
      <c r="E182" s="2" t="str">
        <f>IFERROR(__xludf.DUMMYFUNCTION("""COMPUTED_VALUE"""),"ಮನೆ")</f>
        <v>ಮನೆ</v>
      </c>
      <c r="F182" s="2" t="str">
        <f>IFERROR(__xludf.DUMMYFUNCTION("""COMPUTED_VALUE"""),"ଘର")</f>
        <v>ଘର</v>
      </c>
      <c r="G182" s="2" t="str">
        <f>IFERROR(__xludf.DUMMYFUNCTION("""COMPUTED_VALUE"""),"গৃহ")</f>
        <v>গৃহ</v>
      </c>
      <c r="H182" s="2" t="str">
        <f>IFERROR(__xludf.DUMMYFUNCTION("""COMPUTED_VALUE"""),"ઘર")</f>
        <v>ઘર</v>
      </c>
      <c r="I182" s="2" t="str">
        <f>IFERROR(__xludf.DUMMYFUNCTION("""COMPUTED_VALUE"""),"मुख्यपृष्ठ")</f>
        <v>मुख्यपृष्ठ</v>
      </c>
      <c r="J182" s="2" t="str">
        <f>IFERROR(__xludf.DUMMYFUNCTION("""COMPUTED_VALUE"""),"വീട്")</f>
        <v>വീട്</v>
      </c>
      <c r="K182" s="2" t="str">
        <f>IFERROR(__xludf.DUMMYFUNCTION("""COMPUTED_VALUE"""),"ਘਰ")</f>
        <v>ਘਰ</v>
      </c>
      <c r="L182" s="2" t="str">
        <f>IFERROR(__xludf.DUMMYFUNCTION("""COMPUTED_VALUE"""),"வீடு")</f>
        <v>வீடு</v>
      </c>
      <c r="M182" s="2" t="str">
        <f>IFERROR(__xludf.DUMMYFUNCTION("""COMPUTED_VALUE"""),"ఇల్లు")</f>
        <v>ఇల్లు</v>
      </c>
    </row>
    <row r="183">
      <c r="A183" s="2" t="str">
        <f>Master_en!A183</f>
        <v>notification</v>
      </c>
      <c r="B183" s="2" t="str">
        <f>Master_en!B183</f>
        <v>Notification</v>
      </c>
      <c r="C183" s="2" t="str">
        <f>IFERROR(__xludf.DUMMYFUNCTION("""COMPUTED_VALUE"""),"বিজ্ঞপ্তি")</f>
        <v>বিজ্ঞপ্তি</v>
      </c>
      <c r="D183" s="2" t="str">
        <f>IFERROR(__xludf.DUMMYFUNCTION("""COMPUTED_VALUE"""),"अधिसूचना")</f>
        <v>अधिसूचना</v>
      </c>
      <c r="E183" s="2" t="str">
        <f>IFERROR(__xludf.DUMMYFUNCTION("""COMPUTED_VALUE"""),"ಅಧಿಸೂಚನೆ")</f>
        <v>ಅಧಿಸೂಚನೆ</v>
      </c>
      <c r="F183" s="2" t="str">
        <f>IFERROR(__xludf.DUMMYFUNCTION("""COMPUTED_VALUE"""),"ବିଜ୍ଞପ୍ତି")</f>
        <v>ବିଜ୍ଞପ୍ତି</v>
      </c>
      <c r="G183" s="2" t="str">
        <f>IFERROR(__xludf.DUMMYFUNCTION("""COMPUTED_VALUE"""),"অধিসূচনা")</f>
        <v>অধিসূচনা</v>
      </c>
      <c r="H183" s="2" t="str">
        <f>IFERROR(__xludf.DUMMYFUNCTION("""COMPUTED_VALUE"""),"સૂચના")</f>
        <v>સૂચના</v>
      </c>
      <c r="I183" s="2" t="str">
        <f>IFERROR(__xludf.DUMMYFUNCTION("""COMPUTED_VALUE"""),"सूचना")</f>
        <v>सूचना</v>
      </c>
      <c r="J183" s="2" t="str">
        <f>IFERROR(__xludf.DUMMYFUNCTION("""COMPUTED_VALUE"""),"അറിയിപ്പ്")</f>
        <v>അറിയിപ്പ്</v>
      </c>
      <c r="K183" s="2" t="str">
        <f>IFERROR(__xludf.DUMMYFUNCTION("""COMPUTED_VALUE"""),"ਸੂਚਨਾ")</f>
        <v>ਸੂਚਨਾ</v>
      </c>
      <c r="L183" s="2" t="str">
        <f>IFERROR(__xludf.DUMMYFUNCTION("""COMPUTED_VALUE"""),"அறிவிப்பு")</f>
        <v>அறிவிப்பு</v>
      </c>
      <c r="M183" s="2" t="str">
        <f>IFERROR(__xludf.DUMMYFUNCTION("""COMPUTED_VALUE"""),"నోటిఫికేషన్")</f>
        <v>నోటిఫికేషన్</v>
      </c>
    </row>
    <row r="184">
      <c r="A184" s="2" t="str">
        <f>Master_en!A184</f>
        <v>voice</v>
      </c>
      <c r="B184" s="2" t="str">
        <f>Master_en!B184</f>
        <v>Voice</v>
      </c>
      <c r="C184" s="2" t="str">
        <f>IFERROR(__xludf.DUMMYFUNCTION("""COMPUTED_VALUE"""),"ভয়েস")</f>
        <v>ভয়েস</v>
      </c>
      <c r="D184" s="2" t="str">
        <f>IFERROR(__xludf.DUMMYFUNCTION("""COMPUTED_VALUE"""),"आवाज़")</f>
        <v>आवाज़</v>
      </c>
      <c r="E184" s="2" t="str">
        <f>IFERROR(__xludf.DUMMYFUNCTION("""COMPUTED_VALUE"""),"ಧ್ವನಿ")</f>
        <v>ಧ್ವನಿ</v>
      </c>
      <c r="F184" s="2" t="str">
        <f>IFERROR(__xludf.DUMMYFUNCTION("""COMPUTED_VALUE"""),"ସ୍ୱର")</f>
        <v>ସ୍ୱର</v>
      </c>
      <c r="G184" s="2" t="str">
        <f>IFERROR(__xludf.DUMMYFUNCTION("""COMPUTED_VALUE"""),"কণ্ঠ")</f>
        <v>কণ্ঠ</v>
      </c>
      <c r="H184" s="2" t="str">
        <f>IFERROR(__xludf.DUMMYFUNCTION("""COMPUTED_VALUE"""),"અવાજ")</f>
        <v>અવાજ</v>
      </c>
      <c r="I184" s="2" t="str">
        <f>IFERROR(__xludf.DUMMYFUNCTION("""COMPUTED_VALUE"""),"आवाज")</f>
        <v>आवाज</v>
      </c>
      <c r="J184" s="2" t="str">
        <f>IFERROR(__xludf.DUMMYFUNCTION("""COMPUTED_VALUE"""),"ശബ്ദം")</f>
        <v>ശബ്ദം</v>
      </c>
      <c r="K184" s="2" t="str">
        <f>IFERROR(__xludf.DUMMYFUNCTION("""COMPUTED_VALUE"""),"ਆਵਾਜ਼")</f>
        <v>ਆਵਾਜ਼</v>
      </c>
      <c r="L184" s="2" t="str">
        <f>IFERROR(__xludf.DUMMYFUNCTION("""COMPUTED_VALUE"""),"குரல்")</f>
        <v>குரல்</v>
      </c>
      <c r="M184" s="2" t="str">
        <f>IFERROR(__xludf.DUMMYFUNCTION("""COMPUTED_VALUE"""),"స్వరము")</f>
        <v>స్వరము</v>
      </c>
    </row>
    <row r="185">
      <c r="A185" s="2" t="str">
        <f>Master_en!A185</f>
        <v>anotphasbeensentatyourregisteredmobilenumber</v>
      </c>
      <c r="B185" s="2" t="str">
        <f>Master_en!B185</f>
        <v>An OTP has been sent at your registered mobile number</v>
      </c>
      <c r="C185" s="2" t="str">
        <f>IFERROR(__xludf.DUMMYFUNCTION("""COMPUTED_VALUE"""),"আপনার নিবন্ধিত মোবাইল নম্বরটিতে একটি ওটিপি প্রেরণ করা হয়েছে")</f>
        <v>আপনার নিবন্ধিত মোবাইল নম্বরটিতে একটি ওটিপি প্রেরণ করা হয়েছে</v>
      </c>
      <c r="D185" s="2" t="str">
        <f>IFERROR(__xludf.DUMMYFUNCTION("""COMPUTED_VALUE"""),"आपके पंजीकृत मोबाइल नंबर पर एक ओटीपी भेजा गया है")</f>
        <v>आपके पंजीकृत मोबाइल नंबर पर एक ओटीपी भेजा गया है</v>
      </c>
      <c r="E185" s="2" t="str">
        <f>IFERROR(__xludf.DUMMYFUNCTION("""COMPUTED_VALUE"""),"ನಿಮ್ಮ ನೋಂದಾಯಿತ ಮೊಬೈಲ್ ಸಂಖ್ಯೆಯಲ್ಲಿ ಒಟಿಪಿಯನ್ನು ಕಳುಹಿಸಲಾಗಿದೆ")</f>
        <v>ನಿಮ್ಮ ನೋಂದಾಯಿತ ಮೊಬೈಲ್ ಸಂಖ್ಯೆಯಲ್ಲಿ ಒಟಿಪಿಯನ್ನು ಕಳುಹಿಸಲಾಗಿದೆ</v>
      </c>
      <c r="F185" s="2" t="str">
        <f>IFERROR(__xludf.DUMMYFUNCTION("""COMPUTED_VALUE"""),"ତୁମର ପଞ୍ଜୀକୃତ ମୋବାଇଲ୍ ନମ୍ବରରେ ଏକ OTP ପଠାଯାଇଛି |")</f>
        <v>ତୁମର ପଞ୍ଜୀକୃତ ମୋବାଇଲ୍ ନମ୍ବରରେ ଏକ OTP ପଠାଯାଇଛି |</v>
      </c>
      <c r="G185" s="2" t="str">
        <f>IFERROR(__xludf.DUMMYFUNCTION("""COMPUTED_VALUE"""),"আপোনাৰ পঞ্জীয়নভুক্ত মোবাইল নম্বৰত এটা OTP প্ৰেৰণ কৰা হৈছে")</f>
        <v>আপোনাৰ পঞ্জীয়নভুক্ত মোবাইল নম্বৰত এটা OTP প্ৰেৰণ কৰা হৈছে</v>
      </c>
      <c r="H185" s="2" t="str">
        <f>IFERROR(__xludf.DUMMYFUNCTION("""COMPUTED_VALUE"""),"તમારા રજિસ્ટર્ડ મોબાઇલ નંબર પર ઓટીપી મોકલવામાં આવી છે")</f>
        <v>તમારા રજિસ્ટર્ડ મોબાઇલ નંબર પર ઓટીપી મોકલવામાં આવી છે</v>
      </c>
      <c r="I185" s="2" t="str">
        <f>IFERROR(__xludf.DUMMYFUNCTION("""COMPUTED_VALUE"""),"आपल्या नोंदणीकृत मोबाइल नंबरवर एक ओटीपी पाठविला गेला आहे")</f>
        <v>आपल्या नोंदणीकृत मोबाइल नंबरवर एक ओटीपी पाठविला गेला आहे</v>
      </c>
      <c r="J185" s="2" t="str">
        <f>IFERROR(__xludf.DUMMYFUNCTION("""COMPUTED_VALUE"""),"നിങ്ങളുടെ രജിസ്റ്റർ ചെയ്ത മൊബൈൽ നമ്പറിൽ ഒരു OTP അയച്ചു")</f>
        <v>നിങ്ങളുടെ രജിസ്റ്റർ ചെയ്ത മൊബൈൽ നമ്പറിൽ ഒരു OTP അയച്ചു</v>
      </c>
      <c r="K185" s="2" t="str">
        <f>IFERROR(__xludf.DUMMYFUNCTION("""COMPUTED_VALUE"""),"ਤੁਹਾਡੇ ਰਜਿਸਟਰਡ ਮੋਬਾਈਲ ਨੰਬਰ ਤੇ ਇੱਕ ਓਟੀਪੀ ਭੇਜਿਆ ਗਿਆ ਹੈ")</f>
        <v>ਤੁਹਾਡੇ ਰਜਿਸਟਰਡ ਮੋਬਾਈਲ ਨੰਬਰ ਤੇ ਇੱਕ ਓਟੀਪੀ ਭੇਜਿਆ ਗਿਆ ਹੈ</v>
      </c>
      <c r="L185" s="2" t="str">
        <f>IFERROR(__xludf.DUMMYFUNCTION("""COMPUTED_VALUE"""),"உங்கள் பதிவுசெய்யப்பட்ட மொபைல் எண்ணில் ஒரு OTP அனுப்பப்பட்டுள்ளது")</f>
        <v>உங்கள் பதிவுசெய்யப்பட்ட மொபைல் எண்ணில் ஒரு OTP அனுப்பப்பட்டுள்ளது</v>
      </c>
      <c r="M185" s="2" t="str">
        <f>IFERROR(__xludf.DUMMYFUNCTION("""COMPUTED_VALUE"""),"మీ రిజిస్టర్డ్ మొబైల్ నంబర్‌కు OTP పంపబడింది")</f>
        <v>మీ రిజిస్టర్డ్ మొబైల్ నంబర్‌కు OTP పంపబడింది</v>
      </c>
    </row>
    <row r="186">
      <c r="A186" s="2" t="str">
        <f>Master_en!A186</f>
        <v>delivering</v>
      </c>
      <c r="B186" s="2" t="str">
        <f>Master_en!B186</f>
        <v>Delivering </v>
      </c>
      <c r="C186" s="2" t="str">
        <f>IFERROR(__xludf.DUMMYFUNCTION("""COMPUTED_VALUE"""),"বিতরণ")</f>
        <v>বিতরণ</v>
      </c>
      <c r="D186" s="2" t="str">
        <f>IFERROR(__xludf.DUMMYFUNCTION("""COMPUTED_VALUE"""),"देते")</f>
        <v>देते</v>
      </c>
      <c r="E186" s="2" t="str">
        <f>IFERROR(__xludf.DUMMYFUNCTION("""COMPUTED_VALUE"""),"ತಲುಪಿಸಲಾಗುತ್ತದೆ")</f>
        <v>ತಲುಪಿಸಲಾಗುತ್ತದೆ</v>
      </c>
      <c r="F186" s="2" t="str">
        <f>IFERROR(__xludf.DUMMYFUNCTION("""COMPUTED_VALUE"""),"ବିତରଣ")</f>
        <v>ବିତରଣ</v>
      </c>
      <c r="G186" s="2" t="str">
        <f>IFERROR(__xludf.DUMMYFUNCTION("""COMPUTED_VALUE"""),"ডেলিভাৰী কৰা")</f>
        <v>ডেলিভাৰী কৰা</v>
      </c>
      <c r="H186" s="2" t="str">
        <f>IFERROR(__xludf.DUMMYFUNCTION("""COMPUTED_VALUE"""),"પહોંચાડવું")</f>
        <v>પહોંચાડવું</v>
      </c>
      <c r="I186" s="2" t="str">
        <f>IFERROR(__xludf.DUMMYFUNCTION("""COMPUTED_VALUE"""),"वितरण")</f>
        <v>वितरण</v>
      </c>
      <c r="J186" s="2" t="str">
        <f>IFERROR(__xludf.DUMMYFUNCTION("""COMPUTED_VALUE"""),"കൈമാറുന്നു")</f>
        <v>കൈമാറുന്നു</v>
      </c>
      <c r="K186" s="2" t="str">
        <f>IFERROR(__xludf.DUMMYFUNCTION("""COMPUTED_VALUE"""),"ਪੇਸ਼ ਕਰਨਾ")</f>
        <v>ਪੇਸ਼ ਕਰਨਾ</v>
      </c>
      <c r="L186" s="2" t="str">
        <f>IFERROR(__xludf.DUMMYFUNCTION("""COMPUTED_VALUE"""),"வழங்குதல்")</f>
        <v>வழங்குதல்</v>
      </c>
      <c r="M186" s="2" t="str">
        <f>IFERROR(__xludf.DUMMYFUNCTION("""COMPUTED_VALUE"""),"పంపిణీ")</f>
        <v>పంపిణీ</v>
      </c>
    </row>
    <row r="187">
      <c r="A187" s="2" t="str">
        <f>Master_en!A187</f>
        <v>notDelivering</v>
      </c>
      <c r="B187" s="2" t="str">
        <f>Master_en!B187</f>
        <v>Not delivering</v>
      </c>
      <c r="C187" s="2" t="str">
        <f>IFERROR(__xludf.DUMMYFUNCTION("""COMPUTED_VALUE"""),"বিতরণ না")</f>
        <v>বিতরণ না</v>
      </c>
      <c r="D187" s="2" t="str">
        <f>IFERROR(__xludf.DUMMYFUNCTION("""COMPUTED_VALUE"""),"डिलीवर नहीं")</f>
        <v>डिलीवर नहीं</v>
      </c>
      <c r="E187" s="2" t="str">
        <f>IFERROR(__xludf.DUMMYFUNCTION("""COMPUTED_VALUE"""),"ತಲುಪಿಸುತ್ತಿಲ್ಲ")</f>
        <v>ತಲುಪಿಸುತ್ತಿಲ್ಲ</v>
      </c>
      <c r="F187" s="2" t="str">
        <f>IFERROR(__xludf.DUMMYFUNCTION("""COMPUTED_VALUE"""),"ବିତରଣ ନକରିବା")</f>
        <v>ବିତରଣ ନକରିବା</v>
      </c>
      <c r="G187" s="2" t="str">
        <f>IFERROR(__xludf.DUMMYFUNCTION("""COMPUTED_VALUE"""),"ডেলিভাৰী কৰা নাই")</f>
        <v>ডেলিভাৰী কৰা নাই</v>
      </c>
      <c r="H187" s="2" t="str">
        <f>IFERROR(__xludf.DUMMYFUNCTION("""COMPUTED_VALUE"""),"વિતરિત નહીં")</f>
        <v>વિતરિત નહીં</v>
      </c>
      <c r="I187" s="2" t="str">
        <f>IFERROR(__xludf.DUMMYFUNCTION("""COMPUTED_VALUE"""),"वितरण नाही")</f>
        <v>वितरण नाही</v>
      </c>
      <c r="J187" s="2" t="str">
        <f>IFERROR(__xludf.DUMMYFUNCTION("""COMPUTED_VALUE"""),"വിതരണം ചെയ്യുന്നില്ല")</f>
        <v>വിതരണം ചെയ്യുന്നില്ല</v>
      </c>
      <c r="K187" s="2" t="str">
        <f>IFERROR(__xludf.DUMMYFUNCTION("""COMPUTED_VALUE"""),"ਪੇਸ਼ ਨਹੀਂ ਕਰ ਰਿਹਾ")</f>
        <v>ਪੇਸ਼ ਨਹੀਂ ਕਰ ਰਿਹਾ</v>
      </c>
      <c r="L187" s="2" t="str">
        <f>IFERROR(__xludf.DUMMYFUNCTION("""COMPUTED_VALUE"""),"வழங்கவில்லை")</f>
        <v>வழங்கவில்லை</v>
      </c>
      <c r="M187" s="2" t="str">
        <f>IFERROR(__xludf.DUMMYFUNCTION("""COMPUTED_VALUE"""),"పంపిణీ చేయడం లేదు")</f>
        <v>పంపిణీ చేయడం లేదు</v>
      </c>
    </row>
    <row r="188">
      <c r="A188" s="2" t="str">
        <f>Master_en!A188</f>
        <v>sellerProfile</v>
      </c>
      <c r="B188" s="2" t="str">
        <f>Master_en!B188</f>
        <v>Seller profile</v>
      </c>
      <c r="C188" s="2" t="str">
        <f>IFERROR(__xludf.DUMMYFUNCTION("""COMPUTED_VALUE"""),"বিক্রেতা প্রোফাইল")</f>
        <v>বিক্রেতা প্রোফাইল</v>
      </c>
      <c r="D188" s="2" t="str">
        <f>IFERROR(__xludf.DUMMYFUNCTION("""COMPUTED_VALUE"""),"विक्रेता की प्रोफ़ाइल")</f>
        <v>विक्रेता की प्रोफ़ाइल</v>
      </c>
      <c r="E188" s="2" t="str">
        <f>IFERROR(__xludf.DUMMYFUNCTION("""COMPUTED_VALUE"""),"ಮಾರಾಟಗಾರರ ಪ್ರೊಫೈಲ್")</f>
        <v>ಮಾರಾಟಗಾರರ ಪ್ರೊಫೈಲ್</v>
      </c>
      <c r="F188" s="2" t="str">
        <f>IFERROR(__xludf.DUMMYFUNCTION("""COMPUTED_VALUE"""),"ବିକ୍ରେତା ପ୍ରୋଫାଇଲ୍ |")</f>
        <v>ବିକ୍ରେତା ପ୍ରୋଫାଇଲ୍ |</v>
      </c>
      <c r="G188" s="2" t="str">
        <f>IFERROR(__xludf.DUMMYFUNCTION("""COMPUTED_VALUE"""),"বিক্ৰেতাৰ প্ৰফাইল")</f>
        <v>বিক্ৰেতাৰ প্ৰফাইল</v>
      </c>
      <c r="H188" s="2" t="str">
        <f>IFERROR(__xludf.DUMMYFUNCTION("""COMPUTED_VALUE"""),"વિક્રેતા પ્રોફાઇલ")</f>
        <v>વિક્રેતા પ્રોફાઇલ</v>
      </c>
      <c r="I188" s="2" t="str">
        <f>IFERROR(__xludf.DUMMYFUNCTION("""COMPUTED_VALUE"""),"विक्रेता प्रोफाइल")</f>
        <v>विक्रेता प्रोफाइल</v>
      </c>
      <c r="J188" s="2" t="str">
        <f>IFERROR(__xludf.DUMMYFUNCTION("""COMPUTED_VALUE"""),"വിൽപ്പനക്കാരന്റെ പ്രൊഫൈൽ")</f>
        <v>വിൽപ്പനക്കാരന്റെ പ്രൊഫൈൽ</v>
      </c>
      <c r="K188" s="2" t="str">
        <f>IFERROR(__xludf.DUMMYFUNCTION("""COMPUTED_VALUE"""),"ਵਿਕਰੇਤਾ ਪ੍ਰੋਫਾਈਲ")</f>
        <v>ਵਿਕਰੇਤਾ ਪ੍ਰੋਫਾਈਲ</v>
      </c>
      <c r="L188" s="2" t="str">
        <f>IFERROR(__xludf.DUMMYFUNCTION("""COMPUTED_VALUE"""),"விற்பனையாளர் சுயவிவரம்")</f>
        <v>விற்பனையாளர் சுயவிவரம்</v>
      </c>
      <c r="M188" s="2" t="str">
        <f>IFERROR(__xludf.DUMMYFUNCTION("""COMPUTED_VALUE"""),"విక్రేత ప్రొఫైల్")</f>
        <v>విక్రేత ప్రొఫైల్</v>
      </c>
    </row>
    <row r="189">
      <c r="A189" s="2" t="str">
        <f>Master_en!A189</f>
        <v>fabulous</v>
      </c>
      <c r="B189" s="2" t="str">
        <f>Master_en!B189</f>
        <v>Fabulous</v>
      </c>
      <c r="C189" s="2" t="str">
        <f>IFERROR(__xludf.DUMMYFUNCTION("""COMPUTED_VALUE"""),"কল্পিত")</f>
        <v>কল্পিত</v>
      </c>
      <c r="D189" s="2" t="str">
        <f>IFERROR(__xludf.DUMMYFUNCTION("""COMPUTED_VALUE"""),"आश्चर्यजनक")</f>
        <v>आश्चर्यजनक</v>
      </c>
      <c r="E189" s="2" t="str">
        <f>IFERROR(__xludf.DUMMYFUNCTION("""COMPUTED_VALUE"""),"ಅದ್ಭುತ")</f>
        <v>ಅದ್ಭುತ</v>
      </c>
      <c r="F189" s="2" t="str">
        <f>IFERROR(__xludf.DUMMYFUNCTION("""COMPUTED_VALUE"""),"ଫାବୁଲସ୍ |")</f>
        <v>ଫାବୁଲସ୍ |</v>
      </c>
      <c r="G189" s="2" t="str">
        <f>IFERROR(__xludf.DUMMYFUNCTION("""COMPUTED_VALUE"""),"অবিশ্বাস্য")</f>
        <v>অবিশ্বাস্য</v>
      </c>
      <c r="H189" s="2" t="str">
        <f>IFERROR(__xludf.DUMMYFUNCTION("""COMPUTED_VALUE"""),"કલ્પિત")</f>
        <v>કલ્પિત</v>
      </c>
      <c r="I189" s="2" t="str">
        <f>IFERROR(__xludf.DUMMYFUNCTION("""COMPUTED_VALUE"""),"विलक्षण")</f>
        <v>विलक्षण</v>
      </c>
      <c r="J189" s="2" t="str">
        <f>IFERROR(__xludf.DUMMYFUNCTION("""COMPUTED_VALUE"""),"അവാസ്തവമായ")</f>
        <v>അവാസ്തവമായ</v>
      </c>
      <c r="K189" s="2" t="str">
        <f>IFERROR(__xludf.DUMMYFUNCTION("""COMPUTED_VALUE"""),"ਸ਼ਾਨਦਾਰ")</f>
        <v>ਸ਼ਾਨਦਾਰ</v>
      </c>
      <c r="L189" s="2" t="str">
        <f>IFERROR(__xludf.DUMMYFUNCTION("""COMPUTED_VALUE"""),"அற்புதமான")</f>
        <v>அற்புதமான</v>
      </c>
      <c r="M189" s="2" t="str">
        <f>IFERROR(__xludf.DUMMYFUNCTION("""COMPUTED_VALUE"""),"అద్భుతమైన")</f>
        <v>అద్భుతమైన</v>
      </c>
    </row>
    <row r="190">
      <c r="A190" s="2" t="str">
        <f>Master_en!A190</f>
        <v>customerRated</v>
      </c>
      <c r="B190" s="2" t="str">
        <f>Master_en!B190</f>
        <v>Customer Rated</v>
      </c>
      <c r="C190" s="2" t="str">
        <f>IFERROR(__xludf.DUMMYFUNCTION("""COMPUTED_VALUE"""),"গ্রাহক রেট")</f>
        <v>গ্রাহক রেট</v>
      </c>
      <c r="D190" s="2" t="str">
        <f>IFERROR(__xludf.DUMMYFUNCTION("""COMPUTED_VALUE"""),"ग्राहक रेटेड")</f>
        <v>ग्राहक रेटेड</v>
      </c>
      <c r="E190" s="2" t="str">
        <f>IFERROR(__xludf.DUMMYFUNCTION("""COMPUTED_VALUE"""),"ಗ್ರಹಕರ ಬೇಡಿಕೆ")</f>
        <v>ಗ್ರಹಕರ ಬೇಡಿಕೆ</v>
      </c>
      <c r="F190" s="2" t="str">
        <f>IFERROR(__xludf.DUMMYFUNCTION("""COMPUTED_VALUE"""),"ଗ୍ରାହକ ମୂଲ୍ୟାୟନ")</f>
        <v>ଗ୍ରାହକ ମୂଲ୍ୟାୟନ</v>
      </c>
      <c r="G190" s="2" t="str">
        <f>IFERROR(__xludf.DUMMYFUNCTION("""COMPUTED_VALUE"""),"গ্ৰাহকৰ ৰেটিং")</f>
        <v>গ্ৰাহকৰ ৰেটিং</v>
      </c>
      <c r="H190" s="2" t="str">
        <f>IFERROR(__xludf.DUMMYFUNCTION("""COMPUTED_VALUE"""),"ગ્રાહક માનાંકીત")</f>
        <v>ગ્રાહક માનાંકીત</v>
      </c>
      <c r="I190" s="2" t="str">
        <f>IFERROR(__xludf.DUMMYFUNCTION("""COMPUTED_VALUE"""),"ग्राहकांनी रेट केलेले")</f>
        <v>ग्राहकांनी रेट केलेले</v>
      </c>
      <c r="J190" s="2" t="str">
        <f>IFERROR(__xludf.DUMMYFUNCTION("""COMPUTED_VALUE"""),"ഉപഭോക്താവ് റേറ്റുചെയ്തു")</f>
        <v>ഉപഭോക്താവ് റേറ്റുചെയ്തു</v>
      </c>
      <c r="K190" s="2" t="str">
        <f>IFERROR(__xludf.DUMMYFUNCTION("""COMPUTED_VALUE"""),"ਗਾਹਕ ਰੇਟ ਕੀਤਾ ਗਿਆ")</f>
        <v>ਗਾਹਕ ਰੇਟ ਕੀਤਾ ਗਿਆ</v>
      </c>
      <c r="L190" s="2" t="str">
        <f>IFERROR(__xludf.DUMMYFUNCTION("""COMPUTED_VALUE"""),"வாடிக்கையாளர் மதிப்பிடப்பட்டது")</f>
        <v>வாடிக்கையாளர் மதிப்பிடப்பட்டது</v>
      </c>
      <c r="M190" s="2" t="str">
        <f>IFERROR(__xludf.DUMMYFUNCTION("""COMPUTED_VALUE"""),"కస్టమర్ రేట్ చేయబడింది")</f>
        <v>కస్టమర్ రేట్ చేయబడింది</v>
      </c>
    </row>
    <row r="191">
      <c r="A191" s="2" t="str">
        <f>Master_en!A191</f>
        <v>searchlocation</v>
      </c>
      <c r="B191" s="2" t="str">
        <f>Master_en!B191</f>
        <v>Search Location</v>
      </c>
      <c r="C191" s="2" t="str">
        <f>IFERROR(__xludf.DUMMYFUNCTION("""COMPUTED_VALUE"""),"সন্ধান অবস্থান")</f>
        <v>সন্ধান অবস্থান</v>
      </c>
      <c r="D191" s="2" t="str">
        <f>IFERROR(__xludf.DUMMYFUNCTION("""COMPUTED_VALUE"""),"खोज स्थान")</f>
        <v>खोज स्थान</v>
      </c>
      <c r="E191" s="2" t="str">
        <f>IFERROR(__xludf.DUMMYFUNCTION("""COMPUTED_VALUE"""),"ಸ್ಥಳವನ್ನು ಹುಡುಕಿ")</f>
        <v>ಸ್ಥಳವನ್ನು ಹುಡುಕಿ</v>
      </c>
      <c r="F191" s="2" t="str">
        <f>IFERROR(__xludf.DUMMYFUNCTION("""COMPUTED_VALUE"""),"ସନ୍ଧାନ ସ୍ଥାନ")</f>
        <v>ସନ୍ଧାନ ସ୍ଥାନ</v>
      </c>
      <c r="G191" s="2" t="str">
        <f>IFERROR(__xludf.DUMMYFUNCTION("""COMPUTED_VALUE"""),"স্থান সন্ধান কৰক")</f>
        <v>স্থান সন্ধান কৰক</v>
      </c>
      <c r="H191" s="2" t="str">
        <f>IFERROR(__xludf.DUMMYFUNCTION("""COMPUTED_VALUE"""),"શોધ સ્થાન")</f>
        <v>શોધ સ્થાન</v>
      </c>
      <c r="I191" s="2" t="str">
        <f>IFERROR(__xludf.DUMMYFUNCTION("""COMPUTED_VALUE"""),"स्थान शोधा")</f>
        <v>स्थान शोधा</v>
      </c>
      <c r="J191" s="2" t="str">
        <f>IFERROR(__xludf.DUMMYFUNCTION("""COMPUTED_VALUE"""),"സ്ഥാനം തിരയുക")</f>
        <v>സ്ഥാനം തിരയുക</v>
      </c>
      <c r="K191" s="2" t="str">
        <f>IFERROR(__xludf.DUMMYFUNCTION("""COMPUTED_VALUE"""),"ਖੋਜ ਸਥਾਨ")</f>
        <v>ਖੋਜ ਸਥਾਨ</v>
      </c>
      <c r="L191" s="2" t="str">
        <f>IFERROR(__xludf.DUMMYFUNCTION("""COMPUTED_VALUE"""),"இடம் தேடல்")</f>
        <v>இடம் தேடல்</v>
      </c>
      <c r="M191" s="2" t="str">
        <f>IFERROR(__xludf.DUMMYFUNCTION("""COMPUTED_VALUE"""),"స్థానాన్ని శోధించండి")</f>
        <v>స్థానాన్ని శోధించండి</v>
      </c>
    </row>
    <row r="192">
      <c r="A192" s="2" t="str">
        <f>Master_en!A192</f>
        <v>shopByCategories</v>
      </c>
      <c r="B192" s="2" t="str">
        <f>Master_en!B192</f>
        <v>Shop by Categories</v>
      </c>
      <c r="C192" s="2" t="str">
        <f>IFERROR(__xludf.DUMMYFUNCTION("""COMPUTED_VALUE"""),"বিভাগ দ্বারা কেনাকাটা")</f>
        <v>বিভাগ দ্বারা কেনাকাটা</v>
      </c>
      <c r="D192" s="2" t="str">
        <f>IFERROR(__xludf.DUMMYFUNCTION("""COMPUTED_VALUE"""),"श्रेणियों द्वारा दुकान")</f>
        <v>श्रेणियों द्वारा दुकान</v>
      </c>
      <c r="E192" s="2" t="str">
        <f>IFERROR(__xludf.DUMMYFUNCTION("""COMPUTED_VALUE"""),"ವರ್ಗಗಳ ಪ್ರಕಾರ ಶಾಪಿಂಗ್ ಮಾಡಿ")</f>
        <v>ವರ್ಗಗಳ ಪ್ರಕಾರ ಶಾಪಿಂಗ್ ಮಾಡಿ</v>
      </c>
      <c r="F192" s="2" t="str">
        <f>IFERROR(__xludf.DUMMYFUNCTION("""COMPUTED_VALUE"""),"ବର୍ଗଗୁଡିକ ଦ୍ୱାରା କିଣନ୍ତୁ |")</f>
        <v>ବର୍ଗଗୁଡିକ ଦ୍ୱାରା କିଣନ୍ତୁ |</v>
      </c>
      <c r="G192" s="2" t="str">
        <f>IFERROR(__xludf.DUMMYFUNCTION("""COMPUTED_VALUE"""),"শ্ৰেণী অনুসৰি বজাৰ কৰক")</f>
        <v>শ্ৰেণী অনুসৰি বজাৰ কৰক</v>
      </c>
      <c r="H192" s="2" t="str">
        <f>IFERROR(__xludf.DUMMYFUNCTION("""COMPUTED_VALUE"""),"શ્રેણીઓ દ્વારા ખરીદી")</f>
        <v>શ્રેણીઓ દ્વારા ખરીદી</v>
      </c>
      <c r="I192" s="2" t="str">
        <f>IFERROR(__xludf.DUMMYFUNCTION("""COMPUTED_VALUE"""),"श्रेणीनुसार खरेदी करा")</f>
        <v>श्रेणीनुसार खरेदी करा</v>
      </c>
      <c r="J192" s="2" t="str">
        <f>IFERROR(__xludf.DUMMYFUNCTION("""COMPUTED_VALUE"""),"വിഭാഗങ്ങളിലൂടെ ഷോപ്പുചെയ്യുക")</f>
        <v>വിഭാഗങ്ങളിലൂടെ ഷോപ്പുചെയ്യുക</v>
      </c>
      <c r="K192" s="2" t="str">
        <f>IFERROR(__xludf.DUMMYFUNCTION("""COMPUTED_VALUE"""),"ਵਰਗ ਦੁਆਰਾ ਖਰੀਦਦਾਰੀ ਕਰੋ")</f>
        <v>ਵਰਗ ਦੁਆਰਾ ਖਰੀਦਦਾਰੀ ਕਰੋ</v>
      </c>
      <c r="L192" s="2" t="str">
        <f>IFERROR(__xludf.DUMMYFUNCTION("""COMPUTED_VALUE"""),"வகைகளால் கடை")</f>
        <v>வகைகளால் கடை</v>
      </c>
      <c r="M192" s="2" t="str">
        <f>IFERROR(__xludf.DUMMYFUNCTION("""COMPUTED_VALUE"""),"వర్గాల వారీగా షాపింగ్ చేయండి")</f>
        <v>వర్గాల వారీగా షాపింగ్ చేయండి</v>
      </c>
    </row>
    <row r="193">
      <c r="A193" s="2" t="str">
        <f>Master_en!A193</f>
        <v>next</v>
      </c>
      <c r="B193" s="2" t="str">
        <f>Master_en!B193</f>
        <v>Next</v>
      </c>
      <c r="C193" s="2" t="str">
        <f>IFERROR(__xludf.DUMMYFUNCTION("""COMPUTED_VALUE"""),"পরবর্তী")</f>
        <v>পরবর্তী</v>
      </c>
      <c r="D193" s="2" t="str">
        <f>IFERROR(__xludf.DUMMYFUNCTION("""COMPUTED_VALUE"""),"अगला")</f>
        <v>अगला</v>
      </c>
      <c r="E193" s="2" t="str">
        <f>IFERROR(__xludf.DUMMYFUNCTION("""COMPUTED_VALUE"""),"ಮುಂದಿನ")</f>
        <v>ಮುಂದಿನ</v>
      </c>
      <c r="F193" s="2" t="str">
        <f>IFERROR(__xludf.DUMMYFUNCTION("""COMPUTED_VALUE"""),"ପରବର୍ତ୍ତୀ")</f>
        <v>ପରବର୍ତ୍ତୀ</v>
      </c>
      <c r="G193" s="2" t="str">
        <f>IFERROR(__xludf.DUMMYFUNCTION("""COMPUTED_VALUE"""),"এটাৰ পাচৰ")</f>
        <v>এটাৰ পাচৰ</v>
      </c>
      <c r="H193" s="2" t="str">
        <f>IFERROR(__xludf.DUMMYFUNCTION("""COMPUTED_VALUE"""),"આગલું")</f>
        <v>આગલું</v>
      </c>
      <c r="I193" s="2" t="str">
        <f>IFERROR(__xludf.DUMMYFUNCTION("""COMPUTED_VALUE"""),"पुढे")</f>
        <v>पुढे</v>
      </c>
      <c r="J193" s="2" t="str">
        <f>IFERROR(__xludf.DUMMYFUNCTION("""COMPUTED_VALUE"""),"അടുത്തത്")</f>
        <v>അടുത്തത്</v>
      </c>
      <c r="K193" s="2" t="str">
        <f>IFERROR(__xludf.DUMMYFUNCTION("""COMPUTED_VALUE"""),"ਅਗਲਾ")</f>
        <v>ਅਗਲਾ</v>
      </c>
      <c r="L193" s="2" t="str">
        <f>IFERROR(__xludf.DUMMYFUNCTION("""COMPUTED_VALUE"""),"அடுத்தது")</f>
        <v>அடுத்தது</v>
      </c>
      <c r="M193" s="2" t="str">
        <f>IFERROR(__xludf.DUMMYFUNCTION("""COMPUTED_VALUE"""),"తరువాత")</f>
        <v>తరువాత</v>
      </c>
    </row>
    <row r="194">
      <c r="A194" s="2" t="str">
        <f>Master_en!A194</f>
        <v>taptorecordclosingnote</v>
      </c>
      <c r="B194" s="2" t="str">
        <f>Master_en!B194</f>
        <v>Tap to record closing note</v>
      </c>
      <c r="C194" s="2" t="str">
        <f>IFERROR(__xludf.DUMMYFUNCTION("""COMPUTED_VALUE"""),"ক্লোজিং নোট রেকর্ড করতে আলতো চাপুন")</f>
        <v>ক্লোজিং নোট রেকর্ড করতে আলতো চাপুন</v>
      </c>
      <c r="D194" s="2" t="str">
        <f>IFERROR(__xludf.DUMMYFUNCTION("""COMPUTED_VALUE"""),"समापन नोट रिकॉर्ड करने के लिए टैप करें")</f>
        <v>समापन नोट रिकॉर्ड करने के लिए टैप करें</v>
      </c>
      <c r="E194" s="2" t="str">
        <f>IFERROR(__xludf.DUMMYFUNCTION("""COMPUTED_VALUE"""),"ಮುಚ್ಚುವ ಟಿಪ್ಪಣಿಯನ್ನು ರೆಕಾರ್ಡ್ ಮಾಡಲು ಟ್ಯಾಪ್ ಮಾಡಿ")</f>
        <v>ಮುಚ್ಚುವ ಟಿಪ್ಪಣಿಯನ್ನು ರೆಕಾರ್ಡ್ ಮಾಡಲು ಟ್ಯಾಪ್ ಮಾಡಿ</v>
      </c>
      <c r="F194" s="2" t="str">
        <f>IFERROR(__xludf.DUMMYFUNCTION("""COMPUTED_VALUE"""),"ବନ୍ଦ ନୋଟ୍ ରେକର୍ଡ କରିବାକୁ ଟ୍ୟାପ୍ କରନ୍ତୁ |")</f>
        <v>ବନ୍ଦ ନୋଟ୍ ରେକର୍ଡ କରିବାକୁ ଟ୍ୟାପ୍ କରନ୍ତୁ |</v>
      </c>
      <c r="G194" s="2" t="str">
        <f>IFERROR(__xludf.DUMMYFUNCTION("""COMPUTED_VALUE"""),"বন্ধ কৰা টোকা ৰেকৰ্ড কৰিবলৈ টেপ কৰক")</f>
        <v>বন্ধ কৰা টোকা ৰেকৰ্ড কৰিবলৈ টেপ কৰক</v>
      </c>
      <c r="H194" s="2" t="str">
        <f>IFERROR(__xludf.DUMMYFUNCTION("""COMPUTED_VALUE"""),"બંધ નોંધ રેકોર્ડ કરવા માટે ટેપ કરો")</f>
        <v>બંધ નોંધ રેકોર્ડ કરવા માટે ટેપ કરો</v>
      </c>
      <c r="I194" s="2" t="str">
        <f>IFERROR(__xludf.DUMMYFUNCTION("""COMPUTED_VALUE"""),"क्लोजिंग नोट रेकॉर्ड करण्यासाठी टॅप करा")</f>
        <v>क्लोजिंग नोट रेकॉर्ड करण्यासाठी टॅप करा</v>
      </c>
      <c r="J194" s="2" t="str">
        <f>IFERROR(__xludf.DUMMYFUNCTION("""COMPUTED_VALUE"""),"റീസ്റ്റിംഗ് കുറിപ്പ് റെക്കോർഡുചെയ്യാൻ ടാപ്പുചെയ്യുക")</f>
        <v>റീസ്റ്റിംഗ് കുറിപ്പ് റെക്കോർഡുചെയ്യാൻ ടാപ്പുചെയ്യുക</v>
      </c>
      <c r="K194" s="2" t="str">
        <f>IFERROR(__xludf.DUMMYFUNCTION("""COMPUTED_VALUE"""),"ਬੰਦ ਕਰਨ ਵਾਲੇ ਨੋਟ ਨੂੰ ਰਿਕਾਰਡ ਕਰਨ ਲਈ ਟੈਪ ਕਰੋ")</f>
        <v>ਬੰਦ ਕਰਨ ਵਾਲੇ ਨੋਟ ਨੂੰ ਰਿਕਾਰਡ ਕਰਨ ਲਈ ਟੈਪ ਕਰੋ</v>
      </c>
      <c r="L194" s="2" t="str">
        <f>IFERROR(__xludf.DUMMYFUNCTION("""COMPUTED_VALUE"""),"இறுதிக் குறிப்பைப் பதிவுசெய்ய தட்டவும்")</f>
        <v>இறுதிக் குறிப்பைப் பதிவுசெய்ய தட்டவும்</v>
      </c>
      <c r="M194" s="2" t="str">
        <f>IFERROR(__xludf.DUMMYFUNCTION("""COMPUTED_VALUE"""),"క్లోజింగ్ నోట్ రికార్డ్ చేయడానికి నొక్కండి")</f>
        <v>క్లోజింగ్ నోట్ రికార్డ్ చేయడానికి నొక్కండి</v>
      </c>
    </row>
    <row r="195">
      <c r="A195" s="2" t="str">
        <f>Master_en!A195</f>
        <v>shopInfo</v>
      </c>
      <c r="B195" s="2" t="str">
        <f>Master_en!B195</f>
        <v>Shop Info</v>
      </c>
      <c r="C195" s="2" t="str">
        <f>IFERROR(__xludf.DUMMYFUNCTION("""COMPUTED_VALUE"""),"শপ তথ্য")</f>
        <v>শপ তথ্য</v>
      </c>
      <c r="D195" s="2" t="str">
        <f>IFERROR(__xludf.DUMMYFUNCTION("""COMPUTED_VALUE"""),"दुकान की जानकारी")</f>
        <v>दुकान की जानकारी</v>
      </c>
      <c r="E195" s="2" t="str">
        <f>IFERROR(__xludf.DUMMYFUNCTION("""COMPUTED_VALUE"""),"ಅಂಗಡಿಯ ಮಾಹಿತಿ")</f>
        <v>ಅಂಗಡಿಯ ಮಾಹಿತಿ</v>
      </c>
      <c r="F195" s="2" t="str">
        <f>IFERROR(__xludf.DUMMYFUNCTION("""COMPUTED_VALUE"""),"ଦୋକାନ ସୂଚନା")</f>
        <v>ଦୋକାନ ସୂଚନା</v>
      </c>
      <c r="G195" s="2" t="str">
        <f>IFERROR(__xludf.DUMMYFUNCTION("""COMPUTED_VALUE"""),"দোকানৰ তথ্য")</f>
        <v>দোকানৰ তথ্য</v>
      </c>
      <c r="H195" s="2" t="str">
        <f>IFERROR(__xludf.DUMMYFUNCTION("""COMPUTED_VALUE"""),"દુકાનની માહિતી")</f>
        <v>દુકાનની માહિતી</v>
      </c>
      <c r="I195" s="2" t="str">
        <f>IFERROR(__xludf.DUMMYFUNCTION("""COMPUTED_VALUE"""),"दुकानाची माहिती")</f>
        <v>दुकानाची माहिती</v>
      </c>
      <c r="J195" s="2" t="str">
        <f>IFERROR(__xludf.DUMMYFUNCTION("""COMPUTED_VALUE"""),"ഷോപ്പ് വിവരം")</f>
        <v>ഷോപ്പ് വിവരം</v>
      </c>
      <c r="K195" s="2" t="str">
        <f>IFERROR(__xludf.DUMMYFUNCTION("""COMPUTED_VALUE"""),"ਦੁਕਾਨ ਦੀ ਜਾਣਕਾਰੀ")</f>
        <v>ਦੁਕਾਨ ਦੀ ਜਾਣਕਾਰੀ</v>
      </c>
      <c r="L195" s="2" t="str">
        <f>IFERROR(__xludf.DUMMYFUNCTION("""COMPUTED_VALUE"""),"கடை தகவல்")</f>
        <v>கடை தகவல்</v>
      </c>
      <c r="M195" s="2" t="str">
        <f>IFERROR(__xludf.DUMMYFUNCTION("""COMPUTED_VALUE"""),"షాప్ సమాచారం")</f>
        <v>షాప్ సమాచారం</v>
      </c>
    </row>
    <row r="196">
      <c r="A196" s="2" t="str">
        <f>Master_en!A196</f>
        <v>enablelocation</v>
      </c>
      <c r="B196" s="2" t="str">
        <f>Master_en!B196</f>
        <v>Enable Location</v>
      </c>
      <c r="C196" s="2" t="str">
        <f>IFERROR(__xludf.DUMMYFUNCTION("""COMPUTED_VALUE"""),"অবস্থান সক্ষম করুন")</f>
        <v>অবস্থান সক্ষম করুন</v>
      </c>
      <c r="D196" s="2" t="str">
        <f>IFERROR(__xludf.DUMMYFUNCTION("""COMPUTED_VALUE"""),"स्थान सक्षम करें")</f>
        <v>स्थान सक्षम करें</v>
      </c>
      <c r="E196" s="2" t="str">
        <f>IFERROR(__xludf.DUMMYFUNCTION("""COMPUTED_VALUE"""),"ಸ್ಥಳವನ್ನು ಸಕ್ರಿಯಗೊಳಿಸಿ")</f>
        <v>ಸ್ಥಳವನ್ನು ಸಕ್ರಿಯಗೊಳಿಸಿ</v>
      </c>
      <c r="F196" s="2" t="str">
        <f>IFERROR(__xludf.DUMMYFUNCTION("""COMPUTED_VALUE"""),"ଅବସ୍ଥାନ ସକ୍ଷମ କରନ୍ତୁ |")</f>
        <v>ଅବସ୍ଥାନ ସକ୍ଷମ କରନ୍ତୁ |</v>
      </c>
      <c r="G196" s="2" t="str">
        <f>IFERROR(__xludf.DUMMYFUNCTION("""COMPUTED_VALUE"""),"অৱস্থান সামৰ্থবান কৰক")</f>
        <v>অৱস্থান সামৰ্থবান কৰক</v>
      </c>
      <c r="H196" s="2" t="str">
        <f>IFERROR(__xludf.DUMMYFUNCTION("""COMPUTED_VALUE"""),"સ્થાનને સક્ષમ કરો")</f>
        <v>સ્થાનને સક્ષમ કરો</v>
      </c>
      <c r="I196" s="2" t="str">
        <f>IFERROR(__xludf.DUMMYFUNCTION("""COMPUTED_VALUE"""),"स्थान सक्षम करा")</f>
        <v>स्थान सक्षम करा</v>
      </c>
      <c r="J196" s="2" t="str">
        <f>IFERROR(__xludf.DUMMYFUNCTION("""COMPUTED_VALUE"""),"സ്ഥാനം പ്രാപ്തമാക്കുക")</f>
        <v>സ്ഥാനം പ്രാപ്തമാക്കുക</v>
      </c>
      <c r="K196" s="2" t="str">
        <f>IFERROR(__xludf.DUMMYFUNCTION("""COMPUTED_VALUE"""),"ਟਿਕਾਣਾ ਯੋਗ ਕਰੋ")</f>
        <v>ਟਿਕਾਣਾ ਯੋਗ ਕਰੋ</v>
      </c>
      <c r="L196" s="2" t="str">
        <f>IFERROR(__xludf.DUMMYFUNCTION("""COMPUTED_VALUE"""),"இருப்பிடத்தை இயக்கவும்")</f>
        <v>இருப்பிடத்தை இயக்கவும்</v>
      </c>
      <c r="M196" s="2" t="str">
        <f>IFERROR(__xludf.DUMMYFUNCTION("""COMPUTED_VALUE"""),"స్థానాన్ని ప్రారంభించండి")</f>
        <v>స్థానాన్ని ప్రారంభించండి</v>
      </c>
    </row>
    <row r="197">
      <c r="A197" s="2" t="str">
        <f>Master_en!A197</f>
        <v>vegatables</v>
      </c>
      <c r="B197" s="2" t="str">
        <f>Master_en!B197</f>
        <v>Vegetables</v>
      </c>
      <c r="C197" s="2" t="str">
        <f>IFERROR(__xludf.DUMMYFUNCTION("""COMPUTED_VALUE"""),"শাকসবজি")</f>
        <v>শাকসবজি</v>
      </c>
      <c r="D197" s="2" t="str">
        <f>IFERROR(__xludf.DUMMYFUNCTION("""COMPUTED_VALUE"""),"सब्ज़ियाँ")</f>
        <v>सब्ज़ियाँ</v>
      </c>
      <c r="E197" s="2" t="str">
        <f>IFERROR(__xludf.DUMMYFUNCTION("""COMPUTED_VALUE"""),"ತರಕಾರಿಗಳು")</f>
        <v>ತರಕಾರಿಗಳು</v>
      </c>
      <c r="F197" s="2" t="str">
        <f>IFERROR(__xludf.DUMMYFUNCTION("""COMPUTED_VALUE"""),"ପନିପରିବା |")</f>
        <v>ପନିପରିବା |</v>
      </c>
      <c r="G197" s="2" t="str">
        <f>IFERROR(__xludf.DUMMYFUNCTION("""COMPUTED_VALUE"""),"শাক-পাচলি")</f>
        <v>শাক-পাচলি</v>
      </c>
      <c r="H197" s="2" t="str">
        <f>IFERROR(__xludf.DUMMYFUNCTION("""COMPUTED_VALUE"""),"શાકભાજી")</f>
        <v>શાકભાજી</v>
      </c>
      <c r="I197" s="2" t="str">
        <f>IFERROR(__xludf.DUMMYFUNCTION("""COMPUTED_VALUE"""),"भाज्या")</f>
        <v>भाज्या</v>
      </c>
      <c r="J197" s="2" t="str">
        <f>IFERROR(__xludf.DUMMYFUNCTION("""COMPUTED_VALUE"""),"പച്ചക്കറികൾ")</f>
        <v>പച്ചക്കറികൾ</v>
      </c>
      <c r="K197" s="2" t="str">
        <f>IFERROR(__xludf.DUMMYFUNCTION("""COMPUTED_VALUE"""),"ਸਬਜ਼ੀਆਂ")</f>
        <v>ਸਬਜ਼ੀਆਂ</v>
      </c>
      <c r="L197" s="2" t="str">
        <f>IFERROR(__xludf.DUMMYFUNCTION("""COMPUTED_VALUE"""),"காய்கறிகள்")</f>
        <v>காய்கறிகள்</v>
      </c>
      <c r="M197" s="2" t="str">
        <f>IFERROR(__xludf.DUMMYFUNCTION("""COMPUTED_VALUE"""),"కూరగాయలు")</f>
        <v>కూరగాయలు</v>
      </c>
    </row>
    <row r="198">
      <c r="A198" s="2" t="str">
        <f>Master_en!A198</f>
        <v>enablenotification</v>
      </c>
      <c r="B198" s="2" t="str">
        <f>Master_en!B198</f>
        <v>Enable Notification</v>
      </c>
      <c r="C198" s="2" t="str">
        <f>IFERROR(__xludf.DUMMYFUNCTION("""COMPUTED_VALUE"""),"বিজ্ঞপ্তি সক্রিয়")</f>
        <v>বিজ্ঞপ্তি সক্রিয়</v>
      </c>
      <c r="D198" s="2" t="str">
        <f>IFERROR(__xludf.DUMMYFUNCTION("""COMPUTED_VALUE"""),"सूचना सक्षम करें")</f>
        <v>सूचना सक्षम करें</v>
      </c>
      <c r="E198" s="2" t="str">
        <f>IFERROR(__xludf.DUMMYFUNCTION("""COMPUTED_VALUE"""),"ಅಧಿಸೂಚನೆಯನ್ನು ಸಕ್ರಿಯಗೊಳಿಸಿ")</f>
        <v>ಅಧಿಸೂಚನೆಯನ್ನು ಸಕ್ರಿಯಗೊಳಿಸಿ</v>
      </c>
      <c r="F198" s="2" t="str">
        <f>IFERROR(__xludf.DUMMYFUNCTION("""COMPUTED_VALUE"""),"ବିଜ୍ଞପ୍ତି ସକ୍ଷମ କରନ୍ତୁ |")</f>
        <v>ବିଜ୍ଞପ୍ତି ସକ୍ଷମ କରନ୍ତୁ |</v>
      </c>
      <c r="G198" s="2" t="str">
        <f>IFERROR(__xludf.DUMMYFUNCTION("""COMPUTED_VALUE"""),"অধিসূচনা সামৰ্থবান কৰক")</f>
        <v>অধিসূচনা সামৰ্থবান কৰক</v>
      </c>
      <c r="H198" s="2" t="str">
        <f>IFERROR(__xludf.DUMMYFUNCTION("""COMPUTED_VALUE"""),"સૂચના સક્ષમ કરો")</f>
        <v>સૂચના સક્ષમ કરો</v>
      </c>
      <c r="I198" s="2" t="str">
        <f>IFERROR(__xludf.DUMMYFUNCTION("""COMPUTED_VALUE"""),"सूचना सक्षम करा")</f>
        <v>सूचना सक्षम करा</v>
      </c>
      <c r="J198" s="2" t="str">
        <f>IFERROR(__xludf.DUMMYFUNCTION("""COMPUTED_VALUE"""),"അറിയിപ്പ് പ്രാപ്തമാക്കുക")</f>
        <v>അറിയിപ്പ് പ്രാപ്തമാക്കുക</v>
      </c>
      <c r="K198" s="2" t="str">
        <f>IFERROR(__xludf.DUMMYFUNCTION("""COMPUTED_VALUE"""),"ਨੋਟੀਫਿਕੇਸ਼ਨ ਨੂੰ ਸਮਰੱਥ ਕਰੋ")</f>
        <v>ਨੋਟੀਫਿਕੇਸ਼ਨ ਨੂੰ ਸਮਰੱਥ ਕਰੋ</v>
      </c>
      <c r="L198" s="2" t="str">
        <f>IFERROR(__xludf.DUMMYFUNCTION("""COMPUTED_VALUE"""),"அறிவிப்பை இயக்கவும்")</f>
        <v>அறிவிப்பை இயக்கவும்</v>
      </c>
      <c r="M198" s="2" t="str">
        <f>IFERROR(__xludf.DUMMYFUNCTION("""COMPUTED_VALUE"""),"నోటిఫికేషన్‌ను ప్రారంభించండి")</f>
        <v>నోటిఫికేషన్‌ను ప్రారంభించండి</v>
      </c>
    </row>
    <row r="199">
      <c r="A199" s="2" t="str">
        <f>Master_en!A199</f>
        <v>changelanguage</v>
      </c>
      <c r="B199" s="2" t="str">
        <f>Master_en!B199</f>
        <v>Change Language</v>
      </c>
      <c r="C199" s="2" t="str">
        <f>IFERROR(__xludf.DUMMYFUNCTION("""COMPUTED_VALUE"""),"ভাষা পরিবর্তন করুন")</f>
        <v>ভাষা পরিবর্তন করুন</v>
      </c>
      <c r="D199" s="2" t="str">
        <f>IFERROR(__xludf.DUMMYFUNCTION("""COMPUTED_VALUE"""),"भाषा बदलें")</f>
        <v>भाषा बदलें</v>
      </c>
      <c r="E199" s="2" t="str">
        <f>IFERROR(__xludf.DUMMYFUNCTION("""COMPUTED_VALUE"""),"ಭಾಷೆ ಬದಲಾಯಿಸಿ")</f>
        <v>ಭಾಷೆ ಬದಲಾಯಿಸಿ</v>
      </c>
      <c r="F199" s="2" t="str">
        <f>IFERROR(__xludf.DUMMYFUNCTION("""COMPUTED_VALUE"""),"ଭାଷା ପରିବର୍ତ୍ତନ କରନ୍ତୁ |")</f>
        <v>ଭାଷା ପରିବର୍ତ୍ତନ କରନ୍ତୁ |</v>
      </c>
      <c r="G199" s="2" t="str">
        <f>IFERROR(__xludf.DUMMYFUNCTION("""COMPUTED_VALUE"""),"ভাষা সলনি কৰক")</f>
        <v>ভাষা সলনি কৰক</v>
      </c>
      <c r="H199" s="2" t="str">
        <f>IFERROR(__xludf.DUMMYFUNCTION("""COMPUTED_VALUE"""),"ભાષા બદલો")</f>
        <v>ભાષા બદલો</v>
      </c>
      <c r="I199" s="2" t="str">
        <f>IFERROR(__xludf.DUMMYFUNCTION("""COMPUTED_VALUE"""),"भाषा बदला")</f>
        <v>भाषा बदला</v>
      </c>
      <c r="J199" s="2" t="str">
        <f>IFERROR(__xludf.DUMMYFUNCTION("""COMPUTED_VALUE"""),"ഭാഷ മാറ്റുക")</f>
        <v>ഭാഷ മാറ്റുക</v>
      </c>
      <c r="K199" s="2" t="str">
        <f>IFERROR(__xludf.DUMMYFUNCTION("""COMPUTED_VALUE"""),"ਭਾਸ਼ਾ ਬਦਲੋ")</f>
        <v>ਭਾਸ਼ਾ ਬਦਲੋ</v>
      </c>
      <c r="L199" s="2" t="str">
        <f>IFERROR(__xludf.DUMMYFUNCTION("""COMPUTED_VALUE"""),"மொழியை மாற்றவும்")</f>
        <v>மொழியை மாற்றவும்</v>
      </c>
      <c r="M199" s="2" t="str">
        <f>IFERROR(__xludf.DUMMYFUNCTION("""COMPUTED_VALUE"""),"భాష మార్చు")</f>
        <v>భాష మార్చు</v>
      </c>
    </row>
    <row r="200">
      <c r="A200" s="2" t="str">
        <f>Master_en!A200</f>
        <v>confirm</v>
      </c>
      <c r="B200" s="2" t="str">
        <f>Master_en!B200</f>
        <v>Confirm</v>
      </c>
      <c r="C200" s="2" t="str">
        <f>IFERROR(__xludf.DUMMYFUNCTION("""COMPUTED_VALUE"""),"নিশ্চিত করুন")</f>
        <v>নিশ্চিত করুন</v>
      </c>
      <c r="D200" s="2" t="str">
        <f>IFERROR(__xludf.DUMMYFUNCTION("""COMPUTED_VALUE"""),"पुष्टि करना")</f>
        <v>पुष्टि करना</v>
      </c>
      <c r="E200" s="2" t="str">
        <f>IFERROR(__xludf.DUMMYFUNCTION("""COMPUTED_VALUE"""),"ಖಚಿತ ಪಡಿಸು")</f>
        <v>ಖಚಿತ ಪಡಿಸು</v>
      </c>
      <c r="F200" s="2" t="str">
        <f>IFERROR(__xludf.DUMMYFUNCTION("""COMPUTED_VALUE"""),"ନିଶ୍ଚିତ କର |")</f>
        <v>ନିଶ୍ଚିତ କର |</v>
      </c>
      <c r="G200" s="2" t="str">
        <f>IFERROR(__xludf.DUMMYFUNCTION("""COMPUTED_VALUE"""),"নিশ্চিত")</f>
        <v>নিশ্চিত</v>
      </c>
      <c r="H200" s="2" t="str">
        <f>IFERROR(__xludf.DUMMYFUNCTION("""COMPUTED_VALUE"""),"પુષ્ટિ આપવી")</f>
        <v>પુષ્ટિ આપવી</v>
      </c>
      <c r="I200" s="2" t="str">
        <f>IFERROR(__xludf.DUMMYFUNCTION("""COMPUTED_VALUE"""),"पुष्टी")</f>
        <v>पुष्टी</v>
      </c>
      <c r="J200" s="2" t="str">
        <f>IFERROR(__xludf.DUMMYFUNCTION("""COMPUTED_VALUE"""),"ഉറപ്പിക്കുക")</f>
        <v>ഉറപ്പിക്കുക</v>
      </c>
      <c r="K200" s="2" t="str">
        <f>IFERROR(__xludf.DUMMYFUNCTION("""COMPUTED_VALUE"""),"ਪੁਸ਼ਟੀ ਕਰੋ")</f>
        <v>ਪੁਸ਼ਟੀ ਕਰੋ</v>
      </c>
      <c r="L200" s="2" t="str">
        <f>IFERROR(__xludf.DUMMYFUNCTION("""COMPUTED_VALUE"""),"உறுதிப்படுத்தவும்")</f>
        <v>உறுதிப்படுத்தவும்</v>
      </c>
      <c r="M200" s="2" t="str">
        <f>IFERROR(__xludf.DUMMYFUNCTION("""COMPUTED_VALUE"""),"నిర్ధారించండి")</f>
        <v>నిర్ధారించండి</v>
      </c>
    </row>
    <row r="201">
      <c r="A201" s="2" t="str">
        <f>Master_en!A201</f>
        <v>byallowingthelocationyouwillgetallyournearbyrestaurants</v>
      </c>
      <c r="B201" s="2" t="str">
        <f>Master_en!B201</f>
        <v>By allowing the location you will get all your nearby restaurants</v>
      </c>
      <c r="C201" s="2" t="str">
        <f>IFERROR(__xludf.DUMMYFUNCTION("""COMPUTED_VALUE"""),"অবস্থানটি অনুমতি দিয়ে আপনি আপনার কাছের সমস্ত রেস্তোঁরা পাবেন")</f>
        <v>অবস্থানটি অনুমতি দিয়ে আপনি আপনার কাছের সমস্ত রেস্তোঁরা পাবেন</v>
      </c>
      <c r="D201" s="2" t="str">
        <f>IFERROR(__xludf.DUMMYFUNCTION("""COMPUTED_VALUE"""),"स्थान की अनुमति देकर आपको अपने सभी पास के रेस्तरां मिलेंगे")</f>
        <v>स्थान की अनुमति देकर आपको अपने सभी पास के रेस्तरां मिलेंगे</v>
      </c>
      <c r="E201" s="2" t="str">
        <f>IFERROR(__xludf.DUMMYFUNCTION("""COMPUTED_VALUE"""),"ಸ್ಥಳವನ್ನು ಅನುಮತಿಸುವ ಮೂಲಕ ನಿಮ್ಮ ಹತ್ತಿರದ ಎಲ್ಲಾ ರೆಸ್ಟೋರೆಂಟ್‌ಗಳನ್ನು ನೀವು ಪಡೆಯುತ್ತೀರಿ")</f>
        <v>ಸ್ಥಳವನ್ನು ಅನುಮತಿಸುವ ಮೂಲಕ ನಿಮ್ಮ ಹತ್ತಿರದ ಎಲ್ಲಾ ರೆಸ್ಟೋರೆಂಟ್‌ಗಳನ್ನು ನೀವು ಪಡೆಯುತ್ತೀರಿ</v>
      </c>
      <c r="F201" s="2" t="str">
        <f>IFERROR(__xludf.DUMMYFUNCTION("""COMPUTED_VALUE"""),"ଅବସ୍ଥାନକୁ ଅନୁମତି ଦେଇ ଆପଣ ଆପଣଙ୍କର ସମସ୍ତ ନିକଟସ୍ଥ ରେଷ୍ଟୁରାଣ୍ଟ ପାଇବେ |")</f>
        <v>ଅବସ୍ଥାନକୁ ଅନୁମତି ଦେଇ ଆପଣ ଆପଣଙ୍କର ସମସ୍ତ ନିକଟସ୍ଥ ରେଷ୍ଟୁରାଣ୍ଟ ପାଇବେ |</v>
      </c>
      <c r="G201" s="2" t="str">
        <f>IFERROR(__xludf.DUMMYFUNCTION("""COMPUTED_VALUE"""),"স্থানৰ অনুমতি দিলে আপুনি আপোনাৰ ওচৰৰ সকলো ৰেষ্টুৰেণ্ট পাব")</f>
        <v>স্থানৰ অনুমতি দিলে আপুনি আপোনাৰ ওচৰৰ সকলো ৰেষ্টুৰেণ্ট পাব</v>
      </c>
      <c r="H201" s="2" t="str">
        <f>IFERROR(__xludf.DUMMYFUNCTION("""COMPUTED_VALUE"""),"સ્થાનને મંજૂરી આપીને તમને તમારી બધી નજીકની રેસ્ટોરાં મળશે")</f>
        <v>સ્થાનને મંજૂરી આપીને તમને તમારી બધી નજીકની રેસ્ટોરાં મળશે</v>
      </c>
      <c r="I201" s="2" t="str">
        <f>IFERROR(__xludf.DUMMYFUNCTION("""COMPUTED_VALUE"""),"स्थानास अनुमती देऊन आपल्याला आपल्या जवळील सर्व रेस्टॉरंट्स मिळतील")</f>
        <v>स्थानास अनुमती देऊन आपल्याला आपल्या जवळील सर्व रेस्टॉरंट्स मिळतील</v>
      </c>
      <c r="J201" s="2" t="str">
        <f>IFERROR(__xludf.DUMMYFUNCTION("""COMPUTED_VALUE"""),"ലൊക്കേഷൻ അനുവദിക്കുന്നതിലൂടെ നിങ്ങളുടെ അടുത്തുള്ള എല്ലാ റെസ്റ്റോറന്റുകളും ലഭിക്കും")</f>
        <v>ലൊക്കേഷൻ അനുവദിക്കുന്നതിലൂടെ നിങ്ങളുടെ അടുത്തുള്ള എല്ലാ റെസ്റ്റോറന്റുകളും ലഭിക്കും</v>
      </c>
      <c r="K201" s="2" t="str">
        <f>IFERROR(__xludf.DUMMYFUNCTION("""COMPUTED_VALUE"""),"ਉਸ ਜਗ੍ਹਾ ਦੀ ਆਗਿਆ ਦੇ ਕੇ ਤੁਸੀਂ ਆਪਣੇ ਸਾਰੇ ਨੇੜਲੇ ਰੈਸਟੋਰੈਂਟ ਪ੍ਰਾਪਤ ਕਰੋਗੇ")</f>
        <v>ਉਸ ਜਗ੍ਹਾ ਦੀ ਆਗਿਆ ਦੇ ਕੇ ਤੁਸੀਂ ਆਪਣੇ ਸਾਰੇ ਨੇੜਲੇ ਰੈਸਟੋਰੈਂਟ ਪ੍ਰਾਪਤ ਕਰੋਗੇ</v>
      </c>
      <c r="L201" s="2" t="str">
        <f>IFERROR(__xludf.DUMMYFUNCTION("""COMPUTED_VALUE"""),"இருப்பிடத்தை அனுமதிப்பதன் மூலம் உங்கள் அருகிலுள்ள எல்லா உணவகங்களையும் பெறுவீர்கள்")</f>
        <v>இருப்பிடத்தை அனுமதிப்பதன் மூலம் உங்கள் அருகிலுள்ள எல்லா உணவகங்களையும் பெறுவீர்கள்</v>
      </c>
      <c r="M201" s="2" t="str">
        <f>IFERROR(__xludf.DUMMYFUNCTION("""COMPUTED_VALUE"""),"స్థానాన్ని అనుమతించడం ద్వారా మీరు మీ సమీప రెస్టారెంట్లను పొందుతారు")</f>
        <v>స్థానాన్ని అనుమతించడం ద్వారా మీరు మీ సమీప రెస్టారెంట్లను పొందుతారు</v>
      </c>
    </row>
    <row r="202">
      <c r="A202" s="2" t="str">
        <f>Master_en!A202</f>
        <v>byallowingthenotificationyouwillgetnotifiedbyyourfavouriterestaurants</v>
      </c>
      <c r="B202" s="2" t="str">
        <f>Master_en!B202</f>
        <v>By allowing the notification you will get notified by your favourite restaurants</v>
      </c>
      <c r="C202" s="2" t="str">
        <f>IFERROR(__xludf.DUMMYFUNCTION("""COMPUTED_VALUE"""),"বিজ্ঞপ্তির অনুমতি দিয়ে আপনি আপনার প্রিয় রেস্তোঁরাগুলি দ্বারা অবহিত হবেন")</f>
        <v>বিজ্ঞপ্তির অনুমতি দিয়ে আপনি আপনার প্রিয় রেস্তোঁরাগুলি দ্বারা অবহিত হবেন</v>
      </c>
      <c r="D202" s="2" t="str">
        <f>IFERROR(__xludf.DUMMYFUNCTION("""COMPUTED_VALUE"""),"अधिसूचना की अनुमति देकर आपको अपने पसंदीदा रेस्तरां द्वारा सूचित किया जाएगा")</f>
        <v>अधिसूचना की अनुमति देकर आपको अपने पसंदीदा रेस्तरां द्वारा सूचित किया जाएगा</v>
      </c>
      <c r="E202" s="2" t="str">
        <f>IFERROR(__xludf.DUMMYFUNCTION("""COMPUTED_VALUE"""),"ಅಧಿಸೂಚನೆಯನ್ನು ಅನುಮತಿಸುವ ಮೂಲಕ ನಿಮ್ಮ ನೆಚ್ಚಿನ ರೆಸ್ಟೋರೆಂಟ್‌ಗಳಿಂದ ನಿಮಗೆ ತಿಳಿಸಲಾಗುವುದು")</f>
        <v>ಅಧಿಸೂಚನೆಯನ್ನು ಅನುಮತಿಸುವ ಮೂಲಕ ನಿಮ್ಮ ನೆಚ್ಚಿನ ರೆಸ್ಟೋರೆಂಟ್‌ಗಳಿಂದ ನಿಮಗೆ ತಿಳಿಸಲಾಗುವುದು</v>
      </c>
      <c r="F202" s="2" t="str">
        <f>IFERROR(__xludf.DUMMYFUNCTION("""COMPUTED_VALUE"""),"ବିଜ୍ଞପ୍ତିକୁ ଅନୁମତି ଦେଇ ଆପଣ ଆପଣଙ୍କର ପ୍ରିୟ ରେଷ୍ଟୁରାଣ୍ଟ ଦ୍ୱାରା ସୂଚିତ ହେବେ |")</f>
        <v>ବିଜ୍ଞପ୍ତିକୁ ଅନୁମତି ଦେଇ ଆପଣ ଆପଣଙ୍କର ପ୍ରିୟ ରେଷ୍ଟୁରାଣ୍ଟ ଦ୍ୱାରା ସୂଚିତ ହେବେ |</v>
      </c>
      <c r="G202" s="2" t="str">
        <f>IFERROR(__xludf.DUMMYFUNCTION("""COMPUTED_VALUE"""),"নোটিফিকেচনৰ অনুমতি দিলে আপুনি আপোনাৰ প্ৰিয় ৰেষ্টুৰেণ্টৰ পৰা নোটিফিকেচন পাব")</f>
        <v>নোটিফিকেচনৰ অনুমতি দিলে আপুনি আপোনাৰ প্ৰিয় ৰেষ্টুৰেণ্টৰ পৰা নোটিফিকেচন পাব</v>
      </c>
      <c r="H202" s="2" t="str">
        <f>IFERROR(__xludf.DUMMYFUNCTION("""COMPUTED_VALUE"""),"સૂચનાને મંજૂરી આપીને તમે તમારી મનપસંદ રેસ્ટોરાં દ્વારા સૂચિત કરશો")</f>
        <v>સૂચનાને મંજૂરી આપીને તમે તમારી મનપસંદ રેસ્ટોરાં દ્વારા સૂચિત કરશો</v>
      </c>
      <c r="I202" s="2" t="str">
        <f>IFERROR(__xludf.DUMMYFUNCTION("""COMPUTED_VALUE"""),"सूचनेस परवानगी देऊन आपल्याला आपल्या आवडत्या रेस्टॉरंट्सद्वारे सूचित केले जाईल")</f>
        <v>सूचनेस परवानगी देऊन आपल्याला आपल्या आवडत्या रेस्टॉरंट्सद्वारे सूचित केले जाईल</v>
      </c>
      <c r="J202" s="2" t="str">
        <f>IFERROR(__xludf.DUMMYFUNCTION("""COMPUTED_VALUE"""),"അറിയിപ്പ് അനുവദിക്കുന്നതിലൂടെ നിങ്ങളുടെ പ്രിയപ്പെട്ട റെസ്റ്റോറന്റുകൾ നിങ്ങൾ അറിയിക്കും")</f>
        <v>അറിയിപ്പ് അനുവദിക്കുന്നതിലൂടെ നിങ്ങളുടെ പ്രിയപ്പെട്ട റെസ്റ്റോറന്റുകൾ നിങ്ങൾ അറിയിക്കും</v>
      </c>
      <c r="K202" s="2" t="str">
        <f>IFERROR(__xludf.DUMMYFUNCTION("""COMPUTED_VALUE"""),"ਇਸ ਨੂੰ ਨੋਟੀਫਿਕੇਸ਼ਨ ਦੀ ਆਗਿਆ ਦੇ ਕੇ ਤੁਸੀਂ ਆਪਣੇ ਮਨਪਸੰਦ ਰੈਸਟੋਰੈਂਟਾਂ ਦੁਆਰਾ ਸੂਚਿਤ ਕਰੋਗੇ")</f>
        <v>ਇਸ ਨੂੰ ਨੋਟੀਫਿਕੇਸ਼ਨ ਦੀ ਆਗਿਆ ਦੇ ਕੇ ਤੁਸੀਂ ਆਪਣੇ ਮਨਪਸੰਦ ਰੈਸਟੋਰੈਂਟਾਂ ਦੁਆਰਾ ਸੂਚਿਤ ਕਰੋਗੇ</v>
      </c>
      <c r="L202" s="2" t="str">
        <f>IFERROR(__xludf.DUMMYFUNCTION("""COMPUTED_VALUE"""),"அறிவிப்பை அனுமதிப்பதன் மூலம் உங்களுக்கு பிடித்த உணவகங்களால் அறிவிக்கப்படும்")</f>
        <v>அறிவிப்பை அனுமதிப்பதன் மூலம் உங்களுக்கு பிடித்த உணவகங்களால் அறிவிக்கப்படும்</v>
      </c>
      <c r="M202" s="2" t="str">
        <f>IFERROR(__xludf.DUMMYFUNCTION("""COMPUTED_VALUE"""),"నోటిఫికేషన్‌ను అనుమతించడం ద్వారా మీకు ఇష్టమైన రెస్టారెంట్ల ద్వారా మీకు తెలియజేయబడుతుంది")</f>
        <v>నోటిఫికేషన్‌ను అనుమతించడం ద్వారా మీకు ఇష్టమైన రెస్టారెంట్ల ద్వారా మీకు తెలియజేయబడుతుంది</v>
      </c>
    </row>
    <row r="203">
      <c r="A203" s="2" t="str">
        <f>Master_en!A203</f>
        <v>nowyoucanchooseyoursuitablelanguage</v>
      </c>
      <c r="B203" s="2" t="str">
        <f>Master_en!B203</f>
        <v>Now you can choose your suitable language </v>
      </c>
      <c r="C203" s="2" t="str">
        <f>IFERROR(__xludf.DUMMYFUNCTION("""COMPUTED_VALUE"""),"এখন আপনি আপনার উপযুক্ত ভাষা চয়ন করতে পারেন")</f>
        <v>এখন আপনি আপনার উপযুক্ত ভাষা চয়ন করতে পারেন</v>
      </c>
      <c r="D203" s="2" t="str">
        <f>IFERROR(__xludf.DUMMYFUNCTION("""COMPUTED_VALUE"""),"अब आप अपनी उपयुक्त भाषा चुन सकते हैं")</f>
        <v>अब आप अपनी उपयुक्त भाषा चुन सकते हैं</v>
      </c>
      <c r="E203" s="2" t="str">
        <f>IFERROR(__xludf.DUMMYFUNCTION("""COMPUTED_VALUE"""),"ಈಗ ನೀವು ನಿಮ್ಮ ಸೂಕ್ತ ಭಾಷೆಯನ್ನು ಆಯ್ಕೆ ಮಾಡಬಹುದು")</f>
        <v>ಈಗ ನೀವು ನಿಮ್ಮ ಸೂಕ್ತ ಭಾಷೆಯನ್ನು ಆಯ್ಕೆ ಮಾಡಬಹುದು</v>
      </c>
      <c r="F203" s="2" t="str">
        <f>IFERROR(__xludf.DUMMYFUNCTION("""COMPUTED_VALUE"""),"ବର୍ତ୍ତମାନ ତୁମେ ତୁମର ଉପଯୁକ୍ତ ଭାଷା ବାଛି ପାରିବ |")</f>
        <v>ବର୍ତ୍ତମାନ ତୁମେ ତୁମର ଉପଯୁକ୍ତ ଭାଷା ବାଛି ପାରିବ |</v>
      </c>
      <c r="G203" s="2" t="str">
        <f>IFERROR(__xludf.DUMMYFUNCTION("""COMPUTED_VALUE"""),"এতিয়া আপুনি আপোনাৰ উপযুক্ত ভাষা বাছি ল’ব পাৰিব")</f>
        <v>এতিয়া আপুনি আপোনাৰ উপযুক্ত ভাষা বাছি ল’ব পাৰিব</v>
      </c>
      <c r="H203" s="2" t="str">
        <f>IFERROR(__xludf.DUMMYFUNCTION("""COMPUTED_VALUE"""),"હવે તમે તમારી યોગ્ય ભાષા પસંદ કરી શકો છો")</f>
        <v>હવે તમે તમારી યોગ્ય ભાષા પસંદ કરી શકો છો</v>
      </c>
      <c r="I203" s="2" t="str">
        <f>IFERROR(__xludf.DUMMYFUNCTION("""COMPUTED_VALUE"""),"आता आपण आपली योग्य भाषा निवडू शकता")</f>
        <v>आता आपण आपली योग्य भाषा निवडू शकता</v>
      </c>
      <c r="J203" s="2" t="str">
        <f>IFERROR(__xludf.DUMMYFUNCTION("""COMPUTED_VALUE"""),"ഇപ്പോൾ നിങ്ങളുടെ അനുയോജ്യമായ ഭാഷ തിരഞ്ഞെടുക്കാം")</f>
        <v>ഇപ്പോൾ നിങ്ങളുടെ അനുയോജ്യമായ ഭാഷ തിരഞ്ഞെടുക്കാം</v>
      </c>
      <c r="K203" s="2" t="str">
        <f>IFERROR(__xludf.DUMMYFUNCTION("""COMPUTED_VALUE"""),"ਹੁਣ ਤੁਸੀਂ ਆਪਣੀ ਉਚਿਤ ਭਾਸ਼ਾ ਦੀ ਚੋਣ ਕਰ ਸਕਦੇ ਹੋ")</f>
        <v>ਹੁਣ ਤੁਸੀਂ ਆਪਣੀ ਉਚਿਤ ਭਾਸ਼ਾ ਦੀ ਚੋਣ ਕਰ ਸਕਦੇ ਹੋ</v>
      </c>
      <c r="L203" s="2" t="str">
        <f>IFERROR(__xludf.DUMMYFUNCTION("""COMPUTED_VALUE"""),"இப்போது நீங்கள் உங்கள் பொருத்தமான மொழியைத் தேர்வு செய்யலாம்")</f>
        <v>இப்போது நீங்கள் உங்கள் பொருத்தமான மொழியைத் தேர்வு செய்யலாம்</v>
      </c>
      <c r="M203" s="2" t="str">
        <f>IFERROR(__xludf.DUMMYFUNCTION("""COMPUTED_VALUE"""),"ఇప్పుడు మీరు మీకు తగిన భాషను ఎంచుకోవచ్చు")</f>
        <v>ఇప్పుడు మీరు మీకు తగిన భాషను ఎంచుకోవచ్చు</v>
      </c>
    </row>
    <row r="204">
      <c r="A204" s="2" t="str">
        <f>Master_en!A204</f>
        <v>savethisaddressas</v>
      </c>
      <c r="B204" s="2" t="str">
        <f>Master_en!B204</f>
        <v>Save this address as</v>
      </c>
      <c r="C204" s="2" t="str">
        <f>IFERROR(__xludf.DUMMYFUNCTION("""COMPUTED_VALUE"""),"এই ঠিকানা হিসাবে সংরক্ষণ করুন")</f>
        <v>এই ঠিকানা হিসাবে সংরক্ষণ করুন</v>
      </c>
      <c r="D204" s="2" t="str">
        <f>IFERROR(__xludf.DUMMYFUNCTION("""COMPUTED_VALUE"""),"इस पते को सहेजें")</f>
        <v>इस पते को सहेजें</v>
      </c>
      <c r="E204" s="2" t="str">
        <f>IFERROR(__xludf.DUMMYFUNCTION("""COMPUTED_VALUE"""),"ಈ ವಿಳಾಸವನ್ನು ಹೀಗೆ ಉಳಿಸಿ")</f>
        <v>ಈ ವಿಳಾಸವನ್ನು ಹೀಗೆ ಉಳಿಸಿ</v>
      </c>
      <c r="F204" s="2" t="str">
        <f>IFERROR(__xludf.DUMMYFUNCTION("""COMPUTED_VALUE"""),"ଏହି ଠିକଣାକୁ ସେଭ୍ କରନ୍ତୁ |")</f>
        <v>ଏହି ଠିକଣାକୁ ସେଭ୍ କରନ୍ତୁ |</v>
      </c>
      <c r="G204" s="2" t="str">
        <f>IFERROR(__xludf.DUMMYFUNCTION("""COMPUTED_VALUE"""),"এই ঠিকনাটো এনেদৰে সংৰক্ষণ কৰক")</f>
        <v>এই ঠিকনাটো এনেদৰে সংৰক্ষণ কৰক</v>
      </c>
      <c r="H204" s="2" t="str">
        <f>IFERROR(__xludf.DUMMYFUNCTION("""COMPUTED_VALUE"""),"આ સરનામું તરીકે સાચવો")</f>
        <v>આ સરનામું તરીકે સાચવો</v>
      </c>
      <c r="I204" s="2" t="str">
        <f>IFERROR(__xludf.DUMMYFUNCTION("""COMPUTED_VALUE"""),"हा पत्ता म्हणून जतन करा")</f>
        <v>हा पत्ता म्हणून जतन करा</v>
      </c>
      <c r="J204" s="2" t="str">
        <f>IFERROR(__xludf.DUMMYFUNCTION("""COMPUTED_VALUE"""),"ഈ വിലാസം ഇതായി സംരക്ഷിക്കുക")</f>
        <v>ഈ വിലാസം ഇതായി സംരക്ഷിക്കുക</v>
      </c>
      <c r="K204" s="2" t="str">
        <f>IFERROR(__xludf.DUMMYFUNCTION("""COMPUTED_VALUE"""),"ਇਸ ਪਤੇ ਨੂੰ ਸੁਰੱਖਿਅਤ ਕਰੋ")</f>
        <v>ਇਸ ਪਤੇ ਨੂੰ ਸੁਰੱਖਿਅਤ ਕਰੋ</v>
      </c>
      <c r="L204" s="2" t="str">
        <f>IFERROR(__xludf.DUMMYFUNCTION("""COMPUTED_VALUE"""),"இந்த முகவரியை சேமிக்கவும்")</f>
        <v>இந்த முகவரியை சேமிக்கவும்</v>
      </c>
      <c r="M204" s="2" t="str">
        <f>IFERROR(__xludf.DUMMYFUNCTION("""COMPUTED_VALUE"""),"ఈ చిరునామాను సేవ్ చేయండి")</f>
        <v>ఈ చిరునామాను సేవ్ చేయండి</v>
      </c>
    </row>
    <row r="205">
      <c r="A205" s="2" t="str">
        <f>Master_en!A205</f>
        <v>yourlocation</v>
      </c>
      <c r="B205" s="2" t="str">
        <f>Master_en!B205</f>
        <v>Your Location</v>
      </c>
      <c r="C205" s="2" t="str">
        <f>IFERROR(__xludf.DUMMYFUNCTION("""COMPUTED_VALUE"""),"তোমার অবস্থান")</f>
        <v>তোমার অবস্থান</v>
      </c>
      <c r="D205" s="2" t="str">
        <f>IFERROR(__xludf.DUMMYFUNCTION("""COMPUTED_VALUE"""),"आपका स्थान")</f>
        <v>आपका स्थान</v>
      </c>
      <c r="E205" s="2" t="str">
        <f>IFERROR(__xludf.DUMMYFUNCTION("""COMPUTED_VALUE"""),"ನಿಮ್ಮ ಸ್ಥಳ")</f>
        <v>ನಿಮ್ಮ ಸ್ಥಳ</v>
      </c>
      <c r="F205" s="2" t="str">
        <f>IFERROR(__xludf.DUMMYFUNCTION("""COMPUTED_VALUE"""),"ତୁମର ଅବସ୍ଥାନ")</f>
        <v>ତୁମର ଅବସ୍ଥାନ</v>
      </c>
      <c r="G205" s="2" t="str">
        <f>IFERROR(__xludf.DUMMYFUNCTION("""COMPUTED_VALUE"""),"আপোনাৰ অৱস্থান")</f>
        <v>আপোনাৰ অৱস্থান</v>
      </c>
      <c r="H205" s="2" t="str">
        <f>IFERROR(__xludf.DUMMYFUNCTION("""COMPUTED_VALUE"""),"તમારું સ્થાન")</f>
        <v>તમારું સ્થાન</v>
      </c>
      <c r="I205" s="2" t="str">
        <f>IFERROR(__xludf.DUMMYFUNCTION("""COMPUTED_VALUE"""),"आपले स्थान")</f>
        <v>आपले स्थान</v>
      </c>
      <c r="J205" s="2" t="str">
        <f>IFERROR(__xludf.DUMMYFUNCTION("""COMPUTED_VALUE"""),"താങ്കളുടെ സ്ഥലം")</f>
        <v>താങ്കളുടെ സ്ഥലം</v>
      </c>
      <c r="K205" s="2" t="str">
        <f>IFERROR(__xludf.DUMMYFUNCTION("""COMPUTED_VALUE"""),"ਤੁਹਾਡਾ ਸਥਾਨ")</f>
        <v>ਤੁਹਾਡਾ ਸਥਾਨ</v>
      </c>
      <c r="L205" s="2" t="str">
        <f>IFERROR(__xludf.DUMMYFUNCTION("""COMPUTED_VALUE"""),"உன்னுடைய இருப்பிடம்")</f>
        <v>உன்னுடைய இருப்பிடம்</v>
      </c>
      <c r="M205" s="2" t="str">
        <f>IFERROR(__xludf.DUMMYFUNCTION("""COMPUTED_VALUE"""),"నీప్రదేశం")</f>
        <v>నీప్రదేశం</v>
      </c>
    </row>
    <row r="206">
      <c r="A206" s="2" t="str">
        <f>Master_en!A206</f>
        <v>help</v>
      </c>
      <c r="B206" s="2" t="str">
        <f>Master_en!B206</f>
        <v>Help</v>
      </c>
      <c r="C206" s="2" t="str">
        <f>IFERROR(__xludf.DUMMYFUNCTION("""COMPUTED_VALUE"""),"সাহায্য")</f>
        <v>সাহায্য</v>
      </c>
      <c r="D206" s="2" t="str">
        <f>IFERROR(__xludf.DUMMYFUNCTION("""COMPUTED_VALUE"""),"मदद")</f>
        <v>मदद</v>
      </c>
      <c r="E206" s="2" t="str">
        <f>IFERROR(__xludf.DUMMYFUNCTION("""COMPUTED_VALUE"""),"ಸಹಾಯ")</f>
        <v>ಸಹಾಯ</v>
      </c>
      <c r="F206" s="2" t="str">
        <f>IFERROR(__xludf.DUMMYFUNCTION("""COMPUTED_VALUE"""),"ସାହାଯ୍ୟ")</f>
        <v>ସାହାଯ୍ୟ</v>
      </c>
      <c r="G206" s="2" t="str">
        <f>IFERROR(__xludf.DUMMYFUNCTION("""COMPUTED_VALUE"""),"সহায়")</f>
        <v>সহায়</v>
      </c>
      <c r="H206" s="2" t="str">
        <f>IFERROR(__xludf.DUMMYFUNCTION("""COMPUTED_VALUE"""),"મદદ")</f>
        <v>મદદ</v>
      </c>
      <c r="I206" s="2" t="str">
        <f>IFERROR(__xludf.DUMMYFUNCTION("""COMPUTED_VALUE"""),"मदत")</f>
        <v>मदत</v>
      </c>
      <c r="J206" s="2" t="str">
        <f>IFERROR(__xludf.DUMMYFUNCTION("""COMPUTED_VALUE"""),"സഹായം")</f>
        <v>സഹായം</v>
      </c>
      <c r="K206" s="2" t="str">
        <f>IFERROR(__xludf.DUMMYFUNCTION("""COMPUTED_VALUE"""),"ਮਦਦ ਕਰੋ")</f>
        <v>ਮਦਦ ਕਰੋ</v>
      </c>
      <c r="L206" s="2" t="str">
        <f>IFERROR(__xludf.DUMMYFUNCTION("""COMPUTED_VALUE"""),"உதவி")</f>
        <v>உதவி</v>
      </c>
      <c r="M206" s="2" t="str">
        <f>IFERROR(__xludf.DUMMYFUNCTION("""COMPUTED_VALUE"""),"సహాయం")</f>
        <v>సహాయం</v>
      </c>
    </row>
    <row r="207">
      <c r="A207" s="2" t="str">
        <f>Master_en!A207</f>
        <v>areyousureyouwanttologout</v>
      </c>
      <c r="B207" s="2" t="str">
        <f>Master_en!B207</f>
        <v>Are you sure you want to log out?</v>
      </c>
      <c r="C207" s="2" t="str">
        <f>IFERROR(__xludf.DUMMYFUNCTION("""COMPUTED_VALUE"""),"আপনি লগ আউট করতে চান?")</f>
        <v>আপনি লগ আউট করতে চান?</v>
      </c>
      <c r="D207" s="2" t="str">
        <f>IFERROR(__xludf.DUMMYFUNCTION("""COMPUTED_VALUE"""),"क्या आप लॉग आउट करना चाहते हैं?")</f>
        <v>क्या आप लॉग आउट करना चाहते हैं?</v>
      </c>
      <c r="E207" s="2" t="str">
        <f>IFERROR(__xludf.DUMMYFUNCTION("""COMPUTED_VALUE"""),"ನೀವು ಲಾಗ್ ಔಟ್ ಮಾಡಲು ಖಚಿತವಾಗಿ ಬಯಸುವಿರಾ?
")</f>
        <v>ನೀವು ಲಾಗ್ ಔಟ್ ಮಾಡಲು ಖಚಿತವಾಗಿ ಬಯಸುವಿರಾ?
</v>
      </c>
      <c r="F207" s="2" t="str">
        <f>IFERROR(__xludf.DUMMYFUNCTION("""COMPUTED_VALUE"""),"ଆପଣ ନିଶ୍ଚିତ କି ଆପଣ ଲଗ୍ ଆଉଟ୍ କରିବାକୁ ଚାହୁଁଛନ୍ତି?")</f>
        <v>ଆପଣ ନିଶ୍ଚିତ କି ଆପଣ ଲଗ୍ ଆଉଟ୍ କରିବାକୁ ଚାହୁଁଛନ୍ତି?</v>
      </c>
      <c r="G207" s="2" t="str">
        <f>IFERROR(__xludf.DUMMYFUNCTION("""COMPUTED_VALUE"""),"আপুনি নিশ্চিতভাৱে লগ আউট কৰিব বিচাৰেনে?")</f>
        <v>আপুনি নিশ্চিতভাৱে লগ আউট কৰিব বিচাৰেনে?</v>
      </c>
      <c r="H207" s="2" t="str">
        <f>IFERROR(__xludf.DUMMYFUNCTION("""COMPUTED_VALUE"""),"શું તમે ખરેખર લ log ગ આઉટ કરવા માંગો છો?")</f>
        <v>શું તમે ખરેખર લ log ગ આઉટ કરવા માંગો છો?</v>
      </c>
      <c r="I207" s="2" t="str">
        <f>IFERROR(__xludf.DUMMYFUNCTION("""COMPUTED_VALUE"""),"आपणास खात्री आहे की आपण लॉग आउट करू इच्छिता?")</f>
        <v>आपणास खात्री आहे की आपण लॉग आउट करू इच्छिता?</v>
      </c>
      <c r="J207" s="2" t="str">
        <f>IFERROR(__xludf.DUMMYFUNCTION("""COMPUTED_VALUE"""),"നിങ്ങൾ ലോഗ് out ട്ട് ചെയ്യണമെന്ന് ഉറപ്പാണോ?")</f>
        <v>നിങ്ങൾ ലോഗ് out ട്ട് ചെയ്യണമെന്ന് ഉറപ്പാണോ?</v>
      </c>
      <c r="K207" s="2" t="str">
        <f>IFERROR(__xludf.DUMMYFUNCTION("""COMPUTED_VALUE"""),"ਕੀ ਤੁਸੀਂ ਲਾਗ ਆਉਟ ਕਰਨਾ ਚਾਹੁੰਦੇ ਹੋ?")</f>
        <v>ਕੀ ਤੁਸੀਂ ਲਾਗ ਆਉਟ ਕਰਨਾ ਚਾਹੁੰਦੇ ਹੋ?</v>
      </c>
      <c r="L207" s="2" t="str">
        <f>IFERROR(__xludf.DUMMYFUNCTION("""COMPUTED_VALUE"""),"நீங்கள் நிச்சயமாக வெளியேற விரும்புகிறீர்களா?")</f>
        <v>நீங்கள் நிச்சயமாக வெளியேற விரும்புகிறீர்களா?</v>
      </c>
      <c r="M207" s="2" t="str">
        <f>IFERROR(__xludf.DUMMYFUNCTION("""COMPUTED_VALUE"""),"మీరు ఖచ్చితంగా లాగ్ అవుట్ చేయాలనుకుంటున్నారా?")</f>
        <v>మీరు ఖచ్చితంగా లాగ్ అవుట్ చేయాలనుకుంటున్నారా?</v>
      </c>
    </row>
    <row r="208">
      <c r="A208" s="2" t="str">
        <f>Master_en!A208</f>
        <v>son</v>
      </c>
      <c r="B208" s="2" t="str">
        <f>Master_en!B208</f>
        <v>Son</v>
      </c>
      <c r="C208" s="2" t="str">
        <f>IFERROR(__xludf.DUMMYFUNCTION("""COMPUTED_VALUE"""),"পুত্র")</f>
        <v>পুত্র</v>
      </c>
      <c r="D208" s="2" t="str">
        <f>IFERROR(__xludf.DUMMYFUNCTION("""COMPUTED_VALUE"""),"बेटा")</f>
        <v>बेटा</v>
      </c>
      <c r="E208" s="2" t="str">
        <f>IFERROR(__xludf.DUMMYFUNCTION("""COMPUTED_VALUE"""),"ಪುತ್ರ")</f>
        <v>ಪುತ್ರ</v>
      </c>
      <c r="F208" s="2" t="str">
        <f>IFERROR(__xludf.DUMMYFUNCTION("""COMPUTED_VALUE"""),"ପୁଅ")</f>
        <v>ପୁଅ</v>
      </c>
      <c r="G208" s="2" t="str">
        <f>IFERROR(__xludf.DUMMYFUNCTION("""COMPUTED_VALUE"""),"পুত্ৰ")</f>
        <v>পুত্ৰ</v>
      </c>
      <c r="H208" s="2" t="str">
        <f>IFERROR(__xludf.DUMMYFUNCTION("""COMPUTED_VALUE"""),"પુત્ર")</f>
        <v>પુત્ર</v>
      </c>
      <c r="I208" s="2" t="str">
        <f>IFERROR(__xludf.DUMMYFUNCTION("""COMPUTED_VALUE"""),"मुलगा")</f>
        <v>मुलगा</v>
      </c>
      <c r="J208" s="2" t="str">
        <f>IFERROR(__xludf.DUMMYFUNCTION("""COMPUTED_VALUE"""),"പുതന്")</f>
        <v>പുതന്</v>
      </c>
      <c r="K208" s="2" t="str">
        <f>IFERROR(__xludf.DUMMYFUNCTION("""COMPUTED_VALUE"""),"ਪੁੱਤਰ")</f>
        <v>ਪੁੱਤਰ</v>
      </c>
      <c r="L208" s="2" t="str">
        <f>IFERROR(__xludf.DUMMYFUNCTION("""COMPUTED_VALUE"""),"மகன்")</f>
        <v>மகன்</v>
      </c>
      <c r="M208" s="2" t="str">
        <f>IFERROR(__xludf.DUMMYFUNCTION("""COMPUTED_VALUE"""),"కొడుకు")</f>
        <v>కొడుకు</v>
      </c>
    </row>
    <row r="209">
      <c r="A209" s="2" t="str">
        <f>Master_en!A209</f>
        <v>onboardbysales</v>
      </c>
      <c r="B209" s="2" t="str">
        <f>Master_en!B209</f>
        <v>Onboard by Sales</v>
      </c>
      <c r="C209" s="2" t="str">
        <f>IFERROR(__xludf.DUMMYFUNCTION("""COMPUTED_VALUE"""),"বিক্রয় দ্বারা জাহাজে")</f>
        <v>বিক্রয় দ্বারা জাহাজে</v>
      </c>
      <c r="D209" s="2" t="str">
        <f>IFERROR(__xludf.DUMMYFUNCTION("""COMPUTED_VALUE"""),"बिक्री द्वारा जहाज पर")</f>
        <v>बिक्री द्वारा जहाज पर</v>
      </c>
      <c r="E209" s="2" t="str">
        <f>IFERROR(__xludf.DUMMYFUNCTION("""COMPUTED_VALUE"""),"ಮಾರಾಟದಿಂದ ಆನ್‌ಬೋರ್ಡ್")</f>
        <v>ಮಾರಾಟದಿಂದ ಆನ್‌ಬೋರ್ಡ್</v>
      </c>
      <c r="F209" s="2" t="str">
        <f>IFERROR(__xludf.DUMMYFUNCTION("""COMPUTED_VALUE"""),"ବିକ୍ରୟ ଦ୍ୱାରା ବାହାଘର |")</f>
        <v>ବିକ୍ରୟ ଦ୍ୱାରା ବାହାଘର |</v>
      </c>
      <c r="G209" s="2" t="str">
        <f>IFERROR(__xludf.DUMMYFUNCTION("""COMPUTED_VALUE"""),"বিক্ৰীৰ দ্বাৰা অনবোৰ্ড")</f>
        <v>বিক্ৰীৰ দ্বাৰা অনবোৰ্ড</v>
      </c>
      <c r="H209" s="2" t="str">
        <f>IFERROR(__xludf.DUMMYFUNCTION("""COMPUTED_VALUE"""),"વેચાણ દ્વારા")</f>
        <v>વેચાણ દ્વારા</v>
      </c>
      <c r="I209" s="2" t="str">
        <f>IFERROR(__xludf.DUMMYFUNCTION("""COMPUTED_VALUE"""),"विक्रीनुसार ऑनबोर्ड")</f>
        <v>विक्रीनुसार ऑनबोर्ड</v>
      </c>
      <c r="J209" s="2" t="str">
        <f>IFERROR(__xludf.DUMMYFUNCTION("""COMPUTED_VALUE"""),"വിൽപ്പനയിലൂടെ")</f>
        <v>വിൽപ്പനയിലൂടെ</v>
      </c>
      <c r="K209" s="2" t="str">
        <f>IFERROR(__xludf.DUMMYFUNCTION("""COMPUTED_VALUE"""),"ਵਿਕਰੀ ਦੁਆਰਾ ਜਹਾਜ਼")</f>
        <v>ਵਿਕਰੀ ਦੁਆਰਾ ਜਹਾਜ਼</v>
      </c>
      <c r="L209" s="2" t="str">
        <f>IFERROR(__xludf.DUMMYFUNCTION("""COMPUTED_VALUE"""),"விற்பனையால் உள்")</f>
        <v>விற்பனையால் உள்</v>
      </c>
      <c r="M209" s="2" t="str">
        <f>IFERROR(__xludf.DUMMYFUNCTION("""COMPUTED_VALUE"""),"అమ్మకాల ద్వారా ఆన్‌బోర్డ్")</f>
        <v>అమ్మకాల ద్వారా ఆన్‌బోర్డ్</v>
      </c>
    </row>
    <row r="210">
      <c r="A210" s="2" t="str">
        <f>Master_en!A210</f>
        <v>ratings</v>
      </c>
      <c r="B210" s="2" t="str">
        <f>Master_en!B210</f>
        <v>Ratings</v>
      </c>
      <c r="C210" s="2" t="str">
        <f>IFERROR(__xludf.DUMMYFUNCTION("""COMPUTED_VALUE"""),"রেটিং")</f>
        <v>রেটিং</v>
      </c>
      <c r="D210" s="2" t="str">
        <f>IFERROR(__xludf.DUMMYFUNCTION("""COMPUTED_VALUE"""),"रेटिंग")</f>
        <v>रेटिंग</v>
      </c>
      <c r="E210" s="2" t="str">
        <f>IFERROR(__xludf.DUMMYFUNCTION("""COMPUTED_VALUE"""),"ರೇಟಿಂಗ್")</f>
        <v>ರೇಟಿಂಗ್</v>
      </c>
      <c r="F210" s="2" t="str">
        <f>IFERROR(__xludf.DUMMYFUNCTION("""COMPUTED_VALUE"""),"ଗଡା")</f>
        <v>ଗଡା</v>
      </c>
      <c r="G210" s="2" t="str">
        <f>IFERROR(__xludf.DUMMYFUNCTION("""COMPUTED_VALUE"""),"ৰেটিংসমূহ")</f>
        <v>ৰেটিংসমূহ</v>
      </c>
      <c r="H210" s="2" t="str">
        <f>IFERROR(__xludf.DUMMYFUNCTION("""COMPUTED_VALUE"""),"રેટિંગ્સ")</f>
        <v>રેટિંગ્સ</v>
      </c>
      <c r="I210" s="2" t="str">
        <f>IFERROR(__xludf.DUMMYFUNCTION("""COMPUTED_VALUE"""),"रेटिंग्ज")</f>
        <v>रेटिंग्ज</v>
      </c>
      <c r="J210" s="2" t="str">
        <f>IFERROR(__xludf.DUMMYFUNCTION("""COMPUTED_VALUE"""),"റേറ്റിംഗുകൾ")</f>
        <v>റേറ്റിംഗുകൾ</v>
      </c>
      <c r="K210" s="2" t="str">
        <f>IFERROR(__xludf.DUMMYFUNCTION("""COMPUTED_VALUE"""),"ਰੇਟਿੰਗ")</f>
        <v>ਰੇਟਿੰਗ</v>
      </c>
      <c r="L210" s="2" t="str">
        <f>IFERROR(__xludf.DUMMYFUNCTION("""COMPUTED_VALUE"""),"மதிப்பீடுகள்")</f>
        <v>மதிப்பீடுகள்</v>
      </c>
      <c r="M210" s="2" t="str">
        <f>IFERROR(__xludf.DUMMYFUNCTION("""COMPUTED_VALUE"""),"రేటింగ్స్")</f>
        <v>రేటింగ్స్</v>
      </c>
    </row>
    <row r="211">
      <c r="A211" s="2" t="str">
        <f>Master_en!A211</f>
        <v>cancelOrder</v>
      </c>
      <c r="B211" s="2" t="str">
        <f>Master_en!B211</f>
        <v>Cancel Order</v>
      </c>
      <c r="C211" s="2" t="str">
        <f>IFERROR(__xludf.DUMMYFUNCTION("""COMPUTED_VALUE"""),"আদেশ বাতিল")</f>
        <v>আদেশ বাতিল</v>
      </c>
      <c r="D211" s="2" t="str">
        <f>IFERROR(__xludf.DUMMYFUNCTION("""COMPUTED_VALUE"""),"आदेश रद्द")</f>
        <v>आदेश रद्द</v>
      </c>
      <c r="E211" s="2" t="str">
        <f>IFERROR(__xludf.DUMMYFUNCTION("""COMPUTED_VALUE"""),"ಆದೇಶವನ್ನು ರದ್ದುಗೊಳಿಸಿ")</f>
        <v>ಆದೇಶವನ್ನು ರದ್ದುಗೊಳಿಸಿ</v>
      </c>
      <c r="F211" s="2" t="str">
        <f>IFERROR(__xludf.DUMMYFUNCTION("""COMPUTED_VALUE"""),"କ୍ରମ ବାତିଲ୍ କରନ୍ତୁ |")</f>
        <v>କ୍ରମ ବାତିଲ୍ କରନ୍ତୁ |</v>
      </c>
      <c r="G211" s="2" t="str">
        <f>IFERROR(__xludf.DUMMYFUNCTION("""COMPUTED_VALUE"""),"অৰ্ডাৰ বাতিল কৰক")</f>
        <v>অৰ্ডাৰ বাতিল কৰক</v>
      </c>
      <c r="H211" s="2" t="str">
        <f>IFERROR(__xludf.DUMMYFUNCTION("""COMPUTED_VALUE"""),"ઓર્ડર રદ")</f>
        <v>ઓર્ડર રદ</v>
      </c>
      <c r="I211" s="2" t="str">
        <f>IFERROR(__xludf.DUMMYFUNCTION("""COMPUTED_VALUE"""),"ऑर्डर रद्द करा")</f>
        <v>ऑर्डर रद्द करा</v>
      </c>
      <c r="J211" s="2" t="str">
        <f>IFERROR(__xludf.DUMMYFUNCTION("""COMPUTED_VALUE"""),"ഓർഡർ റദ്ദാക്കാൻ")</f>
        <v>ഓർഡർ റദ്ദാക്കാൻ</v>
      </c>
      <c r="K211" s="2" t="str">
        <f>IFERROR(__xludf.DUMMYFUNCTION("""COMPUTED_VALUE"""),"ਆਰਡਰ ਰੱਦ ਕਰੋ")</f>
        <v>ਆਰਡਰ ਰੱਦ ਕਰੋ</v>
      </c>
      <c r="L211" s="2" t="str">
        <f>IFERROR(__xludf.DUMMYFUNCTION("""COMPUTED_VALUE"""),"ஆர்டரை ரத்துசெய்")</f>
        <v>ஆர்டரை ரத்துசெய்</v>
      </c>
      <c r="M211" s="2" t="str">
        <f>IFERROR(__xludf.DUMMYFUNCTION("""COMPUTED_VALUE"""),"ఆర్డర్‌ను రద్దు చేయండి")</f>
        <v>ఆర్డర్‌ను రద్దు చేయండి</v>
      </c>
    </row>
    <row r="212">
      <c r="A212" s="2" t="str">
        <f>Master_en!A212</f>
        <v>recommendedforyou</v>
      </c>
      <c r="B212" s="2" t="str">
        <f>Master_en!B212</f>
        <v>Recommended for You </v>
      </c>
      <c r="C212" s="2" t="str">
        <f>IFERROR(__xludf.DUMMYFUNCTION("""COMPUTED_VALUE"""),"আপনার জন্য প্রস্তাবিত")</f>
        <v>আপনার জন্য প্রস্তাবিত</v>
      </c>
      <c r="D212" s="2" t="str">
        <f>IFERROR(__xludf.DUMMYFUNCTION("""COMPUTED_VALUE"""),"आप के लिए अनुशंसित")</f>
        <v>आप के लिए अनुशंसित</v>
      </c>
      <c r="E212" s="2" t="str">
        <f>IFERROR(__xludf.DUMMYFUNCTION("""COMPUTED_VALUE"""),"ನಿಮಗಾಗಿ ಶಿಫಾರಸು ಮಾಡಲಾಗಿದೆ")</f>
        <v>ನಿಮಗಾಗಿ ಶಿಫಾರಸು ಮಾಡಲಾಗಿದೆ</v>
      </c>
      <c r="F212" s="2" t="str">
        <f>IFERROR(__xludf.DUMMYFUNCTION("""COMPUTED_VALUE"""),"ଆପଣଙ୍କ ପାଇଁ ପରାମର୍ଶ ଦିଆଯାଇଛି |")</f>
        <v>ଆପଣଙ୍କ ପାଇଁ ପରାମର୍ଶ ଦିଆଯାଇଛି |</v>
      </c>
      <c r="G212" s="2" t="str">
        <f>IFERROR(__xludf.DUMMYFUNCTION("""COMPUTED_VALUE"""),"আপোনাৰ বাবে পৰামৰ্শ দিয়া হৈছে")</f>
        <v>আপোনাৰ বাবে পৰামৰ্শ দিয়া হৈছে</v>
      </c>
      <c r="H212" s="2" t="str">
        <f>IFERROR(__xludf.DUMMYFUNCTION("""COMPUTED_VALUE"""),"તમારા માટે ભલામણ")</f>
        <v>તમારા માટે ભલામણ</v>
      </c>
      <c r="I212" s="2" t="str">
        <f>IFERROR(__xludf.DUMMYFUNCTION("""COMPUTED_VALUE"""),"तुमच्यासाठी सुचवलेले")</f>
        <v>तुमच्यासाठी सुचवलेले</v>
      </c>
      <c r="J212" s="2" t="str">
        <f>IFERROR(__xludf.DUMMYFUNCTION("""COMPUTED_VALUE"""),"നിങ്ങൾക്കായി ശുപാർശ ചെയ്യുന്നു")</f>
        <v>നിങ്ങൾക്കായി ശുപാർശ ചെയ്യുന്നു</v>
      </c>
      <c r="K212" s="2" t="str">
        <f>IFERROR(__xludf.DUMMYFUNCTION("""COMPUTED_VALUE"""),"ਤੁਹਾਡੇ ਲਈ ਸਿਫਾਰਸ਼ ਕੀਤੀ")</f>
        <v>ਤੁਹਾਡੇ ਲਈ ਸਿਫਾਰਸ਼ ਕੀਤੀ</v>
      </c>
      <c r="L212" s="2" t="str">
        <f>IFERROR(__xludf.DUMMYFUNCTION("""COMPUTED_VALUE"""),"உங்களுக்காக பரிந்துரைக்கப்படுகிறது")</f>
        <v>உங்களுக்காக பரிந்துரைக்கப்படுகிறது</v>
      </c>
      <c r="M212" s="2" t="str">
        <f>IFERROR(__xludf.DUMMYFUNCTION("""COMPUTED_VALUE"""),"మీకు సిఫార్సు చేయబడినది")</f>
        <v>మీకు సిఫార్సు చేయబడినది</v>
      </c>
    </row>
    <row r="213">
      <c r="A213" s="2" t="str">
        <f>Master_en!A213</f>
        <v>remove</v>
      </c>
      <c r="B213" s="2" t="str">
        <f>Master_en!B213</f>
        <v>Remove</v>
      </c>
      <c r="C213" s="2" t="str">
        <f>IFERROR(__xludf.DUMMYFUNCTION("""COMPUTED_VALUE"""),"অপসারণ")</f>
        <v>অপসারণ</v>
      </c>
      <c r="D213" s="2" t="str">
        <f>IFERROR(__xludf.DUMMYFUNCTION("""COMPUTED_VALUE"""),"निकालना")</f>
        <v>निकालना</v>
      </c>
      <c r="E213" s="2" t="str">
        <f>IFERROR(__xludf.DUMMYFUNCTION("""COMPUTED_VALUE"""),"ತೆಗೆದುಹಾಕು")</f>
        <v>ತೆಗೆದುಹಾಕು</v>
      </c>
      <c r="F213" s="2" t="str">
        <f>IFERROR(__xludf.DUMMYFUNCTION("""COMPUTED_VALUE"""),"କା remove ାଳି ଦିଅ |")</f>
        <v>କା remove ାଳି ଦିଅ |</v>
      </c>
      <c r="G213" s="2" t="str">
        <f>IFERROR(__xludf.DUMMYFUNCTION("""COMPUTED_VALUE"""),"আঁতৰোৱা")</f>
        <v>আঁতৰোৱা</v>
      </c>
      <c r="H213" s="2" t="str">
        <f>IFERROR(__xludf.DUMMYFUNCTION("""COMPUTED_VALUE"""),"દૂર કરવું")</f>
        <v>દૂર કરવું</v>
      </c>
      <c r="I213" s="2" t="str">
        <f>IFERROR(__xludf.DUMMYFUNCTION("""COMPUTED_VALUE"""),"काढा")</f>
        <v>काढा</v>
      </c>
      <c r="J213" s="2" t="str">
        <f>IFERROR(__xludf.DUMMYFUNCTION("""COMPUTED_VALUE"""),"മാറ്റുക")</f>
        <v>മാറ്റുക</v>
      </c>
      <c r="K213" s="2" t="str">
        <f>IFERROR(__xludf.DUMMYFUNCTION("""COMPUTED_VALUE"""),"ਹਟਾਓ")</f>
        <v>ਹਟਾਓ</v>
      </c>
      <c r="L213" s="2" t="str">
        <f>IFERROR(__xludf.DUMMYFUNCTION("""COMPUTED_VALUE"""),"அகற்று")</f>
        <v>அகற்று</v>
      </c>
      <c r="M213" s="2" t="str">
        <f>IFERROR(__xludf.DUMMYFUNCTION("""COMPUTED_VALUE"""),"తొలగించండి")</f>
        <v>తొలగించండి</v>
      </c>
    </row>
    <row r="214">
      <c r="A214" s="2" t="str">
        <f>Master_en!A214</f>
        <v>adddetails</v>
      </c>
      <c r="B214" s="2" t="str">
        <f>Master_en!B214</f>
        <v>Add Details</v>
      </c>
      <c r="C214" s="2" t="str">
        <f>IFERROR(__xludf.DUMMYFUNCTION("""COMPUTED_VALUE"""),"বিশদ যুক্ত করুন")</f>
        <v>বিশদ যুক্ত করুন</v>
      </c>
      <c r="D214" s="2" t="str">
        <f>IFERROR(__xludf.DUMMYFUNCTION("""COMPUTED_VALUE"""),"विवरण जोड़ें")</f>
        <v>विवरण जोड़ें</v>
      </c>
      <c r="E214" s="2" t="str">
        <f>IFERROR(__xludf.DUMMYFUNCTION("""COMPUTED_VALUE"""),"ವಿವರಗಳನ್ನು ಸೇರಿಸಿ")</f>
        <v>ವಿವರಗಳನ್ನು ಸೇರಿಸಿ</v>
      </c>
      <c r="F214" s="2" t="str">
        <f>IFERROR(__xludf.DUMMYFUNCTION("""COMPUTED_VALUE"""),"ବିବରଣୀ ଯୋଡନ୍ତୁ |")</f>
        <v>ବିବରଣୀ ଯୋଡନ୍ତୁ |</v>
      </c>
      <c r="G214" s="2" t="str">
        <f>IFERROR(__xludf.DUMMYFUNCTION("""COMPUTED_VALUE"""),"বিৱৰণ যোগ কৰক")</f>
        <v>বিৱৰণ যোগ কৰক</v>
      </c>
      <c r="H214" s="2" t="str">
        <f>IFERROR(__xludf.DUMMYFUNCTION("""COMPUTED_VALUE"""),"વિગતો ઉમેરો")</f>
        <v>વિગતો ઉમેરો</v>
      </c>
      <c r="I214" s="2" t="str">
        <f>IFERROR(__xludf.DUMMYFUNCTION("""COMPUTED_VALUE"""),"तपशील जोडा")</f>
        <v>तपशील जोडा</v>
      </c>
      <c r="J214" s="2" t="str">
        <f>IFERROR(__xludf.DUMMYFUNCTION("""COMPUTED_VALUE"""),"വിശദാംശങ്ങൾ ചേർക്കുക")</f>
        <v>വിശദാംശങ്ങൾ ചേർക്കുക</v>
      </c>
      <c r="K214" s="2" t="str">
        <f>IFERROR(__xludf.DUMMYFUNCTION("""COMPUTED_VALUE"""),"ਵੇਰਵੇ ਸ਼ਾਮਲ ਕਰੋ")</f>
        <v>ਵੇਰਵੇ ਸ਼ਾਮਲ ਕਰੋ</v>
      </c>
      <c r="L214" s="2" t="str">
        <f>IFERROR(__xludf.DUMMYFUNCTION("""COMPUTED_VALUE"""),"விவரங்களைச் சேர்க்கவும்")</f>
        <v>விவரங்களைச் சேர்க்கவும்</v>
      </c>
      <c r="M214" s="2" t="str">
        <f>IFERROR(__xludf.DUMMYFUNCTION("""COMPUTED_VALUE"""),"వివరాలను జోడించండి")</f>
        <v>వివరాలను జోడించండి</v>
      </c>
    </row>
    <row r="215">
      <c r="A215" s="2" t="str">
        <f>Master_en!A215</f>
        <v>updateuser</v>
      </c>
      <c r="B215" s="2" t="str">
        <f>Master_en!B215</f>
        <v>Update User</v>
      </c>
      <c r="C215" s="2" t="str">
        <f>IFERROR(__xludf.DUMMYFUNCTION("""COMPUTED_VALUE"""),"আপডেট ব্যবহারকারী")</f>
        <v>আপডেট ব্যবহারকারী</v>
      </c>
      <c r="D215" s="2" t="str">
        <f>IFERROR(__xludf.DUMMYFUNCTION("""COMPUTED_VALUE"""),"अद्यतन उपयोगकर्ता")</f>
        <v>अद्यतन उपयोगकर्ता</v>
      </c>
      <c r="E215" s="2" t="str">
        <f>IFERROR(__xludf.DUMMYFUNCTION("""COMPUTED_VALUE"""),"ಬಳಕೆದಾರರನ್ನು ನವೀಕರಿಸಿ")</f>
        <v>ಬಳಕೆದಾರರನ್ನು ನವೀಕರಿಸಿ</v>
      </c>
      <c r="F215" s="2" t="str">
        <f>IFERROR(__xludf.DUMMYFUNCTION("""COMPUTED_VALUE"""),"ଉପଯୋଗକର୍ତ୍ତା ଅଦ୍ୟତନ କରନ୍ତୁ |")</f>
        <v>ଉପଯୋଗକର୍ତ୍ତା ଅଦ୍ୟତନ କରନ୍ତୁ |</v>
      </c>
      <c r="G215" s="2" t="str">
        <f>IFERROR(__xludf.DUMMYFUNCTION("""COMPUTED_VALUE"""),"ব্যৱহাৰকাৰী আপডেট কৰক")</f>
        <v>ব্যৱহাৰকাৰী আপডেট কৰক</v>
      </c>
      <c r="H215" s="2" t="str">
        <f>IFERROR(__xludf.DUMMYFUNCTION("""COMPUTED_VALUE"""),"અપડેટ વપરાશકર્તા")</f>
        <v>અપડેટ વપરાશકર્તા</v>
      </c>
      <c r="I215" s="2" t="str">
        <f>IFERROR(__xludf.DUMMYFUNCTION("""COMPUTED_VALUE"""),"वापरकर्ता अद्यतनित करा")</f>
        <v>वापरकर्ता अद्यतनित करा</v>
      </c>
      <c r="J215" s="2" t="str">
        <f>IFERROR(__xludf.DUMMYFUNCTION("""COMPUTED_VALUE"""),"ഉപയോക്താവിനെ അപ്ഡേറ്റുചെയ്യുക")</f>
        <v>ഉപയോക്താവിനെ അപ്ഡേറ്റുചെയ്യുക</v>
      </c>
      <c r="K215" s="2" t="str">
        <f>IFERROR(__xludf.DUMMYFUNCTION("""COMPUTED_VALUE"""),"ਉਪਭੋਗਤਾ ਨੂੰ ਅਪਡੇਟ ਕਰੋ")</f>
        <v>ਉਪਭੋਗਤਾ ਨੂੰ ਅਪਡੇਟ ਕਰੋ</v>
      </c>
      <c r="L215" s="2" t="str">
        <f>IFERROR(__xludf.DUMMYFUNCTION("""COMPUTED_VALUE"""),"பயனரை புதுப்பிக்கவும்")</f>
        <v>பயனரை புதுப்பிக்கவும்</v>
      </c>
      <c r="M215" s="2" t="str">
        <f>IFERROR(__xludf.DUMMYFUNCTION("""COMPUTED_VALUE"""),"వినియోగదారుని నవీకరించండి")</f>
        <v>వినియోగదారుని నవీకరించండి</v>
      </c>
    </row>
    <row r="216">
      <c r="A216" s="2" t="str">
        <f>Master_en!A216</f>
        <v>nouserscreatedyet</v>
      </c>
      <c r="B216" s="2" t="str">
        <f>Master_en!B216</f>
        <v>No Users Created Yet</v>
      </c>
      <c r="C216" s="2" t="str">
        <f>IFERROR(__xludf.DUMMYFUNCTION("""COMPUTED_VALUE"""),"কোনও ব্যবহারকারী এখনও তৈরি করেন নি")</f>
        <v>কোনও ব্যবহারকারী এখনও তৈরি করেন নি</v>
      </c>
      <c r="D216" s="2" t="str">
        <f>IFERROR(__xludf.DUMMYFUNCTION("""COMPUTED_VALUE"""),"अभी तक कोई उपयोगकर्ता नहीं बनाया गया है")</f>
        <v>अभी तक कोई उपयोगकर्ता नहीं बनाया गया है</v>
      </c>
      <c r="E216" s="2" t="str">
        <f>IFERROR(__xludf.DUMMYFUNCTION("""COMPUTED_VALUE"""),"ಇನ್ನೂ ಯಾವುದೇ ಬಳಕೆದಾರರನ್ನು ರಚಿಸಲಾಗಿದೆ")</f>
        <v>ಇನ್ನೂ ಯಾವುದೇ ಬಳಕೆದಾರರನ್ನು ರಚಿಸಲಾಗಿದೆ</v>
      </c>
      <c r="F216" s="2" t="str">
        <f>IFERROR(__xludf.DUMMYFUNCTION("""COMPUTED_VALUE"""),"ଏପର୍ଯ୍ୟନ୍ତ କ used ଣସି ଉପଭୋକ୍ତା ସୃଷ୍ଟି କରନ୍ତି ନାହିଁ |")</f>
        <v>ଏପର୍ଯ୍ୟନ୍ତ କ used ଣସି ଉପଭୋକ୍ତା ସୃଷ୍ଟି କରନ୍ତି ନାହିଁ |</v>
      </c>
      <c r="G216" s="2" t="str">
        <f>IFERROR(__xludf.DUMMYFUNCTION("""COMPUTED_VALUE"""),"এতিয়ালৈকে কোনো ব্যৱহাৰকাৰী সৃষ্টি কৰা হোৱা নাই")</f>
        <v>এতিয়ালৈকে কোনো ব্যৱহাৰকাৰী সৃষ্টি কৰা হোৱা নাই</v>
      </c>
      <c r="H216" s="2" t="str">
        <f>IFERROR(__xludf.DUMMYFUNCTION("""COMPUTED_VALUE"""),"હજી સુધી કોઈ વપરાશકર્તાઓ બનાવ્યા નથી")</f>
        <v>હજી સુધી કોઈ વપરાશકર્તાઓ બનાવ્યા નથી</v>
      </c>
      <c r="I216" s="2" t="str">
        <f>IFERROR(__xludf.DUMMYFUNCTION("""COMPUTED_VALUE"""),"अद्याप कोणतेही वापरकर्ते तयार केलेले नाहीत")</f>
        <v>अद्याप कोणतेही वापरकर्ते तयार केलेले नाहीत</v>
      </c>
      <c r="J216" s="2" t="str">
        <f>IFERROR(__xludf.DUMMYFUNCTION("""COMPUTED_VALUE"""),"ഇതുവരെ സൃഷ്ടിച്ചിട്ടില്ല")</f>
        <v>ഇതുവരെ സൃഷ്ടിച്ചിട്ടില്ല</v>
      </c>
      <c r="K216" s="2" t="str">
        <f>IFERROR(__xludf.DUMMYFUNCTION("""COMPUTED_VALUE"""),"ਕੋਈ ਉਪਭੋਗਤਾ ਹਾਲੇ ਨਹੀਂ ਬਣਾਇਆ ਗਿਆ")</f>
        <v>ਕੋਈ ਉਪਭੋਗਤਾ ਹਾਲੇ ਨਹੀਂ ਬਣਾਇਆ ਗਿਆ</v>
      </c>
      <c r="L216" s="2" t="str">
        <f>IFERROR(__xludf.DUMMYFUNCTION("""COMPUTED_VALUE"""),"பயனர்கள் இதுவரை உருவாக்கவில்லை")</f>
        <v>பயனர்கள் இதுவரை உருவாக்கவில்லை</v>
      </c>
      <c r="M216" s="2" t="str">
        <f>IFERROR(__xludf.DUMMYFUNCTION("""COMPUTED_VALUE"""),"ఇంకా వినియోగదారులు సృష్టించబడలేదు")</f>
        <v>ఇంకా వినియోగదారులు సృష్టించబడలేదు</v>
      </c>
    </row>
    <row r="217">
      <c r="A217" s="2" t="str">
        <f>Master_en!A217</f>
        <v>advance</v>
      </c>
      <c r="B217" s="2" t="str">
        <f>Master_en!B217</f>
        <v>Advance</v>
      </c>
      <c r="C217" s="2" t="str">
        <f>IFERROR(__xludf.DUMMYFUNCTION("""COMPUTED_VALUE"""),"অগ্রিম")</f>
        <v>অগ্রিম</v>
      </c>
      <c r="D217" s="2" t="str">
        <f>IFERROR(__xludf.DUMMYFUNCTION("""COMPUTED_VALUE"""),"अग्रिम")</f>
        <v>अग्रिम</v>
      </c>
      <c r="E217" s="2" t="str">
        <f>IFERROR(__xludf.DUMMYFUNCTION("""COMPUTED_VALUE"""),"ಮುನ್ನಡೆ")</f>
        <v>ಮುನ್ನಡೆ</v>
      </c>
      <c r="F217" s="2" t="str">
        <f>IFERROR(__xludf.DUMMYFUNCTION("""COMPUTED_VALUE"""),"ଅଗ୍ରିମ")</f>
        <v>ଅଗ୍ରିମ</v>
      </c>
      <c r="G217" s="2" t="str">
        <f>IFERROR(__xludf.DUMMYFUNCTION("""COMPUTED_VALUE"""),"আগতীয়া")</f>
        <v>আগতীয়া</v>
      </c>
      <c r="H217" s="2" t="str">
        <f>IFERROR(__xludf.DUMMYFUNCTION("""COMPUTED_VALUE"""),"આગળ વધવું")</f>
        <v>આગળ વધવું</v>
      </c>
      <c r="I217" s="2" t="str">
        <f>IFERROR(__xludf.DUMMYFUNCTION("""COMPUTED_VALUE"""),"प्रगती")</f>
        <v>प्रगती</v>
      </c>
      <c r="J217" s="2" t="str">
        <f>IFERROR(__xludf.DUMMYFUNCTION("""COMPUTED_VALUE"""),"മുന്നേറുക")</f>
        <v>മുന്നേറുക</v>
      </c>
      <c r="K217" s="2" t="str">
        <f>IFERROR(__xludf.DUMMYFUNCTION("""COMPUTED_VALUE"""),"ਪੇਸ਼ਗੀ")</f>
        <v>ਪੇਸ਼ਗੀ</v>
      </c>
      <c r="L217" s="2" t="str">
        <f>IFERROR(__xludf.DUMMYFUNCTION("""COMPUTED_VALUE"""),"முன்கூட்டியே")</f>
        <v>முன்கூட்டியே</v>
      </c>
      <c r="M217" s="2" t="str">
        <f>IFERROR(__xludf.DUMMYFUNCTION("""COMPUTED_VALUE"""),"అడ్వాన్స్")</f>
        <v>అడ్వాన్స్</v>
      </c>
    </row>
    <row r="218">
      <c r="A218" s="2" t="str">
        <f>Master_en!A218</f>
        <v>pastOrders</v>
      </c>
      <c r="B218" s="2" t="str">
        <f>Master_en!B218</f>
        <v>Past Orders</v>
      </c>
      <c r="C218" s="2" t="str">
        <f>IFERROR(__xludf.DUMMYFUNCTION("""COMPUTED_VALUE"""),"অতীত আদেশ")</f>
        <v>অতীত আদেশ</v>
      </c>
      <c r="D218" s="2" t="str">
        <f>IFERROR(__xludf.DUMMYFUNCTION("""COMPUTED_VALUE"""),"अतीत के आदेश")</f>
        <v>अतीत के आदेश</v>
      </c>
      <c r="E218" s="2" t="str">
        <f>IFERROR(__xludf.DUMMYFUNCTION("""COMPUTED_VALUE"""),"ಹಿಂದಿನ ಆದೇಶಗಳು")</f>
        <v>ಹಿಂದಿನ ಆದೇಶಗಳು</v>
      </c>
      <c r="F218" s="2" t="str">
        <f>IFERROR(__xludf.DUMMYFUNCTION("""COMPUTED_VALUE"""),"ଅତୀତର ଆଦେଶ")</f>
        <v>ଅତୀତର ଆଦେଶ</v>
      </c>
      <c r="G218" s="2" t="str">
        <f>IFERROR(__xludf.DUMMYFUNCTION("""COMPUTED_VALUE"""),"অতীতৰ অৰ্ডাৰসমূহ")</f>
        <v>অতীতৰ অৰ্ডাৰসমূহ</v>
      </c>
      <c r="H218" s="2" t="str">
        <f>IFERROR(__xludf.DUMMYFUNCTION("""COMPUTED_VALUE"""),"પહેલાના ઓર્ડર")</f>
        <v>પહેલાના ઓર્ડર</v>
      </c>
      <c r="I218" s="2" t="str">
        <f>IFERROR(__xludf.DUMMYFUNCTION("""COMPUTED_VALUE"""),"मागील ऑर्डर")</f>
        <v>मागील ऑर्डर</v>
      </c>
      <c r="J218" s="2" t="str">
        <f>IFERROR(__xludf.DUMMYFUNCTION("""COMPUTED_VALUE"""),"പഴയ ഓർഡറുകൾ")</f>
        <v>പഴയ ഓർഡറുകൾ</v>
      </c>
      <c r="K218" s="2" t="str">
        <f>IFERROR(__xludf.DUMMYFUNCTION("""COMPUTED_VALUE"""),"ਪਿਛਲੇ ਆਰਡਰ")</f>
        <v>ਪਿਛਲੇ ਆਰਡਰ</v>
      </c>
      <c r="L218" s="2" t="str">
        <f>IFERROR(__xludf.DUMMYFUNCTION("""COMPUTED_VALUE"""),"கடந்த ஆர்டர்கள்")</f>
        <v>கடந்த ஆர்டர்கள்</v>
      </c>
      <c r="M218" s="2" t="str">
        <f>IFERROR(__xludf.DUMMYFUNCTION("""COMPUTED_VALUE"""),"గత ఆదేశాలు")</f>
        <v>గత ఆదేశాలు</v>
      </c>
    </row>
    <row r="219">
      <c r="A219" s="2" t="str">
        <f>Master_en!A219</f>
        <v>viewMoreOrders</v>
      </c>
      <c r="B219" s="2" t="str">
        <f>Master_en!B219</f>
        <v>View More Orders</v>
      </c>
      <c r="C219" s="2" t="str">
        <f>IFERROR(__xludf.DUMMYFUNCTION("""COMPUTED_VALUE"""),"আরও আদেশ দেখুন")</f>
        <v>আরও আদেশ দেখুন</v>
      </c>
      <c r="D219" s="2" t="str">
        <f>IFERROR(__xludf.DUMMYFUNCTION("""COMPUTED_VALUE"""),"अधिक आदेश देखें")</f>
        <v>अधिक आदेश देखें</v>
      </c>
      <c r="E219" s="2" t="str">
        <f>IFERROR(__xludf.DUMMYFUNCTION("""COMPUTED_VALUE"""),"ಹೆಚ್ಚಿನ ಆದೇಶಗಳನ್ನು ವೀಕ್ಷಿಸಿ")</f>
        <v>ಹೆಚ್ಚಿನ ಆದೇಶಗಳನ್ನು ವೀಕ್ಷಿಸಿ</v>
      </c>
      <c r="F219" s="2" t="str">
        <f>IFERROR(__xludf.DUMMYFUNCTION("""COMPUTED_VALUE"""),"ଅଧିକ ଅର୍ଡର ଦେଖନ୍ତୁ |")</f>
        <v>ଅଧିକ ଅର୍ଡର ଦେଖନ୍ତୁ |</v>
      </c>
      <c r="G219" s="2" t="str">
        <f>IFERROR(__xludf.DUMMYFUNCTION("""COMPUTED_VALUE"""),"অধিক অৰ্ডাৰ চাওক")</f>
        <v>অধিক অৰ্ডাৰ চাওক</v>
      </c>
      <c r="H219" s="2" t="str">
        <f>IFERROR(__xludf.DUMMYFUNCTION("""COMPUTED_VALUE"""),"વધુ ઓર્ડર જુઓ")</f>
        <v>વધુ ઓર્ડર જુઓ</v>
      </c>
      <c r="I219" s="2" t="str">
        <f>IFERROR(__xludf.DUMMYFUNCTION("""COMPUTED_VALUE"""),"अधिक ऑर्डर पहा")</f>
        <v>अधिक ऑर्डर पहा</v>
      </c>
      <c r="J219" s="2" t="str">
        <f>IFERROR(__xludf.DUMMYFUNCTION("""COMPUTED_VALUE"""),"കൂടുതൽ ഓർഡറുകൾ കാണുക")</f>
        <v>കൂടുതൽ ഓർഡറുകൾ കാണുക</v>
      </c>
      <c r="K219" s="2" t="str">
        <f>IFERROR(__xludf.DUMMYFUNCTION("""COMPUTED_VALUE"""),"ਹੋਰ ਆਰਡਰ ਵੇਖੋ")</f>
        <v>ਹੋਰ ਆਰਡਰ ਵੇਖੋ</v>
      </c>
      <c r="L219" s="2" t="str">
        <f>IFERROR(__xludf.DUMMYFUNCTION("""COMPUTED_VALUE"""),"மேலும் ஆர்டர்களைக் காண்க")</f>
        <v>மேலும் ஆர்டர்களைக் காண்க</v>
      </c>
      <c r="M219" s="2" t="str">
        <f>IFERROR(__xludf.DUMMYFUNCTION("""COMPUTED_VALUE"""),"మరిన్ని ఆర్డర్‌లను చూడండి")</f>
        <v>మరిన్ని ఆర్డర్‌లను చూడండి</v>
      </c>
    </row>
    <row r="220">
      <c r="A220" s="2" t="str">
        <f>Master_en!A220</f>
        <v>ordermanger</v>
      </c>
      <c r="B220" s="2" t="str">
        <f>Master_en!B220</f>
        <v>Order Manager</v>
      </c>
      <c r="C220" s="2" t="str">
        <f>IFERROR(__xludf.DUMMYFUNCTION("""COMPUTED_VALUE"""),"অর্ডার ম্যানেজার")</f>
        <v>অর্ডার ম্যানেজার</v>
      </c>
      <c r="D220" s="2" t="str">
        <f>IFERROR(__xludf.DUMMYFUNCTION("""COMPUTED_VALUE"""),"आदेश प्रबंधक")</f>
        <v>आदेश प्रबंधक</v>
      </c>
      <c r="E220" s="2" t="str">
        <f>IFERROR(__xludf.DUMMYFUNCTION("""COMPUTED_VALUE"""),"ಆದೇಶದ ವ್ಯವಸ್ಥಾಪಕ")</f>
        <v>ಆದೇಶದ ವ್ಯವಸ್ಥಾಪಕ</v>
      </c>
      <c r="F220" s="2" t="str">
        <f>IFERROR(__xludf.DUMMYFUNCTION("""COMPUTED_VALUE"""),"ଅର୍ଡର ପରିଚାଳକ")</f>
        <v>ଅର୍ଡର ପରିଚାଳକ</v>
      </c>
      <c r="G220" s="2" t="str">
        <f>IFERROR(__xludf.DUMMYFUNCTION("""COMPUTED_VALUE"""),"অৰ্ডাৰ মেনেজাৰ")</f>
        <v>অৰ্ডাৰ মেনেজাৰ</v>
      </c>
      <c r="H220" s="2" t="str">
        <f>IFERROR(__xludf.DUMMYFUNCTION("""COMPUTED_VALUE"""),"હુકમ વ્યવસ્થા")</f>
        <v>હુકમ વ્યવસ્થા</v>
      </c>
      <c r="I220" s="2" t="str">
        <f>IFERROR(__xludf.DUMMYFUNCTION("""COMPUTED_VALUE"""),"ऑर्डर मॅनेजर")</f>
        <v>ऑर्डर मॅनेजर</v>
      </c>
      <c r="J220" s="2" t="str">
        <f>IFERROR(__xludf.DUMMYFUNCTION("""COMPUTED_VALUE"""),"ഓർഡർ മാനേജർ")</f>
        <v>ഓർഡർ മാനേജർ</v>
      </c>
      <c r="K220" s="2" t="str">
        <f>IFERROR(__xludf.DUMMYFUNCTION("""COMPUTED_VALUE"""),"ਆਰਡਰ ਮੈਨੇਜਰ")</f>
        <v>ਆਰਡਰ ਮੈਨੇਜਰ</v>
      </c>
      <c r="L220" s="2" t="str">
        <f>IFERROR(__xludf.DUMMYFUNCTION("""COMPUTED_VALUE"""),"ஆர்டர் மேலாளர்")</f>
        <v>ஆர்டர் மேலாளர்</v>
      </c>
      <c r="M220" s="2" t="str">
        <f>IFERROR(__xludf.DUMMYFUNCTION("""COMPUTED_VALUE"""),"ఆర్డర్ మేనేజర్")</f>
        <v>ఆర్డర్ మేనేజర్</v>
      </c>
    </row>
    <row r="221">
      <c r="A221" s="2" t="str">
        <f>Master_en!A221</f>
        <v>name</v>
      </c>
      <c r="B221" s="2" t="str">
        <f>Master_en!B221</f>
        <v>Name</v>
      </c>
      <c r="C221" s="2" t="str">
        <f>IFERROR(__xludf.DUMMYFUNCTION("""COMPUTED_VALUE"""),"নাম")</f>
        <v>নাম</v>
      </c>
      <c r="D221" s="2" t="str">
        <f>IFERROR(__xludf.DUMMYFUNCTION("""COMPUTED_VALUE"""),"नाम")</f>
        <v>नाम</v>
      </c>
      <c r="E221" s="2" t="str">
        <f>IFERROR(__xludf.DUMMYFUNCTION("""COMPUTED_VALUE"""),"ಹೆಸರು")</f>
        <v>ಹೆಸರು</v>
      </c>
      <c r="F221" s="2" t="str">
        <f>IFERROR(__xludf.DUMMYFUNCTION("""COMPUTED_VALUE"""),"ନାମ")</f>
        <v>ନାମ</v>
      </c>
      <c r="G221" s="2" t="str">
        <f>IFERROR(__xludf.DUMMYFUNCTION("""COMPUTED_VALUE"""),"নাম")</f>
        <v>নাম</v>
      </c>
      <c r="H221" s="2" t="str">
        <f>IFERROR(__xludf.DUMMYFUNCTION("""COMPUTED_VALUE"""),"નામ")</f>
        <v>નામ</v>
      </c>
      <c r="I221" s="2" t="str">
        <f>IFERROR(__xludf.DUMMYFUNCTION("""COMPUTED_VALUE"""),"नाव")</f>
        <v>नाव</v>
      </c>
      <c r="J221" s="2" t="str">
        <f>IFERROR(__xludf.DUMMYFUNCTION("""COMPUTED_VALUE"""),"പേര്")</f>
        <v>പേര്</v>
      </c>
      <c r="K221" s="2" t="str">
        <f>IFERROR(__xludf.DUMMYFUNCTION("""COMPUTED_VALUE"""),"ਨਾਮ")</f>
        <v>ਨਾਮ</v>
      </c>
      <c r="L221" s="2" t="str">
        <f>IFERROR(__xludf.DUMMYFUNCTION("""COMPUTED_VALUE"""),"பெயர்")</f>
        <v>பெயர்</v>
      </c>
      <c r="M221" s="2" t="str">
        <f>IFERROR(__xludf.DUMMYFUNCTION("""COMPUTED_VALUE"""),"పేరు")</f>
        <v>పేరు</v>
      </c>
    </row>
    <row r="222">
      <c r="A222" s="2" t="str">
        <f>Master_en!A222</f>
        <v>mycomplaints</v>
      </c>
      <c r="B222" s="2" t="str">
        <f>Master_en!B222</f>
        <v>My Complaints</v>
      </c>
      <c r="C222" s="2" t="str">
        <f>IFERROR(__xludf.DUMMYFUNCTION("""COMPUTED_VALUE"""),"আমার অভিযোগ")</f>
        <v>আমার অভিযোগ</v>
      </c>
      <c r="D222" s="2" t="str">
        <f>IFERROR(__xludf.DUMMYFUNCTION("""COMPUTED_VALUE"""),"मेरी शिकायतें")</f>
        <v>मेरी शिकायतें</v>
      </c>
      <c r="E222" s="2" t="str">
        <f>IFERROR(__xludf.DUMMYFUNCTION("""COMPUTED_VALUE"""),"ನನ್ನ ದೂರುಗಳು")</f>
        <v>ನನ್ನ ದೂರುಗಳು</v>
      </c>
      <c r="F222" s="2" t="str">
        <f>IFERROR(__xludf.DUMMYFUNCTION("""COMPUTED_VALUE"""),"ମୋର ଅଭିଯୋଗ")</f>
        <v>ମୋର ଅଭିଯୋଗ</v>
      </c>
      <c r="G222" s="2" t="str">
        <f>IFERROR(__xludf.DUMMYFUNCTION("""COMPUTED_VALUE"""),"মোৰ অভিযোগ")</f>
        <v>মোৰ অভিযোগ</v>
      </c>
      <c r="H222" s="2" t="str">
        <f>IFERROR(__xludf.DUMMYFUNCTION("""COMPUTED_VALUE"""),"મારી ફરિયાદો")</f>
        <v>મારી ફરિયાદો</v>
      </c>
      <c r="I222" s="2" t="str">
        <f>IFERROR(__xludf.DUMMYFUNCTION("""COMPUTED_VALUE"""),"माझ्या तक्रारी")</f>
        <v>माझ्या तक्रारी</v>
      </c>
      <c r="J222" s="2" t="str">
        <f>IFERROR(__xludf.DUMMYFUNCTION("""COMPUTED_VALUE"""),"എന്റെ പരാതികൾ")</f>
        <v>എന്റെ പരാതികൾ</v>
      </c>
      <c r="K222" s="2" t="str">
        <f>IFERROR(__xludf.DUMMYFUNCTION("""COMPUTED_VALUE"""),"ਮੇਰੀਆਂ ਸ਼ਿਕਾਇਤਾਂ")</f>
        <v>ਮੇਰੀਆਂ ਸ਼ਿਕਾਇਤਾਂ</v>
      </c>
      <c r="L222" s="2" t="str">
        <f>IFERROR(__xludf.DUMMYFUNCTION("""COMPUTED_VALUE"""),"எனது புகார்கள்")</f>
        <v>எனது புகார்கள்</v>
      </c>
      <c r="M222" s="2" t="str">
        <f>IFERROR(__xludf.DUMMYFUNCTION("""COMPUTED_VALUE"""),"నా ఫిర్యాదులు")</f>
        <v>నా ఫిర్యాదులు</v>
      </c>
    </row>
    <row r="223">
      <c r="A223" s="2" t="str">
        <f>Master_en!A223</f>
        <v>complainid</v>
      </c>
      <c r="B223" s="2" t="str">
        <f>Master_en!B223</f>
        <v>Complain ID</v>
      </c>
      <c r="C223" s="2" t="str">
        <f>IFERROR(__xludf.DUMMYFUNCTION("""COMPUTED_VALUE"""),"অভিযোগ আইডি")</f>
        <v>অভিযোগ আইডি</v>
      </c>
      <c r="D223" s="2" t="str">
        <f>IFERROR(__xludf.DUMMYFUNCTION("""COMPUTED_VALUE"""),"शिकायत आईडी")</f>
        <v>शिकायत आईडी</v>
      </c>
      <c r="E223" s="2" t="str">
        <f>IFERROR(__xludf.DUMMYFUNCTION("""COMPUTED_VALUE"""),"ಐಡಿ ದೂರು")</f>
        <v>ಐಡಿ ದೂರು</v>
      </c>
      <c r="F223" s="2" t="str">
        <f>IFERROR(__xludf.DUMMYFUNCTION("""COMPUTED_VALUE"""),"ଅଭିଯୋଗ ID")</f>
        <v>ଅଭିଯୋଗ ID</v>
      </c>
      <c r="G223" s="2" t="str">
        <f>IFERROR(__xludf.DUMMYFUNCTION("""COMPUTED_VALUE"""),"অভিযোগ আইডি")</f>
        <v>অভিযোগ আইডি</v>
      </c>
      <c r="H223" s="2" t="str">
        <f>IFERROR(__xludf.DUMMYFUNCTION("""COMPUTED_VALUE"""),"આઈડી ફરિયાદ કરવી")</f>
        <v>આઈડી ફરિયાદ કરવી</v>
      </c>
      <c r="I223" s="2" t="str">
        <f>IFERROR(__xludf.DUMMYFUNCTION("""COMPUTED_VALUE"""),"तक्रार आयडी")</f>
        <v>तक्रार आयडी</v>
      </c>
      <c r="J223" s="2" t="str">
        <f>IFERROR(__xludf.DUMMYFUNCTION("""COMPUTED_VALUE"""),"ഐഡി പരാതി")</f>
        <v>ഐഡി പരാതി</v>
      </c>
      <c r="K223" s="2" t="str">
        <f>IFERROR(__xludf.DUMMYFUNCTION("""COMPUTED_VALUE"""),"ਸ਼ਿਕਾਇਤ ਆਈਡੀ")</f>
        <v>ਸ਼ਿਕਾਇਤ ਆਈਡੀ</v>
      </c>
      <c r="L223" s="2" t="str">
        <f>IFERROR(__xludf.DUMMYFUNCTION("""COMPUTED_VALUE"""),"புகார் ID")</f>
        <v>புகார் ID</v>
      </c>
      <c r="M223" s="2" t="str">
        <f>IFERROR(__xludf.DUMMYFUNCTION("""COMPUTED_VALUE"""),"ఫిర్యాదు ఐడి")</f>
        <v>ఫిర్యాదు ఐడి</v>
      </c>
    </row>
    <row r="224">
      <c r="A224" s="2" t="str">
        <f>Master_en!A224</f>
        <v>assignedtoaccountmanager</v>
      </c>
      <c r="B224" s="2" t="str">
        <f>Master_en!B224</f>
        <v>Assigned to Account Manager</v>
      </c>
      <c r="C224" s="2" t="str">
        <f>IFERROR(__xludf.DUMMYFUNCTION("""COMPUTED_VALUE"""),"অ্যাকাউন্ট ম্যানেজারকে বরাদ্দ করা হয়েছে")</f>
        <v>অ্যাকাউন্ট ম্যানেজারকে বরাদ্দ করা হয়েছে</v>
      </c>
      <c r="D224" s="2" t="str">
        <f>IFERROR(__xludf.DUMMYFUNCTION("""COMPUTED_VALUE"""),"खाता प्रबंधक को सौंपा गया")</f>
        <v>खाता प्रबंधक को सौंपा गया</v>
      </c>
      <c r="E224" s="2" t="str">
        <f>IFERROR(__xludf.DUMMYFUNCTION("""COMPUTED_VALUE"""),"ಖಾತೆ ವ್ಯವಸ್ಥಾಪಕರಿಗೆ ನಿಯೋಜಿಸಲಾಗಿದೆ")</f>
        <v>ಖಾತೆ ವ್ಯವಸ್ಥಾಪಕರಿಗೆ ನಿಯೋಜಿಸಲಾಗಿದೆ</v>
      </c>
      <c r="F224" s="2" t="str">
        <f>IFERROR(__xludf.DUMMYFUNCTION("""COMPUTED_VALUE"""),"ଆକାଉଣ୍ଟ୍ ମ୍ୟାନେଜର୍ ପାଇଁ ନ୍ୟସ୍ତ |")</f>
        <v>ଆକାଉଣ୍ଟ୍ ମ୍ୟାନେଜର୍ ପାଇଁ ନ୍ୟସ୍ତ |</v>
      </c>
      <c r="G224" s="2" t="str">
        <f>IFERROR(__xludf.DUMMYFUNCTION("""COMPUTED_VALUE"""),"একাউণ্ট মেনেজাৰলৈ নিযুক্ত কৰা হৈছে")</f>
        <v>একাউণ্ট মেনেজাৰলৈ নিযুক্ত কৰা হৈছে</v>
      </c>
      <c r="H224" s="2" t="str">
        <f>IFERROR(__xludf.DUMMYFUNCTION("""COMPUTED_VALUE"""),"એકાઉન્ટ મેનેજરને સોંપેલ")</f>
        <v>એકાઉન્ટ મેનેજરને સોંપેલ</v>
      </c>
      <c r="I224" s="2" t="str">
        <f>IFERROR(__xludf.DUMMYFUNCTION("""COMPUTED_VALUE"""),"खाते व्यवस्थापकास नियुक्त")</f>
        <v>खाते व्यवस्थापकास नियुक्त</v>
      </c>
      <c r="J224" s="2" t="str">
        <f>IFERROR(__xludf.DUMMYFUNCTION("""COMPUTED_VALUE"""),"അക്കൗണ്ട് മാനേജറിലേക്ക് നിയോഗിച്ചു")</f>
        <v>അക്കൗണ്ട് മാനേജറിലേക്ക് നിയോഗിച്ചു</v>
      </c>
      <c r="K224" s="2" t="str">
        <f>IFERROR(__xludf.DUMMYFUNCTION("""COMPUTED_VALUE"""),"ਖਾਤਾ ਪ੍ਰਬੰਧਕ ਨੂੰ ਨਿਰਧਾਰਤ ਕੀਤਾ")</f>
        <v>ਖਾਤਾ ਪ੍ਰਬੰਧਕ ਨੂੰ ਨਿਰਧਾਰਤ ਕੀਤਾ</v>
      </c>
      <c r="L224" s="2" t="str">
        <f>IFERROR(__xludf.DUMMYFUNCTION("""COMPUTED_VALUE"""),"கணக்கு மேலாளருக்கு ஒதுக்கப்பட்டுள்ளது")</f>
        <v>கணக்கு மேலாளருக்கு ஒதுக்கப்பட்டுள்ளது</v>
      </c>
      <c r="M224" s="2" t="str">
        <f>IFERROR(__xludf.DUMMYFUNCTION("""COMPUTED_VALUE"""),"ఖాతా మేనేజర్‌కు అప్పగించబడింది")</f>
        <v>ఖాతా మేనేజర్‌కు అప్పగించబడింది</v>
      </c>
    </row>
    <row r="225">
      <c r="A225" s="2" t="str">
        <f>Master_en!A225</f>
        <v>complainraised</v>
      </c>
      <c r="B225" s="2" t="str">
        <f>Master_en!B225</f>
        <v>Complaint Raised</v>
      </c>
      <c r="C225" s="2" t="str">
        <f>IFERROR(__xludf.DUMMYFUNCTION("""COMPUTED_VALUE"""),"অভিযোগ উত্থাপিত")</f>
        <v>অভিযোগ উত্থাপিত</v>
      </c>
      <c r="D225" s="2" t="str">
        <f>IFERROR(__xludf.DUMMYFUNCTION("""COMPUTED_VALUE"""),"शिकायत उठाई")</f>
        <v>शिकायत उठाई</v>
      </c>
      <c r="E225" s="2" t="str">
        <f>IFERROR(__xludf.DUMMYFUNCTION("""COMPUTED_VALUE"""),"ದೂರು ಹೆಚ್ಚಿಸಲಾಗಿದೆ")</f>
        <v>ದೂರು ಹೆಚ್ಚಿಸಲಾಗಿದೆ</v>
      </c>
      <c r="F225" s="2" t="str">
        <f>IFERROR(__xludf.DUMMYFUNCTION("""COMPUTED_VALUE"""),"ଅଭିଯୋଗ ହୋଇଛି")</f>
        <v>ଅଭିଯୋଗ ହୋଇଛି</v>
      </c>
      <c r="G225" s="2" t="str">
        <f>IFERROR(__xludf.DUMMYFUNCTION("""COMPUTED_VALUE"""),"অভিযোগ উত্থাপন কৰা হৈছে")</f>
        <v>অভিযোগ উত্থাপন কৰা হৈছে</v>
      </c>
      <c r="H225" s="2" t="str">
        <f>IFERROR(__xludf.DUMMYFUNCTION("""COMPUTED_VALUE"""),"Raised ભી કરેલી ફરિયાદ")</f>
        <v>Raised ભી કરેલી ફરિયાદ</v>
      </c>
      <c r="I225" s="2" t="str">
        <f>IFERROR(__xludf.DUMMYFUNCTION("""COMPUTED_VALUE"""),"तक्रार केली")</f>
        <v>तक्रार केली</v>
      </c>
      <c r="J225" s="2" t="str">
        <f>IFERROR(__xludf.DUMMYFUNCTION("""COMPUTED_VALUE"""),"പരാതി ഉയർത്തി")</f>
        <v>പരാതി ഉയർത്തി</v>
      </c>
      <c r="K225" s="2" t="str">
        <f>IFERROR(__xludf.DUMMYFUNCTION("""COMPUTED_VALUE"""),"ਸ਼ਿਕਾਇਤ ਉਭਾਰ ਗਈ")</f>
        <v>ਸ਼ਿਕਾਇਤ ਉਭਾਰ ਗਈ</v>
      </c>
      <c r="L225" s="2" t="str">
        <f>IFERROR(__xludf.DUMMYFUNCTION("""COMPUTED_VALUE"""),"புகார் எழுப்பப்பட்டது")</f>
        <v>புகார் எழுப்பப்பட்டது</v>
      </c>
      <c r="M225" s="2" t="str">
        <f>IFERROR(__xludf.DUMMYFUNCTION("""COMPUTED_VALUE"""),"ఫిర్యాదు పెంచింది")</f>
        <v>ఫిర్యాదు పెంచింది</v>
      </c>
    </row>
    <row r="226">
      <c r="A226" s="2" t="str">
        <f>Master_en!A226</f>
        <v>verify</v>
      </c>
      <c r="B226" s="2" t="str">
        <f>Master_en!B226</f>
        <v>Verify</v>
      </c>
      <c r="C226" s="2" t="str">
        <f>IFERROR(__xludf.DUMMYFUNCTION("""COMPUTED_VALUE"""),"যাচাই করুন")</f>
        <v>যাচাই করুন</v>
      </c>
      <c r="D226" s="2" t="str">
        <f>IFERROR(__xludf.DUMMYFUNCTION("""COMPUTED_VALUE"""),"सत्यापित करना")</f>
        <v>सत्यापित करना</v>
      </c>
      <c r="E226" s="2" t="str">
        <f>IFERROR(__xludf.DUMMYFUNCTION("""COMPUTED_VALUE"""),"ಪರಿಶೀಲಿಸು")</f>
        <v>ಪರಿಶೀಲಿಸು</v>
      </c>
      <c r="F226" s="2" t="str">
        <f>IFERROR(__xludf.DUMMYFUNCTION("""COMPUTED_VALUE"""),"ଯାଞ୍ଚ କରନ୍ତୁ |")</f>
        <v>ଯାଞ୍ଚ କରନ୍ତୁ |</v>
      </c>
      <c r="G226" s="2" t="str">
        <f>IFERROR(__xludf.DUMMYFUNCTION("""COMPUTED_VALUE"""),"সত্যাপন কৰা")</f>
        <v>সত্যাপন কৰা</v>
      </c>
      <c r="H226" s="2" t="str">
        <f>IFERROR(__xludf.DUMMYFUNCTION("""COMPUTED_VALUE"""),"ચકાસણી કરવી")</f>
        <v>ચકાસણી કરવી</v>
      </c>
      <c r="I226" s="2" t="str">
        <f>IFERROR(__xludf.DUMMYFUNCTION("""COMPUTED_VALUE"""),"सत्यापित करा")</f>
        <v>सत्यापित करा</v>
      </c>
      <c r="J226" s="2" t="str">
        <f>IFERROR(__xludf.DUMMYFUNCTION("""COMPUTED_VALUE"""),"പമാണീകരിക്കുക")</f>
        <v>പമാണീകരിക്കുക</v>
      </c>
      <c r="K226" s="2" t="str">
        <f>IFERROR(__xludf.DUMMYFUNCTION("""COMPUTED_VALUE"""),"ਤਸਦੀਕ ਕਰੋ")</f>
        <v>ਤਸਦੀਕ ਕਰੋ</v>
      </c>
      <c r="L226" s="2" t="str">
        <f>IFERROR(__xludf.DUMMYFUNCTION("""COMPUTED_VALUE"""),"சரிபார்க்கவும்")</f>
        <v>சரிபார்க்கவும்</v>
      </c>
      <c r="M226" s="2" t="str">
        <f>IFERROR(__xludf.DUMMYFUNCTION("""COMPUTED_VALUE"""),"ధృవీకరించండి")</f>
        <v>ధృవీకరించండి</v>
      </c>
    </row>
    <row r="227">
      <c r="A227" s="2" t="str">
        <f>Master_en!A227</f>
        <v>yesterday</v>
      </c>
      <c r="B227" s="2" t="str">
        <f>Master_en!B227</f>
        <v>Yesterday</v>
      </c>
      <c r="C227" s="2" t="str">
        <f>IFERROR(__xludf.DUMMYFUNCTION("""COMPUTED_VALUE"""),"গতকাল")</f>
        <v>গতকাল</v>
      </c>
      <c r="D227" s="2" t="str">
        <f>IFERROR(__xludf.DUMMYFUNCTION("""COMPUTED_VALUE"""),"कल")</f>
        <v>कल</v>
      </c>
      <c r="E227" s="2" t="str">
        <f>IFERROR(__xludf.DUMMYFUNCTION("""COMPUTED_VALUE"""),"ನಿನ್ನೆ")</f>
        <v>ನಿನ್ನೆ</v>
      </c>
      <c r="F227" s="2" t="str">
        <f>IFERROR(__xludf.DUMMYFUNCTION("""COMPUTED_VALUE"""),"ଗତକାଲି")</f>
        <v>ଗତକାଲି</v>
      </c>
      <c r="G227" s="2" t="str">
        <f>IFERROR(__xludf.DUMMYFUNCTION("""COMPUTED_VALUE"""),"কালি")</f>
        <v>কালি</v>
      </c>
      <c r="H227" s="2" t="str">
        <f>IFERROR(__xludf.DUMMYFUNCTION("""COMPUTED_VALUE"""),"ગઇકાલે")</f>
        <v>ગઇકાલે</v>
      </c>
      <c r="I227" s="2" t="str">
        <f>IFERROR(__xludf.DUMMYFUNCTION("""COMPUTED_VALUE"""),"काल")</f>
        <v>काल</v>
      </c>
      <c r="J227" s="2" t="str">
        <f>IFERROR(__xludf.DUMMYFUNCTION("""COMPUTED_VALUE"""),"തലേനാള്")</f>
        <v>തലേനാള്</v>
      </c>
      <c r="K227" s="2" t="str">
        <f>IFERROR(__xludf.DUMMYFUNCTION("""COMPUTED_VALUE"""),"ਕੱਲ")</f>
        <v>ਕੱਲ</v>
      </c>
      <c r="L227" s="2" t="str">
        <f>IFERROR(__xludf.DUMMYFUNCTION("""COMPUTED_VALUE"""),"நேற்று")</f>
        <v>நேற்று</v>
      </c>
      <c r="M227" s="2" t="str">
        <f>IFERROR(__xludf.DUMMYFUNCTION("""COMPUTED_VALUE"""),"నిన్న")</f>
        <v>నిన్న</v>
      </c>
    </row>
    <row r="228">
      <c r="A228" s="2" t="str">
        <f>Master_en!A228</f>
        <v>referBy</v>
      </c>
      <c r="B228" s="2" t="str">
        <f>Master_en!B228</f>
        <v>Refer by</v>
      </c>
      <c r="C228" s="2" t="str">
        <f>IFERROR(__xludf.DUMMYFUNCTION("""COMPUTED_VALUE"""),"উল্লেখ করুন")</f>
        <v>উল্লেখ করুন</v>
      </c>
      <c r="D228" s="2" t="str">
        <f>IFERROR(__xludf.DUMMYFUNCTION("""COMPUTED_VALUE"""),"का जिक्र करना")</f>
        <v>का जिक्र करना</v>
      </c>
      <c r="E228" s="2" t="str">
        <f>IFERROR(__xludf.DUMMYFUNCTION("""COMPUTED_VALUE"""),"ಇನ್ನೊಬ್ಬರಿಂದ ಶಿಫಾರಸು")</f>
        <v>ಇನ್ನೊಬ್ಬರಿಂದ ಶಿಫಾರಸು</v>
      </c>
      <c r="F228" s="2" t="str">
        <f>IFERROR(__xludf.DUMMYFUNCTION("""COMPUTED_VALUE"""),"ଦ୍ୱାରା ଅନୁସରଣ କରନ୍ତୁ |")</f>
        <v>ଦ୍ୱାରା ଅନୁସରଣ କରନ୍ତୁ |</v>
      </c>
      <c r="G228" s="2" t="str">
        <f>IFERROR(__xludf.DUMMYFUNCTION("""COMPUTED_VALUE"""),"দ্বাৰা উল্লেখ কৰক")</f>
        <v>দ্বাৰা উল্লেখ কৰক</v>
      </c>
      <c r="H228" s="2" t="str">
        <f>IFERROR(__xludf.DUMMYFUNCTION("""COMPUTED_VALUE"""),"-નો ઉલ્લેખ કરવો")</f>
        <v>-નો ઉલ્લેખ કરવો</v>
      </c>
      <c r="I228" s="2" t="str">
        <f>IFERROR(__xludf.DUMMYFUNCTION("""COMPUTED_VALUE"""),"द्वारा संदर्भित करा")</f>
        <v>द्वारा संदर्भित करा</v>
      </c>
      <c r="J228" s="2" t="str">
        <f>IFERROR(__xludf.DUMMYFUNCTION("""COMPUTED_VALUE"""),"പരാമർശിക്കുക")</f>
        <v>പരാമർശിക്കുക</v>
      </c>
      <c r="K228" s="2" t="str">
        <f>IFERROR(__xludf.DUMMYFUNCTION("""COMPUTED_VALUE"""),"ਦੁਆਰਾ ਵੇਖੋ")</f>
        <v>ਦੁਆਰਾ ਵੇਖੋ</v>
      </c>
      <c r="L228" s="2" t="str">
        <f>IFERROR(__xludf.DUMMYFUNCTION("""COMPUTED_VALUE"""),"மூலம் பார்க்கவும்")</f>
        <v>மூலம் பார்க்கவும்</v>
      </c>
      <c r="M228" s="2" t="str">
        <f>IFERROR(__xludf.DUMMYFUNCTION("""COMPUTED_VALUE"""),"చూడండి")</f>
        <v>చూడండి</v>
      </c>
    </row>
    <row r="229">
      <c r="A229" s="2" t="str">
        <f>Master_en!A229</f>
        <v>email</v>
      </c>
      <c r="B229" s="2" t="str">
        <f>Master_en!B229</f>
        <v>Email</v>
      </c>
      <c r="C229" s="2" t="str">
        <f>IFERROR(__xludf.DUMMYFUNCTION("""COMPUTED_VALUE"""),"ইমেল")</f>
        <v>ইমেল</v>
      </c>
      <c r="D229" s="2" t="str">
        <f>IFERROR(__xludf.DUMMYFUNCTION("""COMPUTED_VALUE"""),"ईमेल")</f>
        <v>ईमेल</v>
      </c>
      <c r="E229" s="2" t="str">
        <f>IFERROR(__xludf.DUMMYFUNCTION("""COMPUTED_VALUE"""),"ಸಂದೇಶ ಕಳುಹಿಸು")</f>
        <v>ಸಂದೇಶ ಕಳುಹಿಸು</v>
      </c>
      <c r="F229" s="2" t="str">
        <f>IFERROR(__xludf.DUMMYFUNCTION("""COMPUTED_VALUE"""),"ଇମେଲ୍")</f>
        <v>ଇମେଲ୍</v>
      </c>
      <c r="G229" s="2" t="str">
        <f>IFERROR(__xludf.DUMMYFUNCTION("""COMPUTED_VALUE"""),"ইমেইল")</f>
        <v>ইমেইল</v>
      </c>
      <c r="H229" s="2" t="str">
        <f>IFERROR(__xludf.DUMMYFUNCTION("""COMPUTED_VALUE"""),"ઇમેઇલ")</f>
        <v>ઇમેઇલ</v>
      </c>
      <c r="I229" s="2" t="str">
        <f>IFERROR(__xludf.DUMMYFUNCTION("""COMPUTED_VALUE"""),"ईमेल")</f>
        <v>ईमेल</v>
      </c>
      <c r="J229" s="2" t="str">
        <f>IFERROR(__xludf.DUMMYFUNCTION("""COMPUTED_VALUE"""),"ഇമെയിൽ")</f>
        <v>ഇമെയിൽ</v>
      </c>
      <c r="K229" s="2" t="str">
        <f>IFERROR(__xludf.DUMMYFUNCTION("""COMPUTED_VALUE"""),"ਈ - ਮੇਲ")</f>
        <v>ਈ - ਮੇਲ</v>
      </c>
      <c r="L229" s="2" t="str">
        <f>IFERROR(__xludf.DUMMYFUNCTION("""COMPUTED_VALUE"""),"மின்னஞ்சல்")</f>
        <v>மின்னஞ்சல்</v>
      </c>
      <c r="M229" s="2" t="str">
        <f>IFERROR(__xludf.DUMMYFUNCTION("""COMPUTED_VALUE"""),"ఇమెయిల్")</f>
        <v>ఇమెయిల్</v>
      </c>
    </row>
    <row r="230">
      <c r="A230" s="2" t="str">
        <f>Master_en!A230</f>
        <v>escalatedtostatehead</v>
      </c>
      <c r="B230" s="2" t="str">
        <f>Master_en!B230</f>
        <v>Escalated to State Head</v>
      </c>
      <c r="C230" s="2" t="str">
        <f>IFERROR(__xludf.DUMMYFUNCTION("""COMPUTED_VALUE"""),"রাষ্ট্রের মাথায় বেড়ে ওঠা")</f>
        <v>রাষ্ট্রের মাথায় বেড়ে ওঠা</v>
      </c>
      <c r="D230" s="2" t="str">
        <f>IFERROR(__xludf.DUMMYFUNCTION("""COMPUTED_VALUE"""),"स्टेट हेड के लिए बढ़ गया")</f>
        <v>स्टेट हेड के लिए बढ़ गया</v>
      </c>
      <c r="E230" s="2" t="str">
        <f>IFERROR(__xludf.DUMMYFUNCTION("""COMPUTED_VALUE"""),"ರಾಜ್ಯ ತಲೆಗೆ ಉಲ್ಬಣಗೊಂಡಿತು")</f>
        <v>ರಾಜ್ಯ ತಲೆಗೆ ಉಲ್ಬಣಗೊಂಡಿತು</v>
      </c>
      <c r="F230" s="2" t="str">
        <f>IFERROR(__xludf.DUMMYFUNCTION("""COMPUTED_VALUE"""),"ରାଜ୍ୟ ମୁଣ୍ଡରେ ବୃଦ୍ଧି ପାଇଲା |")</f>
        <v>ରାଜ୍ୟ ମୁଣ୍ଡରେ ବୃଦ୍ଧି ପାଇଲା |</v>
      </c>
      <c r="G230" s="2" t="str">
        <f>IFERROR(__xludf.DUMMYFUNCTION("""COMPUTED_VALUE"""),"ৰাজ্যিক মুৰব্বীলৈ বৃদ্ধি কৰা হৈছে")</f>
        <v>ৰাজ্যিক মুৰব্বীলৈ বৃদ্ধি কৰা হৈছে</v>
      </c>
      <c r="H230" s="2" t="str">
        <f>IFERROR(__xludf.DUMMYFUNCTION("""COMPUTED_VALUE"""),"રાજ્યના વડા")</f>
        <v>રાજ્યના વડા</v>
      </c>
      <c r="I230" s="2" t="str">
        <f>IFERROR(__xludf.DUMMYFUNCTION("""COMPUTED_VALUE"""),"राज्यप्रमुखापर्यंत पोहोचवले")</f>
        <v>राज्यप्रमुखापर्यंत पोहोचवले</v>
      </c>
      <c r="J230" s="2" t="str">
        <f>IFERROR(__xludf.DUMMYFUNCTION("""COMPUTED_VALUE"""),"സംസ്ഥാന തലയിലേക്ക് വർദ്ധിച്ചു")</f>
        <v>സംസ്ഥാന തലയിലേക്ക് വർദ്ധിച്ചു</v>
      </c>
      <c r="K230" s="2" t="str">
        <f>IFERROR(__xludf.DUMMYFUNCTION("""COMPUTED_VALUE"""),"ਰਾਜ ਦੇ ਸਿਰ ਤੋਂ ਵੱਧ")</f>
        <v>ਰਾਜ ਦੇ ਸਿਰ ਤੋਂ ਵੱਧ</v>
      </c>
      <c r="L230" s="2" t="str">
        <f>IFERROR(__xludf.DUMMYFUNCTION("""COMPUTED_VALUE"""),"மாநிலத் தலைவருக்கு அதிகரித்தது")</f>
        <v>மாநிலத் தலைவருக்கு அதிகரித்தது</v>
      </c>
      <c r="M230" s="2" t="str">
        <f>IFERROR(__xludf.DUMMYFUNCTION("""COMPUTED_VALUE"""),"రాష్ట్ర తలపై పెరిగారు")</f>
        <v>రాష్ట్ర తలపై పెరిగారు</v>
      </c>
    </row>
    <row r="231">
      <c r="A231" s="2" t="str">
        <f>Master_en!A231</f>
        <v>escalated to city officer</v>
      </c>
      <c r="B231" s="2" t="str">
        <f>Master_en!B231</f>
        <v>Escalated to City Officer</v>
      </c>
      <c r="C231" s="2" t="str">
        <f>IFERROR(__xludf.DUMMYFUNCTION("""COMPUTED_VALUE"""),"সিটি অফিসারকে বাড়িয়ে")</f>
        <v>সিটি অফিসারকে বাড়িয়ে</v>
      </c>
      <c r="D231" s="2" t="str">
        <f>IFERROR(__xludf.DUMMYFUNCTION("""COMPUTED_VALUE"""),"शहर के अधिकारी के लिए बढ़ गया")</f>
        <v>शहर के अधिकारी के लिए बढ़ गया</v>
      </c>
      <c r="E231" s="2" t="str">
        <f>IFERROR(__xludf.DUMMYFUNCTION("""COMPUTED_VALUE"""),"ನಗರ ಅಧಿಕಾರಿಗೆ ಉಲ್ಬಣಗೊಂಡಿದೆ")</f>
        <v>ನಗರ ಅಧಿಕಾರಿಗೆ ಉಲ್ಬಣಗೊಂಡಿದೆ</v>
      </c>
      <c r="F231" s="2" t="str">
        <f>IFERROR(__xludf.DUMMYFUNCTION("""COMPUTED_VALUE"""),"ସହରର ଅଧିକାରୀଙ୍କ ପାଇଁ ବୃଦ୍ଧି ପାଇଲା |")</f>
        <v>ସହରର ଅଧିକାରୀଙ୍କ ପାଇଁ ବୃଦ୍ଧି ପାଇଲା |</v>
      </c>
      <c r="G231" s="2" t="str">
        <f>IFERROR(__xludf.DUMMYFUNCTION("""COMPUTED_VALUE"""),"চিটি বিষয়ালৈ বৃদ্ধি কৰা হৈছে")</f>
        <v>চিটি বিষয়ালৈ বৃদ্ধি কৰা হৈছে</v>
      </c>
      <c r="H231" s="2" t="str">
        <f>IFERROR(__xludf.DUMMYFUNCTION("""COMPUTED_VALUE"""),"શહેર અધિકારીને વધારવામાં")</f>
        <v>શહેર અધિકારીને વધારવામાં</v>
      </c>
      <c r="I231" s="2" t="str">
        <f>IFERROR(__xludf.DUMMYFUNCTION("""COMPUTED_VALUE"""),"शहर अधिकारीपर्यंत पोहोचवले")</f>
        <v>शहर अधिकारीपर्यंत पोहोचवले</v>
      </c>
      <c r="J231" s="2" t="str">
        <f>IFERROR(__xludf.DUMMYFUNCTION("""COMPUTED_VALUE"""),"നഗര ഉദ്യോഗസ്ഥനായി വർദ്ധിച്ചു")</f>
        <v>നഗര ഉദ്യോഗസ്ഥനായി വർദ്ധിച്ചു</v>
      </c>
      <c r="K231" s="2" t="str">
        <f>IFERROR(__xludf.DUMMYFUNCTION("""COMPUTED_VALUE"""),"ਸ਼ਹਿਰ ਦੇ ਅਧਿਕਾਰੀ ਨੂੰ ਵਧਿਆ")</f>
        <v>ਸ਼ਹਿਰ ਦੇ ਅਧਿਕਾਰੀ ਨੂੰ ਵਧਿਆ</v>
      </c>
      <c r="L231" s="2" t="str">
        <f>IFERROR(__xludf.DUMMYFUNCTION("""COMPUTED_VALUE"""),"நகர அதிகாரிக்கு அதிகரித்தது")</f>
        <v>நகர அதிகாரிக்கு அதிகரித்தது</v>
      </c>
      <c r="M231" s="2" t="str">
        <f>IFERROR(__xludf.DUMMYFUNCTION("""COMPUTED_VALUE"""),"నగర అధికారికి పెరిగారు")</f>
        <v>నగర అధికారికి పెరిగారు</v>
      </c>
    </row>
    <row r="232">
      <c r="A232" s="2" t="str">
        <f>Master_en!A232</f>
        <v>message</v>
      </c>
      <c r="B232" s="2" t="str">
        <f>Master_en!B232</f>
        <v>Message</v>
      </c>
      <c r="C232" s="2" t="str">
        <f>IFERROR(__xludf.DUMMYFUNCTION("""COMPUTED_VALUE"""),"বার্তা")</f>
        <v>বার্তা</v>
      </c>
      <c r="D232" s="2" t="str">
        <f>IFERROR(__xludf.DUMMYFUNCTION("""COMPUTED_VALUE"""),"संदेश")</f>
        <v>संदेश</v>
      </c>
      <c r="E232" s="2" t="str">
        <f>IFERROR(__xludf.DUMMYFUNCTION("""COMPUTED_VALUE"""),"ಸಂದೇಶ")</f>
        <v>ಸಂದೇಶ</v>
      </c>
      <c r="F232" s="2" t="str">
        <f>IFERROR(__xludf.DUMMYFUNCTION("""COMPUTED_VALUE"""),"ବାର୍ତ୍ତା |")</f>
        <v>ବାର୍ତ୍ତା |</v>
      </c>
      <c r="G232" s="2" t="str">
        <f>IFERROR(__xludf.DUMMYFUNCTION("""COMPUTED_VALUE"""),"বাৰ্তা")</f>
        <v>বাৰ্তা</v>
      </c>
      <c r="H232" s="2" t="str">
        <f>IFERROR(__xludf.DUMMYFUNCTION("""COMPUTED_VALUE"""),"એસએમએસ")</f>
        <v>એસએમએસ</v>
      </c>
      <c r="I232" s="2" t="str">
        <f>IFERROR(__xludf.DUMMYFUNCTION("""COMPUTED_VALUE"""),"संदेश")</f>
        <v>संदेश</v>
      </c>
      <c r="J232" s="2" t="str">
        <f>IFERROR(__xludf.DUMMYFUNCTION("""COMPUTED_VALUE"""),"ദൂത്")</f>
        <v>ദൂത്</v>
      </c>
      <c r="K232" s="2" t="str">
        <f>IFERROR(__xludf.DUMMYFUNCTION("""COMPUTED_VALUE"""),"ਸੁਨੇਹਾ")</f>
        <v>ਸੁਨੇਹਾ</v>
      </c>
      <c r="L232" s="2" t="str">
        <f>IFERROR(__xludf.DUMMYFUNCTION("""COMPUTED_VALUE"""),"செய்தி")</f>
        <v>செய்தி</v>
      </c>
      <c r="M232" s="2" t="str">
        <f>IFERROR(__xludf.DUMMYFUNCTION("""COMPUTED_VALUE"""),"సందేశం")</f>
        <v>సందేశం</v>
      </c>
    </row>
    <row r="233">
      <c r="A233" s="2" t="str">
        <f>Master_en!A233</f>
        <v>editProfile</v>
      </c>
      <c r="B233" s="2" t="str">
        <f>Master_en!B233</f>
        <v>Edit Profile</v>
      </c>
      <c r="C233" s="2" t="str">
        <f>IFERROR(__xludf.DUMMYFUNCTION("""COMPUTED_VALUE"""),"জীবন বৃত্তান্ত সম্পাদনা")</f>
        <v>জীবন বৃত্তান্ত সম্পাদনা</v>
      </c>
      <c r="D233" s="2" t="str">
        <f>IFERROR(__xludf.DUMMYFUNCTION("""COMPUTED_VALUE"""),"प्रोफ़ाइल संपादित करें")</f>
        <v>प्रोफ़ाइल संपादित करें</v>
      </c>
      <c r="E233" s="2" t="str">
        <f>IFERROR(__xludf.DUMMYFUNCTION("""COMPUTED_VALUE"""),"ಮುಖಪುಟ ಬದಲಿಸು")</f>
        <v>ಮುಖಪುಟ ಬದಲಿಸು</v>
      </c>
      <c r="F233" s="2" t="str">
        <f>IFERROR(__xludf.DUMMYFUNCTION("""COMPUTED_VALUE"""),"ପ୍ରୋଫାଇଲ୍ ଏଡ଼ିଟ୍ କରନ୍ତୁ")</f>
        <v>ପ୍ରୋଫାଇଲ୍ ଏଡ଼ିଟ୍ କରନ୍ତୁ</v>
      </c>
      <c r="G233" s="2" t="str">
        <f>IFERROR(__xludf.DUMMYFUNCTION("""COMPUTED_VALUE"""),"প্ৰফাইল সম্পাদনা কৰক")</f>
        <v>প্ৰফাইল সম্পাদনা কৰক</v>
      </c>
      <c r="H233" s="2" t="str">
        <f>IFERROR(__xludf.DUMMYFUNCTION("""COMPUTED_VALUE"""),"પ્રોફાઇલ સંપાદિત કરો")</f>
        <v>પ્રોફાઇલ સંપાદિત કરો</v>
      </c>
      <c r="I233" s="2" t="str">
        <f>IFERROR(__xludf.DUMMYFUNCTION("""COMPUTED_VALUE"""),"प्रोफाईल संपादित करा")</f>
        <v>प्रोफाईल संपादित करा</v>
      </c>
      <c r="J233" s="2" t="str">
        <f>IFERROR(__xludf.DUMMYFUNCTION("""COMPUTED_VALUE"""),"പ്രൊഫൈൽ എഡിറ്റുചെയ്യുക")</f>
        <v>പ്രൊഫൈൽ എഡിറ്റുചെയ്യുക</v>
      </c>
      <c r="K233" s="2" t="str">
        <f>IFERROR(__xludf.DUMMYFUNCTION("""COMPUTED_VALUE"""),"ਸੋਧ ਪ੍ਰੋਫ਼ਾਈਲ")</f>
        <v>ਸੋਧ ਪ੍ਰੋਫ਼ਾਈਲ</v>
      </c>
      <c r="L233" s="2" t="str">
        <f>IFERROR(__xludf.DUMMYFUNCTION("""COMPUTED_VALUE"""),"சுயவிவரத்தைத் திருத்து")</f>
        <v>சுயவிவரத்தைத் திருத்து</v>
      </c>
      <c r="M233" s="2" t="str">
        <f>IFERROR(__xludf.DUMMYFUNCTION("""COMPUTED_VALUE"""),"ప్రొఫైల్‌ను సవరించండి")</f>
        <v>ప్రొఫైల్‌ను సవరించండి</v>
      </c>
    </row>
    <row r="234">
      <c r="A234" s="2" t="str">
        <f>Master_en!A234</f>
        <v>orderdelivered</v>
      </c>
      <c r="B234" s="2" t="str">
        <f>Master_en!B234</f>
        <v>Order Delivered</v>
      </c>
      <c r="C234" s="2" t="str">
        <f>IFERROR(__xludf.DUMMYFUNCTION("""COMPUTED_VALUE"""),"অর্ডার বিতরণ")</f>
        <v>অর্ডার বিতরণ</v>
      </c>
      <c r="D234" s="2" t="str">
        <f>IFERROR(__xludf.DUMMYFUNCTION("""COMPUTED_VALUE"""),"आदेश दिया गया")</f>
        <v>आदेश दिया गया</v>
      </c>
      <c r="E234" s="2" t="str">
        <f>IFERROR(__xludf.DUMMYFUNCTION("""COMPUTED_VALUE"""),"ಆದೇಶವನ್ನು ತಲುಪಿಸಲಾಗಿದೆ")</f>
        <v>ಆದೇಶವನ್ನು ತಲುಪಿಸಲಾಗಿದೆ</v>
      </c>
      <c r="F234" s="2" t="str">
        <f>IFERROR(__xludf.DUMMYFUNCTION("""COMPUTED_VALUE"""),"ଅର୍ଡର ବିତରଣ")</f>
        <v>ଅର୍ଡର ବିତରଣ</v>
      </c>
      <c r="G234" s="2" t="str">
        <f>IFERROR(__xludf.DUMMYFUNCTION("""COMPUTED_VALUE"""),"অৰ্ডাৰ ডেলিভাৰী কৰা হৈছে")</f>
        <v>অৰ্ডাৰ ডেলিভাৰী কৰা হৈছে</v>
      </c>
      <c r="H234" s="2" t="str">
        <f>IFERROR(__xludf.DUMMYFUNCTION("""COMPUTED_VALUE"""),"આદેશ આપ્યો")</f>
        <v>આદેશ આપ્યો</v>
      </c>
      <c r="I234" s="2" t="str">
        <f>IFERROR(__xludf.DUMMYFUNCTION("""COMPUTED_VALUE"""),"ऑर्डर वितरित")</f>
        <v>ऑर्डर वितरित</v>
      </c>
      <c r="J234" s="2" t="str">
        <f>IFERROR(__xludf.DUMMYFUNCTION("""COMPUTED_VALUE"""),"ഡെലിവർ ചെയ്തു")</f>
        <v>ഡെലിവർ ചെയ്തു</v>
      </c>
      <c r="K234" s="2" t="str">
        <f>IFERROR(__xludf.DUMMYFUNCTION("""COMPUTED_VALUE"""),"ਆਰਡਰ ਦਿੱਤਾ ਗਿਆ")</f>
        <v>ਆਰਡਰ ਦਿੱਤਾ ਗਿਆ</v>
      </c>
      <c r="L234" s="2" t="str">
        <f>IFERROR(__xludf.DUMMYFUNCTION("""COMPUTED_VALUE"""),"ஆர்டர் வழங்கப்பட்டது")</f>
        <v>ஆர்டர் வழங்கப்பட்டது</v>
      </c>
      <c r="M234" s="2" t="str">
        <f>IFERROR(__xludf.DUMMYFUNCTION("""COMPUTED_VALUE"""),"ఆర్డర్ పంపిణీ చేయబడింది")</f>
        <v>ఆర్డర్ పంపిణీ చేయబడింది</v>
      </c>
    </row>
    <row r="235">
      <c r="A235" s="2" t="str">
        <f>Master_en!A235</f>
        <v>favoruites</v>
      </c>
      <c r="B235" s="2" t="str">
        <f>Master_en!B235</f>
        <v>Favourites</v>
      </c>
      <c r="C235" s="2" t="str">
        <f>IFERROR(__xludf.DUMMYFUNCTION("""COMPUTED_VALUE"""),"প্রিয়")</f>
        <v>প্রিয়</v>
      </c>
      <c r="D235" s="2" t="str">
        <f>IFERROR(__xludf.DUMMYFUNCTION("""COMPUTED_VALUE"""),"पसंदीदा")</f>
        <v>पसंदीदा</v>
      </c>
      <c r="E235" s="2" t="str">
        <f>IFERROR(__xludf.DUMMYFUNCTION("""COMPUTED_VALUE"""),"ಮೆಚ್ಚಿನವುಗಳು")</f>
        <v>ಮೆಚ್ಚಿನವುಗಳು</v>
      </c>
      <c r="F235" s="2" t="str">
        <f>IFERROR(__xludf.DUMMYFUNCTION("""COMPUTED_VALUE"""),"ପୂitesାକୁ ଭଲପାଇବା")</f>
        <v>ପୂitesାକୁ ଭଲପାଇବା</v>
      </c>
      <c r="G235" s="2" t="str">
        <f>IFERROR(__xludf.DUMMYFUNCTION("""COMPUTED_VALUE"""),"প্ৰিয়সমূহ")</f>
        <v>প্ৰিয়সমূহ</v>
      </c>
      <c r="H235" s="2" t="str">
        <f>IFERROR(__xludf.DUMMYFUNCTION("""COMPUTED_VALUE"""),"પસંદગીઓ")</f>
        <v>પસંદગીઓ</v>
      </c>
      <c r="I235" s="2" t="str">
        <f>IFERROR(__xludf.DUMMYFUNCTION("""COMPUTED_VALUE"""),"आवडते")</f>
        <v>आवडते</v>
      </c>
      <c r="J235" s="2" t="str">
        <f>IFERROR(__xludf.DUMMYFUNCTION("""COMPUTED_VALUE"""),"പ്രിയങ്കരങ്ങൾ")</f>
        <v>പ്രിയങ്കരങ്ങൾ</v>
      </c>
      <c r="K235" s="2" t="str">
        <f>IFERROR(__xludf.DUMMYFUNCTION("""COMPUTED_VALUE"""),"ਮਨਪਸੰਦ")</f>
        <v>ਮਨਪਸੰਦ</v>
      </c>
      <c r="L235" s="2" t="str">
        <f>IFERROR(__xludf.DUMMYFUNCTION("""COMPUTED_VALUE"""),"பிடித்தவை")</f>
        <v>பிடித்தவை</v>
      </c>
      <c r="M235" s="2" t="str">
        <f>IFERROR(__xludf.DUMMYFUNCTION("""COMPUTED_VALUE"""),"ఇష్టమైనవి")</f>
        <v>ఇష్టమైనవి</v>
      </c>
    </row>
    <row r="236">
      <c r="A236" s="2" t="str">
        <f>Master_en!A236</f>
        <v>shops</v>
      </c>
      <c r="B236" s="2" t="str">
        <f>Master_en!B236</f>
        <v>Shops</v>
      </c>
      <c r="C236" s="2" t="str">
        <f>IFERROR(__xludf.DUMMYFUNCTION("""COMPUTED_VALUE"""),"দোকান")</f>
        <v>দোকান</v>
      </c>
      <c r="D236" s="2" t="str">
        <f>IFERROR(__xludf.DUMMYFUNCTION("""COMPUTED_VALUE"""),"दुकानें")</f>
        <v>दुकानें</v>
      </c>
      <c r="E236" s="2" t="str">
        <f>IFERROR(__xludf.DUMMYFUNCTION("""COMPUTED_VALUE"""),"ಅಂಗಡಿಗಳು")</f>
        <v>ಅಂಗಡಿಗಳು</v>
      </c>
      <c r="F236" s="2" t="str">
        <f>IFERROR(__xludf.DUMMYFUNCTION("""COMPUTED_VALUE"""),"ଦୋକାନଗୁଡିକ")</f>
        <v>ଦୋକାନଗୁଡିକ</v>
      </c>
      <c r="G236" s="2" t="str">
        <f>IFERROR(__xludf.DUMMYFUNCTION("""COMPUTED_VALUE"""),"দোকানসমূহ")</f>
        <v>দোকানসমূহ</v>
      </c>
      <c r="H236" s="2" t="str">
        <f>IFERROR(__xludf.DUMMYFUNCTION("""COMPUTED_VALUE"""),"દુકાનો")</f>
        <v>દુકાનો</v>
      </c>
      <c r="I236" s="2" t="str">
        <f>IFERROR(__xludf.DUMMYFUNCTION("""COMPUTED_VALUE"""),"दुकाने")</f>
        <v>दुकाने</v>
      </c>
      <c r="J236" s="2" t="str">
        <f>IFERROR(__xludf.DUMMYFUNCTION("""COMPUTED_VALUE"""),"കടകൾ")</f>
        <v>കടകൾ</v>
      </c>
      <c r="K236" s="2" t="str">
        <f>IFERROR(__xludf.DUMMYFUNCTION("""COMPUTED_VALUE"""),"ਦੁਕਾਨਾਂ")</f>
        <v>ਦੁਕਾਨਾਂ</v>
      </c>
      <c r="L236" s="2" t="str">
        <f>IFERROR(__xludf.DUMMYFUNCTION("""COMPUTED_VALUE"""),"கடைகள்")</f>
        <v>கடைகள்</v>
      </c>
      <c r="M236" s="2" t="str">
        <f>IFERROR(__xludf.DUMMYFUNCTION("""COMPUTED_VALUE"""),"దుకాణాలు")</f>
        <v>దుకాణాలు</v>
      </c>
    </row>
    <row r="237">
      <c r="A237" s="2" t="str">
        <f>Master_en!A237</f>
        <v>savedAddress</v>
      </c>
      <c r="B237" s="2" t="str">
        <f>Master_en!B237</f>
        <v>Saved Address</v>
      </c>
      <c r="C237" s="2" t="str">
        <f>IFERROR(__xludf.DUMMYFUNCTION("""COMPUTED_VALUE"""),"সংরক্ষণ ঠিকানা")</f>
        <v>সংরক্ষণ ঠিকানা</v>
      </c>
      <c r="D237" s="2" t="str">
        <f>IFERROR(__xludf.DUMMYFUNCTION("""COMPUTED_VALUE"""),"सहेजा गया पता")</f>
        <v>सहेजा गया पता</v>
      </c>
      <c r="E237" s="2" t="str">
        <f>IFERROR(__xludf.DUMMYFUNCTION("""COMPUTED_VALUE"""),"ಉಳಿಸಿದ ವಿಳಾಸ")</f>
        <v>ಉಳಿಸಿದ ವಿಳಾಸ</v>
      </c>
      <c r="F237" s="2" t="str">
        <f>IFERROR(__xludf.DUMMYFUNCTION("""COMPUTED_VALUE"""),"ସଞ୍ଚିତ ଠିକଣା")</f>
        <v>ସଞ୍ଚିତ ଠିକଣା</v>
      </c>
      <c r="G237" s="2" t="str">
        <f>IFERROR(__xludf.DUMMYFUNCTION("""COMPUTED_VALUE"""),"সংৰক্ষিত ঠিকনা")</f>
        <v>সংৰক্ষিত ঠিকনা</v>
      </c>
      <c r="H237" s="2" t="str">
        <f>IFERROR(__xludf.DUMMYFUNCTION("""COMPUTED_VALUE"""),"સાચવેલ સરનામું")</f>
        <v>સાચવેલ સરનામું</v>
      </c>
      <c r="I237" s="2" t="str">
        <f>IFERROR(__xludf.DUMMYFUNCTION("""COMPUTED_VALUE"""),"जतन केलेला पत्ता")</f>
        <v>जतन केलेला पत्ता</v>
      </c>
      <c r="J237" s="2" t="str">
        <f>IFERROR(__xludf.DUMMYFUNCTION("""COMPUTED_VALUE"""),"സംരക്ഷിച്ച വിലാസം")</f>
        <v>സംരക്ഷിച്ച വിലാസം</v>
      </c>
      <c r="K237" s="2" t="str">
        <f>IFERROR(__xludf.DUMMYFUNCTION("""COMPUTED_VALUE"""),"ਸੰਗੀਚਿਤ ਪਤਾ")</f>
        <v>ਸੰਗੀਚਿਤ ਪਤਾ</v>
      </c>
      <c r="L237" s="2" t="str">
        <f>IFERROR(__xludf.DUMMYFUNCTION("""COMPUTED_VALUE"""),"சேமித்த முகவரி")</f>
        <v>சேமித்த முகவரி</v>
      </c>
      <c r="M237" s="2" t="str">
        <f>IFERROR(__xludf.DUMMYFUNCTION("""COMPUTED_VALUE"""),"సేవ్ చేసిన చిరునామా")</f>
        <v>సేవ్ చేసిన చిరునామా</v>
      </c>
    </row>
    <row r="238">
      <c r="A238" s="2" t="str">
        <f>Master_en!A238</f>
        <v>yourorderhasbeendeliveredsuccessully</v>
      </c>
      <c r="B238" s="2" t="str">
        <f>Master_en!B238</f>
        <v>Your order has been Delivered Successfully </v>
      </c>
      <c r="C238" s="2" t="str">
        <f>IFERROR(__xludf.DUMMYFUNCTION("""COMPUTED_VALUE"""),"আপনার অর্ডার সফলভাবে বিতরণ করা হয়েছে")</f>
        <v>আপনার অর্ডার সফলভাবে বিতরণ করা হয়েছে</v>
      </c>
      <c r="D238" s="2" t="str">
        <f>IFERROR(__xludf.DUMMYFUNCTION("""COMPUTED_VALUE"""),"आपका आदेश सफलतापूर्वक दिया गया है")</f>
        <v>आपका आदेश सफलतापूर्वक दिया गया है</v>
      </c>
      <c r="E238" s="2" t="str">
        <f>IFERROR(__xludf.DUMMYFUNCTION("""COMPUTED_VALUE"""),"ನಿಮ್ಮ ಆದೇಶವನ್ನು ಯಶಸ್ವಿಯಾಗಿ ತಲುಪಿಸಲಾಗಿದೆ")</f>
        <v>ನಿಮ್ಮ ಆದೇಶವನ್ನು ಯಶಸ್ವಿಯಾಗಿ ತಲುಪಿಸಲಾಗಿದೆ</v>
      </c>
      <c r="F238" s="2" t="str">
        <f>IFERROR(__xludf.DUMMYFUNCTION("""COMPUTED_VALUE"""),"ତୁମର ଅର୍ଡର ସଫଳତାର ସହିତ ବିତରଣ କରାଯାଇଛି |")</f>
        <v>ତୁମର ଅର୍ଡର ସଫଳତାର ସହିତ ବିତରଣ କରାଯାଇଛି |</v>
      </c>
      <c r="G238" s="2" t="str">
        <f>IFERROR(__xludf.DUMMYFUNCTION("""COMPUTED_VALUE"""),"আপোনাৰ অৰ্ডাৰ সফলতাৰে ডেলিভাৰী কৰা হৈছে")</f>
        <v>আপোনাৰ অৰ্ডাৰ সফলতাৰে ডেলিভাৰী কৰা হৈছে</v>
      </c>
      <c r="H238" s="2" t="str">
        <f>IFERROR(__xludf.DUMMYFUNCTION("""COMPUTED_VALUE"""),"તમારો ઓર્ડર સફળતાપૂર્વક પહોંચાડવામાં આવ્યો છે")</f>
        <v>તમારો ઓર્ડર સફળતાપૂર્વક પહોંચાડવામાં આવ્યો છે</v>
      </c>
      <c r="I238" s="2" t="str">
        <f>IFERROR(__xludf.DUMMYFUNCTION("""COMPUTED_VALUE"""),"आपली ऑर्डर यशस्वीरित्या वितरित केली गेली आहे")</f>
        <v>आपली ऑर्डर यशस्वीरित्या वितरित केली गेली आहे</v>
      </c>
      <c r="J238" s="2" t="str">
        <f>IFERROR(__xludf.DUMMYFUNCTION("""COMPUTED_VALUE"""),"നിങ്ങളുടെ ഓർഡർ വിജയകരമായി കൈമാറി")</f>
        <v>നിങ്ങളുടെ ഓർഡർ വിജയകരമായി കൈമാറി</v>
      </c>
      <c r="K238" s="2" t="str">
        <f>IFERROR(__xludf.DUMMYFUNCTION("""COMPUTED_VALUE"""),"ਤੁਹਾਡਾ ਆਰਡਰ ਸਫਲਤਾਪੂਰਵਕ ਦਿੱਤਾ ਗਿਆ ਹੈ")</f>
        <v>ਤੁਹਾਡਾ ਆਰਡਰ ਸਫਲਤਾਪੂਰਵਕ ਦਿੱਤਾ ਗਿਆ ਹੈ</v>
      </c>
      <c r="L238" s="2" t="str">
        <f>IFERROR(__xludf.DUMMYFUNCTION("""COMPUTED_VALUE"""),"உங்கள் ஆர்டர் வெற்றிகரமாக வழங்கப்பட்டுள்ளது")</f>
        <v>உங்கள் ஆர்டர் வெற்றிகரமாக வழங்கப்பட்டுள்ளது</v>
      </c>
      <c r="M238" s="2" t="str">
        <f>IFERROR(__xludf.DUMMYFUNCTION("""COMPUTED_VALUE"""),"మీ ఆర్డర్ విజయవంతంగా పంపిణీ చేయబడింది")</f>
        <v>మీ ఆర్డర్ విజయవంతంగా పంపిణీ చేయబడింది</v>
      </c>
    </row>
    <row r="239">
      <c r="A239" s="2" t="str">
        <f>Master_en!A239</f>
        <v>makepayment</v>
      </c>
      <c r="B239" s="2" t="str">
        <f>Master_en!B239</f>
        <v>Make Payment</v>
      </c>
      <c r="C239" s="2" t="str">
        <f>IFERROR(__xludf.DUMMYFUNCTION("""COMPUTED_VALUE"""),"অর্থ প্রদান করুন")</f>
        <v>অর্থ প্রদান করুন</v>
      </c>
      <c r="D239" s="2" t="str">
        <f>IFERROR(__xludf.DUMMYFUNCTION("""COMPUTED_VALUE"""),"भुगतान करें")</f>
        <v>भुगतान करें</v>
      </c>
      <c r="E239" s="2" t="str">
        <f>IFERROR(__xludf.DUMMYFUNCTION("""COMPUTED_VALUE"""),"ಪಾವತಿ ಮಾಡಿ")</f>
        <v>ಪಾವತಿ ಮಾಡಿ</v>
      </c>
      <c r="F239" s="2" t="str">
        <f>IFERROR(__xludf.DUMMYFUNCTION("""COMPUTED_VALUE"""),"ଦେୟ ଦିଅ")</f>
        <v>ଦେୟ ଦିଅ</v>
      </c>
      <c r="G239" s="2" t="str">
        <f>IFERROR(__xludf.DUMMYFUNCTION("""COMPUTED_VALUE"""),"পেমেন্ট কৰক")</f>
        <v>পেমেন্ট কৰক</v>
      </c>
      <c r="H239" s="2" t="str">
        <f>IFERROR(__xludf.DUMMYFUNCTION("""COMPUTED_VALUE"""),"ચુકવણી કરો")</f>
        <v>ચુકવણી કરો</v>
      </c>
      <c r="I239" s="2" t="str">
        <f>IFERROR(__xludf.DUMMYFUNCTION("""COMPUTED_VALUE"""),"देय द्या")</f>
        <v>देय द्या</v>
      </c>
      <c r="J239" s="2" t="str">
        <f>IFERROR(__xludf.DUMMYFUNCTION("""COMPUTED_VALUE"""),"പേയ്മെന്റ് നടത്തുക")</f>
        <v>പേയ്മെന്റ് നടത്തുക</v>
      </c>
      <c r="K239" s="2" t="str">
        <f>IFERROR(__xludf.DUMMYFUNCTION("""COMPUTED_VALUE"""),"ਭੁਗਤਾਨ ਕਰੋ")</f>
        <v>ਭੁਗਤਾਨ ਕਰੋ</v>
      </c>
      <c r="L239" s="2" t="str">
        <f>IFERROR(__xludf.DUMMYFUNCTION("""COMPUTED_VALUE"""),"பணம் கட்டு")</f>
        <v>பணம் கட்டு</v>
      </c>
      <c r="M239" s="2" t="str">
        <f>IFERROR(__xludf.DUMMYFUNCTION("""COMPUTED_VALUE"""),"చెల్లింపు చేయండి")</f>
        <v>చెల్లింపు చేయండి</v>
      </c>
    </row>
    <row r="240">
      <c r="A240" s="2" t="str">
        <f>Master_en!A240</f>
        <v>privacyPolicies</v>
      </c>
      <c r="B240" s="2" t="str">
        <f>Master_en!B240</f>
        <v>Privacy policies</v>
      </c>
      <c r="C240" s="2" t="str">
        <f>IFERROR(__xludf.DUMMYFUNCTION("""COMPUTED_VALUE"""),"গোপনীয়তা নীতি")</f>
        <v>গোপনীয়তা নীতি</v>
      </c>
      <c r="D240" s="2" t="str">
        <f>IFERROR(__xludf.DUMMYFUNCTION("""COMPUTED_VALUE"""),"गोपनीयता पालिसी")</f>
        <v>गोपनीयता पालिसी</v>
      </c>
      <c r="E240" s="2" t="str">
        <f>IFERROR(__xludf.DUMMYFUNCTION("""COMPUTED_VALUE"""),"ಗೌಪ್ಯತೆ ನೀತಿಗಳು")</f>
        <v>ಗೌಪ್ಯತೆ ನೀತಿಗಳು</v>
      </c>
      <c r="F240" s="2" t="str">
        <f>IFERROR(__xludf.DUMMYFUNCTION("""COMPUTED_VALUE"""),"ଗୋପନୀୟତା ନୀତି")</f>
        <v>ଗୋପନୀୟତା ନୀତି</v>
      </c>
      <c r="G240" s="2" t="str">
        <f>IFERROR(__xludf.DUMMYFUNCTION("""COMPUTED_VALUE"""),"গোপনীয়তা নীতিসমূহ")</f>
        <v>গোপনীয়তা নীতিসমূহ</v>
      </c>
      <c r="H240" s="2" t="str">
        <f>IFERROR(__xludf.DUMMYFUNCTION("""COMPUTED_VALUE"""),"ગોપનીયતા નીતિ")</f>
        <v>ગોપનીયતા નીતિ</v>
      </c>
      <c r="I240" s="2" t="str">
        <f>IFERROR(__xludf.DUMMYFUNCTION("""COMPUTED_VALUE"""),"गोपनीयता धोरणे")</f>
        <v>गोपनीयता धोरणे</v>
      </c>
      <c r="J240" s="2" t="str">
        <f>IFERROR(__xludf.DUMMYFUNCTION("""COMPUTED_VALUE"""),"സ്വകാര്യതാ നയങ്ങൾ")</f>
        <v>സ്വകാര്യതാ നയങ്ങൾ</v>
      </c>
      <c r="K240" s="2" t="str">
        <f>IFERROR(__xludf.DUMMYFUNCTION("""COMPUTED_VALUE"""),"ਗੋਪਨੀਯਤਾ ਨੀਤੀਆਂ")</f>
        <v>ਗੋਪਨੀਯਤਾ ਨੀਤੀਆਂ</v>
      </c>
      <c r="L240" s="2" t="str">
        <f>IFERROR(__xludf.DUMMYFUNCTION("""COMPUTED_VALUE"""),"தனியுரிமைக் கொள்கைகள்")</f>
        <v>தனியுரிமைக் கொள்கைகள்</v>
      </c>
      <c r="M240" s="2" t="str">
        <f>IFERROR(__xludf.DUMMYFUNCTION("""COMPUTED_VALUE"""),"గోప్యతా విధానాలు")</f>
        <v>గోప్యతా విధానాలు</v>
      </c>
    </row>
    <row r="241">
      <c r="A241" s="2" t="str">
        <f>Master_en!A241</f>
        <v>doyouwanttodelete</v>
      </c>
      <c r="B241" s="2" t="str">
        <f>Master_en!B241</f>
        <v>Do you want to delete?</v>
      </c>
      <c r="C241" s="2" t="str">
        <f>IFERROR(__xludf.DUMMYFUNCTION("""COMPUTED_VALUE"""),"আপনি মুছে ফেলতে চান?")</f>
        <v>আপনি মুছে ফেলতে চান?</v>
      </c>
      <c r="D241" s="2" t="str">
        <f>IFERROR(__xludf.DUMMYFUNCTION("""COMPUTED_VALUE"""),"क्या आप हटाना चाहते हैं?")</f>
        <v>क्या आप हटाना चाहते हैं?</v>
      </c>
      <c r="E241" s="2" t="str">
        <f>IFERROR(__xludf.DUMMYFUNCTION("""COMPUTED_VALUE"""),"ನೀವು ಅಳಿಸಲು ಬಯಸುವಿರಾ?")</f>
        <v>ನೀವು ಅಳಿಸಲು ಬಯಸುವಿರಾ?</v>
      </c>
      <c r="F241" s="2" t="str">
        <f>IFERROR(__xludf.DUMMYFUNCTION("""COMPUTED_VALUE"""),"ଆପଣ ବିଲୋପ କରିବାକୁ ଚାହୁଁଛନ୍ତି କି?")</f>
        <v>ଆପଣ ବିଲୋପ କରିବାକୁ ଚାହୁଁଛନ୍ତି କି?</v>
      </c>
      <c r="G241" s="2" t="str">
        <f>IFERROR(__xludf.DUMMYFUNCTION("""COMPUTED_VALUE"""),"আপুনি মচি পেলাব বিচাৰেনে?")</f>
        <v>আপুনি মচি পেলাব বিচাৰেনে?</v>
      </c>
      <c r="H241" s="2" t="str">
        <f>IFERROR(__xludf.DUMMYFUNCTION("""COMPUTED_VALUE"""),"શું તમે કા delete ી નાખવા માંગો છો?")</f>
        <v>શું તમે કા delete ી નાખવા માંગો છો?</v>
      </c>
      <c r="I241" s="2" t="str">
        <f>IFERROR(__xludf.DUMMYFUNCTION("""COMPUTED_VALUE"""),"आपण हटवू इच्छिता?")</f>
        <v>आपण हटवू इच्छिता?</v>
      </c>
      <c r="J241" s="2" t="str">
        <f>IFERROR(__xludf.DUMMYFUNCTION("""COMPUTED_VALUE"""),"നിങ്ങൾ ഇല്ലാതാക്കാൻ ആഗ്രഹിക്കുന്നുണ്ടോ?")</f>
        <v>നിങ്ങൾ ഇല്ലാതാക്കാൻ ആഗ്രഹിക്കുന്നുണ്ടോ?</v>
      </c>
      <c r="K241" s="2" t="str">
        <f>IFERROR(__xludf.DUMMYFUNCTION("""COMPUTED_VALUE"""),"ਕੀ ਤੁਸੀਂ ਮਿਟਾਉਣਾ ਚਾਹੁੰਦੇ ਹੋ?")</f>
        <v>ਕੀ ਤੁਸੀਂ ਮਿਟਾਉਣਾ ਚਾਹੁੰਦੇ ਹੋ?</v>
      </c>
      <c r="L241" s="2" t="str">
        <f>IFERROR(__xludf.DUMMYFUNCTION("""COMPUTED_VALUE"""),"நீங்கள் நீக்க விரும்புகிறீர்களா?")</f>
        <v>நீங்கள் நீக்க விரும்புகிறீர்களா?</v>
      </c>
      <c r="M241" s="2" t="str">
        <f>IFERROR(__xludf.DUMMYFUNCTION("""COMPUTED_VALUE"""),"మీరు తొలగించాలనుకుంటున్నారా?")</f>
        <v>మీరు తొలగించాలనుకుంటున్నారా?</v>
      </c>
    </row>
    <row r="242">
      <c r="A242" s="2" t="str">
        <f>Master_en!A242</f>
        <v>iddetails</v>
      </c>
      <c r="B242" s="2" t="str">
        <f>Master_en!B242</f>
        <v>ID Details</v>
      </c>
      <c r="C242" s="2" t="str">
        <f>IFERROR(__xludf.DUMMYFUNCTION("""COMPUTED_VALUE"""),"আইডি বিশদ")</f>
        <v>আইডি বিশদ</v>
      </c>
      <c r="D242" s="2" t="str">
        <f>IFERROR(__xludf.DUMMYFUNCTION("""COMPUTED_VALUE"""),"आईडी विवरण")</f>
        <v>आईडी विवरण</v>
      </c>
      <c r="E242" s="2" t="str">
        <f>IFERROR(__xludf.DUMMYFUNCTION("""COMPUTED_VALUE"""),"ಐಡಿ ವಿವರಗಳು")</f>
        <v>ಐಡಿ ವಿವರಗಳು</v>
      </c>
      <c r="F242" s="2" t="str">
        <f>IFERROR(__xludf.DUMMYFUNCTION("""COMPUTED_VALUE"""),"ପରିଚର ବିବରଣୀ")</f>
        <v>ପରିଚର ବିବରଣୀ</v>
      </c>
      <c r="G242" s="2" t="str">
        <f>IFERROR(__xludf.DUMMYFUNCTION("""COMPUTED_VALUE"""),"আইডিৰ বিৱৰণ")</f>
        <v>আইডিৰ বিৱৰণ</v>
      </c>
      <c r="H242" s="2" t="str">
        <f>IFERROR(__xludf.DUMMYFUNCTION("""COMPUTED_VALUE"""),"આઈ.પી.")</f>
        <v>આઈ.પી.</v>
      </c>
      <c r="I242" s="2" t="str">
        <f>IFERROR(__xludf.DUMMYFUNCTION("""COMPUTED_VALUE"""),"आयडी तपशील")</f>
        <v>आयडी तपशील</v>
      </c>
      <c r="J242" s="2" t="str">
        <f>IFERROR(__xludf.DUMMYFUNCTION("""COMPUTED_VALUE"""),"ഐഡി വിശദാംശങ്ങൾ")</f>
        <v>ഐഡി വിശദാംശങ്ങൾ</v>
      </c>
      <c r="K242" s="2" t="str">
        <f>IFERROR(__xludf.DUMMYFUNCTION("""COMPUTED_VALUE"""),"ਆਈਡੀ ਵੇਰਵੇ")</f>
        <v>ਆਈਡੀ ਵੇਰਵੇ</v>
      </c>
      <c r="L242" s="2" t="str">
        <f>IFERROR(__xludf.DUMMYFUNCTION("""COMPUTED_VALUE"""),"அடையாள விவரங்கள்")</f>
        <v>அடையாள விவரங்கள்</v>
      </c>
      <c r="M242" s="2" t="str">
        <f>IFERROR(__xludf.DUMMYFUNCTION("""COMPUTED_VALUE"""),"ఐడి వివరాలు")</f>
        <v>ఐడి వివరాలు</v>
      </c>
    </row>
    <row r="243">
      <c r="A243" s="2" t="str">
        <f>Master_en!A243</f>
        <v>byClickingIaccepttheterms&amp;conditionsandprivacypolicy</v>
      </c>
      <c r="B243" s="2" t="str">
        <f>Master_en!B243</f>
        <v>By clicking, I accept the Terms &amp; conditions and Privacy Policy</v>
      </c>
      <c r="C243" s="2" t="str">
        <f>IFERROR(__xludf.DUMMYFUNCTION("""COMPUTED_VALUE"""),"ক্লিক করে, আমি শর্তাদি এবং শর্তাদি এবং গোপনীয়তা নীতি গ্রহণ করি")</f>
        <v>ক্লিক করে, আমি শর্তাদি এবং শর্তাদি এবং গোপনীয়তা নীতি গ্রহণ করি</v>
      </c>
      <c r="D243" s="2" t="str">
        <f>IFERROR(__xludf.DUMMYFUNCTION("""COMPUTED_VALUE"""),"क्लिक करके, मैं नियम और शर्तें और गोपनीयता नीति स्वीकार करता हूं")</f>
        <v>क्लिक करके, मैं नियम और शर्तें और गोपनीयता नीति स्वीकार करता हूं</v>
      </c>
      <c r="E243" s="2" t="str">
        <f>IFERROR(__xludf.DUMMYFUNCTION("""COMPUTED_VALUE"""),"ಕ್ಲಿಕ್ ಮಾಡುವ ಮೂಲಕ, ನಾನು ನಿಯಮಗಳ ಷರತ್ತುಗಳು ಮತ್ತು ಗೌಪ್ಯತೆ ನೀತಿಯನ್ನು ಒಪ್ಪಿಕೊಳ್ಳುತ್ತೇನೆ")</f>
        <v>ಕ್ಲಿಕ್ ಮಾಡುವ ಮೂಲಕ, ನಾನು ನಿಯಮಗಳ ಷರತ್ತುಗಳು ಮತ್ತು ಗೌಪ್ಯತೆ ನೀತಿಯನ್ನು ಒಪ್ಪಿಕೊಳ್ಳುತ್ತೇನೆ</v>
      </c>
      <c r="F243" s="2" t="str">
        <f>IFERROR(__xludf.DUMMYFUNCTION("""COMPUTED_VALUE"""),"କ୍ଲିକ୍ କରି, ମୁଁ ସର୍ତ୍ତାବଳୀ ଏବଂ ଚୁକ୍ତିନାମା ଏବଂ ଗୋପନୀୟତା ନୀତି ଗ୍ରହଣ କରେ |")</f>
        <v>କ୍ଲିକ୍ କରି, ମୁଁ ସର୍ତ୍ତାବଳୀ ଏବଂ ଚୁକ୍ତିନାମା ଏବଂ ଗୋପନୀୟତା ନୀତି ଗ୍ରହଣ କରେ |</v>
      </c>
      <c r="G243" s="2" t="str">
        <f>IFERROR(__xludf.DUMMYFUNCTION("""COMPUTED_VALUE"""),"ক্লিক কৰি, মই চৰ্তসমূহ আৰু গোপনীয়তা নীতি গ্ৰহণ কৰো")</f>
        <v>ক্লিক কৰি, মই চৰ্তসমূহ আৰু গোপনীয়তা নীতি গ্ৰহণ কৰো</v>
      </c>
      <c r="H243" s="2" t="str">
        <f>IFERROR(__xludf.DUMMYFUNCTION("""COMPUTED_VALUE"""),"ક્લિક કરીને, હું શરતો અને શરતો અને ગોપનીયતા નીતિ સ્વીકારું છું")</f>
        <v>ક્લિક કરીને, હું શરતો અને શરતો અને ગોપનીયતા નીતિ સ્વીકારું છું</v>
      </c>
      <c r="I243" s="2" t="str">
        <f>IFERROR(__xludf.DUMMYFUNCTION("""COMPUTED_VALUE"""),"क्लिक करून, मी अटी व शर्ती आणि गोपनीयता धोरण स्वीकारतो")</f>
        <v>क्लिक करून, मी अटी व शर्ती आणि गोपनीयता धोरण स्वीकारतो</v>
      </c>
      <c r="J243" s="2" t="str">
        <f>IFERROR(__xludf.DUMMYFUNCTION("""COMPUTED_VALUE"""),"ക്ലിക്കുചെയ്യുന്നതിലൂടെ, നിബന്ധനകളും വ്യവസ്ഥകളും സ്വകാര്യതാ നയവും ഞാൻ അംഗീകരിക്കുന്നു")</f>
        <v>ക്ലിക്കുചെയ്യുന്നതിലൂടെ, നിബന്ധനകളും വ്യവസ്ഥകളും സ്വകാര്യതാ നയവും ഞാൻ അംഗീകരിക്കുന്നു</v>
      </c>
      <c r="K243" s="2" t="str">
        <f>IFERROR(__xludf.DUMMYFUNCTION("""COMPUTED_VALUE"""),"ਕਲਿਕ ਕਰਕੇ, ਮੈਂ ਸ਼ਰਤਾਂ ਅਤੇ ਸ਼ਰਤਾਂ ਅਤੇ ਗੋਪਨੀਯਤਾ ਨੀਤੀ ਨੂੰ ਸਵੀਕਾਰ ਕਰਦਾ ਹਾਂ")</f>
        <v>ਕਲਿਕ ਕਰਕੇ, ਮੈਂ ਸ਼ਰਤਾਂ ਅਤੇ ਸ਼ਰਤਾਂ ਅਤੇ ਗੋਪਨੀਯਤਾ ਨੀਤੀ ਨੂੰ ਸਵੀਕਾਰ ਕਰਦਾ ਹਾਂ</v>
      </c>
      <c r="L243" s="2" t="str">
        <f>IFERROR(__xludf.DUMMYFUNCTION("""COMPUTED_VALUE"""),"கிளிக் செய்வதன் மூலம், விதிமுறைகள் மற்றும் நிபந்தனைகள் மற்றும் தனியுரிமைக் கொள்கையை நான் ஏற்றுக்கொள்கிறேன்")</f>
        <v>கிளிக் செய்வதன் மூலம், விதிமுறைகள் மற்றும் நிபந்தனைகள் மற்றும் தனியுரிமைக் கொள்கையை நான் ஏற்றுக்கொள்கிறேன்</v>
      </c>
      <c r="M243" s="2" t="str">
        <f>IFERROR(__xludf.DUMMYFUNCTION("""COMPUTED_VALUE"""),"క్లిక్ చేయడం ద్వారా, నేను నిబంధనలు &amp; షరతులు మరియు గోప్యతా విధానాన్ని అంగీకరిస్తున్నాను")</f>
        <v>క్లిక్ చేయడం ద్వారా, నేను నిబంధనలు &amp; షరతులు మరియు గోప్యతా విధానాన్ని అంగీకరిస్తున్నాను</v>
      </c>
    </row>
    <row r="244">
      <c r="A244" s="2" t="str">
        <f>Master_en!A244</f>
        <v>building/locality</v>
      </c>
      <c r="B244" s="2" t="str">
        <f>Master_en!B244</f>
        <v>Building/Locality</v>
      </c>
      <c r="C244" s="2" t="str">
        <f>IFERROR(__xludf.DUMMYFUNCTION("""COMPUTED_VALUE"""),"বিল্ডিং/লোকেশন")</f>
        <v>বিল্ডিং/লোকেশন</v>
      </c>
      <c r="D244" s="2" t="str">
        <f>IFERROR(__xludf.DUMMYFUNCTION("""COMPUTED_VALUE"""),"भवन/स्थानीयता")</f>
        <v>भवन/स्थानीयता</v>
      </c>
      <c r="E244" s="2" t="str">
        <f>IFERROR(__xludf.DUMMYFUNCTION("""COMPUTED_VALUE"""),"ಕಟ್ಟಡ/ಸ್ಥಳ")</f>
        <v>ಕಟ್ಟಡ/ಸ್ಥಳ</v>
      </c>
      <c r="F244" s="2" t="str">
        <f>IFERROR(__xludf.DUMMYFUNCTION("""COMPUTED_VALUE"""),"ବିଲଡିଂ / ସ୍ଥାନୀୟତା |")</f>
        <v>ବିଲଡିଂ / ସ୍ଥାନୀୟତା |</v>
      </c>
      <c r="G244" s="2" t="str">
        <f>IFERROR(__xludf.DUMMYFUNCTION("""COMPUTED_VALUE"""),"বিল্ডিং/স্থানীয়তা")</f>
        <v>বিল্ডিং/স্থানীয়তা</v>
      </c>
      <c r="H244" s="2" t="str">
        <f>IFERROR(__xludf.DUMMYFUNCTION("""COMPUTED_VALUE"""),"મકાન/વિસ્તાર")</f>
        <v>મકાન/વિસ્તાર</v>
      </c>
      <c r="I244" s="2" t="str">
        <f>IFERROR(__xludf.DUMMYFUNCTION("""COMPUTED_VALUE"""),"इमारत/परिसर")</f>
        <v>इमारत/परिसर</v>
      </c>
      <c r="J244" s="2" t="str">
        <f>IFERROR(__xludf.DUMMYFUNCTION("""COMPUTED_VALUE"""),"കെട്ടിടം / പ്രദേശം")</f>
        <v>കെട്ടിടം / പ്രദേശം</v>
      </c>
      <c r="K244" s="2" t="str">
        <f>IFERROR(__xludf.DUMMYFUNCTION("""COMPUTED_VALUE"""),"ਇਮਾਰਤ / ਸਥਾਨ")</f>
        <v>ਇਮਾਰਤ / ਸਥਾਨ</v>
      </c>
      <c r="L244" s="2" t="str">
        <f>IFERROR(__xludf.DUMMYFUNCTION("""COMPUTED_VALUE"""),"கட்டிடம்/இடம்")</f>
        <v>கட்டிடம்/இடம்</v>
      </c>
      <c r="M244" s="2" t="str">
        <f>IFERROR(__xludf.DUMMYFUNCTION("""COMPUTED_VALUE"""),"భవనం/ప్రాంతం")</f>
        <v>భవనం/ప్రాంతం</v>
      </c>
    </row>
    <row r="245">
      <c r="A245" s="2" t="str">
        <f>Master_en!A245</f>
        <v>restaurant</v>
      </c>
      <c r="B245" s="2" t="str">
        <f>Master_en!B245</f>
        <v>Restaurant</v>
      </c>
      <c r="C245" s="2" t="str">
        <f>IFERROR(__xludf.DUMMYFUNCTION("""COMPUTED_VALUE"""),"রেঁস্তোরা")</f>
        <v>রেঁস্তোরা</v>
      </c>
      <c r="D245" s="2" t="str">
        <f>IFERROR(__xludf.DUMMYFUNCTION("""COMPUTED_VALUE"""),"रेस्टोरेंट")</f>
        <v>रेस्टोरेंट</v>
      </c>
      <c r="E245" s="2" t="str">
        <f>IFERROR(__xludf.DUMMYFUNCTION("""COMPUTED_VALUE"""),"ಉಪಹಾರ ಗೃಹ")</f>
        <v>ಉಪಹಾರ ಗೃಹ</v>
      </c>
      <c r="F245" s="2" t="str">
        <f>IFERROR(__xludf.DUMMYFUNCTION("""COMPUTED_VALUE"""),"ରେଷ୍ଟୁରାଣ୍ଟ |")</f>
        <v>ରେଷ୍ଟୁରାଣ୍ଟ |</v>
      </c>
      <c r="G245" s="2" t="str">
        <f>IFERROR(__xludf.DUMMYFUNCTION("""COMPUTED_VALUE"""),"ৰেষ্টুৰেণ্ট")</f>
        <v>ৰেষ্টুৰেণ্ট</v>
      </c>
      <c r="H245" s="2" t="str">
        <f>IFERROR(__xludf.DUMMYFUNCTION("""COMPUTED_VALUE"""),"શબ")</f>
        <v>શબ</v>
      </c>
      <c r="I245" s="2" t="str">
        <f>IFERROR(__xludf.DUMMYFUNCTION("""COMPUTED_VALUE"""),"उपहारगृह")</f>
        <v>उपहारगृह</v>
      </c>
      <c r="J245" s="2" t="str">
        <f>IFERROR(__xludf.DUMMYFUNCTION("""COMPUTED_VALUE"""),"ഭോജനശാല")</f>
        <v>ഭോജനശാല</v>
      </c>
      <c r="K245" s="2" t="str">
        <f>IFERROR(__xludf.DUMMYFUNCTION("""COMPUTED_VALUE"""),"ਭੋਜਨਾਲਾ")</f>
        <v>ਭੋਜਨਾਲਾ</v>
      </c>
      <c r="L245" s="2" t="str">
        <f>IFERROR(__xludf.DUMMYFUNCTION("""COMPUTED_VALUE"""),"உணவகம்")</f>
        <v>உணவகம்</v>
      </c>
      <c r="M245" s="2" t="str">
        <f>IFERROR(__xludf.DUMMYFUNCTION("""COMPUTED_VALUE"""),"రెస్టారెంట్")</f>
        <v>రెస్టారెంట్</v>
      </c>
    </row>
    <row r="246">
      <c r="A246" s="2" t="str">
        <f>Master_en!A246</f>
        <v>re-upload</v>
      </c>
      <c r="B246" s="2" t="str">
        <f>Master_en!B246</f>
        <v>Re-upload </v>
      </c>
      <c r="C246" s="2" t="str">
        <f>IFERROR(__xludf.DUMMYFUNCTION("""COMPUTED_VALUE"""),"পুনরায় আপলোড")</f>
        <v>পুনরায় আপলোড</v>
      </c>
      <c r="D246" s="2" t="str">
        <f>IFERROR(__xludf.DUMMYFUNCTION("""COMPUTED_VALUE"""),"पुन: अपलोड")</f>
        <v>पुन: अपलोड</v>
      </c>
      <c r="E246" s="2" t="str">
        <f>IFERROR(__xludf.DUMMYFUNCTION("""COMPUTED_VALUE"""),"ಪುನಃ ಸೇರಿಸು")</f>
        <v>ಪುನಃ ಸೇರಿಸು</v>
      </c>
      <c r="F246" s="2" t="str">
        <f>IFERROR(__xludf.DUMMYFUNCTION("""COMPUTED_VALUE"""),"ପୁନ - ଅପଲୋଡ୍ କରନ୍ତୁ |")</f>
        <v>ପୁନ - ଅପଲୋଡ୍ କରନ୍ତୁ |</v>
      </c>
      <c r="G246" s="2" t="str">
        <f>IFERROR(__xludf.DUMMYFUNCTION("""COMPUTED_VALUE"""),"পুনৰ আপলোড কৰক")</f>
        <v>পুনৰ আপলোড কৰক</v>
      </c>
      <c r="H246" s="2" t="str">
        <f>IFERROR(__xludf.DUMMYFUNCTION("""COMPUTED_VALUE"""),"ફરીથી અપલોડ કરવું")</f>
        <v>ફરીથી અપલોડ કરવું</v>
      </c>
      <c r="I246" s="2" t="str">
        <f>IFERROR(__xludf.DUMMYFUNCTION("""COMPUTED_VALUE"""),"पुन्हा अपलोड करा")</f>
        <v>पुन्हा अपलोड करा</v>
      </c>
      <c r="J246" s="2" t="str">
        <f>IFERROR(__xludf.DUMMYFUNCTION("""COMPUTED_VALUE"""),"വീണ്ടും അപ്ലോഡ് ചെയ്യുക")</f>
        <v>വീണ്ടും അപ്ലോഡ് ചെയ്യുക</v>
      </c>
      <c r="K246" s="2" t="str">
        <f>IFERROR(__xludf.DUMMYFUNCTION("""COMPUTED_VALUE"""),"ਦੁਬਾਰਾ ਅਪਲੋਡ")</f>
        <v>ਦੁਬਾਰਾ ਅਪਲੋਡ</v>
      </c>
      <c r="L246" s="2" t="str">
        <f>IFERROR(__xludf.DUMMYFUNCTION("""COMPUTED_VALUE"""),"மீண்டும் பதிவேற்றவும்")</f>
        <v>மீண்டும் பதிவேற்றவும்</v>
      </c>
      <c r="M246" s="2" t="str">
        <f>IFERROR(__xludf.DUMMYFUNCTION("""COMPUTED_VALUE"""),"రీ-ఉప్లోడ్")</f>
        <v>రీ-ఉప్లోడ్</v>
      </c>
    </row>
    <row r="247">
      <c r="A247" s="2" t="str">
        <f>Master_en!A247</f>
        <v>individual</v>
      </c>
      <c r="B247" s="2" t="str">
        <f>Master_en!B247</f>
        <v>Individual</v>
      </c>
      <c r="C247" s="2" t="str">
        <f>IFERROR(__xludf.DUMMYFUNCTION("""COMPUTED_VALUE"""),"স্বতন্ত্র")</f>
        <v>স্বতন্ত্র</v>
      </c>
      <c r="D247" s="2" t="str">
        <f>IFERROR(__xludf.DUMMYFUNCTION("""COMPUTED_VALUE"""),"व्यक्ति")</f>
        <v>व्यक्ति</v>
      </c>
      <c r="E247" s="2" t="str">
        <f>IFERROR(__xludf.DUMMYFUNCTION("""COMPUTED_VALUE"""),"ವ್ಯಕ್ತಿ")</f>
        <v>ವ್ಯಕ್ತಿ</v>
      </c>
      <c r="F247" s="2" t="str">
        <f>IFERROR(__xludf.DUMMYFUNCTION("""COMPUTED_VALUE"""),"ବ୍ୟକ୍ତିଗତ")</f>
        <v>ବ୍ୟକ୍ତିଗତ</v>
      </c>
      <c r="G247" s="2" t="str">
        <f>IFERROR(__xludf.DUMMYFUNCTION("""COMPUTED_VALUE"""),"ব্যক্তিকেন্দ্ৰিক")</f>
        <v>ব্যক্তিকেন্দ্ৰিক</v>
      </c>
      <c r="H247" s="2" t="str">
        <f>IFERROR(__xludf.DUMMYFUNCTION("""COMPUTED_VALUE"""),"વ્યક્તિગત")</f>
        <v>વ્યક્તિગત</v>
      </c>
      <c r="I247" s="2" t="str">
        <f>IFERROR(__xludf.DUMMYFUNCTION("""COMPUTED_VALUE"""),"वैयक्तिक")</f>
        <v>वैयक्तिक</v>
      </c>
      <c r="J247" s="2" t="str">
        <f>IFERROR(__xludf.DUMMYFUNCTION("""COMPUTED_VALUE"""),"വ്യക്തി")</f>
        <v>വ്യക്തി</v>
      </c>
      <c r="K247" s="2" t="str">
        <f>IFERROR(__xludf.DUMMYFUNCTION("""COMPUTED_VALUE"""),"ਵਿਅਕਤੀਗਤ")</f>
        <v>ਵਿਅਕਤੀਗਤ</v>
      </c>
      <c r="L247" s="2" t="str">
        <f>IFERROR(__xludf.DUMMYFUNCTION("""COMPUTED_VALUE"""),"தனிப்பட்ட")</f>
        <v>தனிப்பட்ட</v>
      </c>
      <c r="M247" s="2" t="str">
        <f>IFERROR(__xludf.DUMMYFUNCTION("""COMPUTED_VALUE"""),"వ్యక్తిగత")</f>
        <v>వ్యక్తిగత</v>
      </c>
    </row>
    <row r="248">
      <c r="A248" s="2" t="str">
        <f>Master_en!A248</f>
        <v>didntReceivetheOTP</v>
      </c>
      <c r="B248" s="2" t="str">
        <f>Master_en!B248</f>
        <v>Didnt receive the OTP?</v>
      </c>
      <c r="C248" s="2" t="str">
        <f>IFERROR(__xludf.DUMMYFUNCTION("""COMPUTED_VALUE"""),"ওটিপি পাননি?")</f>
        <v>ওটিপি পাননি?</v>
      </c>
      <c r="D248" s="2" t="str">
        <f>IFERROR(__xludf.DUMMYFUNCTION("""COMPUTED_VALUE"""),"क्या ओटीपी प्राप्त नहीं हुआ?")</f>
        <v>क्या ओटीपी प्राप्त नहीं हुआ?</v>
      </c>
      <c r="E248" s="2" t="str">
        <f>IFERROR(__xludf.DUMMYFUNCTION("""COMPUTED_VALUE"""),"ಒಟಿಪಿ ಸ್ವೀಕರಿಸಲಿಲ್ಲವೇ?")</f>
        <v>ಒಟಿಪಿ ಸ್ವೀಕರಿಸಲಿಲ್ಲವೇ?</v>
      </c>
      <c r="F248" s="2" t="str">
        <f>IFERROR(__xludf.DUMMYFUNCTION("""COMPUTED_VALUE"""),"OTP ଗ୍ରହଣ କଲା କି?")</f>
        <v>OTP ଗ୍ରହଣ କଲା କି?</v>
      </c>
      <c r="G248" s="2" t="str">
        <f>IFERROR(__xludf.DUMMYFUNCTION("""COMPUTED_VALUE"""),"অ’টিপি লাভ কৰা নাছিল নেকি?")</f>
        <v>অ’টিপি লাভ কৰা নাছিল নেকি?</v>
      </c>
      <c r="H248" s="2" t="str">
        <f>IFERROR(__xludf.DUMMYFUNCTION("""COMPUTED_VALUE"""),"ઓટીપી પ્રાપ્ત કરી નથી?")</f>
        <v>ઓટીપી પ્રાપ્ત કરી નથી?</v>
      </c>
      <c r="I248" s="2" t="str">
        <f>IFERROR(__xludf.DUMMYFUNCTION("""COMPUTED_VALUE"""),"प्राप्त झालेला नाही")</f>
        <v>प्राप्त झालेला नाही</v>
      </c>
      <c r="J248" s="2" t="str">
        <f>IFERROR(__xludf.DUMMYFUNCTION("""COMPUTED_VALUE"""),"OTP സ്വീകരിച്ചില്ലേ?")</f>
        <v>OTP സ്വീകരിച്ചില്ലേ?</v>
      </c>
      <c r="K248" s="2" t="str">
        <f>IFERROR(__xludf.DUMMYFUNCTION("""COMPUTED_VALUE"""),"ਓਟੀਪੀ ਪ੍ਰਾਪਤ ਨਹੀਂ ਕੀਤਾ?")</f>
        <v>ਓਟੀਪੀ ਪ੍ਰਾਪਤ ਨਹੀਂ ਕੀਤਾ?</v>
      </c>
      <c r="L248" s="2" t="str">
        <f>IFERROR(__xludf.DUMMYFUNCTION("""COMPUTED_VALUE"""),"OTP ஐப் பெறவில்லையா?")</f>
        <v>OTP ஐப் பெறவில்லையா?</v>
      </c>
      <c r="M248" s="2" t="str">
        <f>IFERROR(__xludf.DUMMYFUNCTION("""COMPUTED_VALUE"""),"OTP ను స్వీకరించలేదా?")</f>
        <v>OTP ను స్వీకరించలేదా?</v>
      </c>
    </row>
    <row r="249">
      <c r="A249" s="2" t="str">
        <f>Master_en!A249</f>
        <v>verifyVia</v>
      </c>
      <c r="B249" s="2" t="str">
        <f>Master_en!B249</f>
        <v>Verify Via</v>
      </c>
      <c r="C249" s="2" t="str">
        <f>IFERROR(__xludf.DUMMYFUNCTION("""COMPUTED_VALUE"""),"মাধ্যমে যাচাই করুন")</f>
        <v>মাধ্যমে যাচাই করুন</v>
      </c>
      <c r="D249" s="2" t="str">
        <f>IFERROR(__xludf.DUMMYFUNCTION("""COMPUTED_VALUE"""),"के माध्यम से सत्यापित करें")</f>
        <v>के माध्यम से सत्यापित करें</v>
      </c>
      <c r="E249" s="2" t="str">
        <f>IFERROR(__xludf.DUMMYFUNCTION("""COMPUTED_VALUE"""),"ಮೂಲಕ ಪರಿಶೀಲಿಸಿ")</f>
        <v>ಮೂಲಕ ಪರಿಶೀಲಿಸಿ</v>
      </c>
      <c r="F249" s="2" t="str">
        <f>IFERROR(__xludf.DUMMYFUNCTION("""COMPUTED_VALUE"""),"ମାଧ୍ୟମରେ ଯାଞ୍ଚ କରନ୍ତୁ |")</f>
        <v>ମାଧ୍ୟମରେ ଯାଞ୍ଚ କରନ୍ତୁ |</v>
      </c>
      <c r="G249" s="2" t="str">
        <f>IFERROR(__xludf.DUMMYFUNCTION("""COMPUTED_VALUE"""),"যোগে পৰীক্ষা কৰক")</f>
        <v>যোগে পৰীক্ষা কৰক</v>
      </c>
      <c r="H249" s="2" t="str">
        <f>IFERROR(__xludf.DUMMYFUNCTION("""COMPUTED_VALUE"""),"દ્વારા ચકાસણી કરવી")</f>
        <v>દ્વારા ચકાસણી કરવી</v>
      </c>
      <c r="I249" s="2" t="str">
        <f>IFERROR(__xludf.DUMMYFUNCTION("""COMPUTED_VALUE"""),"मार्गे सत्यापित करा")</f>
        <v>मार्गे सत्यापित करा</v>
      </c>
      <c r="J249" s="2" t="str">
        <f>IFERROR(__xludf.DUMMYFUNCTION("""COMPUTED_VALUE"""),"വഴി പരിശോധിക്കുക")</f>
        <v>വഴി പരിശോധിക്കുക</v>
      </c>
      <c r="K249" s="2" t="str">
        <f>IFERROR(__xludf.DUMMYFUNCTION("""COMPUTED_VALUE"""),"Via ਦੁਆਰਾ ਤਸਦੀਕ ਕਰੋ")</f>
        <v>Via ਦੁਆਰਾ ਤਸਦੀਕ ਕਰੋ</v>
      </c>
      <c r="L249" s="2" t="str">
        <f>IFERROR(__xludf.DUMMYFUNCTION("""COMPUTED_VALUE"""),"வழியாக சரிபார்க்கவும்")</f>
        <v>வழியாக சரிபார்க்கவும்</v>
      </c>
      <c r="M249" s="2" t="str">
        <f>IFERROR(__xludf.DUMMYFUNCTION("""COMPUTED_VALUE"""),"ద్వారా ధృవీకరించండి")</f>
        <v>ద్వారా ధృవీకరించండి</v>
      </c>
    </row>
    <row r="250">
      <c r="A250" s="2" t="str">
        <f>Master_en!A250</f>
        <v>howdoyoufeel</v>
      </c>
      <c r="B250" s="2" t="str">
        <f>Master_en!B250</f>
        <v>How Do You Feel?</v>
      </c>
      <c r="C250" s="2" t="str">
        <f>IFERROR(__xludf.DUMMYFUNCTION("""COMPUTED_VALUE"""),"তুমি কেমন বোধ করছো?")</f>
        <v>তুমি কেমন বোধ করছো?</v>
      </c>
      <c r="D250" s="2" t="str">
        <f>IFERROR(__xludf.DUMMYFUNCTION("""COMPUTED_VALUE"""),"आपको कैसा लगता है?")</f>
        <v>आपको कैसा लगता है?</v>
      </c>
      <c r="E250" s="2" t="str">
        <f>IFERROR(__xludf.DUMMYFUNCTION("""COMPUTED_VALUE"""),"ನಿಮಗೆ ಹೇಗ್ಗೆನ್ನಿಸುತಿದೆ?")</f>
        <v>ನಿಮಗೆ ಹೇಗ್ಗೆನ್ನಿಸುತಿದೆ?</v>
      </c>
      <c r="F250" s="2" t="str">
        <f>IFERROR(__xludf.DUMMYFUNCTION("""COMPUTED_VALUE"""),"ତୁମେ କ 'ଣ ଅନୁଭବ କରୁଛ?")</f>
        <v>ତୁମେ କ 'ଣ ଅନୁଭବ କରୁଛ?</v>
      </c>
      <c r="G250" s="2" t="str">
        <f>IFERROR(__xludf.DUMMYFUNCTION("""COMPUTED_VALUE"""),"কেনে অনুভৱ কৰে")</f>
        <v>কেনে অনুভৱ কৰে</v>
      </c>
      <c r="H250" s="2" t="str">
        <f>IFERROR(__xludf.DUMMYFUNCTION("""COMPUTED_VALUE"""),"તમને કેવુ લાગે છે?")</f>
        <v>તમને કેવુ લાગે છે?</v>
      </c>
      <c r="I250" s="2" t="str">
        <f>IFERROR(__xludf.DUMMYFUNCTION("""COMPUTED_VALUE"""),"तुला कसे वाटत आहे?")</f>
        <v>तुला कसे वाटत आहे?</v>
      </c>
      <c r="J250" s="2" t="str">
        <f>IFERROR(__xludf.DUMMYFUNCTION("""COMPUTED_VALUE"""),"നിനക്ക് എന്തുതോന്നുന്നു?")</f>
        <v>നിനക്ക് എന്തുതോന്നുന്നു?</v>
      </c>
      <c r="K250" s="2" t="str">
        <f>IFERROR(__xludf.DUMMYFUNCTION("""COMPUTED_VALUE"""),"ਤੁਸੀਂ ਕਿੱਦਾਂ ਦਾ ਮਹਿਸੂਸ ਕਰਦੇ ਹੋ?")</f>
        <v>ਤੁਸੀਂ ਕਿੱਦਾਂ ਦਾ ਮਹਿਸੂਸ ਕਰਦੇ ਹੋ?</v>
      </c>
      <c r="L250" s="2" t="str">
        <f>IFERROR(__xludf.DUMMYFUNCTION("""COMPUTED_VALUE"""),"நீங்கள் எப்படி உணருகிறீர்கள்?")</f>
        <v>நீங்கள் எப்படி உணருகிறீர்கள்?</v>
      </c>
      <c r="M250" s="2" t="str">
        <f>IFERROR(__xludf.DUMMYFUNCTION("""COMPUTED_VALUE"""),"నీకు ఎలా అనిపిస్తూంది?")</f>
        <v>నీకు ఎలా అనిపిస్తూంది?</v>
      </c>
    </row>
    <row r="251">
      <c r="A251" s="2" t="str">
        <f>Master_en!A251</f>
        <v>uploadvoterid</v>
      </c>
      <c r="B251" s="2" t="str">
        <f>Master_en!B251</f>
        <v>Upload Voter ID</v>
      </c>
      <c r="C251" s="2" t="str">
        <f>IFERROR(__xludf.DUMMYFUNCTION("""COMPUTED_VALUE"""),"ভোটার আইডি আপলোড করুন")</f>
        <v>ভোটার আইডি আপলোড করুন</v>
      </c>
      <c r="D251" s="2" t="str">
        <f>IFERROR(__xludf.DUMMYFUNCTION("""COMPUTED_VALUE"""),"मतदाता आईडी अपलोड करें")</f>
        <v>मतदाता आईडी अपलोड करें</v>
      </c>
      <c r="E251" s="2" t="str">
        <f>IFERROR(__xludf.DUMMYFUNCTION("""COMPUTED_VALUE"""),"ವೋಟರ್ ಐಡಿ ಅಪ್ಲೋಡ್ ಮಾಡಿ")</f>
        <v>ವೋಟರ್ ಐಡಿ ಅಪ್ಲೋಡ್ ಮಾಡಿ</v>
      </c>
      <c r="F251" s="2" t="str">
        <f>IFERROR(__xludf.DUMMYFUNCTION("""COMPUTED_VALUE"""),"ଭୋଟର ID ଅପଲୋଡ୍ କରନ୍ତୁ |")</f>
        <v>ଭୋଟର ID ଅପଲୋଡ୍ କରନ୍ତୁ |</v>
      </c>
      <c r="G251" s="2" t="str">
        <f>IFERROR(__xludf.DUMMYFUNCTION("""COMPUTED_VALUE"""),"ভোটাৰ আইডি আপলোড কৰক")</f>
        <v>ভোটাৰ আইডি আপলোড কৰক</v>
      </c>
      <c r="H251" s="2" t="str">
        <f>IFERROR(__xludf.DUMMYFUNCTION("""COMPUTED_VALUE"""),"મતદાર ID અપલોડ કરો")</f>
        <v>મતદાર ID અપલોડ કરો</v>
      </c>
      <c r="I251" s="2" t="str">
        <f>IFERROR(__xludf.DUMMYFUNCTION("""COMPUTED_VALUE"""),"मतदार आयडी अपलोड करा")</f>
        <v>मतदार आयडी अपलोड करा</v>
      </c>
      <c r="J251" s="2" t="str">
        <f>IFERROR(__xludf.DUMMYFUNCTION("""COMPUTED_VALUE"""),"വോട്ടർ ഐഡി അപ്ലോഡുചെയ്യുക")</f>
        <v>വോട്ടർ ഐഡി അപ്ലോഡുചെയ്യുക</v>
      </c>
      <c r="K251" s="2" t="str">
        <f>IFERROR(__xludf.DUMMYFUNCTION("""COMPUTED_VALUE"""),"ਵੋਟਰ ਆਈਡੀ ਅਪਲੋਡ ਕਰੋ")</f>
        <v>ਵੋਟਰ ਆਈਡੀ ਅਪਲੋਡ ਕਰੋ</v>
      </c>
      <c r="L251" s="2" t="str">
        <f>IFERROR(__xludf.DUMMYFUNCTION("""COMPUTED_VALUE"""),"வாக்காளர் ஐடியைப் பதிவேற்றவும்")</f>
        <v>வாக்காளர் ஐடியைப் பதிவேற்றவும்</v>
      </c>
      <c r="M251" s="2" t="str">
        <f>IFERROR(__xludf.DUMMYFUNCTION("""COMPUTED_VALUE"""),"ఓటరు ఐడిని అప్‌లోడ్ చేయండి")</f>
        <v>ఓటరు ఐడిని అప్‌లోడ్ చేయండి</v>
      </c>
    </row>
    <row r="252">
      <c r="A252" s="2" t="str">
        <f>Master_en!A252</f>
        <v>pickupWithin</v>
      </c>
      <c r="B252" s="2" t="str">
        <f>Master_en!B252</f>
        <v>Pickup within</v>
      </c>
      <c r="C252" s="2" t="str">
        <f>IFERROR(__xludf.DUMMYFUNCTION("""COMPUTED_VALUE"""),"মধ্যে পিকআপ")</f>
        <v>মধ্যে পিকআপ</v>
      </c>
      <c r="D252" s="2" t="str">
        <f>IFERROR(__xludf.DUMMYFUNCTION("""COMPUTED_VALUE"""),"भीतर पिकअप")</f>
        <v>भीतर पिकअप</v>
      </c>
      <c r="E252" s="2" t="str">
        <f>IFERROR(__xludf.DUMMYFUNCTION("""COMPUTED_VALUE"""),"ಒಳಗೆ ಪಿಕಪ್")</f>
        <v>ಒಳಗೆ ಪಿಕಪ್</v>
      </c>
      <c r="F252" s="2" t="str">
        <f>IFERROR(__xludf.DUMMYFUNCTION("""COMPUTED_VALUE"""),"ଭିତରେ ପିକଅପ୍ |")</f>
        <v>ଭିତରେ ପିକଅପ୍ |</v>
      </c>
      <c r="G252" s="2" t="str">
        <f>IFERROR(__xludf.DUMMYFUNCTION("""COMPUTED_VALUE"""),"ভিতৰত পিকআপ কৰক")</f>
        <v>ভিতৰত পিকআপ কৰক</v>
      </c>
      <c r="H252" s="2" t="str">
        <f>IFERROR(__xludf.DUMMYFUNCTION("""COMPUTED_VALUE"""),"અંદર પિકઅપ")</f>
        <v>અંદર પિકઅપ</v>
      </c>
      <c r="I252" s="2" t="str">
        <f>IFERROR(__xludf.DUMMYFUNCTION("""COMPUTED_VALUE"""),"आत पिकअप")</f>
        <v>आत पिकअप</v>
      </c>
      <c r="J252" s="2" t="str">
        <f>IFERROR(__xludf.DUMMYFUNCTION("""COMPUTED_VALUE"""),"അകത്ത് പിക്കപ്പ്")</f>
        <v>അകത്ത് പിക്കപ്പ്</v>
      </c>
      <c r="K252" s="2" t="str">
        <f>IFERROR(__xludf.DUMMYFUNCTION("""COMPUTED_VALUE"""),"ਅੰਦਰ ਪਿਕਅਪ")</f>
        <v>ਅੰਦਰ ਪਿਕਅਪ</v>
      </c>
      <c r="L252" s="2" t="str">
        <f>IFERROR(__xludf.DUMMYFUNCTION("""COMPUTED_VALUE"""),"உள்ளே பிக்கப்")</f>
        <v>உள்ளே பிக்கப்</v>
      </c>
      <c r="M252" s="2" t="str">
        <f>IFERROR(__xludf.DUMMYFUNCTION("""COMPUTED_VALUE"""),"లోపల పికప్")</f>
        <v>లోపల పికప్</v>
      </c>
    </row>
    <row r="253">
      <c r="A253" s="2" t="str">
        <f>Master_en!A253</f>
        <v>addDebit</v>
      </c>
      <c r="B253" s="2" t="str">
        <f>Master_en!B253</f>
        <v>Add Debit</v>
      </c>
      <c r="C253" s="2" t="str">
        <f>IFERROR(__xludf.DUMMYFUNCTION("""COMPUTED_VALUE"""),"ডেবিট যোগ করুন")</f>
        <v>ডেবিট যোগ করুন</v>
      </c>
      <c r="D253" s="2" t="str">
        <f>IFERROR(__xludf.DUMMYFUNCTION("""COMPUTED_VALUE"""),"डेबिट जोड़ें")</f>
        <v>डेबिट जोड़ें</v>
      </c>
      <c r="E253" s="2" t="str">
        <f>IFERROR(__xludf.DUMMYFUNCTION("""COMPUTED_VALUE"""),"ಖರ್ಚು ಸೇರಿಸು")</f>
        <v>ಖರ್ಚು ಸೇರಿಸು</v>
      </c>
      <c r="F253" s="2" t="str">
        <f>IFERROR(__xludf.DUMMYFUNCTION("""COMPUTED_VALUE"""),"ଡେବିଟ୍ ଯୋଡନ୍ତୁ |")</f>
        <v>ଡେବିଟ୍ ଯୋଡନ୍ତୁ |</v>
      </c>
      <c r="G253" s="2" t="str">
        <f>IFERROR(__xludf.DUMMYFUNCTION("""COMPUTED_VALUE"""),"ডেবিট যোগ কৰক")</f>
        <v>ডেবিট যোগ কৰক</v>
      </c>
      <c r="H253" s="2" t="str">
        <f>IFERROR(__xludf.DUMMYFUNCTION("""COMPUTED_VALUE"""),"ઉધાર ઉમેરો")</f>
        <v>ઉધાર ઉમેરો</v>
      </c>
      <c r="I253" s="2" t="str">
        <f>IFERROR(__xludf.DUMMYFUNCTION("""COMPUTED_VALUE"""),"डेबिट जोडा")</f>
        <v>डेबिट जोडा</v>
      </c>
      <c r="J253" s="2" t="str">
        <f>IFERROR(__xludf.DUMMYFUNCTION("""COMPUTED_VALUE"""),"ഡെബിറ്റ് ചേർക്കുക")</f>
        <v>ഡെബിറ്റ് ചേർക്കുക</v>
      </c>
      <c r="K253" s="2" t="str">
        <f>IFERROR(__xludf.DUMMYFUNCTION("""COMPUTED_VALUE"""),"ਡੈਬਿਟ ਸ਼ਾਮਲ ਕਰੋ")</f>
        <v>ਡੈਬਿਟ ਸ਼ਾਮਲ ਕਰੋ</v>
      </c>
      <c r="L253" s="2" t="str">
        <f>IFERROR(__xludf.DUMMYFUNCTION("""COMPUTED_VALUE"""),"டெபிட் சேர்க்கவும்")</f>
        <v>டெபிட் சேர்க்கவும்</v>
      </c>
      <c r="M253" s="2" t="str">
        <f>IFERROR(__xludf.DUMMYFUNCTION("""COMPUTED_VALUE"""),"డెబిట్ జోడించండి")</f>
        <v>డెబిట్ జోడించండి</v>
      </c>
    </row>
    <row r="254">
      <c r="A254" s="2" t="str">
        <f>Master_en!A254</f>
        <v>creditCard</v>
      </c>
      <c r="B254" s="2" t="str">
        <f>Master_en!B254</f>
        <v>Credit Card</v>
      </c>
      <c r="C254" s="2" t="str">
        <f>IFERROR(__xludf.DUMMYFUNCTION("""COMPUTED_VALUE"""),"ক্রেডিট কার্ড")</f>
        <v>ক্রেডিট কার্ড</v>
      </c>
      <c r="D254" s="2" t="str">
        <f>IFERROR(__xludf.DUMMYFUNCTION("""COMPUTED_VALUE"""),"क्रेडिट कार्ड")</f>
        <v>क्रेडिट कार्ड</v>
      </c>
      <c r="E254" s="2" t="str">
        <f>IFERROR(__xludf.DUMMYFUNCTION("""COMPUTED_VALUE"""),"ಕ್ರೆಡಿಟ್ ಕಾರ್ಡ್")</f>
        <v>ಕ್ರೆಡಿಟ್ ಕಾರ್ಡ್</v>
      </c>
      <c r="F254" s="2" t="str">
        <f>IFERROR(__xludf.DUMMYFUNCTION("""COMPUTED_VALUE"""),"କ୍ରେଡିଟ୍ କାର୍ଡ଼")</f>
        <v>କ୍ରେଡିଟ୍ କାର୍ଡ଼</v>
      </c>
      <c r="G254" s="2" t="str">
        <f>IFERROR(__xludf.DUMMYFUNCTION("""COMPUTED_VALUE"""),"ক্ৰেডিট কাৰ্ড")</f>
        <v>ক্ৰেডিট কাৰ্ড</v>
      </c>
      <c r="H254" s="2" t="str">
        <f>IFERROR(__xludf.DUMMYFUNCTION("""COMPUTED_VALUE"""),"ક્રેડીટ કાર્ડ")</f>
        <v>ક્રેડીટ કાર્ડ</v>
      </c>
      <c r="I254" s="2" t="str">
        <f>IFERROR(__xludf.DUMMYFUNCTION("""COMPUTED_VALUE"""),"क्रेडीट कार्ड")</f>
        <v>क्रेडीट कार्ड</v>
      </c>
      <c r="J254" s="2" t="str">
        <f>IFERROR(__xludf.DUMMYFUNCTION("""COMPUTED_VALUE"""),"ക്രെഡിറ്റ് കാർഡ്")</f>
        <v>ക്രെഡിറ്റ് കാർഡ്</v>
      </c>
      <c r="K254" s="2" t="str">
        <f>IFERROR(__xludf.DUMMYFUNCTION("""COMPUTED_VALUE"""),"ਕਰੇਡਿਟ ਕਾਰਡ")</f>
        <v>ਕਰੇਡਿਟ ਕਾਰਡ</v>
      </c>
      <c r="L254" s="2" t="str">
        <f>IFERROR(__xludf.DUMMYFUNCTION("""COMPUTED_VALUE"""),"கடன் அட்டை")</f>
        <v>கடன் அட்டை</v>
      </c>
      <c r="M254" s="2" t="str">
        <f>IFERROR(__xludf.DUMMYFUNCTION("""COMPUTED_VALUE"""),"క్రెడిట్ కార్డు")</f>
        <v>క్రెడిట్ కార్డు</v>
      </c>
    </row>
    <row r="255">
      <c r="A255" s="2" t="str">
        <f>Master_en!A255</f>
        <v>yourOrder</v>
      </c>
      <c r="B255" s="2" t="str">
        <f>Master_en!B255</f>
        <v>Your Order</v>
      </c>
      <c r="C255" s="2" t="str">
        <f>IFERROR(__xludf.DUMMYFUNCTION("""COMPUTED_VALUE"""),"তোমার আদেশ")</f>
        <v>তোমার আদেশ</v>
      </c>
      <c r="D255" s="2" t="str">
        <f>IFERROR(__xludf.DUMMYFUNCTION("""COMPUTED_VALUE"""),"आपका आदेश")</f>
        <v>आपका आदेश</v>
      </c>
      <c r="E255" s="2" t="str">
        <f>IFERROR(__xludf.DUMMYFUNCTION("""COMPUTED_VALUE"""),"ನಿಮ್ಮ ಆದೇಶ")</f>
        <v>ನಿಮ್ಮ ಆದೇಶ</v>
      </c>
      <c r="F255" s="2" t="str">
        <f>IFERROR(__xludf.DUMMYFUNCTION("""COMPUTED_VALUE"""),"ତୁମ ଅର୍ଡ")</f>
        <v>ତୁମ ଅର୍ଡ</v>
      </c>
      <c r="G255" s="2" t="str">
        <f>IFERROR(__xludf.DUMMYFUNCTION("""COMPUTED_VALUE"""),"আপোনাৰ অৰ্ডাৰ")</f>
        <v>আপোনাৰ অৰ্ডাৰ</v>
      </c>
      <c r="H255" s="2" t="str">
        <f>IFERROR(__xludf.DUMMYFUNCTION("""COMPUTED_VALUE"""),"તમારો ઓર્ડર")</f>
        <v>તમારો ઓર્ડર</v>
      </c>
      <c r="I255" s="2" t="str">
        <f>IFERROR(__xludf.DUMMYFUNCTION("""COMPUTED_VALUE"""),"तुमची  ऑर्डर")</f>
        <v>तुमची  ऑर्डर</v>
      </c>
      <c r="J255" s="2" t="str">
        <f>IFERROR(__xludf.DUMMYFUNCTION("""COMPUTED_VALUE"""),"നിങ്ങളുടെ ഓർഡർ")</f>
        <v>നിങ്ങളുടെ ഓർഡർ</v>
      </c>
      <c r="K255" s="2" t="str">
        <f>IFERROR(__xludf.DUMMYFUNCTION("""COMPUTED_VALUE"""),"ਤੁਹਾਡਾ ਆਰਡਰ")</f>
        <v>ਤੁਹਾਡਾ ਆਰਡਰ</v>
      </c>
      <c r="L255" s="2" t="str">
        <f>IFERROR(__xludf.DUMMYFUNCTION("""COMPUTED_VALUE"""),"உங்கள் ஆர்டர்")</f>
        <v>உங்கள் ஆர்டர்</v>
      </c>
      <c r="M255" s="2" t="str">
        <f>IFERROR(__xludf.DUMMYFUNCTION("""COMPUTED_VALUE"""),"మీ ఆజ్ఞ")</f>
        <v>మీ ఆజ్ఞ</v>
      </c>
    </row>
    <row r="256">
      <c r="A256" s="2" t="str">
        <f>Master_en!A256</f>
        <v>willBe</v>
      </c>
      <c r="B256" s="2" t="str">
        <f>Master_en!B256</f>
        <v>Will Be</v>
      </c>
      <c r="C256" s="2" t="str">
        <f>IFERROR(__xludf.DUMMYFUNCTION("""COMPUTED_VALUE"""),"হবে")</f>
        <v>হবে</v>
      </c>
      <c r="D256" s="2" t="str">
        <f>IFERROR(__xludf.DUMMYFUNCTION("""COMPUTED_VALUE"""),"होगा")</f>
        <v>होगा</v>
      </c>
      <c r="E256" s="2" t="str">
        <f>IFERROR(__xludf.DUMMYFUNCTION("""COMPUTED_VALUE"""),"ಇರುತ್ತದೆ")</f>
        <v>ಇರುತ್ತದೆ</v>
      </c>
      <c r="F256" s="2" t="str">
        <f>IFERROR(__xludf.DUMMYFUNCTION("""COMPUTED_VALUE"""),"ହବ")</f>
        <v>ହବ</v>
      </c>
      <c r="G256" s="2" t="str">
        <f>IFERROR(__xludf.DUMMYFUNCTION("""COMPUTED_VALUE"""),"হব")</f>
        <v>হব</v>
      </c>
      <c r="H256" s="2" t="str">
        <f>IFERROR(__xludf.DUMMYFUNCTION("""COMPUTED_VALUE"""),"હશે")</f>
        <v>હશે</v>
      </c>
      <c r="I256" s="2" t="str">
        <f>IFERROR(__xludf.DUMMYFUNCTION("""COMPUTED_VALUE"""),"असेल")</f>
        <v>असेल</v>
      </c>
      <c r="J256" s="2" t="str">
        <f>IFERROR(__xludf.DUMMYFUNCTION("""COMPUTED_VALUE"""),"ആയിരിക്കും")</f>
        <v>ആയിരിക്കും</v>
      </c>
      <c r="K256" s="2" t="str">
        <f>IFERROR(__xludf.DUMMYFUNCTION("""COMPUTED_VALUE"""),"ਹੋ ਜਾਵੇਗਾ")</f>
        <v>ਹੋ ਜਾਵੇਗਾ</v>
      </c>
      <c r="L256" s="2" t="str">
        <f>IFERROR(__xludf.DUMMYFUNCTION("""COMPUTED_VALUE"""),"இருக்கும்")</f>
        <v>இருக்கும்</v>
      </c>
      <c r="M256" s="2" t="str">
        <f>IFERROR(__xludf.DUMMYFUNCTION("""COMPUTED_VALUE"""),"ఉంటుంది")</f>
        <v>ఉంటుంది</v>
      </c>
    </row>
    <row r="257">
      <c r="A257" s="2" t="str">
        <f>Master_en!A257</f>
        <v>15digitalphanumericnumber</v>
      </c>
      <c r="B257" s="2" t="str">
        <f>Master_en!B257</f>
        <v>15-digit Alpha Numeric Number</v>
      </c>
      <c r="C257" s="2" t="str">
        <f>IFERROR(__xludf.DUMMYFUNCTION("""COMPUTED_VALUE"""),"15-অঙ্কের আলফা সংখ্যা সংখ্যা")</f>
        <v>15-অঙ্কের আলফা সংখ্যা সংখ্যা</v>
      </c>
      <c r="D257" s="2" t="str">
        <f>IFERROR(__xludf.DUMMYFUNCTION("""COMPUTED_VALUE"""),"15-अंकीय अल्फा संख्यात्मक संख्या")</f>
        <v>15-अंकीय अल्फा संख्यात्मक संख्या</v>
      </c>
      <c r="E257" s="2" t="str">
        <f>IFERROR(__xludf.DUMMYFUNCTION("""COMPUTED_VALUE"""),"15-ಅಂಕಿಯ ಆಲ್ಫಾ ಸಂಖ್ಯಾ ಸಂಖ್ಯೆ")</f>
        <v>15-ಅಂಕಿಯ ಆಲ್ಫಾ ಸಂಖ್ಯಾ ಸಂಖ್ಯೆ</v>
      </c>
      <c r="F257" s="2" t="str">
        <f>IFERROR(__xludf.DUMMYFUNCTION("""COMPUTED_VALUE"""),"15-ଅଙ୍କ ବିଶିଷ୍ଟ ଆଲଫା ସାଂଖ୍ୟିକ ସଂଖ୍ୟା |")</f>
        <v>15-ଅଙ୍କ ବିଶିଷ୍ଟ ଆଲଫା ସାଂଖ୍ୟିକ ସଂଖ୍ୟା |</v>
      </c>
      <c r="G257" s="2" t="str">
        <f>IFERROR(__xludf.DUMMYFUNCTION("""COMPUTED_VALUE"""),"১৫ অংকৰ আলফা সংখ্যাগত সংখ্যা")</f>
        <v>১৫ অংকৰ আলফা সংখ্যাগত সংখ্যা</v>
      </c>
      <c r="H257" s="2" t="str">
        <f>IFERROR(__xludf.DUMMYFUNCTION("""COMPUTED_VALUE"""),"15-અંક આલ્ફા આંકડાકીય સંખ્યા")</f>
        <v>15-અંક આલ્ફા આંકડાકીય સંખ્યા</v>
      </c>
      <c r="I257" s="2" t="str">
        <f>IFERROR(__xludf.DUMMYFUNCTION("""COMPUTED_VALUE"""),"15-अंकी अल्फा संख्यात्मक संख्या")</f>
        <v>15-अंकी अल्फा संख्यात्मक संख्या</v>
      </c>
      <c r="J257" s="2" t="str">
        <f>IFERROR(__xludf.DUMMYFUNCTION("""COMPUTED_VALUE"""),"15 അക്ക ആൽഫ സംഖ്യാ നമ്പർ")</f>
        <v>15 അക്ക ആൽഫ സംഖ്യാ നമ്പർ</v>
      </c>
      <c r="K257" s="2" t="str">
        <f>IFERROR(__xludf.DUMMYFUNCTION("""COMPUTED_VALUE"""),"15-ਅੰਕ ਦਾ ਅਲਫ਼ਾ ਸੰਖਿਆਤਮ ਸੰਖਿਆ")</f>
        <v>15-ਅੰਕ ਦਾ ਅਲਫ਼ਾ ਸੰਖਿਆਤਮ ਸੰਖਿਆ</v>
      </c>
      <c r="L257" s="2" t="str">
        <f>IFERROR(__xludf.DUMMYFUNCTION("""COMPUTED_VALUE"""),"15 இலக்க ஆல்பா எண் எண்")</f>
        <v>15 இலக்க ஆல்பா எண் எண்</v>
      </c>
      <c r="M257" s="2" t="str">
        <f>IFERROR(__xludf.DUMMYFUNCTION("""COMPUTED_VALUE"""),"15-అంకెల ఆల్ఫా సంఖ్యా సంఖ్య")</f>
        <v>15-అంకెల ఆల్ఫా సంఖ్యా సంఖ్య</v>
      </c>
    </row>
    <row r="258">
      <c r="A258" s="2" t="str">
        <f>Master_en!A258</f>
        <v>deliver</v>
      </c>
      <c r="B258" s="2" t="str">
        <f>Master_en!B258</f>
        <v>Deliver</v>
      </c>
      <c r="C258" s="2" t="str">
        <f>IFERROR(__xludf.DUMMYFUNCTION("""COMPUTED_VALUE"""),"বিতরণ")</f>
        <v>বিতরণ</v>
      </c>
      <c r="D258" s="2" t="str">
        <f>IFERROR(__xludf.DUMMYFUNCTION("""COMPUTED_VALUE"""),"वितरण")</f>
        <v>वितरण</v>
      </c>
      <c r="E258" s="2" t="str">
        <f>IFERROR(__xludf.DUMMYFUNCTION("""COMPUTED_VALUE"""),"ವಶಪಡಿಸಿಕೊ")</f>
        <v>ವಶಪಡಿಸಿಕೊ</v>
      </c>
      <c r="F258" s="2" t="str">
        <f>IFERROR(__xludf.DUMMYFUNCTION("""COMPUTED_VALUE"""),"ବିତରଣ କର |")</f>
        <v>ବିତରଣ କର |</v>
      </c>
      <c r="G258" s="2" t="str">
        <f>IFERROR(__xludf.DUMMYFUNCTION("""COMPUTED_VALUE"""),"বিলি কৰা")</f>
        <v>বিলি কৰা</v>
      </c>
      <c r="H258" s="2" t="str">
        <f>IFERROR(__xludf.DUMMYFUNCTION("""COMPUTED_VALUE"""),"પહોંચાડવું")</f>
        <v>પહોંચાડવું</v>
      </c>
      <c r="I258" s="2" t="str">
        <f>IFERROR(__xludf.DUMMYFUNCTION("""COMPUTED_VALUE"""),"वितरित")</f>
        <v>वितरित</v>
      </c>
      <c r="J258" s="2" t="str">
        <f>IFERROR(__xludf.DUMMYFUNCTION("""COMPUTED_VALUE"""),"മോചിപ്പിക്കുക")</f>
        <v>മോചിപ്പിക്കുക</v>
      </c>
      <c r="K258" s="2" t="str">
        <f>IFERROR(__xludf.DUMMYFUNCTION("""COMPUTED_VALUE"""),"ਸਪੁਰਦ ਕਰੋ")</f>
        <v>ਸਪੁਰਦ ਕਰੋ</v>
      </c>
      <c r="L258" s="2" t="str">
        <f>IFERROR(__xludf.DUMMYFUNCTION("""COMPUTED_VALUE"""),"வழங்கவும்")</f>
        <v>வழங்கவும்</v>
      </c>
      <c r="M258" s="2" t="str">
        <f>IFERROR(__xludf.DUMMYFUNCTION("""COMPUTED_VALUE"""),"బట్వాడా")</f>
        <v>బట్వాడా</v>
      </c>
    </row>
    <row r="259">
      <c r="A259" s="2" t="str">
        <f>Master_en!A259</f>
        <v>pickupNoShow</v>
      </c>
      <c r="B259" s="2" t="str">
        <f>Master_en!B259</f>
        <v>Pickup No Show</v>
      </c>
      <c r="C259" s="2" t="str">
        <f>IFERROR(__xludf.DUMMYFUNCTION("""COMPUTED_VALUE"""),"পিকআপ কোন শো")</f>
        <v>পিকআপ কোন শো</v>
      </c>
      <c r="D259" s="2" t="str">
        <f>IFERROR(__xludf.DUMMYFUNCTION("""COMPUTED_VALUE"""),"पिकअप नो शो")</f>
        <v>पिकअप नो शो</v>
      </c>
      <c r="E259" s="2" t="str">
        <f>IFERROR(__xludf.DUMMYFUNCTION("""COMPUTED_VALUE"""),"ಪಿಕಪ್ ಇಲ್ಲ")</f>
        <v>ಪಿಕಪ್ ಇಲ್ಲ</v>
      </c>
      <c r="F259" s="2" t="str">
        <f>IFERROR(__xludf.DUMMYFUNCTION("""COMPUTED_VALUE"""),"ପିକଅପ୍ କ show ଣସି ଶୋ ଦେଖାନ୍ତୁ ନାହିଁ |")</f>
        <v>ପିକଅପ୍ କ show ଣସି ଶୋ ଦେଖାନ୍ତୁ ନାହିଁ |</v>
      </c>
      <c r="G259" s="2" t="str">
        <f>IFERROR(__xludf.DUMMYFUNCTION("""COMPUTED_VALUE"""),"পিকআপ ন' শ্ব'")</f>
        <v>পিকআপ ন' শ্ব'</v>
      </c>
      <c r="H259" s="2" t="str">
        <f>IFERROR(__xludf.DUMMYFUNCTION("""COMPUTED_VALUE"""),"કોઈ શો પિકઅપ")</f>
        <v>કોઈ શો પિકઅપ</v>
      </c>
      <c r="I259" s="2" t="str">
        <f>IFERROR(__xludf.DUMMYFUNCTION("""COMPUTED_VALUE"""),"पिकअप नाही शो")</f>
        <v>पिकअप नाही शो</v>
      </c>
      <c r="J259" s="2" t="str">
        <f>IFERROR(__xludf.DUMMYFUNCTION("""COMPUTED_VALUE"""),"പിക്കപ്പ് ഇല്ല ഷോ")</f>
        <v>പിക്കപ്പ് ഇല്ല ഷോ</v>
      </c>
      <c r="K259" s="2" t="str">
        <f>IFERROR(__xludf.DUMMYFUNCTION("""COMPUTED_VALUE"""),"ਪਿਕਅਪ ਕੋਈ ਸ਼ੋਅ ਨਹੀਂ")</f>
        <v>ਪਿਕਅਪ ਕੋਈ ਸ਼ੋਅ ਨਹੀਂ</v>
      </c>
      <c r="L259" s="2" t="str">
        <f>IFERROR(__xludf.DUMMYFUNCTION("""COMPUTED_VALUE"""),"காட்சி இல்லை")</f>
        <v>காட்சி இல்லை</v>
      </c>
      <c r="M259" s="2" t="str">
        <f>IFERROR(__xludf.DUMMYFUNCTION("""COMPUTED_VALUE"""),"పికప్ ప్రదర్శన లేదు")</f>
        <v>పికప్ ప్రదర్శన లేదు</v>
      </c>
    </row>
    <row r="260">
      <c r="A260" s="2" t="str">
        <f>Master_en!A260</f>
        <v>house</v>
      </c>
      <c r="B260" s="2" t="str">
        <f>Master_en!B260</f>
        <v>House</v>
      </c>
      <c r="C260" s="2" t="str">
        <f>IFERROR(__xludf.DUMMYFUNCTION("""COMPUTED_VALUE"""),"গৃহ")</f>
        <v>গৃহ</v>
      </c>
      <c r="D260" s="2" t="str">
        <f>IFERROR(__xludf.DUMMYFUNCTION("""COMPUTED_VALUE"""),"घर")</f>
        <v>घर</v>
      </c>
      <c r="E260" s="2" t="str">
        <f>IFERROR(__xludf.DUMMYFUNCTION("""COMPUTED_VALUE"""),"ಮನೆ")</f>
        <v>ಮನೆ</v>
      </c>
      <c r="F260" s="2" t="str">
        <f>IFERROR(__xludf.DUMMYFUNCTION("""COMPUTED_VALUE"""),"ଘର")</f>
        <v>ଘର</v>
      </c>
      <c r="G260" s="2" t="str">
        <f>IFERROR(__xludf.DUMMYFUNCTION("""COMPUTED_VALUE"""),"ঘৰ")</f>
        <v>ঘৰ</v>
      </c>
      <c r="H260" s="2" t="str">
        <f>IFERROR(__xludf.DUMMYFUNCTION("""COMPUTED_VALUE"""),"ઘર")</f>
        <v>ઘર</v>
      </c>
      <c r="I260" s="2" t="str">
        <f>IFERROR(__xludf.DUMMYFUNCTION("""COMPUTED_VALUE"""),"घर")</f>
        <v>घर</v>
      </c>
      <c r="J260" s="2" t="str">
        <f>IFERROR(__xludf.DUMMYFUNCTION("""COMPUTED_VALUE"""),"വീട്")</f>
        <v>വീട്</v>
      </c>
      <c r="K260" s="2" t="str">
        <f>IFERROR(__xludf.DUMMYFUNCTION("""COMPUTED_VALUE"""),"ਘਰ")</f>
        <v>ਘਰ</v>
      </c>
      <c r="L260" s="2" t="str">
        <f>IFERROR(__xludf.DUMMYFUNCTION("""COMPUTED_VALUE"""),"வீடு")</f>
        <v>வீடு</v>
      </c>
      <c r="M260" s="2" t="str">
        <f>IFERROR(__xludf.DUMMYFUNCTION("""COMPUTED_VALUE"""),"ఇల్లు")</f>
        <v>ఇల్లు</v>
      </c>
    </row>
    <row r="261">
      <c r="A261" s="2" t="str">
        <f>Master_en!A261</f>
        <v>flat</v>
      </c>
      <c r="B261" s="2" t="str">
        <f>Master_en!B261</f>
        <v>Flat</v>
      </c>
      <c r="C261" s="2" t="str">
        <f>IFERROR(__xludf.DUMMYFUNCTION("""COMPUTED_VALUE"""),"সমান")</f>
        <v>সমান</v>
      </c>
      <c r="D261" s="2" t="str">
        <f>IFERROR(__xludf.DUMMYFUNCTION("""COMPUTED_VALUE"""),"समतल")</f>
        <v>समतल</v>
      </c>
      <c r="E261" s="2" t="str">
        <f>IFERROR(__xludf.DUMMYFUNCTION("""COMPUTED_VALUE"""),"ಕಟ್ಟಡ")</f>
        <v>ಕಟ್ಟಡ</v>
      </c>
      <c r="F261" s="2" t="str">
        <f>IFERROR(__xludf.DUMMYFUNCTION("""COMPUTED_VALUE"""),"ଫ୍ଲାଟ")</f>
        <v>ଫ୍ଲାଟ</v>
      </c>
      <c r="G261" s="2" t="str">
        <f>IFERROR(__xludf.DUMMYFUNCTION("""COMPUTED_VALUE"""),"চেপেটা")</f>
        <v>চেপেটা</v>
      </c>
      <c r="H261" s="2" t="str">
        <f>IFERROR(__xludf.DUMMYFUNCTION("""COMPUTED_VALUE"""),"ફ્લેટ")</f>
        <v>ફ્લેટ</v>
      </c>
      <c r="I261" s="2" t="str">
        <f>IFERROR(__xludf.DUMMYFUNCTION("""COMPUTED_VALUE"""),"फ्लॅट")</f>
        <v>फ्लॅट</v>
      </c>
      <c r="J261" s="2" t="str">
        <f>IFERROR(__xludf.DUMMYFUNCTION("""COMPUTED_VALUE"""),"പരന്ന")</f>
        <v>പരന്ന</v>
      </c>
      <c r="K261" s="2" t="str">
        <f>IFERROR(__xludf.DUMMYFUNCTION("""COMPUTED_VALUE"""),"ਫਲੈਟ")</f>
        <v>ਫਲੈਟ</v>
      </c>
      <c r="L261" s="2" t="str">
        <f>IFERROR(__xludf.DUMMYFUNCTION("""COMPUTED_VALUE"""),"பிளாட்")</f>
        <v>பிளாட்</v>
      </c>
      <c r="M261" s="2" t="str">
        <f>IFERROR(__xludf.DUMMYFUNCTION("""COMPUTED_VALUE"""),"ఫ్లాట్")</f>
        <v>ఫ్లాట్</v>
      </c>
    </row>
    <row r="262">
      <c r="A262" s="2" t="str">
        <f>Master_en!A262</f>
        <v>block</v>
      </c>
      <c r="B262" s="2" t="str">
        <f>Master_en!B262</f>
        <v>Block</v>
      </c>
      <c r="C262" s="2" t="str">
        <f>IFERROR(__xludf.DUMMYFUNCTION("""COMPUTED_VALUE"""),"ব্লক")</f>
        <v>ব্লক</v>
      </c>
      <c r="D262" s="2" t="str">
        <f>IFERROR(__xludf.DUMMYFUNCTION("""COMPUTED_VALUE"""),"अवरोध पैदा करना")</f>
        <v>अवरोध पैदा करना</v>
      </c>
      <c r="E262" s="2" t="str">
        <f>IFERROR(__xludf.DUMMYFUNCTION("""COMPUTED_VALUE"""),"ನಿರ್ಬಂಧ")</f>
        <v>ನಿರ್ಬಂಧ</v>
      </c>
      <c r="F262" s="2" t="str">
        <f>IFERROR(__xludf.DUMMYFUNCTION("""COMPUTED_VALUE"""),"ବ୍ଲକ")</f>
        <v>ବ୍ଲକ</v>
      </c>
      <c r="G262" s="2" t="str">
        <f>IFERROR(__xludf.DUMMYFUNCTION("""COMPUTED_VALUE"""),"অৱৰুদ্ধ কৰা")</f>
        <v>অৱৰুদ্ধ কৰা</v>
      </c>
      <c r="H262" s="2" t="str">
        <f>IFERROR(__xludf.DUMMYFUNCTION("""COMPUTED_VALUE"""),"વિભાગ")</f>
        <v>વિભાગ</v>
      </c>
      <c r="I262" s="2" t="str">
        <f>IFERROR(__xludf.DUMMYFUNCTION("""COMPUTED_VALUE"""),"ब्लॉक")</f>
        <v>ब्लॉक</v>
      </c>
      <c r="J262" s="2" t="str">
        <f>IFERROR(__xludf.DUMMYFUNCTION("""COMPUTED_VALUE"""),"ഉപരോധിക്കുക")</f>
        <v>ഉപരോധിക്കുക</v>
      </c>
      <c r="K262" s="2" t="str">
        <f>IFERROR(__xludf.DUMMYFUNCTION("""COMPUTED_VALUE"""),"ਬਲਾਕ")</f>
        <v>ਬਲਾਕ</v>
      </c>
      <c r="L262" s="2" t="str">
        <f>IFERROR(__xludf.DUMMYFUNCTION("""COMPUTED_VALUE"""),"பிளாக்")</f>
        <v>பிளாக்</v>
      </c>
      <c r="M262" s="2" t="str">
        <f>IFERROR(__xludf.DUMMYFUNCTION("""COMPUTED_VALUE"""),"బ్లాక్")</f>
        <v>బ్లాక్</v>
      </c>
    </row>
    <row r="263">
      <c r="A263" s="2" t="str">
        <f>Master_en!A263</f>
        <v>blockNumber</v>
      </c>
      <c r="B263" s="2" t="str">
        <f>Master_en!B263</f>
        <v>Block Number</v>
      </c>
      <c r="C263" s="2" t="str">
        <f>IFERROR(__xludf.DUMMYFUNCTION("""COMPUTED_VALUE"""),"ব্লক নম্বর")</f>
        <v>ব্লক নম্বর</v>
      </c>
      <c r="D263" s="2" t="str">
        <f>IFERROR(__xludf.DUMMYFUNCTION("""COMPUTED_VALUE"""),"ब्लॉक संख्या")</f>
        <v>ब्लॉक संख्या</v>
      </c>
      <c r="E263" s="2" t="str">
        <f>IFERROR(__xludf.DUMMYFUNCTION("""COMPUTED_VALUE"""),"ಕಸಿ")</f>
        <v>ಕಸಿ</v>
      </c>
      <c r="F263" s="2" t="str">
        <f>IFERROR(__xludf.DUMMYFUNCTION("""COMPUTED_VALUE"""),"ବ୍ଲକ ନମ୍ବର")</f>
        <v>ବ୍ଲକ ନମ୍ବର</v>
      </c>
      <c r="G263" s="2" t="str">
        <f>IFERROR(__xludf.DUMMYFUNCTION("""COMPUTED_VALUE"""),"ব্লক নম্বৰ")</f>
        <v>ব্লক নম্বৰ</v>
      </c>
      <c r="H263" s="2" t="str">
        <f>IFERROR(__xludf.DUMMYFUNCTION("""COMPUTED_VALUE"""),"વિભાગ નંબર")</f>
        <v>વિભાગ નંબર</v>
      </c>
      <c r="I263" s="2" t="str">
        <f>IFERROR(__xludf.DUMMYFUNCTION("""COMPUTED_VALUE"""),"ब्लॉक क्रमांक")</f>
        <v>ब्लॉक क्रमांक</v>
      </c>
      <c r="J263" s="2" t="str">
        <f>IFERROR(__xludf.DUMMYFUNCTION("""COMPUTED_VALUE"""),"ബ്ലോക്ക് നമ്പർ")</f>
        <v>ബ്ലോക്ക് നമ്പർ</v>
      </c>
      <c r="K263" s="2" t="str">
        <f>IFERROR(__xludf.DUMMYFUNCTION("""COMPUTED_VALUE"""),"ਬਲਾਕ ਨੰਬਰ")</f>
        <v>ਬਲਾਕ ਨੰਬਰ</v>
      </c>
      <c r="L263" s="2" t="str">
        <f>IFERROR(__xludf.DUMMYFUNCTION("""COMPUTED_VALUE"""),"பிளாக் எண் ")</f>
        <v>பிளாக் எண் </v>
      </c>
      <c r="M263" s="2" t="str">
        <f>IFERROR(__xludf.DUMMYFUNCTION("""COMPUTED_VALUE"""),"బ్లాక్ సంఖ్య")</f>
        <v>బ్లాక్ సంఖ్య</v>
      </c>
    </row>
    <row r="264">
      <c r="A264" s="2" t="str">
        <f>Master_en!A264</f>
        <v>appartment</v>
      </c>
      <c r="B264" s="2" t="str">
        <f>Master_en!B264</f>
        <v>Apartment</v>
      </c>
      <c r="C264" s="2" t="str">
        <f>IFERROR(__xludf.DUMMYFUNCTION("""COMPUTED_VALUE"""),"অ্যাপার্টমেন্ট")</f>
        <v>অ্যাপার্টমেন্ট</v>
      </c>
      <c r="D264" s="2" t="str">
        <f>IFERROR(__xludf.DUMMYFUNCTION("""COMPUTED_VALUE"""),"अपार्टमेंट")</f>
        <v>अपार्टमेंट</v>
      </c>
      <c r="E264" s="2" t="str">
        <f>IFERROR(__xludf.DUMMYFUNCTION("""COMPUTED_VALUE"""),"ಅಪಾರ್ಟ್ಮೆಂಟ್")</f>
        <v>ಅಪಾರ್ಟ್ಮೆಂಟ್</v>
      </c>
      <c r="F264" s="2" t="str">
        <f>IFERROR(__xludf.DUMMYFUNCTION("""COMPUTED_VALUE"""),"ଆପାର୍ଟମେଣ୍ଟ")</f>
        <v>ଆପାର୍ଟମେଣ୍ଟ</v>
      </c>
      <c r="G264" s="2" t="str">
        <f>IFERROR(__xludf.DUMMYFUNCTION("""COMPUTED_VALUE"""),"এপাৰ্টমেণ্ট")</f>
        <v>এপাৰ্টমেণ্ট</v>
      </c>
      <c r="H264" s="2" t="str">
        <f>IFERROR(__xludf.DUMMYFUNCTION("""COMPUTED_VALUE"""),"એપાર્ટમેન્ટ")</f>
        <v>એપાર્ટમેન્ટ</v>
      </c>
      <c r="I264" s="2" t="str">
        <f>IFERROR(__xludf.DUMMYFUNCTION("""COMPUTED_VALUE"""),"अपार्टमेंट")</f>
        <v>अपार्टमेंट</v>
      </c>
      <c r="J264" s="2" t="str">
        <f>IFERROR(__xludf.DUMMYFUNCTION("""COMPUTED_VALUE"""),"മുറി")</f>
        <v>മുറി</v>
      </c>
      <c r="K264" s="2" t="str">
        <f>IFERROR(__xludf.DUMMYFUNCTION("""COMPUTED_VALUE"""),"ਅਪਾਰਟਮੈਂਟ")</f>
        <v>ਅਪਾਰਟਮੈਂਟ</v>
      </c>
      <c r="L264" s="2" t="str">
        <f>IFERROR(__xludf.DUMMYFUNCTION("""COMPUTED_VALUE"""),"அடுக்குமாடி இல்லங்கள்")</f>
        <v>அடுக்குமாடி இல்லங்கள்</v>
      </c>
      <c r="M264" s="2" t="str">
        <f>IFERROR(__xludf.DUMMYFUNCTION("""COMPUTED_VALUE"""),"అపార్ట్మెంట్")</f>
        <v>అపార్ట్మెంట్</v>
      </c>
    </row>
    <row r="265">
      <c r="A265" s="2" t="str">
        <f>Master_en!A265</f>
        <v>road</v>
      </c>
      <c r="B265" s="2" t="str">
        <f>Master_en!B265</f>
        <v>Road</v>
      </c>
      <c r="C265" s="2" t="str">
        <f>IFERROR(__xludf.DUMMYFUNCTION("""COMPUTED_VALUE"""),"রাস্তা")</f>
        <v>রাস্তা</v>
      </c>
      <c r="D265" s="2" t="str">
        <f>IFERROR(__xludf.DUMMYFUNCTION("""COMPUTED_VALUE"""),"सड़क")</f>
        <v>सड़क</v>
      </c>
      <c r="E265" s="2" t="str">
        <f>IFERROR(__xludf.DUMMYFUNCTION("""COMPUTED_VALUE"""),"ರಸ್ತೆ")</f>
        <v>ರಸ್ತೆ</v>
      </c>
      <c r="F265" s="2" t="str">
        <f>IFERROR(__xludf.DUMMYFUNCTION("""COMPUTED_VALUE"""),"ରାସ୍ତା")</f>
        <v>ରାସ୍ତା</v>
      </c>
      <c r="G265" s="2" t="str">
        <f>IFERROR(__xludf.DUMMYFUNCTION("""COMPUTED_VALUE"""),"পথ")</f>
        <v>পথ</v>
      </c>
      <c r="H265" s="2" t="str">
        <f>IFERROR(__xludf.DUMMYFUNCTION("""COMPUTED_VALUE"""),"માર્ગ")</f>
        <v>માર્ગ</v>
      </c>
      <c r="I265" s="2" t="str">
        <f>IFERROR(__xludf.DUMMYFUNCTION("""COMPUTED_VALUE"""),"रस्ता")</f>
        <v>रस्ता</v>
      </c>
      <c r="J265" s="2" t="str">
        <f>IFERROR(__xludf.DUMMYFUNCTION("""COMPUTED_VALUE"""),"നടപ്പാത")</f>
        <v>നടപ്പാത</v>
      </c>
      <c r="K265" s="2" t="str">
        <f>IFERROR(__xludf.DUMMYFUNCTION("""COMPUTED_VALUE"""),"ਸੜਕ")</f>
        <v>ਸੜਕ</v>
      </c>
      <c r="L265" s="2" t="str">
        <f>IFERROR(__xludf.DUMMYFUNCTION("""COMPUTED_VALUE"""),"சாலை")</f>
        <v>சாலை</v>
      </c>
      <c r="M265" s="2" t="str">
        <f>IFERROR(__xludf.DUMMYFUNCTION("""COMPUTED_VALUE"""),"త్రోవ")</f>
        <v>త్రోవ</v>
      </c>
    </row>
    <row r="266">
      <c r="A266" s="2" t="str">
        <f>Master_en!A266</f>
        <v>area</v>
      </c>
      <c r="B266" s="2" t="str">
        <f>Master_en!B266</f>
        <v>Area</v>
      </c>
      <c r="C266" s="2" t="str">
        <f>IFERROR(__xludf.DUMMYFUNCTION("""COMPUTED_VALUE"""),"অঞ্চল")</f>
        <v>অঞ্চল</v>
      </c>
      <c r="D266" s="2" t="str">
        <f>IFERROR(__xludf.DUMMYFUNCTION("""COMPUTED_VALUE"""),"क्षेत्र")</f>
        <v>क्षेत्र</v>
      </c>
      <c r="E266" s="2" t="str">
        <f>IFERROR(__xludf.DUMMYFUNCTION("""COMPUTED_VALUE"""),"ಬೀದಿ")</f>
        <v>ಬೀದಿ</v>
      </c>
      <c r="F266" s="2" t="str">
        <f>IFERROR(__xludf.DUMMYFUNCTION("""COMPUTED_VALUE"""),"କ୍ଷେତ୍ର")</f>
        <v>କ୍ଷେତ୍ର</v>
      </c>
      <c r="G266" s="2" t="str">
        <f>IFERROR(__xludf.DUMMYFUNCTION("""COMPUTED_VALUE"""),"এলাকা")</f>
        <v>এলাকা</v>
      </c>
      <c r="H266" s="2" t="str">
        <f>IFERROR(__xludf.DUMMYFUNCTION("""COMPUTED_VALUE"""),"વિસ્તાર")</f>
        <v>વિસ્તાર</v>
      </c>
      <c r="I266" s="2" t="str">
        <f>IFERROR(__xludf.DUMMYFUNCTION("""COMPUTED_VALUE"""),"क्षेत्र")</f>
        <v>क्षेत्र</v>
      </c>
      <c r="J266" s="2" t="str">
        <f>IFERROR(__xludf.DUMMYFUNCTION("""COMPUTED_VALUE"""),"പദേശം")</f>
        <v>പദേശം</v>
      </c>
      <c r="K266" s="2" t="str">
        <f>IFERROR(__xludf.DUMMYFUNCTION("""COMPUTED_VALUE"""),"ਖੇਤਰ")</f>
        <v>ਖੇਤਰ</v>
      </c>
      <c r="L266" s="2" t="str">
        <f>IFERROR(__xludf.DUMMYFUNCTION("""COMPUTED_VALUE"""),"பரப்பளவு")</f>
        <v>பரப்பளவு</v>
      </c>
      <c r="M266" s="2" t="str">
        <f>IFERROR(__xludf.DUMMYFUNCTION("""COMPUTED_VALUE"""),"ప్రాంతం")</f>
        <v>ప్రాంతం</v>
      </c>
    </row>
    <row r="267">
      <c r="A267" s="2" t="str">
        <f>Master_en!A267</f>
        <v>saveThis</v>
      </c>
      <c r="B267" s="2" t="str">
        <f>Master_en!B267</f>
        <v>Save this </v>
      </c>
      <c r="C267" s="2" t="str">
        <f>IFERROR(__xludf.DUMMYFUNCTION("""COMPUTED_VALUE"""),"এটা সংরক্ষন কর")</f>
        <v>এটা সংরক্ষন কর</v>
      </c>
      <c r="D267" s="2" t="str">
        <f>IFERROR(__xludf.DUMMYFUNCTION("""COMPUTED_VALUE"""),"इसे बचाएं")</f>
        <v>इसे बचाएं</v>
      </c>
      <c r="E267" s="2" t="str">
        <f>IFERROR(__xludf.DUMMYFUNCTION("""COMPUTED_VALUE"""),"ಇದನ್ನು ಉಳಿಸಿ")</f>
        <v>ಇದನ್ನು ಉಳಿಸಿ</v>
      </c>
      <c r="F267" s="2" t="str">
        <f>IFERROR(__xludf.DUMMYFUNCTION("""COMPUTED_VALUE"""),"ଏହାକୁ ସଞ୍ଚୟ କର |")</f>
        <v>ଏହାକୁ ସଞ୍ଚୟ କର |</v>
      </c>
      <c r="G267" s="2" t="str">
        <f>IFERROR(__xludf.DUMMYFUNCTION("""COMPUTED_VALUE"""),"এইটো সংৰক্ষণ কৰক")</f>
        <v>এইটো সংৰক্ষণ কৰক</v>
      </c>
      <c r="H267" s="2" t="str">
        <f>IFERROR(__xludf.DUMMYFUNCTION("""COMPUTED_VALUE"""),"આ સાચવો")</f>
        <v>આ સાચવો</v>
      </c>
      <c r="I267" s="2" t="str">
        <f>IFERROR(__xludf.DUMMYFUNCTION("""COMPUTED_VALUE"""),"हे जतन करा")</f>
        <v>हे जतन करा</v>
      </c>
      <c r="J267" s="2" t="str">
        <f>IFERROR(__xludf.DUMMYFUNCTION("""COMPUTED_VALUE"""),"ഇത് സംരക്ഷിക്കുക")</f>
        <v>ഇത് സംരക്ഷിക്കുക</v>
      </c>
      <c r="K267" s="2" t="str">
        <f>IFERROR(__xludf.DUMMYFUNCTION("""COMPUTED_VALUE"""),"ਇਸ ਨੂੰ ਬਚਾਓ")</f>
        <v>ਇਸ ਨੂੰ ਬਚਾਓ</v>
      </c>
      <c r="L267" s="2" t="str">
        <f>IFERROR(__xludf.DUMMYFUNCTION("""COMPUTED_VALUE"""),"இதைச் சேமிக்கவும்")</f>
        <v>இதைச் சேமிக்கவும்</v>
      </c>
      <c r="M267" s="2" t="str">
        <f>IFERROR(__xludf.DUMMYFUNCTION("""COMPUTED_VALUE"""),"దీన్ని సేవ్ చేయండి")</f>
        <v>దీన్ని సేవ్ చేయండి</v>
      </c>
    </row>
    <row r="268">
      <c r="A268" s="2" t="str">
        <f>Master_en!A268</f>
        <v>addressAs</v>
      </c>
      <c r="B268" s="2" t="str">
        <f>Master_en!B268</f>
        <v>Address as</v>
      </c>
      <c r="C268" s="2" t="str">
        <f>IFERROR(__xludf.DUMMYFUNCTION("""COMPUTED_VALUE"""),"ঠিকানা হিসাবে")</f>
        <v>ঠিকানা হিসাবে</v>
      </c>
      <c r="D268" s="2" t="str">
        <f>IFERROR(__xludf.DUMMYFUNCTION("""COMPUTED_VALUE"""),"के रूप में पता")</f>
        <v>के रूप में पता</v>
      </c>
      <c r="E268" s="2" t="str">
        <f>IFERROR(__xludf.DUMMYFUNCTION("""COMPUTED_VALUE"""),"ವಿಳಾಸ")</f>
        <v>ವಿಳಾಸ</v>
      </c>
      <c r="F268" s="2" t="str">
        <f>IFERROR(__xludf.DUMMYFUNCTION("""COMPUTED_VALUE"""),"ଯେପରି ଠିକଣା")</f>
        <v>ଯେପରି ଠିକଣା</v>
      </c>
      <c r="G268" s="2" t="str">
        <f>IFERROR(__xludf.DUMMYFUNCTION("""COMPUTED_VALUE"""),"ঠিকনা হিচাপে")</f>
        <v>ঠিকনা হিচাপে</v>
      </c>
      <c r="H268" s="2" t="str">
        <f>IFERROR(__xludf.DUMMYFUNCTION("""COMPUTED_VALUE"""),"સરનામું")</f>
        <v>સરનામું</v>
      </c>
      <c r="I268" s="2" t="str">
        <f>IFERROR(__xludf.DUMMYFUNCTION("""COMPUTED_VALUE"""),"पत्ता म्हणून")</f>
        <v>पत्ता म्हणून</v>
      </c>
      <c r="J268" s="2" t="str">
        <f>IFERROR(__xludf.DUMMYFUNCTION("""COMPUTED_VALUE"""),"എന്നപോലെ വിലാസം")</f>
        <v>എന്നപോലെ വിലാസം</v>
      </c>
      <c r="K268" s="2" t="str">
        <f>IFERROR(__xludf.DUMMYFUNCTION("""COMPUTED_VALUE"""),"ਐਡਰੈੱਸ ਦੇ ਤੌਰ ਤੇ")</f>
        <v>ਐਡਰੈੱਸ ਦੇ ਤੌਰ ਤੇ</v>
      </c>
      <c r="L268" s="2" t="str">
        <f>IFERROR(__xludf.DUMMYFUNCTION("""COMPUTED_VALUE"""),"முகவரி")</f>
        <v>முகவரி</v>
      </c>
      <c r="M268" s="2" t="str">
        <f>IFERROR(__xludf.DUMMYFUNCTION("""COMPUTED_VALUE"""),"చిరునామా")</f>
        <v>చిరునామా</v>
      </c>
    </row>
    <row r="269">
      <c r="A269" s="2" t="str">
        <f>Master_en!A269</f>
        <v>areYou</v>
      </c>
      <c r="B269" s="2" t="str">
        <f>Master_en!B269</f>
        <v>Are you</v>
      </c>
      <c r="C269" s="2" t="str">
        <f>IFERROR(__xludf.DUMMYFUNCTION("""COMPUTED_VALUE"""),"আপনি")</f>
        <v>আপনি</v>
      </c>
      <c r="D269" s="2" t="str">
        <f>IFERROR(__xludf.DUMMYFUNCTION("""COMPUTED_VALUE"""),"क्या आप")</f>
        <v>क्या आप</v>
      </c>
      <c r="E269" s="2" t="str">
        <f>IFERROR(__xludf.DUMMYFUNCTION("""COMPUTED_VALUE"""),"ನೀನು")</f>
        <v>ನೀನು</v>
      </c>
      <c r="F269" s="2" t="str">
        <f>IFERROR(__xludf.DUMMYFUNCTION("""COMPUTED_VALUE"""),"ତୁମେ କି")</f>
        <v>ତୁମେ କି</v>
      </c>
      <c r="G269" s="2" t="str">
        <f>IFERROR(__xludf.DUMMYFUNCTION("""COMPUTED_VALUE"""),"তুমি নে")</f>
        <v>তুমি নে</v>
      </c>
      <c r="H269" s="2" t="str">
        <f>IFERROR(__xludf.DUMMYFUNCTION("""COMPUTED_VALUE"""),"તમે છો")</f>
        <v>તમે છો</v>
      </c>
      <c r="I269" s="2" t="str">
        <f>IFERROR(__xludf.DUMMYFUNCTION("""COMPUTED_VALUE"""),"आपण आहात")</f>
        <v>आपण आहात</v>
      </c>
      <c r="J269" s="2" t="str">
        <f>IFERROR(__xludf.DUMMYFUNCTION("""COMPUTED_VALUE"""),"നിങ്ങളാണോ")</f>
        <v>നിങ്ങളാണോ</v>
      </c>
      <c r="K269" s="2" t="str">
        <f>IFERROR(__xludf.DUMMYFUNCTION("""COMPUTED_VALUE"""),"ਕੀ ਤੁਸੀਂ")</f>
        <v>ਕੀ ਤੁਸੀਂ</v>
      </c>
      <c r="L269" s="2" t="str">
        <f>IFERROR(__xludf.DUMMYFUNCTION("""COMPUTED_VALUE"""),"நீங்கள்")</f>
        <v>நீங்கள்</v>
      </c>
      <c r="M269" s="2" t="str">
        <f>IFERROR(__xludf.DUMMYFUNCTION("""COMPUTED_VALUE"""),"మీరు")</f>
        <v>మీరు</v>
      </c>
    </row>
    <row r="270">
      <c r="A270" s="2" t="str">
        <f>Master_en!A270</f>
        <v>sureYou</v>
      </c>
      <c r="B270" s="2" t="str">
        <f>Master_en!B270</f>
        <v>sure you </v>
      </c>
      <c r="C270" s="2" t="str">
        <f>IFERROR(__xludf.DUMMYFUNCTION("""COMPUTED_VALUE"""),"নিশ্চিত তুমি")</f>
        <v>নিশ্চিত তুমি</v>
      </c>
      <c r="D270" s="2" t="str">
        <f>IFERROR(__xludf.DUMMYFUNCTION("""COMPUTED_VALUE"""),"नि: संदेह आपको")</f>
        <v>नि: संदेह आपको</v>
      </c>
      <c r="E270" s="2" t="str">
        <f>IFERROR(__xludf.DUMMYFUNCTION("""COMPUTED_VALUE"""),"ಖಚಿತವಾಗಿ ನೀವು")</f>
        <v>ಖಚಿತವಾಗಿ ನೀವು</v>
      </c>
      <c r="F270" s="2" t="str">
        <f>IFERROR(__xludf.DUMMYFUNCTION("""COMPUTED_VALUE"""),"ନିଶ୍ଚିତ ତୁମେ")</f>
        <v>ନିଶ୍ଚିତ ତୁମେ</v>
      </c>
      <c r="G270" s="2" t="str">
        <f>IFERROR(__xludf.DUMMYFUNCTION("""COMPUTED_VALUE"""),"নিশ্চিতভাৱে আপুনি")</f>
        <v>নিশ্চিতভাৱে আপুনি</v>
      </c>
      <c r="H270" s="2" t="str">
        <f>IFERROR(__xludf.DUMMYFUNCTION("""COMPUTED_VALUE"""),"તમને ખાતરી છે")</f>
        <v>તમને ખાતરી છે</v>
      </c>
      <c r="I270" s="2" t="str">
        <f>IFERROR(__xludf.DUMMYFUNCTION("""COMPUTED_VALUE"""),"तुम्हाला खात्री आहे")</f>
        <v>तुम्हाला खात्री आहे</v>
      </c>
      <c r="J270" s="2" t="str">
        <f>IFERROR(__xludf.DUMMYFUNCTION("""COMPUTED_VALUE"""),"തീർച്ചയായും നിങ്ങൾ")</f>
        <v>തീർച്ചയായും നിങ്ങൾ</v>
      </c>
      <c r="K270" s="2" t="str">
        <f>IFERROR(__xludf.DUMMYFUNCTION("""COMPUTED_VALUE"""),"ਤੁਹਾਨੂ")</f>
        <v>ਤੁਹਾਨੂ</v>
      </c>
      <c r="L270" s="2" t="str">
        <f>IFERROR(__xludf.DUMMYFUNCTION("""COMPUTED_VALUE"""),"நிச்சயமாக நீங்கள்")</f>
        <v>நிச்சயமாக நீங்கள்</v>
      </c>
      <c r="M270" s="2" t="str">
        <f>IFERROR(__xludf.DUMMYFUNCTION("""COMPUTED_VALUE"""),"ఖచ్చితంగా మీరు")</f>
        <v>ఖచ్చితంగా మీరు</v>
      </c>
    </row>
    <row r="271">
      <c r="A271" s="2" t="str">
        <f>Master_en!A271</f>
        <v>wantTo</v>
      </c>
      <c r="B271" s="2" t="str">
        <f>Master_en!B271</f>
        <v>want to</v>
      </c>
      <c r="C271" s="2" t="str">
        <f>IFERROR(__xludf.DUMMYFUNCTION("""COMPUTED_VALUE"""),"চাই")</f>
        <v>চাই</v>
      </c>
      <c r="D271" s="2" t="str">
        <f>IFERROR(__xludf.DUMMYFUNCTION("""COMPUTED_VALUE"""),"चाहना")</f>
        <v>चाहना</v>
      </c>
      <c r="E271" s="2" t="str">
        <f>IFERROR(__xludf.DUMMYFUNCTION("""COMPUTED_VALUE"""),"ಬಯಸುವ")</f>
        <v>ಬಯಸುವ</v>
      </c>
      <c r="F271" s="2" t="str">
        <f>IFERROR(__xludf.DUMMYFUNCTION("""COMPUTED_VALUE"""),"ଚାହେଁ")</f>
        <v>ଚାହେଁ</v>
      </c>
      <c r="G271" s="2" t="str">
        <f>IFERROR(__xludf.DUMMYFUNCTION("""COMPUTED_VALUE"""),"বিচাৰোঁ")</f>
        <v>বিচাৰোঁ</v>
      </c>
      <c r="H271" s="2" t="str">
        <f>IFERROR(__xludf.DUMMYFUNCTION("""COMPUTED_VALUE"""),"માંગતા")</f>
        <v>માંગતા</v>
      </c>
      <c r="I271" s="2" t="str">
        <f>IFERROR(__xludf.DUMMYFUNCTION("""COMPUTED_VALUE"""),"इच्छित")</f>
        <v>इच्छित</v>
      </c>
      <c r="J271" s="2" t="str">
        <f>IFERROR(__xludf.DUMMYFUNCTION("""COMPUTED_VALUE"""),"വേണം")</f>
        <v>വേണം</v>
      </c>
      <c r="K271" s="2" t="str">
        <f>IFERROR(__xludf.DUMMYFUNCTION("""COMPUTED_VALUE"""),"ਕਰਨਾ ਚਾਹੁੰਦੇ ਹੋ")</f>
        <v>ਕਰਨਾ ਚਾਹੁੰਦੇ ਹੋ</v>
      </c>
      <c r="L271" s="2" t="str">
        <f>IFERROR(__xludf.DUMMYFUNCTION("""COMPUTED_VALUE"""),"வேண்டும்")</f>
        <v>வேண்டும்</v>
      </c>
      <c r="M271" s="2" t="str">
        <f>IFERROR(__xludf.DUMMYFUNCTION("""COMPUTED_VALUE"""),"కావలసిన")</f>
        <v>కావలసిన</v>
      </c>
    </row>
    <row r="272">
      <c r="A272" s="2" t="str">
        <f>Master_en!A272</f>
        <v>logOut</v>
      </c>
      <c r="B272" s="2" t="str">
        <f>Master_en!B272</f>
        <v>LOGOUT</v>
      </c>
      <c r="C272" s="2" t="str">
        <f>IFERROR(__xludf.DUMMYFUNCTION("""COMPUTED_VALUE"""),"প্রস্থান")</f>
        <v>প্রস্থান</v>
      </c>
      <c r="D272" s="2" t="str">
        <f>IFERROR(__xludf.DUMMYFUNCTION("""COMPUTED_VALUE"""),"लॉग आउट")</f>
        <v>लॉग आउट</v>
      </c>
      <c r="E272" s="2" t="str">
        <f>IFERROR(__xludf.DUMMYFUNCTION("""COMPUTED_VALUE"""),"ಲಾಗ್ ಔಟ್")</f>
        <v>ಲಾಗ್ ಔಟ್</v>
      </c>
      <c r="F272" s="2" t="str">
        <f>IFERROR(__xludf.DUMMYFUNCTION("""COMPUTED_VALUE"""),"ପ୍ରସ୍ଥାନ କର")</f>
        <v>ପ୍ରସ୍ଥାନ କର</v>
      </c>
      <c r="G272" s="2" t="str">
        <f>IFERROR(__xludf.DUMMYFUNCTION("""COMPUTED_VALUE"""),"LOGOUT কৰক")</f>
        <v>LOGOUT কৰক</v>
      </c>
      <c r="H272" s="2" t="str">
        <f>IFERROR(__xludf.DUMMYFUNCTION("""COMPUTED_VALUE"""),"લૉગ આઉટ")</f>
        <v>લૉગ આઉટ</v>
      </c>
      <c r="I272" s="2" t="str">
        <f>IFERROR(__xludf.DUMMYFUNCTION("""COMPUTED_VALUE"""),"बाहेर पडणे")</f>
        <v>बाहेर पडणे</v>
      </c>
      <c r="J272" s="2" t="str">
        <f>IFERROR(__xludf.DUMMYFUNCTION("""COMPUTED_VALUE"""),"ലോഗൗട്ട്")</f>
        <v>ലോഗൗട്ട്</v>
      </c>
      <c r="K272" s="2" t="str">
        <f>IFERROR(__xludf.DUMMYFUNCTION("""COMPUTED_VALUE"""),"ਲਾੱਗ ਆਊਟ, ਬਾਹਰ ਆਉਣਾ")</f>
        <v>ਲਾੱਗ ਆਊਟ, ਬਾਹਰ ਆਉਣਾ</v>
      </c>
      <c r="L272" s="2" t="str">
        <f>IFERROR(__xludf.DUMMYFUNCTION("""COMPUTED_VALUE"""),"வெளியேறு")</f>
        <v>வெளியேறு</v>
      </c>
      <c r="M272" s="2" t="str">
        <f>IFERROR(__xludf.DUMMYFUNCTION("""COMPUTED_VALUE"""),"లాగ్అవుట్")</f>
        <v>లాగ్అవుట్</v>
      </c>
    </row>
    <row r="273">
      <c r="A273" s="2" t="str">
        <f>Master_en!A273</f>
        <v>smsSent</v>
      </c>
      <c r="B273" s="2" t="str">
        <f>Master_en!B273</f>
        <v>SMS sent</v>
      </c>
      <c r="C273" s="2" t="str">
        <f>IFERROR(__xludf.DUMMYFUNCTION("""COMPUTED_VALUE"""),"এসএমএস প্রেরণ")</f>
        <v>এসএমএস প্রেরণ</v>
      </c>
      <c r="D273" s="2" t="str">
        <f>IFERROR(__xludf.DUMMYFUNCTION("""COMPUTED_VALUE"""),"एसएमएस भेजा")</f>
        <v>एसएमएस भेजा</v>
      </c>
      <c r="E273" s="2" t="str">
        <f>IFERROR(__xludf.DUMMYFUNCTION("""COMPUTED_VALUE"""),"ಸಂದೇಶ ಕಳುಹಿಸಲಾಗಿದೆ")</f>
        <v>ಸಂದೇಶ ಕಳುಹಿಸಲಾಗಿದೆ</v>
      </c>
      <c r="F273" s="2" t="str">
        <f>IFERROR(__xludf.DUMMYFUNCTION("""COMPUTED_VALUE"""),"SMS ପଠାଯାଇଛି |")</f>
        <v>SMS ପଠାଯାଇଛି |</v>
      </c>
      <c r="G273" s="2" t="str">
        <f>IFERROR(__xludf.DUMMYFUNCTION("""COMPUTED_VALUE"""),"sms প্ৰেৰণ কৰা হৈছে")</f>
        <v>sms প্ৰেৰণ কৰা হৈছে</v>
      </c>
      <c r="H273" s="2" t="str">
        <f>IFERROR(__xludf.DUMMYFUNCTION("""COMPUTED_VALUE"""),"એસ.એમ.એસ.")</f>
        <v>એસ.એમ.એસ.</v>
      </c>
      <c r="I273" s="2" t="str">
        <f>IFERROR(__xludf.DUMMYFUNCTION("""COMPUTED_VALUE"""),"एसएमएस पाठविला")</f>
        <v>एसएमएस पाठविला</v>
      </c>
      <c r="J273" s="2" t="str">
        <f>IFERROR(__xludf.DUMMYFUNCTION("""COMPUTED_VALUE"""),"SMS അയച്ചു")</f>
        <v>SMS അയച്ചു</v>
      </c>
      <c r="K273" s="2" t="str">
        <f>IFERROR(__xludf.DUMMYFUNCTION("""COMPUTED_VALUE"""),"ਐਸਐਮਐਸ ਭੇਜਿਆ ਗਿਆ")</f>
        <v>ਐਸਐਮਐਸ ਭੇਜਿਆ ਗਿਆ</v>
      </c>
      <c r="L273" s="2" t="str">
        <f>IFERROR(__xludf.DUMMYFUNCTION("""COMPUTED_VALUE"""),"எஸ்எம்எஸ் அனுப்பப்பட்டது")</f>
        <v>எஸ்எம்எஸ் அனுப்பப்பட்டது</v>
      </c>
      <c r="M273" s="2" t="str">
        <f>IFERROR(__xludf.DUMMYFUNCTION("""COMPUTED_VALUE"""),"SMS పంపబడింది")</f>
        <v>SMS పంపబడింది</v>
      </c>
    </row>
    <row r="274">
      <c r="A274" s="2" t="str">
        <f>Master_en!A274</f>
        <v>successfully</v>
      </c>
      <c r="B274" s="2" t="str">
        <f>Master_en!B274</f>
        <v>Successfully</v>
      </c>
      <c r="C274" s="2" t="str">
        <f>IFERROR(__xludf.DUMMYFUNCTION("""COMPUTED_VALUE"""),"সফলভাবে")</f>
        <v>সফলভাবে</v>
      </c>
      <c r="D274" s="2" t="str">
        <f>IFERROR(__xludf.DUMMYFUNCTION("""COMPUTED_VALUE"""),"सफलतापूर्वक")</f>
        <v>सफलतापूर्वक</v>
      </c>
      <c r="E274" s="2" t="str">
        <f>IFERROR(__xludf.DUMMYFUNCTION("""COMPUTED_VALUE"""),"ಯಶಸ್ವಿಯಾಗಿ")</f>
        <v>ಯಶಸ್ವಿಯಾಗಿ</v>
      </c>
      <c r="F274" s="2" t="str">
        <f>IFERROR(__xludf.DUMMYFUNCTION("""COMPUTED_VALUE"""),"ସଫଳତାର ସହିତ |")</f>
        <v>ସଫଳତାର ସହିତ |</v>
      </c>
      <c r="G274" s="2" t="str">
        <f>IFERROR(__xludf.DUMMYFUNCTION("""COMPUTED_VALUE"""),"সফলতাৰে")</f>
        <v>সফলতাৰে</v>
      </c>
      <c r="H274" s="2" t="str">
        <f>IFERROR(__xludf.DUMMYFUNCTION("""COMPUTED_VALUE"""),"સફળતાપૂર્વક")</f>
        <v>સફળતાપૂર્વક</v>
      </c>
      <c r="I274" s="2" t="str">
        <f>IFERROR(__xludf.DUMMYFUNCTION("""COMPUTED_VALUE"""),"यशस्वीरित्या")</f>
        <v>यशस्वीरित्या</v>
      </c>
      <c r="J274" s="2" t="str">
        <f>IFERROR(__xludf.DUMMYFUNCTION("""COMPUTED_VALUE"""),"വിജയകരമായി")</f>
        <v>വിജയകരമായി</v>
      </c>
      <c r="K274" s="2" t="str">
        <f>IFERROR(__xludf.DUMMYFUNCTION("""COMPUTED_VALUE"""),"ਸਫਲਤਾਪੂਰਵਕ")</f>
        <v>ਸਫਲਤਾਪੂਰਵਕ</v>
      </c>
      <c r="L274" s="2" t="str">
        <f>IFERROR(__xludf.DUMMYFUNCTION("""COMPUTED_VALUE"""),"வெற்றிகரமாக")</f>
        <v>வெற்றிகரமாக</v>
      </c>
      <c r="M274" s="2" t="str">
        <f>IFERROR(__xludf.DUMMYFUNCTION("""COMPUTED_VALUE"""),"విజయవంతంగా")</f>
        <v>విజయవంతంగా</v>
      </c>
    </row>
    <row r="275">
      <c r="A275" s="2" t="str">
        <f>Master_en!A275</f>
        <v>deliverymanager</v>
      </c>
      <c r="B275" s="2" t="str">
        <f>Master_en!B275</f>
        <v>Delivery Manager</v>
      </c>
      <c r="C275" s="2" t="str">
        <f>IFERROR(__xludf.DUMMYFUNCTION("""COMPUTED_VALUE"""),"ডেলিভারি ম্যানেজার")</f>
        <v>ডেলিভারি ম্যানেজার</v>
      </c>
      <c r="D275" s="2" t="str">
        <f>IFERROR(__xludf.DUMMYFUNCTION("""COMPUTED_VALUE"""),"वितरण प्रबंधक")</f>
        <v>वितरण प्रबंधक</v>
      </c>
      <c r="E275" s="2" t="str">
        <f>IFERROR(__xludf.DUMMYFUNCTION("""COMPUTED_VALUE"""),"ವಿತರಣಾ ವ್ಯವಸ್ಥಾಪಕ")</f>
        <v>ವಿತರಣಾ ವ್ಯವಸ್ಥಾಪಕ</v>
      </c>
      <c r="F275" s="2" t="str">
        <f>IFERROR(__xludf.DUMMYFUNCTION("""COMPUTED_VALUE"""),"ବିତରଣ ପରିଚାଳକ")</f>
        <v>ବିତରଣ ପରିଚାଳକ</v>
      </c>
      <c r="G275" s="2" t="str">
        <f>IFERROR(__xludf.DUMMYFUNCTION("""COMPUTED_VALUE"""),"ডেলিভাৰী মেনেজাৰ")</f>
        <v>ডেলিভাৰী মেনেজাৰ</v>
      </c>
      <c r="H275" s="2" t="str">
        <f>IFERROR(__xludf.DUMMYFUNCTION("""COMPUTED_VALUE"""),"ડિલિવરી મેનેજરે")</f>
        <v>ડિલિવરી મેનેજરે</v>
      </c>
      <c r="I275" s="2" t="str">
        <f>IFERROR(__xludf.DUMMYFUNCTION("""COMPUTED_VALUE"""),"वितरण व्यवस्थापक")</f>
        <v>वितरण व्यवस्थापक</v>
      </c>
      <c r="J275" s="2" t="str">
        <f>IFERROR(__xludf.DUMMYFUNCTION("""COMPUTED_VALUE"""),"ഡെലിവറി മാനേജർ")</f>
        <v>ഡെലിവറി മാനേജർ</v>
      </c>
      <c r="K275" s="2" t="str">
        <f>IFERROR(__xludf.DUMMYFUNCTION("""COMPUTED_VALUE"""),"ਡਿਲਿਵਰੀ ਮੈਨੇਜਰ")</f>
        <v>ਡਿਲਿਵਰੀ ਮੈਨੇਜਰ</v>
      </c>
      <c r="L275" s="2" t="str">
        <f>IFERROR(__xludf.DUMMYFUNCTION("""COMPUTED_VALUE"""),"விநியோக மேலாளர்")</f>
        <v>விநியோக மேலாளர்</v>
      </c>
      <c r="M275" s="2" t="str">
        <f>IFERROR(__xludf.DUMMYFUNCTION("""COMPUTED_VALUE"""),"డెలివరీ మేనేజర్")</f>
        <v>డెలివరీ మేనేజర్</v>
      </c>
    </row>
    <row r="276">
      <c r="A276" s="2" t="str">
        <f>Master_en!A276</f>
        <v>hasBeen</v>
      </c>
      <c r="B276" s="2" t="str">
        <f>Master_en!B276</f>
        <v>has been</v>
      </c>
      <c r="C276" s="2" t="str">
        <f>IFERROR(__xludf.DUMMYFUNCTION("""COMPUTED_VALUE"""),"হয়েছে")</f>
        <v>হয়েছে</v>
      </c>
      <c r="D276" s="2" t="str">
        <f>IFERROR(__xludf.DUMMYFUNCTION("""COMPUTED_VALUE"""),"रहा है")</f>
        <v>रहा है</v>
      </c>
      <c r="E276" s="2" t="str">
        <f>IFERROR(__xludf.DUMMYFUNCTION("""COMPUTED_VALUE"""),"ಇದೆ")</f>
        <v>ಇದೆ</v>
      </c>
      <c r="F276" s="2" t="str">
        <f>IFERROR(__xludf.DUMMYFUNCTION("""COMPUTED_VALUE"""),"ହେଇ ଯାଇଛି")</f>
        <v>ହେଇ ଯାଇଛି</v>
      </c>
      <c r="G276" s="2" t="str">
        <f>IFERROR(__xludf.DUMMYFUNCTION("""COMPUTED_VALUE"""),"হৈছে")</f>
        <v>হৈছে</v>
      </c>
      <c r="H276" s="2" t="str">
        <f>IFERROR(__xludf.DUMMYFUNCTION("""COMPUTED_VALUE"""),"રહી છે")</f>
        <v>રહી છે</v>
      </c>
      <c r="I276" s="2" t="str">
        <f>IFERROR(__xludf.DUMMYFUNCTION("""COMPUTED_VALUE"""),"आहे")</f>
        <v>आहे</v>
      </c>
      <c r="J276" s="2" t="str">
        <f>IFERROR(__xludf.DUMMYFUNCTION("""COMPUTED_VALUE"""),"ആയിരുന്നു")</f>
        <v>ആയിരുന്നു</v>
      </c>
      <c r="K276" s="2" t="str">
        <f>IFERROR(__xludf.DUMMYFUNCTION("""COMPUTED_VALUE"""),"ਕੀਤਾ ਗਿਆ ਹੈ")</f>
        <v>ਕੀਤਾ ਗਿਆ ਹੈ</v>
      </c>
      <c r="L276" s="2" t="str">
        <f>IFERROR(__xludf.DUMMYFUNCTION("""COMPUTED_VALUE"""),"உள்ளது")</f>
        <v>உள்ளது</v>
      </c>
      <c r="M276" s="2" t="str">
        <f>IFERROR(__xludf.DUMMYFUNCTION("""COMPUTED_VALUE"""),"ఉంది")</f>
        <v>ఉంది</v>
      </c>
    </row>
    <row r="277">
      <c r="A277" s="2" t="str">
        <f>Master_en!A277</f>
        <v>sentAt</v>
      </c>
      <c r="B277" s="2" t="str">
        <f>Master_en!B277</f>
        <v>sent at</v>
      </c>
      <c r="C277" s="2" t="str">
        <f>IFERROR(__xludf.DUMMYFUNCTION("""COMPUTED_VALUE"""),"পাঠানো")</f>
        <v>পাঠানো</v>
      </c>
      <c r="D277" s="2" t="str">
        <f>IFERROR(__xludf.DUMMYFUNCTION("""COMPUTED_VALUE"""),"पर भेजा गया")</f>
        <v>पर भेजा गया</v>
      </c>
      <c r="E277" s="2" t="str">
        <f>IFERROR(__xludf.DUMMYFUNCTION("""COMPUTED_VALUE"""),"ನಲ್ಲಿ ಕಳುಹಿಸಲಾಗಿದೆ")</f>
        <v>ನಲ್ಲಿ ಕಳುಹಿಸಲಾಗಿದೆ</v>
      </c>
      <c r="F277" s="2" t="str">
        <f>IFERROR(__xludf.DUMMYFUNCTION("""COMPUTED_VALUE"""),"କୁ ପଠାଇଲେ")</f>
        <v>କୁ ପଠାଇଲେ</v>
      </c>
      <c r="G277" s="2" t="str">
        <f>IFERROR(__xludf.DUMMYFUNCTION("""COMPUTED_VALUE"""),"পঠিওৱা হৈছে")</f>
        <v>পঠিওৱা হৈছে</v>
      </c>
      <c r="H277" s="2" t="str">
        <f>IFERROR(__xludf.DUMMYFUNCTION("""COMPUTED_VALUE"""),"મોકલી આપ્યું")</f>
        <v>મોકલી આપ્યું</v>
      </c>
      <c r="I277" s="2" t="str">
        <f>IFERROR(__xludf.DUMMYFUNCTION("""COMPUTED_VALUE"""),"येथे पाठविले")</f>
        <v>येथे पाठविले</v>
      </c>
      <c r="J277" s="2" t="str">
        <f>IFERROR(__xludf.DUMMYFUNCTION("""COMPUTED_VALUE"""),"അയച്ചു")</f>
        <v>അയച്ചു</v>
      </c>
      <c r="K277" s="2" t="str">
        <f>IFERROR(__xludf.DUMMYFUNCTION("""COMPUTED_VALUE"""),"ਤੇ ਭੇਜਿਆ")</f>
        <v>ਤੇ ਭੇਜਿਆ</v>
      </c>
      <c r="L277" s="2" t="str">
        <f>IFERROR(__xludf.DUMMYFUNCTION("""COMPUTED_VALUE"""),"அனுப்பப்பட்டது")</f>
        <v>அனுப்பப்பட்டது</v>
      </c>
      <c r="M277" s="2" t="str">
        <f>IFERROR(__xludf.DUMMYFUNCTION("""COMPUTED_VALUE"""),"వద్ద పంపారు")</f>
        <v>వద్ద పంపారు</v>
      </c>
    </row>
    <row r="278">
      <c r="A278" s="2" t="str">
        <f>Master_en!A278</f>
        <v>yourRegistered</v>
      </c>
      <c r="B278" s="2" t="str">
        <f>Master_en!B278</f>
        <v>your registered</v>
      </c>
      <c r="C278" s="2" t="str">
        <f>IFERROR(__xludf.DUMMYFUNCTION("""COMPUTED_VALUE"""),"আপনার নিবন্ধিত")</f>
        <v>আপনার নিবন্ধিত</v>
      </c>
      <c r="D278" s="2" t="str">
        <f>IFERROR(__xludf.DUMMYFUNCTION("""COMPUTED_VALUE"""),"आपका पंजीकृत")</f>
        <v>आपका पंजीकृत</v>
      </c>
      <c r="E278" s="2" t="str">
        <f>IFERROR(__xludf.DUMMYFUNCTION("""COMPUTED_VALUE"""),"ನಿಮ್ಮ ದಾಖಲಾತಿ ಸಂಪೂರ್ಣವಾಗಿದೆ")</f>
        <v>ನಿಮ್ಮ ದಾಖಲಾತಿ ಸಂಪೂರ್ಣವಾಗಿದೆ</v>
      </c>
      <c r="F278" s="2" t="str">
        <f>IFERROR(__xludf.DUMMYFUNCTION("""COMPUTED_VALUE"""),"ତୁମର ପଞ୍ଜିକୃତ")</f>
        <v>ତୁମର ପଞ୍ଜିକୃତ</v>
      </c>
      <c r="G278" s="2" t="str">
        <f>IFERROR(__xludf.DUMMYFUNCTION("""COMPUTED_VALUE"""),"আপোনাৰ পঞ্জীয়নভুক্ত")</f>
        <v>আপোনাৰ পঞ্জীয়নভুক্ত</v>
      </c>
      <c r="H278" s="2" t="str">
        <f>IFERROR(__xludf.DUMMYFUNCTION("""COMPUTED_VALUE"""),"તમારા નોંધાયેલા")</f>
        <v>તમારા નોંધાયેલા</v>
      </c>
      <c r="I278" s="2" t="str">
        <f>IFERROR(__xludf.DUMMYFUNCTION("""COMPUTED_VALUE"""),"आपले नोंदणीकृत")</f>
        <v>आपले नोंदणीकृत</v>
      </c>
      <c r="J278" s="2" t="str">
        <f>IFERROR(__xludf.DUMMYFUNCTION("""COMPUTED_VALUE"""),"നിങ്ങളുടെ രജിസ്റ്റർ ചെയ്തു")</f>
        <v>നിങ്ങളുടെ രജിസ്റ്റർ ചെയ്തു</v>
      </c>
      <c r="K278" s="2" t="str">
        <f>IFERROR(__xludf.DUMMYFUNCTION("""COMPUTED_VALUE"""),"ਤੁਹਾਡੀ ਰਜਿਸਟਰਡ")</f>
        <v>ਤੁਹਾਡੀ ਰਜਿਸਟਰਡ</v>
      </c>
      <c r="L278" s="2" t="str">
        <f>IFERROR(__xludf.DUMMYFUNCTION("""COMPUTED_VALUE"""),"நீங்கள் பதிவுசெய்தது")</f>
        <v>நீங்கள் பதிவுசெய்தது</v>
      </c>
      <c r="M278" s="2" t="str">
        <f>IFERROR(__xludf.DUMMYFUNCTION("""COMPUTED_VALUE"""),"మీ రిజిస్టర్డ్")</f>
        <v>మీ రిజిస్టర్డ్</v>
      </c>
    </row>
    <row r="279">
      <c r="A279" s="2" t="str">
        <f>Master_en!A279</f>
        <v>House/Flat/Blockno.</v>
      </c>
      <c r="B279" s="2" t="str">
        <f>Master_en!B279</f>
        <v>House/Flat/Block no.</v>
      </c>
      <c r="C279" s="2" t="str">
        <f>IFERROR(__xludf.DUMMYFUNCTION("""COMPUTED_VALUE"""),"বাড়ি/ফ্ল্যাট/ব্লক নং।")</f>
        <v>বাড়ি/ফ্ল্যাট/ব্লক নং।</v>
      </c>
      <c r="D279" s="2" t="str">
        <f>IFERROR(__xludf.DUMMYFUNCTION("""COMPUTED_VALUE"""),"हाउस/फ्लैट/ब्लॉक नं।")</f>
        <v>हाउस/फ्लैट/ब्लॉक नं।</v>
      </c>
      <c r="E279" s="2" t="str">
        <f>IFERROR(__xludf.DUMMYFUNCTION("""COMPUTED_VALUE"""),"ಮನೆ/ಫ್ಲಾಟ್/ಬ್ಲಾಕ್ ಸಂಖ್ಯೆ.")</f>
        <v>ಮನೆ/ಫ್ಲಾಟ್/ಬ್ಲಾಕ್ ಸಂಖ್ಯೆ.</v>
      </c>
      <c r="F279" s="2" t="str">
        <f>IFERROR(__xludf.DUMMYFUNCTION("""COMPUTED_VALUE"""),"ଘର / ଫ୍ଲାଟ / ବ୍ଲକ୍ ନଂ।")</f>
        <v>ଘର / ଫ୍ଲାଟ / ବ୍ଲକ୍ ନଂ।</v>
      </c>
      <c r="G279" s="2" t="str">
        <f>IFERROR(__xludf.DUMMYFUNCTION("""COMPUTED_VALUE"""),"ঘৰ/ফ্লেট/ব্লক নং.")</f>
        <v>ঘৰ/ফ্লেট/ব্লক নং.</v>
      </c>
      <c r="H279" s="2" t="str">
        <f>IFERROR(__xludf.DUMMYFUNCTION("""COMPUTED_VALUE"""),"ઘર/ફ્લેટ/બ્લોક નં.")</f>
        <v>ઘર/ફ્લેટ/બ્લોક નં.</v>
      </c>
      <c r="I279" s="2" t="str">
        <f>IFERROR(__xludf.DUMMYFUNCTION("""COMPUTED_VALUE"""),"घर/फ्लॅट/ब्लॉक क्र.")</f>
        <v>घर/फ्लॅट/ब्लॉक क्र.</v>
      </c>
      <c r="J279" s="2" t="str">
        <f>IFERROR(__xludf.DUMMYFUNCTION("""COMPUTED_VALUE"""),"വീട് / ഫ്ലാറ്റ് / ബ്ലോക്ക് നമ്പർ.")</f>
        <v>വീട് / ഫ്ലാറ്റ് / ബ്ലോക്ക് നമ്പർ.</v>
      </c>
      <c r="K279" s="2" t="str">
        <f>IFERROR(__xludf.DUMMYFUNCTION("""COMPUTED_VALUE"""),"ਘਰ / ਫਲੈਟ / ਬਲਾਕ ਨੰ.")</f>
        <v>ਘਰ / ਫਲੈਟ / ਬਲਾਕ ਨੰ.</v>
      </c>
      <c r="L279" s="2" t="str">
        <f>IFERROR(__xludf.DUMMYFUNCTION("""COMPUTED_VALUE"""),"வீடு/பிளாட்/பிளாக் எண்.")</f>
        <v>வீடு/பிளாட்/பிளாக் எண்.</v>
      </c>
      <c r="M279" s="2" t="str">
        <f>IFERROR(__xludf.DUMMYFUNCTION("""COMPUTED_VALUE"""),"ఇల్లు/ఫ్లాట్/బ్లాక్ నం.")</f>
        <v>ఇల్లు/ఫ్లాట్/బ్లాక్ నం.</v>
      </c>
    </row>
    <row r="280">
      <c r="A280" s="2" t="str">
        <f>Master_en!A280</f>
        <v>Apartment/Road/Area</v>
      </c>
      <c r="B280" s="2" t="str">
        <f>Master_en!B280</f>
        <v>Apartment/Road/Area</v>
      </c>
      <c r="C280" s="2" t="str">
        <f>IFERROR(__xludf.DUMMYFUNCTION("""COMPUTED_VALUE"""),"অ্যাপার্টমেন্ট/রাস্তা/অঞ্চল")</f>
        <v>অ্যাপার্টমেন্ট/রাস্তা/অঞ্চল</v>
      </c>
      <c r="D280" s="2" t="str">
        <f>IFERROR(__xludf.DUMMYFUNCTION("""COMPUTED_VALUE"""),"अपार्टमेंट/सड़क/क्षेत्र")</f>
        <v>अपार्टमेंट/सड़क/क्षेत्र</v>
      </c>
      <c r="E280" s="2" t="str">
        <f>IFERROR(__xludf.DUMMYFUNCTION("""COMPUTED_VALUE"""),"ಅಪಾರ್ಟ್ಮೆಂಟ್/ರಸ್ತೆ/ಪ್ರದೇಶ")</f>
        <v>ಅಪಾರ್ಟ್ಮೆಂಟ್/ರಸ್ತೆ/ಪ್ರದೇಶ</v>
      </c>
      <c r="F280" s="2" t="str">
        <f>IFERROR(__xludf.DUMMYFUNCTION("""COMPUTED_VALUE"""),"ଆପାର୍ଟମେଣ୍ଟ / ରୋଡ୍ / କ୍ଷେତ୍ର |")</f>
        <v>ଆପାର୍ଟମେଣ୍ଟ / ରୋଡ୍ / କ୍ଷେତ୍ର |</v>
      </c>
      <c r="G280" s="2" t="str">
        <f>IFERROR(__xludf.DUMMYFUNCTION("""COMPUTED_VALUE"""),"এপাৰ্টমেণ্ট/ৰাস্তা/এলেকা")</f>
        <v>এপাৰ্টমেণ্ট/ৰাস্তা/এলেকা</v>
      </c>
      <c r="H280" s="2" t="str">
        <f>IFERROR(__xludf.DUMMYFUNCTION("""COMPUTED_VALUE"""),"એપાર્ટમેન્ટ/માર્ગ/વિસ્તાર")</f>
        <v>એપાર્ટમેન્ટ/માર્ગ/વિસ્તાર</v>
      </c>
      <c r="I280" s="2" t="str">
        <f>IFERROR(__xludf.DUMMYFUNCTION("""COMPUTED_VALUE"""),"अपार्टमेंट/रस्ता/क्षेत्र")</f>
        <v>अपार्टमेंट/रस्ता/क्षेत्र</v>
      </c>
      <c r="J280" s="2" t="str">
        <f>IFERROR(__xludf.DUMMYFUNCTION("""COMPUTED_VALUE"""),"അപ്പാർട്ട്മെന്റ് / റോഡ് / ഏരിയ")</f>
        <v>അപ്പാർട്ട്മെന്റ് / റോഡ് / ഏരിയ</v>
      </c>
      <c r="K280" s="2" t="str">
        <f>IFERROR(__xludf.DUMMYFUNCTION("""COMPUTED_VALUE"""),"ਅਪਾਰਟਮੈਂਟ / ਰੋਡ / ਏਰੀਆ")</f>
        <v>ਅਪਾਰਟਮੈਂਟ / ਰੋਡ / ਏਰੀਆ</v>
      </c>
      <c r="L280" s="2" t="str">
        <f>IFERROR(__xludf.DUMMYFUNCTION("""COMPUTED_VALUE"""),"அபார்ட்மென்ட்/சாலை/பகுதி")</f>
        <v>அபார்ட்மென்ட்/சாலை/பகுதி</v>
      </c>
      <c r="M280" s="2" t="str">
        <f>IFERROR(__xludf.DUMMYFUNCTION("""COMPUTED_VALUE"""),"అపార్ట్మెంట్/రోడ్/ప్రాంతం")</f>
        <v>అపార్ట్మెంట్/రోడ్/ప్రాంతం</v>
      </c>
    </row>
    <row r="281">
      <c r="A281" s="2" t="str">
        <f>Master_en!A281</f>
        <v>OrderSubmitted</v>
      </c>
      <c r="B281" s="2" t="str">
        <f>Master_en!B281</f>
        <v>Order Submitted</v>
      </c>
      <c r="C281" s="2" t="str">
        <f>IFERROR(__xludf.DUMMYFUNCTION("""COMPUTED_VALUE"""),"অর্ডার জমা দেওয়া")</f>
        <v>অর্ডার জমা দেওয়া</v>
      </c>
      <c r="D281" s="2" t="str">
        <f>IFERROR(__xludf.DUMMYFUNCTION("""COMPUTED_VALUE"""),"आदेश जमा किया")</f>
        <v>आदेश जमा किया</v>
      </c>
      <c r="E281" s="2" t="str">
        <f>IFERROR(__xludf.DUMMYFUNCTION("""COMPUTED_VALUE"""),"ಆದೇಶ ಸಲ್ಲಿಸಲಾಗಿದೆ")</f>
        <v>ಆದೇಶ ಸಲ್ಲಿಸಲಾಗಿದೆ</v>
      </c>
      <c r="F281" s="2" t="str">
        <f>IFERROR(__xludf.DUMMYFUNCTION("""COMPUTED_VALUE"""),"ଦାଖଲ ଦାଖଲ |")</f>
        <v>ଦାଖଲ ଦାଖଲ |</v>
      </c>
      <c r="G281" s="2" t="str">
        <f>IFERROR(__xludf.DUMMYFUNCTION("""COMPUTED_VALUE"""),"অৰ্ডাৰ জমা দিয়া হৈছে")</f>
        <v>অৰ্ডাৰ জমা দিয়া হৈছে</v>
      </c>
      <c r="H281" s="2" t="str">
        <f>IFERROR(__xludf.DUMMYFUNCTION("""COMPUTED_VALUE"""),"રજૂ કરાયેલ આદેશ")</f>
        <v>રજૂ કરાયેલ આદેશ</v>
      </c>
      <c r="I281" s="2" t="str">
        <f>IFERROR(__xludf.DUMMYFUNCTION("""COMPUTED_VALUE"""),"ऑर्डर सबमिट")</f>
        <v>ऑर्डर सबमिट</v>
      </c>
      <c r="J281" s="2" t="str">
        <f>IFERROR(__xludf.DUMMYFUNCTION("""COMPUTED_VALUE"""),"സമർപ്പിച്ചു")</f>
        <v>സമർപ്പിച്ചു</v>
      </c>
      <c r="K281" s="2" t="str">
        <f>IFERROR(__xludf.DUMMYFUNCTION("""COMPUTED_VALUE"""),"ਆਰਡਰ ਪੇਸ਼")</f>
        <v>ਆਰਡਰ ਪੇਸ਼</v>
      </c>
      <c r="L281" s="2" t="str">
        <f>IFERROR(__xludf.DUMMYFUNCTION("""COMPUTED_VALUE"""),"ஆர்டர் சமர்ப்பிக்கப்பட்டது")</f>
        <v>ஆர்டர் சமர்ப்பிக்கப்பட்டது</v>
      </c>
      <c r="M281" s="2" t="str">
        <f>IFERROR(__xludf.DUMMYFUNCTION("""COMPUTED_VALUE"""),"ఆర్డర్ సమర్పించబడింది")</f>
        <v>ఆర్డర్ సమర్పించబడింది</v>
      </c>
    </row>
    <row r="282">
      <c r="A282" s="2" t="str">
        <f>Master_en!A282</f>
        <v>saveas</v>
      </c>
      <c r="B282" s="2" t="str">
        <f>Master_en!B282</f>
        <v>Save as</v>
      </c>
      <c r="C282" s="2" t="str">
        <f>IFERROR(__xludf.DUMMYFUNCTION("""COMPUTED_VALUE"""),"সংরক্ষণ করুন")</f>
        <v>সংরক্ষণ করুন</v>
      </c>
      <c r="D282" s="2" t="str">
        <f>IFERROR(__xludf.DUMMYFUNCTION("""COMPUTED_VALUE"""),"के रूप रक्षित करें")</f>
        <v>के रूप रक्षित करें</v>
      </c>
      <c r="E282" s="2" t="str">
        <f>IFERROR(__xludf.DUMMYFUNCTION("""COMPUTED_VALUE"""),"ಉಳಿಸಿ")</f>
        <v>ಉಳಿಸಿ</v>
      </c>
      <c r="F282" s="2" t="str">
        <f>IFERROR(__xludf.DUMMYFUNCTION("""COMPUTED_VALUE"""),"ଯେପରି ସଞ୍ଚୟ କର |")</f>
        <v>ଯେପରି ସଞ୍ଚୟ କର |</v>
      </c>
      <c r="G282" s="2" t="str">
        <f>IFERROR(__xludf.DUMMYFUNCTION("""COMPUTED_VALUE"""),"সাঁচক")</f>
        <v>সাঁচক</v>
      </c>
      <c r="H282" s="2" t="str">
        <f>IFERROR(__xludf.DUMMYFUNCTION("""COMPUTED_VALUE"""),"તરીકે જમા કરવુ")</f>
        <v>તરીકે જમા કરવુ</v>
      </c>
      <c r="I282" s="2" t="str">
        <f>IFERROR(__xludf.DUMMYFUNCTION("""COMPUTED_VALUE"""),"म्हणून जतन करा")</f>
        <v>म्हणून जतन करा</v>
      </c>
      <c r="J282" s="2" t="str">
        <f>IFERROR(__xludf.DUMMYFUNCTION("""COMPUTED_VALUE"""),"ഇതായി സംരക്ഷിക്കുക")</f>
        <v>ഇതായി സംരക്ഷിക്കുക</v>
      </c>
      <c r="K282" s="2" t="str">
        <f>IFERROR(__xludf.DUMMYFUNCTION("""COMPUTED_VALUE"""),"ਬਤੌਰ ਮਹਿਫ਼ੂਜ਼ ਕਰੋ")</f>
        <v>ਬਤੌਰ ਮਹਿਫ਼ੂਜ਼ ਕਰੋ</v>
      </c>
      <c r="L282" s="2" t="str">
        <f>IFERROR(__xludf.DUMMYFUNCTION("""COMPUTED_VALUE"""),"சேமிக்கவும்")</f>
        <v>சேமிக்கவும்</v>
      </c>
      <c r="M282" s="2" t="str">
        <f>IFERROR(__xludf.DUMMYFUNCTION("""COMPUTED_VALUE"""),"సేవ్ చేయండి")</f>
        <v>సేవ్ చేయండి</v>
      </c>
    </row>
    <row r="283">
      <c r="A283" s="2" t="str">
        <f>Master_en!A283</f>
        <v>sendTo</v>
      </c>
      <c r="B283" s="2" t="str">
        <f>Master_en!B283</f>
        <v>Send To</v>
      </c>
      <c r="C283" s="2" t="str">
        <f>IFERROR(__xludf.DUMMYFUNCTION("""COMPUTED_VALUE"""),"পাঠানো")</f>
        <v>পাঠানো</v>
      </c>
      <c r="D283" s="2" t="str">
        <f>IFERROR(__xludf.DUMMYFUNCTION("""COMPUTED_VALUE"""),"भेजना")</f>
        <v>भेजना</v>
      </c>
      <c r="E283" s="2" t="str">
        <f>IFERROR(__xludf.DUMMYFUNCTION("""COMPUTED_VALUE"""),"ಕಳುಹಿಸು")</f>
        <v>ಕಳುಹಿಸು</v>
      </c>
      <c r="F283" s="2" t="str">
        <f>IFERROR(__xludf.DUMMYFUNCTION("""COMPUTED_VALUE"""),"କୁ ପଠାନ୍ତୁ")</f>
        <v>କୁ ପଠାନ୍ତୁ</v>
      </c>
      <c r="G283" s="2" t="str">
        <f>IFERROR(__xludf.DUMMYFUNCTION("""COMPUTED_VALUE"""),"পঠোৱা")</f>
        <v>পঠোৱা</v>
      </c>
      <c r="H283" s="2" t="str">
        <f>IFERROR(__xludf.DUMMYFUNCTION("""COMPUTED_VALUE"""),"ને મોકલવું")</f>
        <v>ને મોકલવું</v>
      </c>
      <c r="I283" s="2" t="str">
        <f>IFERROR(__xludf.DUMMYFUNCTION("""COMPUTED_VALUE"""),"पाठवा")</f>
        <v>पाठवा</v>
      </c>
      <c r="J283" s="2" t="str">
        <f>IFERROR(__xludf.DUMMYFUNCTION("""COMPUTED_VALUE"""),"അയക്കുക")</f>
        <v>അയക്കുക</v>
      </c>
      <c r="K283" s="2" t="str">
        <f>IFERROR(__xludf.DUMMYFUNCTION("""COMPUTED_VALUE"""),"ਨੂੰ ਭੇਜੋ")</f>
        <v>ਨੂੰ ਭੇਜੋ</v>
      </c>
      <c r="L283" s="2" t="str">
        <f>IFERROR(__xludf.DUMMYFUNCTION("""COMPUTED_VALUE"""),"அனுப்புங்கள்")</f>
        <v>அனுப்புங்கள்</v>
      </c>
      <c r="M283" s="2" t="str">
        <f>IFERROR(__xludf.DUMMYFUNCTION("""COMPUTED_VALUE"""),"పంపే")</f>
        <v>పంపే</v>
      </c>
    </row>
    <row r="284">
      <c r="A284" s="2" t="str">
        <f>Master_en!A284</f>
        <v>managereferral</v>
      </c>
      <c r="B284" s="2" t="str">
        <f>Master_en!B284</f>
        <v>Manage Referral</v>
      </c>
      <c r="C284" s="2" t="str">
        <f>IFERROR(__xludf.DUMMYFUNCTION("""COMPUTED_VALUE"""),"রেফারেল পরিচালনা করুন")</f>
        <v>রেফারেল পরিচালনা করুন</v>
      </c>
      <c r="D284" s="2" t="str">
        <f>IFERROR(__xludf.DUMMYFUNCTION("""COMPUTED_VALUE"""),"रेफरल का प्रबंधन करें")</f>
        <v>रेफरल का प्रबंधन करें</v>
      </c>
      <c r="E284" s="2" t="str">
        <f>IFERROR(__xludf.DUMMYFUNCTION("""COMPUTED_VALUE"""),"ಉಲ್ಲೇಖವನ್ನು ನಿರ್ವಹಿಸಿ")</f>
        <v>ಉಲ್ಲೇಖವನ್ನು ನಿರ್ವಹಿಸಿ</v>
      </c>
      <c r="F284" s="2" t="str">
        <f>IFERROR(__xludf.DUMMYFUNCTION("""COMPUTED_VALUE"""),"ରେଫରାଲ୍ ପରିଚାଳନା କରନ୍ତୁ |")</f>
        <v>ରେଫରାଲ୍ ପରିଚାଳନା କରନ୍ତୁ |</v>
      </c>
      <c r="G284" s="2" t="str">
        <f>IFERROR(__xludf.DUMMYFUNCTION("""COMPUTED_VALUE"""),"ৰেফাৰেল পৰিচালনা কৰক")</f>
        <v>ৰেফাৰেল পৰিচালনা কৰক</v>
      </c>
      <c r="H284" s="2" t="str">
        <f>IFERROR(__xludf.DUMMYFUNCTION("""COMPUTED_VALUE"""),"રેફરલ મેનેજ કરો")</f>
        <v>રેફરલ મેનેજ કરો</v>
      </c>
      <c r="I284" s="2" t="str">
        <f>IFERROR(__xludf.DUMMYFUNCTION("""COMPUTED_VALUE"""),"रेफरल व्यवस्थापित करा")</f>
        <v>रेफरल व्यवस्थापित करा</v>
      </c>
      <c r="J284" s="2" t="str">
        <f>IFERROR(__xludf.DUMMYFUNCTION("""COMPUTED_VALUE"""),"റഫറൽ നിയന്ത്രിക്കുക")</f>
        <v>റഫറൽ നിയന്ത്രിക്കുക</v>
      </c>
      <c r="K284" s="2" t="str">
        <f>IFERROR(__xludf.DUMMYFUNCTION("""COMPUTED_VALUE"""),"ਹਵਾਲੇ ਦਾ ਪ੍ਰਬੰਧਨ ਕਰੋ")</f>
        <v>ਹਵਾਲੇ ਦਾ ਪ੍ਰਬੰਧਨ ਕਰੋ</v>
      </c>
      <c r="L284" s="2" t="str">
        <f>IFERROR(__xludf.DUMMYFUNCTION("""COMPUTED_VALUE"""),"பரிந்துரையை நிர்வகிக்கவும்")</f>
        <v>பரிந்துரையை நிர்வகிக்கவும்</v>
      </c>
      <c r="M284" s="2" t="str">
        <f>IFERROR(__xludf.DUMMYFUNCTION("""COMPUTED_VALUE"""),"రిఫెరల్ నిర్వహించండి")</f>
        <v>రిఫెరల్ నిర్వహించండి</v>
      </c>
    </row>
    <row r="285">
      <c r="A285" s="2" t="str">
        <f>Master_en!A285</f>
        <v>in00.30Secs</v>
      </c>
      <c r="B285" s="2" t="str">
        <f>Master_en!B285</f>
        <v>in 00.30 secs</v>
      </c>
      <c r="C285" s="2" t="str">
        <f>IFERROR(__xludf.DUMMYFUNCTION("""COMPUTED_VALUE"""),"00.30 সেকেন্ডে")</f>
        <v>00.30 সেকেন্ডে</v>
      </c>
      <c r="D285" s="2" t="str">
        <f>IFERROR(__xludf.DUMMYFUNCTION("""COMPUTED_VALUE"""),"00.30 सेकंड में")</f>
        <v>00.30 सेकंड में</v>
      </c>
      <c r="E285" s="2" t="str">
        <f>IFERROR(__xludf.DUMMYFUNCTION("""COMPUTED_VALUE"""),"00.30 ಸೆಕೆಂಡುಗಳಲ್ಲಿ")</f>
        <v>00.30 ಸೆಕೆಂಡುಗಳಲ್ಲಿ</v>
      </c>
      <c r="F285" s="2" t="str">
        <f>IFERROR(__xludf.DUMMYFUNCTION("""COMPUTED_VALUE"""),"00.30 ସେକେଣ୍ଡରେ |")</f>
        <v>00.30 ସେକେଣ୍ଡରେ |</v>
      </c>
      <c r="G285" s="2" t="str">
        <f>IFERROR(__xludf.DUMMYFUNCTION("""COMPUTED_VALUE"""),"০০.৩০ ছেকেণ্ডত")</f>
        <v>০০.৩০ ছেকেণ্ডত</v>
      </c>
      <c r="H285" s="2" t="str">
        <f>IFERROR(__xludf.DUMMYFUNCTION("""COMPUTED_VALUE"""),"00.30 સેકંડમાં")</f>
        <v>00.30 સેકંડમાં</v>
      </c>
      <c r="I285" s="2" t="str">
        <f>IFERROR(__xludf.DUMMYFUNCTION("""COMPUTED_VALUE"""),"00.30 सेकंदात")</f>
        <v>00.30 सेकंदात</v>
      </c>
      <c r="J285" s="2" t="str">
        <f>IFERROR(__xludf.DUMMYFUNCTION("""COMPUTED_VALUE"""),"00.30 സെക്കൻഡ്")</f>
        <v>00.30 സെക്കൻഡ്</v>
      </c>
      <c r="K285" s="2" t="str">
        <f>IFERROR(__xludf.DUMMYFUNCTION("""COMPUTED_VALUE"""),"00.30 ਸਕਿੰਟ ਵਿੱਚ")</f>
        <v>00.30 ਸਕਿੰਟ ਵਿੱਚ</v>
      </c>
      <c r="L285" s="2" t="str">
        <f>IFERROR(__xludf.DUMMYFUNCTION("""COMPUTED_VALUE"""),"00.30 வினாடிகளில்")</f>
        <v>00.30 வினாடிகளில்</v>
      </c>
      <c r="M285" s="2" t="str">
        <f>IFERROR(__xludf.DUMMYFUNCTION("""COMPUTED_VALUE"""),"00.30 సెకన్లలో")</f>
        <v>00.30 సెకన్లలో</v>
      </c>
    </row>
    <row r="286">
      <c r="A286" s="2" t="str">
        <f>Master_en!A286</f>
        <v>fristOrder</v>
      </c>
      <c r="B286" s="2" t="str">
        <f>Master_en!B286</f>
        <v>First Order</v>
      </c>
      <c r="C286" s="2" t="str">
        <f>IFERROR(__xludf.DUMMYFUNCTION("""COMPUTED_VALUE"""),"প্রথম আদেশ")</f>
        <v>প্রথম আদেশ</v>
      </c>
      <c r="D286" s="2" t="str">
        <f>IFERROR(__xludf.DUMMYFUNCTION("""COMPUTED_VALUE"""),"पहले के आदेश")</f>
        <v>पहले के आदेश</v>
      </c>
      <c r="E286" s="2" t="str">
        <f>IFERROR(__xludf.DUMMYFUNCTION("""COMPUTED_VALUE"""),"ಮೊದಲ ಕ್ರಮ")</f>
        <v>ಮೊದಲ ಕ್ರಮ</v>
      </c>
      <c r="F286" s="2" t="str">
        <f>IFERROR(__xludf.DUMMYFUNCTION("""COMPUTED_VALUE"""),"ପ୍ରଥମ କ୍ରମ")</f>
        <v>ପ୍ରଥମ କ୍ରମ</v>
      </c>
      <c r="G286" s="2" t="str">
        <f>IFERROR(__xludf.DUMMYFUNCTION("""COMPUTED_VALUE"""),"প্ৰথম অৰ্ডাৰ")</f>
        <v>প্ৰথম অৰ্ডাৰ</v>
      </c>
      <c r="H286" s="2" t="str">
        <f>IFERROR(__xludf.DUMMYFUNCTION("""COMPUTED_VALUE"""),"પ્રથમ ક્રમ")</f>
        <v>પ્રથમ ક્રમ</v>
      </c>
      <c r="I286" s="2" t="str">
        <f>IFERROR(__xludf.DUMMYFUNCTION("""COMPUTED_VALUE"""),"पहिली मागणी")</f>
        <v>पहिली मागणी</v>
      </c>
      <c r="J286" s="2" t="str">
        <f>IFERROR(__xludf.DUMMYFUNCTION("""COMPUTED_VALUE"""),"ആദ്യ ഓർഡർ")</f>
        <v>ആദ്യ ഓർഡർ</v>
      </c>
      <c r="K286" s="2" t="str">
        <f>IFERROR(__xludf.DUMMYFUNCTION("""COMPUTED_VALUE"""),"ਪਹਿਲਾ ਆਰਡਰ")</f>
        <v>ਪਹਿਲਾ ਆਰਡਰ</v>
      </c>
      <c r="L286" s="2" t="str">
        <f>IFERROR(__xludf.DUMMYFUNCTION("""COMPUTED_VALUE"""),"முதல் ஆர்டர்")</f>
        <v>முதல் ஆர்டர்</v>
      </c>
      <c r="M286" s="2" t="str">
        <f>IFERROR(__xludf.DUMMYFUNCTION("""COMPUTED_VALUE"""),"మొదటి ఆర్డర్")</f>
        <v>మొదటి ఆర్డర్</v>
      </c>
    </row>
    <row r="287">
      <c r="A287" s="2" t="str">
        <f>Master_en!A287</f>
        <v>entermobilenumberforotpverification</v>
      </c>
      <c r="B287" s="2" t="str">
        <f>Master_en!B287</f>
        <v>Enter Mobile number for OTP Verification</v>
      </c>
      <c r="C287" s="2" t="str">
        <f>IFERROR(__xludf.DUMMYFUNCTION("""COMPUTED_VALUE"""),"ওটিপি যাচাইকরণের জন্য মোবাইল নম্বর লিখুন")</f>
        <v>ওটিপি যাচাইকরণের জন্য মোবাইল নম্বর লিখুন</v>
      </c>
      <c r="D287" s="2" t="str">
        <f>IFERROR(__xludf.DUMMYFUNCTION("""COMPUTED_VALUE"""),"ओटीपी सत्यापन के लिए मोबाइल नंबर दर्ज करें")</f>
        <v>ओटीपी सत्यापन के लिए मोबाइल नंबर दर्ज करें</v>
      </c>
      <c r="E287" s="2" t="str">
        <f>IFERROR(__xludf.DUMMYFUNCTION("""COMPUTED_VALUE"""),"ಒಟಿಪಿ ಪರಿಶೀಲನೆಗಾಗಿ ಮೊಬೈಲ್ ಸಂಖ್ಯೆಯನ್ನು ನಮೂದಿಸಿ")</f>
        <v>ಒಟಿಪಿ ಪರಿಶೀಲನೆಗಾಗಿ ಮೊಬೈಲ್ ಸಂಖ್ಯೆಯನ್ನು ನಮೂದಿಸಿ</v>
      </c>
      <c r="F287" s="2" t="str">
        <f>IFERROR(__xludf.DUMMYFUNCTION("""COMPUTED_VALUE"""),"OTP ଯାଞ୍ଚ ପାଇଁ ମୋବାଇଲ୍ ନମ୍ବର ପ୍ରବେଶ କରନ୍ତୁ |")</f>
        <v>OTP ଯାଞ୍ଚ ପାଇଁ ମୋବାଇଲ୍ ନମ୍ବର ପ୍ରବେଶ କରନ୍ତୁ |</v>
      </c>
      <c r="G287" s="2" t="str">
        <f>IFERROR(__xludf.DUMMYFUNCTION("""COMPUTED_VALUE"""),"OTP Verification ৰ বাবে মোবাইল নম্বৰ দিয়ক")</f>
        <v>OTP Verification ৰ বাবে মোবাইল নম্বৰ দিয়ক</v>
      </c>
      <c r="H287" s="2" t="str">
        <f>IFERROR(__xludf.DUMMYFUNCTION("""COMPUTED_VALUE"""),"ઓટીપી ચકાસણી માટે મોબાઇલ નંબર દાખલ કરો")</f>
        <v>ઓટીપી ચકાસણી માટે મોબાઇલ નંબર દાખલ કરો</v>
      </c>
      <c r="I287" s="2" t="str">
        <f>IFERROR(__xludf.DUMMYFUNCTION("""COMPUTED_VALUE"""),"ओटीपी सत्यापनासाठी मोबाइल नंबर प्रविष्ट करा")</f>
        <v>ओटीपी सत्यापनासाठी मोबाइल नंबर प्रविष्ट करा</v>
      </c>
      <c r="J287" s="2" t="str">
        <f>IFERROR(__xludf.DUMMYFUNCTION("""COMPUTED_VALUE"""),"OTP സ്ഥിരീകരണത്തിനായി മൊബൈൽ നമ്പർ നൽകുക")</f>
        <v>OTP സ്ഥിരീകരണത്തിനായി മൊബൈൽ നമ്പർ നൽകുക</v>
      </c>
      <c r="K287" s="2" t="str">
        <f>IFERROR(__xludf.DUMMYFUNCTION("""COMPUTED_VALUE"""),"ਓਟੀਪੀ ਤਸਦੀਕ ਲਈ ਮੋਬਾਈਲ ਨੰਬਰ ਦਰਜ ਕਰੋ")</f>
        <v>ਓਟੀਪੀ ਤਸਦੀਕ ਲਈ ਮੋਬਾਈਲ ਨੰਬਰ ਦਰਜ ਕਰੋ</v>
      </c>
      <c r="L287" s="2" t="str">
        <f>IFERROR(__xludf.DUMMYFUNCTION("""COMPUTED_VALUE"""),"OTP யை சரிபார்க்க மொபைல் எண்ணை உள்ளிடவும் ")</f>
        <v>OTP யை சரிபார்க்க மொபைல் எண்ணை உள்ளிடவும் </v>
      </c>
      <c r="M287" s="2" t="str">
        <f>IFERROR(__xludf.DUMMYFUNCTION("""COMPUTED_VALUE"""),"OTP ధృవీకరణ కోసం మొబైల్ నంబర్‌ను నమోదు చేయండి")</f>
        <v>OTP ధృవీకరణ కోసం మొబైల్ నంబర్‌ను నమోదు చేయండి</v>
      </c>
    </row>
    <row r="288">
      <c r="A288" s="2" t="str">
        <f>Master_en!A288</f>
        <v>welcome</v>
      </c>
      <c r="B288" s="2" t="str">
        <f>Master_en!B288</f>
        <v>Welcome </v>
      </c>
      <c r="C288" s="2" t="str">
        <f>IFERROR(__xludf.DUMMYFUNCTION("""COMPUTED_VALUE"""),"স্বাগত")</f>
        <v>স্বাগত</v>
      </c>
      <c r="D288" s="2" t="str">
        <f>IFERROR(__xludf.DUMMYFUNCTION("""COMPUTED_VALUE"""),"स्वागत")</f>
        <v>स्वागत</v>
      </c>
      <c r="E288" s="2" t="str">
        <f>IFERROR(__xludf.DUMMYFUNCTION("""COMPUTED_VALUE"""),"ಸ್ವಾಗತ")</f>
        <v>ಸ್ವಾಗತ</v>
      </c>
      <c r="F288" s="2" t="str">
        <f>IFERROR(__xludf.DUMMYFUNCTION("""COMPUTED_VALUE"""),"ସ୍ୱାଗତ")</f>
        <v>ସ୍ୱାଗତ</v>
      </c>
      <c r="G288" s="2" t="str">
        <f>IFERROR(__xludf.DUMMYFUNCTION("""COMPUTED_VALUE"""),"স্বাগতম")</f>
        <v>স্বাগতম</v>
      </c>
      <c r="H288" s="2" t="str">
        <f>IFERROR(__xludf.DUMMYFUNCTION("""COMPUTED_VALUE"""),"આવકાર્ય")</f>
        <v>આવકાર્ય</v>
      </c>
      <c r="I288" s="2" t="str">
        <f>IFERROR(__xludf.DUMMYFUNCTION("""COMPUTED_VALUE"""),"आपले स्वागत आहे")</f>
        <v>आपले स्वागत आहे</v>
      </c>
      <c r="J288" s="2" t="str">
        <f>IFERROR(__xludf.DUMMYFUNCTION("""COMPUTED_VALUE"""),"സ്വാഗതം")</f>
        <v>സ്വാഗതം</v>
      </c>
      <c r="K288" s="2" t="str">
        <f>IFERROR(__xludf.DUMMYFUNCTION("""COMPUTED_VALUE"""),"ਜੀ ਆਇਆਂ ਨੂੰ")</f>
        <v>ਜੀ ਆਇਆਂ ਨੂੰ</v>
      </c>
      <c r="L288" s="2" t="str">
        <f>IFERROR(__xludf.DUMMYFUNCTION("""COMPUTED_VALUE"""),"வரவேற்பு")</f>
        <v>வரவேற்பு</v>
      </c>
      <c r="M288" s="2" t="str">
        <f>IFERROR(__xludf.DUMMYFUNCTION("""COMPUTED_VALUE"""),"స్వాగతం")</f>
        <v>స్వాగతం</v>
      </c>
    </row>
    <row r="289">
      <c r="A289" s="2" t="str">
        <f>Master_en!A289</f>
        <v>toSarvmai</v>
      </c>
      <c r="B289" s="2" t="str">
        <f>Master_en!B289</f>
        <v>to SarVM.ai</v>
      </c>
      <c r="C289" s="2" t="str">
        <f>IFERROR(__xludf.DUMMYFUNCTION("""COMPUTED_VALUE"""),"সরভ.ই")</f>
        <v>সরভ.ই</v>
      </c>
      <c r="D289" s="2" t="str">
        <f>IFERROR(__xludf.DUMMYFUNCTION("""COMPUTED_VALUE"""),"sarvm.ai को")</f>
        <v>sarvm.ai को</v>
      </c>
      <c r="E289" s="2" t="str">
        <f>IFERROR(__xludf.DUMMYFUNCTION("""COMPUTED_VALUE"""),"ಸರ್ವಂ ಗೆ")</f>
        <v>ಸರ್ವಂ ಗೆ</v>
      </c>
      <c r="F289" s="2" t="str">
        <f>IFERROR(__xludf.DUMMYFUNCTION("""COMPUTED_VALUE"""),"to sarvm.ai କୁ |")</f>
        <v>to sarvm.ai କୁ |</v>
      </c>
      <c r="G289" s="2" t="str">
        <f>IFERROR(__xludf.DUMMYFUNCTION("""COMPUTED_VALUE"""),"SarVM.ai লৈ")</f>
        <v>SarVM.ai লৈ</v>
      </c>
      <c r="H289" s="2" t="str">
        <f>IFERROR(__xludf.DUMMYFUNCTION("""COMPUTED_VALUE"""),"સર્વા.એ.આઈ.")</f>
        <v>સર્વા.એ.આઈ.</v>
      </c>
      <c r="I289" s="3" t="str">
        <f>IFERROR(__xludf.DUMMYFUNCTION("""COMPUTED_VALUE"""),"SARVM.AI")</f>
        <v>SARVM.AI</v>
      </c>
      <c r="J289" s="2" t="str">
        <f>IFERROR(__xludf.DUMMYFUNCTION("""COMPUTED_VALUE"""),"sarvm.a ലേക്ക്")</f>
        <v>sarvm.a ലേക്ക്</v>
      </c>
      <c r="K289" s="2" t="str">
        <f>IFERROR(__xludf.DUMMYFUNCTION("""COMPUTED_VALUE"""),"ਸਾਰਵਮ.ਆਈ")</f>
        <v>ਸਾਰਵਮ.ਆਈ</v>
      </c>
      <c r="L289" s="2" t="str">
        <f>IFERROR(__xludf.DUMMYFUNCTION("""COMPUTED_VALUE"""),"to sarvm.ai")</f>
        <v>to sarvm.ai</v>
      </c>
      <c r="M289" s="2" t="str">
        <f>IFERROR(__xludf.DUMMYFUNCTION("""COMPUTED_VALUE"""),"sarvm.ai కు")</f>
        <v>sarvm.ai కు</v>
      </c>
    </row>
    <row r="290">
      <c r="A290" s="2" t="str">
        <f>Master_en!A290</f>
        <v>selectYourLanguage</v>
      </c>
      <c r="B290" s="2" t="str">
        <f>Master_en!B290</f>
        <v>Select Your Language</v>
      </c>
      <c r="C290" s="2" t="str">
        <f>IFERROR(__xludf.DUMMYFUNCTION("""COMPUTED_VALUE"""),"আপনার ভাষা নির্বাচন করুন")</f>
        <v>আপনার ভাষা নির্বাচন করুন</v>
      </c>
      <c r="D290" s="2" t="str">
        <f>IFERROR(__xludf.DUMMYFUNCTION("""COMPUTED_VALUE"""),"अपनी भाषा का चयन करें")</f>
        <v>अपनी भाषा का चयन करें</v>
      </c>
      <c r="E290" s="2" t="str">
        <f>IFERROR(__xludf.DUMMYFUNCTION("""COMPUTED_VALUE"""),"ನಿಮ್ಮ ಭಾಷೆಯನ್ನು ಆಯ್ಕೆಮಾಡಿ")</f>
        <v>ನಿಮ್ಮ ಭಾಷೆಯನ್ನು ಆಯ್ಕೆಮಾಡಿ</v>
      </c>
      <c r="F290" s="2" t="str">
        <f>IFERROR(__xludf.DUMMYFUNCTION("""COMPUTED_VALUE"""),"ଆପଣଙ୍କର ଭାଷା ଚୟନ କରନ୍ତୁ |")</f>
        <v>ଆପଣଙ୍କର ଭାଷା ଚୟନ କରନ୍ତୁ |</v>
      </c>
      <c r="G290" s="2" t="str">
        <f>IFERROR(__xludf.DUMMYFUNCTION("""COMPUTED_VALUE"""),"আপোনাৰ ভাষা নিৰ্বাচন কৰক")</f>
        <v>আপোনাৰ ভাষা নিৰ্বাচন কৰক</v>
      </c>
      <c r="H290" s="2" t="str">
        <f>IFERROR(__xludf.DUMMYFUNCTION("""COMPUTED_VALUE"""),"તમારી ભાષા પસંદ કરો")</f>
        <v>તમારી ભાષા પસંદ કરો</v>
      </c>
      <c r="I290" s="2" t="str">
        <f>IFERROR(__xludf.DUMMYFUNCTION("""COMPUTED_VALUE"""),"तुमची भाषा निवडा")</f>
        <v>तुमची भाषा निवडा</v>
      </c>
      <c r="J290" s="2" t="str">
        <f>IFERROR(__xludf.DUMMYFUNCTION("""COMPUTED_VALUE"""),"നിങ്ങളുടെ ഭാഷ തിരഞ്ഞെടുക്കുക")</f>
        <v>നിങ്ങളുടെ ഭാഷ തിരഞ്ഞെടുക്കുക</v>
      </c>
      <c r="K290" s="2" t="str">
        <f>IFERROR(__xludf.DUMMYFUNCTION("""COMPUTED_VALUE"""),"ਆਪਣੀ ਭਾਸ਼ਾ ਚੁਣੋ")</f>
        <v>ਆਪਣੀ ਭਾਸ਼ਾ ਚੁਣੋ</v>
      </c>
      <c r="L290" s="2" t="str">
        <f>IFERROR(__xludf.DUMMYFUNCTION("""COMPUTED_VALUE"""),"உங்கள் மொழியைத் தேர்ந்தெடுக்கவும்")</f>
        <v>உங்கள் மொழியைத் தேர்ந்தெடுக்கவும்</v>
      </c>
      <c r="M290" s="2" t="str">
        <f>IFERROR(__xludf.DUMMYFUNCTION("""COMPUTED_VALUE"""),"మీ భాషను ఎంచుకోండి")</f>
        <v>మీ భాషను ఎంచుకోండి</v>
      </c>
    </row>
    <row r="291">
      <c r="A291" s="2" t="str">
        <f>Master_en!A291</f>
        <v>gstincluded</v>
      </c>
      <c r="B291" s="2" t="str">
        <f>Master_en!B291</f>
        <v>GST included</v>
      </c>
      <c r="C291" s="2" t="str">
        <f>IFERROR(__xludf.DUMMYFUNCTION("""COMPUTED_VALUE"""),"জিএসটি অন্তর্ভুক্ত")</f>
        <v>জিএসটি অন্তর্ভুক্ত</v>
      </c>
      <c r="D291" s="2" t="str">
        <f>IFERROR(__xludf.DUMMYFUNCTION("""COMPUTED_VALUE"""),"जीएसटी शामिल है")</f>
        <v>जीएसटी शामिल है</v>
      </c>
      <c r="E291" s="2" t="str">
        <f>IFERROR(__xludf.DUMMYFUNCTION("""COMPUTED_VALUE"""),"ಜಿಎಸ್ಟಿ ಒಳಗೊಂಡಿದೆ")</f>
        <v>ಜಿಎಸ್ಟಿ ಒಳಗೊಂಡಿದೆ</v>
      </c>
      <c r="F291" s="2" t="str">
        <f>IFERROR(__xludf.DUMMYFUNCTION("""COMPUTED_VALUE"""),"ଜିଏସ୍ଟି ଅନ୍ତର୍ଭୁକ୍ତ |")</f>
        <v>ଜିଏସ୍ଟି ଅନ୍ତର୍ଭୁକ୍ତ |</v>
      </c>
      <c r="G291" s="2" t="str">
        <f>IFERROR(__xludf.DUMMYFUNCTION("""COMPUTED_VALUE"""),"জি এছ টি অন্তৰ্ভুক্ত")</f>
        <v>জি এছ টি অন্তৰ্ভুক্ত</v>
      </c>
      <c r="H291" s="2" t="str">
        <f>IFERROR(__xludf.DUMMYFUNCTION("""COMPUTED_VALUE"""),"જીએસટી શામેલ છે")</f>
        <v>જીએસટી શામેલ છે</v>
      </c>
      <c r="I291" s="2" t="str">
        <f>IFERROR(__xludf.DUMMYFUNCTION("""COMPUTED_VALUE"""),"जीएसटी समाविष्ट")</f>
        <v>जीएसटी समाविष्ट</v>
      </c>
      <c r="J291" s="2" t="str">
        <f>IFERROR(__xludf.DUMMYFUNCTION("""COMPUTED_VALUE"""),"ജിഎസ്ടി ഉൾപ്പെടുത്തി")</f>
        <v>ജിഎസ്ടി ഉൾപ്പെടുത്തി</v>
      </c>
      <c r="K291" s="2" t="str">
        <f>IFERROR(__xludf.DUMMYFUNCTION("""COMPUTED_VALUE"""),"ਜੀਐਸਟੀ ਸ਼ਾਮਲ")</f>
        <v>ਜੀਐਸਟੀ ਸ਼ਾਮਲ</v>
      </c>
      <c r="L291" s="2" t="str">
        <f>IFERROR(__xludf.DUMMYFUNCTION("""COMPUTED_VALUE"""),"ஜிஎஸ்டி சேர்க்கப்பட்டுள்ளது")</f>
        <v>ஜிஎஸ்டி சேர்க்கப்பட்டுள்ளது</v>
      </c>
      <c r="M291" s="2" t="str">
        <f>IFERROR(__xludf.DUMMYFUNCTION("""COMPUTED_VALUE"""),"జిఎస్టి చేర్చబడింది")</f>
        <v>జిఎస్టి చేర్చబడింది</v>
      </c>
    </row>
    <row r="292">
      <c r="A292" s="2" t="str">
        <f>Master_en!A292</f>
        <v>limitedoffer</v>
      </c>
      <c r="B292" s="2" t="str">
        <f>Master_en!B292</f>
        <v>Limited Offer</v>
      </c>
      <c r="C292" s="2" t="str">
        <f>IFERROR(__xludf.DUMMYFUNCTION("""COMPUTED_VALUE"""),"সীমিত সুযোগ")</f>
        <v>সীমিত সুযোগ</v>
      </c>
      <c r="D292" s="2" t="str">
        <f>IFERROR(__xludf.DUMMYFUNCTION("""COMPUTED_VALUE"""),"सीमित ऑफ़र")</f>
        <v>सीमित ऑफ़र</v>
      </c>
      <c r="E292" s="2" t="str">
        <f>IFERROR(__xludf.DUMMYFUNCTION("""COMPUTED_VALUE"""),"ಸೀಮಿತ ಕೊಡುಗೆ")</f>
        <v>ಸೀಮಿತ ಕೊಡುಗೆ</v>
      </c>
      <c r="F292" s="2" t="str">
        <f>IFERROR(__xludf.DUMMYFUNCTION("""COMPUTED_VALUE"""),"ସୀମିତ ଅଫର୍ |")</f>
        <v>ସୀମିତ ଅଫର୍ |</v>
      </c>
      <c r="G292" s="2" t="str">
        <f>IFERROR(__xludf.DUMMYFUNCTION("""COMPUTED_VALUE"""),"সীমিত অফাৰ")</f>
        <v>সীমিত অফাৰ</v>
      </c>
      <c r="H292" s="2" t="str">
        <f>IFERROR(__xludf.DUMMYFUNCTION("""COMPUTED_VALUE"""),"મર્યાદિત ઓફર")</f>
        <v>મર્યાદિત ઓફર</v>
      </c>
      <c r="I292" s="2" t="str">
        <f>IFERROR(__xludf.DUMMYFUNCTION("""COMPUTED_VALUE"""),"मर्यादित ऑफर")</f>
        <v>मर्यादित ऑफर</v>
      </c>
      <c r="J292" s="2" t="str">
        <f>IFERROR(__xludf.DUMMYFUNCTION("""COMPUTED_VALUE"""),"പരിമിതമായ ഓഫർ")</f>
        <v>പരിമിതമായ ഓഫർ</v>
      </c>
      <c r="K292" s="2" t="str">
        <f>IFERROR(__xludf.DUMMYFUNCTION("""COMPUTED_VALUE"""),"ਸੀਮਤ ਪੇਸ਼ਕਸ਼")</f>
        <v>ਸੀਮਤ ਪੇਸ਼ਕਸ਼</v>
      </c>
      <c r="L292" s="2" t="str">
        <f>IFERROR(__xludf.DUMMYFUNCTION("""COMPUTED_VALUE"""),"வரையறுக்கப்பட்ட சலுகை")</f>
        <v>வரையறுக்கப்பட்ட சலுகை</v>
      </c>
      <c r="M292" s="2" t="str">
        <f>IFERROR(__xludf.DUMMYFUNCTION("""COMPUTED_VALUE"""),"పరిమిత ఆఫర్")</f>
        <v>పరిమిత ఆఫర్</v>
      </c>
    </row>
    <row r="293">
      <c r="A293" s="2" t="str">
        <f>Master_en!A293</f>
        <v>entityname</v>
      </c>
      <c r="B293" s="2" t="str">
        <f>Master_en!B293</f>
        <v>Entity Name</v>
      </c>
      <c r="C293" s="2" t="str">
        <f>IFERROR(__xludf.DUMMYFUNCTION("""COMPUTED_VALUE"""),"সত্তার নাম")</f>
        <v>সত্তার নাম</v>
      </c>
      <c r="D293" s="2" t="str">
        <f>IFERROR(__xludf.DUMMYFUNCTION("""COMPUTED_VALUE"""),"इकाई नाम")</f>
        <v>इकाई नाम</v>
      </c>
      <c r="E293" s="2" t="str">
        <f>IFERROR(__xludf.DUMMYFUNCTION("""COMPUTED_VALUE"""),"ಅಸ್ತಿತ್ವದ ಹೆಸರು")</f>
        <v>ಅಸ್ತಿತ್ವದ ಹೆಸರು</v>
      </c>
      <c r="F293" s="2" t="str">
        <f>IFERROR(__xludf.DUMMYFUNCTION("""COMPUTED_VALUE"""),"ସଂସ୍ଥା ନାମ")</f>
        <v>ସଂସ୍ଥା ନାମ</v>
      </c>
      <c r="G293" s="2" t="str">
        <f>IFERROR(__xludf.DUMMYFUNCTION("""COMPUTED_VALUE"""),"সত্তাৰ নাম")</f>
        <v>সত্তাৰ নাম</v>
      </c>
      <c r="H293" s="2" t="str">
        <f>IFERROR(__xludf.DUMMYFUNCTION("""COMPUTED_VALUE"""),"Entબ")</f>
        <v>Entબ</v>
      </c>
      <c r="I293" s="2" t="str">
        <f>IFERROR(__xludf.DUMMYFUNCTION("""COMPUTED_VALUE"""),"अस्तित्वाचे नाव")</f>
        <v>अस्तित्वाचे नाव</v>
      </c>
      <c r="J293" s="2" t="str">
        <f>IFERROR(__xludf.DUMMYFUNCTION("""COMPUTED_VALUE"""),"എന്റിറ്റിയുടെ പേര്")</f>
        <v>എന്റിറ്റിയുടെ പേര്</v>
      </c>
      <c r="K293" s="2" t="str">
        <f>IFERROR(__xludf.DUMMYFUNCTION("""COMPUTED_VALUE"""),"ਇਕਾਈ ਦਾ ਨਾਮ")</f>
        <v>ਇਕਾਈ ਦਾ ਨਾਮ</v>
      </c>
      <c r="L293" s="2" t="str">
        <f>IFERROR(__xludf.DUMMYFUNCTION("""COMPUTED_VALUE"""),"நிறுவனத்தின் பெயர்")</f>
        <v>நிறுவனத்தின் பெயர்</v>
      </c>
      <c r="M293" s="2" t="str">
        <f>IFERROR(__xludf.DUMMYFUNCTION("""COMPUTED_VALUE"""),"ఎంటిటీ పేరు")</f>
        <v>ఎంటిటీ పేరు</v>
      </c>
    </row>
    <row r="294">
      <c r="A294" s="2" t="str">
        <f>Master_en!A294</f>
        <v>verificationCode</v>
      </c>
      <c r="B294" s="2" t="str">
        <f>Master_en!B294</f>
        <v>Verification Code</v>
      </c>
      <c r="C294" s="2" t="str">
        <f>IFERROR(__xludf.DUMMYFUNCTION("""COMPUTED_VALUE"""),"যাচাইকরণ কোড")</f>
        <v>যাচাইকরণ কোড</v>
      </c>
      <c r="D294" s="2" t="str">
        <f>IFERROR(__xludf.DUMMYFUNCTION("""COMPUTED_VALUE"""),"सत्यापन कोड")</f>
        <v>सत्यापन कोड</v>
      </c>
      <c r="E294" s="2" t="str">
        <f>IFERROR(__xludf.DUMMYFUNCTION("""COMPUTED_VALUE"""),"ಪರಿಶೀಲನೆ ಕೋಡ್")</f>
        <v>ಪರಿಶೀಲನೆ ಕೋಡ್</v>
      </c>
      <c r="F294" s="2" t="str">
        <f>IFERROR(__xludf.DUMMYFUNCTION("""COMPUTED_VALUE"""),"ପ୍ରମାଣ ସଂକେତ")</f>
        <v>ପ୍ରମାଣ ସଂକେତ</v>
      </c>
      <c r="G294" s="2" t="str">
        <f>IFERROR(__xludf.DUMMYFUNCTION("""COMPUTED_VALUE"""),"পৰীক্ষণ ক'ড")</f>
        <v>পৰীক্ষণ ক'ড</v>
      </c>
      <c r="H294" s="2" t="str">
        <f>IFERROR(__xludf.DUMMYFUNCTION("""COMPUTED_VALUE"""),"ચકાસણી કોડ")</f>
        <v>ચકાસણી કોડ</v>
      </c>
      <c r="I294" s="2" t="str">
        <f>IFERROR(__xludf.DUMMYFUNCTION("""COMPUTED_VALUE"""),"सत्यापन कोड")</f>
        <v>सत्यापन कोड</v>
      </c>
      <c r="J294" s="2" t="str">
        <f>IFERROR(__xludf.DUMMYFUNCTION("""COMPUTED_VALUE"""),"പരിശോധിച്ചുറപ്പിക്കൽ കോഡ്")</f>
        <v>പരിശോധിച്ചുറപ്പിക്കൽ കോഡ്</v>
      </c>
      <c r="K294" s="2" t="str">
        <f>IFERROR(__xludf.DUMMYFUNCTION("""COMPUTED_VALUE"""),"ਪੜਤਾਲ ਕੋਡ")</f>
        <v>ਪੜਤਾਲ ਕੋਡ</v>
      </c>
      <c r="L294" s="2" t="str">
        <f>IFERROR(__xludf.DUMMYFUNCTION("""COMPUTED_VALUE"""),"சரிபார்ப்பு குறியீடு")</f>
        <v>சரிபார்ப்பு குறியீடு</v>
      </c>
      <c r="M294" s="2" t="str">
        <f>IFERROR(__xludf.DUMMYFUNCTION("""COMPUTED_VALUE"""),"ధృవీకరణ కోడ్")</f>
        <v>ధృవీకరణ కోడ్</v>
      </c>
    </row>
    <row r="295">
      <c r="A295" s="2" t="str">
        <f>Master_en!A295</f>
        <v>back</v>
      </c>
      <c r="B295" s="2" t="str">
        <f>Master_en!B295</f>
        <v>Back</v>
      </c>
      <c r="C295" s="2" t="str">
        <f>IFERROR(__xludf.DUMMYFUNCTION("""COMPUTED_VALUE"""),"পেছনে")</f>
        <v>পেছনে</v>
      </c>
      <c r="D295" s="2" t="str">
        <f>IFERROR(__xludf.DUMMYFUNCTION("""COMPUTED_VALUE"""),"पीछे")</f>
        <v>पीछे</v>
      </c>
      <c r="E295" s="2" t="str">
        <f>IFERROR(__xludf.DUMMYFUNCTION("""COMPUTED_VALUE"""),"ಹಿಂದಕ್ಕೆ")</f>
        <v>ಹಿಂದಕ್ಕೆ</v>
      </c>
      <c r="F295" s="2" t="str">
        <f>IFERROR(__xludf.DUMMYFUNCTION("""COMPUTED_VALUE"""),"ପଛକୁ")</f>
        <v>ପଛକୁ</v>
      </c>
      <c r="G295" s="2" t="str">
        <f>IFERROR(__xludf.DUMMYFUNCTION("""COMPUTED_VALUE"""),"পিছলৈ")</f>
        <v>পিছলৈ</v>
      </c>
      <c r="H295" s="2" t="str">
        <f>IFERROR(__xludf.DUMMYFUNCTION("""COMPUTED_VALUE"""),"પાછળની બાજુ")</f>
        <v>પાછળની બાજુ</v>
      </c>
      <c r="I295" s="2" t="str">
        <f>IFERROR(__xludf.DUMMYFUNCTION("""COMPUTED_VALUE"""),"मागे")</f>
        <v>मागे</v>
      </c>
      <c r="J295" s="2" t="str">
        <f>IFERROR(__xludf.DUMMYFUNCTION("""COMPUTED_VALUE"""),"പിന്നിലുള്ള")</f>
        <v>പിന്നിലുള്ള</v>
      </c>
      <c r="K295" s="2" t="str">
        <f>IFERROR(__xludf.DUMMYFUNCTION("""COMPUTED_VALUE"""),"ਵਾਪਸ")</f>
        <v>ਵਾਪਸ</v>
      </c>
      <c r="L295" s="2" t="str">
        <f>IFERROR(__xludf.DUMMYFUNCTION("""COMPUTED_VALUE"""),"மீண்டும்")</f>
        <v>மீண்டும்</v>
      </c>
      <c r="M295" s="2" t="str">
        <f>IFERROR(__xludf.DUMMYFUNCTION("""COMPUTED_VALUE"""),"తిరిగి")</f>
        <v>తిరిగి</v>
      </c>
    </row>
    <row r="296">
      <c r="A296" s="2" t="str">
        <f>Master_en!A296</f>
        <v>resendOtp</v>
      </c>
      <c r="B296" s="2" t="str">
        <f>Master_en!B296</f>
        <v>Resend OTP</v>
      </c>
      <c r="C296" s="2" t="str">
        <f>IFERROR(__xludf.DUMMYFUNCTION("""COMPUTED_VALUE"""),"ওটিপি পুনরায় প্রেরণ করুন")</f>
        <v>ওটিপি পুনরায় প্রেরণ করুন</v>
      </c>
      <c r="D296" s="2" t="str">
        <f>IFERROR(__xludf.DUMMYFUNCTION("""COMPUTED_VALUE"""),"ओटीपी पुनः भेजें")</f>
        <v>ओटीपी पुनः भेजें</v>
      </c>
      <c r="E296" s="2" t="str">
        <f>IFERROR(__xludf.DUMMYFUNCTION("""COMPUTED_VALUE"""),"ಒಟಿಪಿಯನ್ನು ಮರುಕಳುಹಿಸಿ")</f>
        <v>ಒಟಿಪಿಯನ್ನು ಮರುಕಳುಹಿಸಿ</v>
      </c>
      <c r="F296" s="2" t="str">
        <f>IFERROR(__xludf.DUMMYFUNCTION("""COMPUTED_VALUE"""),"OTP କୁ ପୁନ endendendende ପଠାନ୍ତୁ |")</f>
        <v>OTP କୁ ପୁନ endendendende ପଠାନ୍ତୁ |</v>
      </c>
      <c r="G296" s="2" t="str">
        <f>IFERROR(__xludf.DUMMYFUNCTION("""COMPUTED_VALUE"""),"OTP পুনৰ প্ৰেৰণ কৰক")</f>
        <v>OTP পুনৰ প্ৰেৰণ কৰক</v>
      </c>
      <c r="H296" s="2" t="str">
        <f>IFERROR(__xludf.DUMMYFUNCTION("""COMPUTED_VALUE"""),"ઓટીપી બદલો")</f>
        <v>ઓટીપી બદલો</v>
      </c>
      <c r="I296" s="2" t="str">
        <f>IFERROR(__xludf.DUMMYFUNCTION("""COMPUTED_VALUE"""),"OTP पुन्हा पाठवा")</f>
        <v>OTP पुन्हा पाठवा</v>
      </c>
      <c r="J296" s="2" t="str">
        <f>IFERROR(__xludf.DUMMYFUNCTION("""COMPUTED_VALUE"""),"OTP വീണ്ടും അയയ്ക്കുക")</f>
        <v>OTP വീണ്ടും അയയ്ക്കുക</v>
      </c>
      <c r="K296" s="2" t="str">
        <f>IFERROR(__xludf.DUMMYFUNCTION("""COMPUTED_VALUE"""),"ਓਟੀਪੀ ਦੁਬਾਰਾ ਭੇਜੋ")</f>
        <v>ਓਟੀਪੀ ਦੁਬਾਰਾ ਭੇਜੋ</v>
      </c>
      <c r="L296" s="2" t="str">
        <f>IFERROR(__xludf.DUMMYFUNCTION("""COMPUTED_VALUE"""),"OTP ஐ மீண்டும் அனுப்பவும்")</f>
        <v>OTP ஐ மீண்டும் அனுப்பவும்</v>
      </c>
      <c r="M296" s="2" t="str">
        <f>IFERROR(__xludf.DUMMYFUNCTION("""COMPUTED_VALUE"""),"OTP ను మళ్ళీ పంపు")</f>
        <v>OTP ను మళ్ళీ పంపు</v>
      </c>
    </row>
    <row r="297">
      <c r="A297" s="2" t="str">
        <f>Master_en!A297</f>
        <v>reorder </v>
      </c>
      <c r="B297" s="2" t="str">
        <f>Master_en!B297</f>
        <v>Re Order</v>
      </c>
      <c r="C297" s="2" t="str">
        <f>IFERROR(__xludf.DUMMYFUNCTION("""COMPUTED_VALUE"""),"পুনরায় আদেশ")</f>
        <v>পুনরায় আদেশ</v>
      </c>
      <c r="D297" s="2" t="str">
        <f>IFERROR(__xludf.DUMMYFUNCTION("""COMPUTED_VALUE"""),"फिर से आदेश देना")</f>
        <v>फिर से आदेश देना</v>
      </c>
      <c r="E297" s="2" t="str">
        <f>IFERROR(__xludf.DUMMYFUNCTION("""COMPUTED_VALUE"""),"ಮರು ಆದೇಶ")</f>
        <v>ಮರು ಆದೇಶ</v>
      </c>
      <c r="F297" s="2" t="str">
        <f>IFERROR(__xludf.DUMMYFUNCTION("""COMPUTED_VALUE"""),"ପୁନ order୍ର୍ଡ")</f>
        <v>ପୁନ order୍ର୍ଡ</v>
      </c>
      <c r="G297" s="2" t="str">
        <f>IFERROR(__xludf.DUMMYFUNCTION("""COMPUTED_VALUE"""),"ৰি অৰ্ডাৰ")</f>
        <v>ৰি অৰ্ডাৰ</v>
      </c>
      <c r="H297" s="2" t="str">
        <f>IFERROR(__xludf.DUMMYFUNCTION("""COMPUTED_VALUE"""),"ફરીથી હુકમ કરવો")</f>
        <v>ફરીથી હુકમ કરવો</v>
      </c>
      <c r="I297" s="2" t="str">
        <f>IFERROR(__xludf.DUMMYFUNCTION("""COMPUTED_VALUE"""),"आरई ऑर्डर")</f>
        <v>आरई ऑर्डर</v>
      </c>
      <c r="J297" s="2" t="str">
        <f>IFERROR(__xludf.DUMMYFUNCTION("""COMPUTED_VALUE"""),"വീണ്ടും ഓർഡർ ചെയ്യുക")</f>
        <v>വീണ്ടും ഓർഡർ ചെയ്യുക</v>
      </c>
      <c r="K297" s="2" t="str">
        <f>IFERROR(__xludf.DUMMYFUNCTION("""COMPUTED_VALUE"""),"ਆਰਡਰ ਕਰੋ")</f>
        <v>ਆਰਡਰ ਕਰੋ</v>
      </c>
      <c r="L297" s="2" t="str">
        <f>IFERROR(__xludf.DUMMYFUNCTION("""COMPUTED_VALUE"""),"மறு ஆர்டர்")</f>
        <v>மறு ஆர்டர்</v>
      </c>
      <c r="M297" s="2" t="str">
        <f>IFERROR(__xludf.DUMMYFUNCTION("""COMPUTED_VALUE"""),"తిరిగి ఆర్డర్")</f>
        <v>తిరిగి ఆర్డర్</v>
      </c>
    </row>
    <row r="298">
      <c r="A298" s="2" t="str">
        <f>Master_en!A298</f>
        <v>shopAddress</v>
      </c>
      <c r="B298" s="2" t="str">
        <f>Master_en!B298</f>
        <v>Shop Address</v>
      </c>
      <c r="C298" s="2" t="str">
        <f>IFERROR(__xludf.DUMMYFUNCTION("""COMPUTED_VALUE"""),"দোকান ঠিকানা")</f>
        <v>দোকান ঠিকানা</v>
      </c>
      <c r="D298" s="2" t="str">
        <f>IFERROR(__xludf.DUMMYFUNCTION("""COMPUTED_VALUE"""),"दुकान का पता")</f>
        <v>दुकान का पता</v>
      </c>
      <c r="E298" s="2" t="str">
        <f>IFERROR(__xludf.DUMMYFUNCTION("""COMPUTED_VALUE"""),"ಅಂಗಡಿ ವಿಳಾಸ")</f>
        <v>ಅಂಗಡಿ ವಿಳಾಸ</v>
      </c>
      <c r="F298" s="2" t="str">
        <f>IFERROR(__xludf.DUMMYFUNCTION("""COMPUTED_VALUE"""),"ଦୋକାନ ଠିକଣା")</f>
        <v>ଦୋକାନ ଠିକଣା</v>
      </c>
      <c r="G298" s="2" t="str">
        <f>IFERROR(__xludf.DUMMYFUNCTION("""COMPUTED_VALUE"""),"দোকানৰ ঠিকনা")</f>
        <v>দোকানৰ ঠিকনা</v>
      </c>
      <c r="H298" s="2" t="str">
        <f>IFERROR(__xludf.DUMMYFUNCTION("""COMPUTED_VALUE"""),"દુકાનનું સરનામું")</f>
        <v>દુકાનનું સરનામું</v>
      </c>
      <c r="I298" s="2" t="str">
        <f>IFERROR(__xludf.DUMMYFUNCTION("""COMPUTED_VALUE"""),"दुकानाचा पत्ता")</f>
        <v>दुकानाचा पत्ता</v>
      </c>
      <c r="J298" s="2" t="str">
        <f>IFERROR(__xludf.DUMMYFUNCTION("""COMPUTED_VALUE"""),"ഷോപ്പ് വിലാസം")</f>
        <v>ഷോപ്പ് വിലാസം</v>
      </c>
      <c r="K298" s="2" t="str">
        <f>IFERROR(__xludf.DUMMYFUNCTION("""COMPUTED_VALUE"""),"ਦੁਕਾਨ ਦਾ ਪਤਾ")</f>
        <v>ਦੁਕਾਨ ਦਾ ਪਤਾ</v>
      </c>
      <c r="L298" s="2" t="str">
        <f>IFERROR(__xludf.DUMMYFUNCTION("""COMPUTED_VALUE"""),"கடை முகவரி")</f>
        <v>கடை முகவரி</v>
      </c>
      <c r="M298" s="2" t="str">
        <f>IFERROR(__xludf.DUMMYFUNCTION("""COMPUTED_VALUE"""),"షాప్ చిరునామా")</f>
        <v>షాప్ చిరునామా</v>
      </c>
    </row>
    <row r="299">
      <c r="A299" s="2" t="str">
        <f>Master_en!A299</f>
        <v>searchYourAddress</v>
      </c>
      <c r="B299" s="2" t="str">
        <f>Master_en!B299</f>
        <v>Search your Address</v>
      </c>
      <c r="C299" s="2" t="str">
        <f>IFERROR(__xludf.DUMMYFUNCTION("""COMPUTED_VALUE"""),"আপনার ঠিকানা অনুসন্ধান করুন")</f>
        <v>আপনার ঠিকানা অনুসন্ধান করুন</v>
      </c>
      <c r="D299" s="2" t="str">
        <f>IFERROR(__xludf.DUMMYFUNCTION("""COMPUTED_VALUE"""),"अपना पता खोजें")</f>
        <v>अपना पता खोजें</v>
      </c>
      <c r="E299" s="2" t="str">
        <f>IFERROR(__xludf.DUMMYFUNCTION("""COMPUTED_VALUE"""),"ನಿಮ್ಮ ವಿಳಾಸವನ್ನು ಹುಡುಕಿ")</f>
        <v>ನಿಮ್ಮ ವಿಳಾಸವನ್ನು ಹುಡುಕಿ</v>
      </c>
      <c r="F299" s="2" t="str">
        <f>IFERROR(__xludf.DUMMYFUNCTION("""COMPUTED_VALUE"""),"ତୁମର ଠିକଣା ଖୋଜ |")</f>
        <v>ତୁମର ଠିକଣା ଖୋଜ |</v>
      </c>
      <c r="G299" s="2" t="str">
        <f>IFERROR(__xludf.DUMMYFUNCTION("""COMPUTED_VALUE"""),"আপোনাৰ ঠিকনা সন্ধান কৰক")</f>
        <v>আপোনাৰ ঠিকনা সন্ধান কৰক</v>
      </c>
      <c r="H299" s="2" t="str">
        <f>IFERROR(__xludf.DUMMYFUNCTION("""COMPUTED_VALUE"""),"તમારું સરનામું શોધો")</f>
        <v>તમારું સરનામું શોધો</v>
      </c>
      <c r="I299" s="2" t="str">
        <f>IFERROR(__xludf.DUMMYFUNCTION("""COMPUTED_VALUE"""),"तुमचा पत्ता शोधा")</f>
        <v>तुमचा पत्ता शोधा</v>
      </c>
      <c r="J299" s="2" t="str">
        <f>IFERROR(__xludf.DUMMYFUNCTION("""COMPUTED_VALUE"""),"നിങ്ങളുടെ വിലാസം തിരയുക")</f>
        <v>നിങ്ങളുടെ വിലാസം തിരയുക</v>
      </c>
      <c r="K299" s="2" t="str">
        <f>IFERROR(__xludf.DUMMYFUNCTION("""COMPUTED_VALUE"""),"ਆਪਣਾ ਪਤਾ ਖੋਜੋ")</f>
        <v>ਆਪਣਾ ਪਤਾ ਖੋਜੋ</v>
      </c>
      <c r="L299" s="2" t="str">
        <f>IFERROR(__xludf.DUMMYFUNCTION("""COMPUTED_VALUE"""),"உங்கள் முகவரியைத் தேடுங்கள்")</f>
        <v>உங்கள் முகவரியைத் தேடுங்கள்</v>
      </c>
      <c r="M299" s="2" t="str">
        <f>IFERROR(__xludf.DUMMYFUNCTION("""COMPUTED_VALUE"""),"మీ చిరునామాను శోధించండి")</f>
        <v>మీ చిరునామాను శోధించండి</v>
      </c>
    </row>
    <row r="300">
      <c r="A300" s="2" t="str">
        <f>Master_en!A300</f>
        <v>enterDetails</v>
      </c>
      <c r="B300" s="2" t="str">
        <f>Master_en!B300</f>
        <v>Enter Details   </v>
      </c>
      <c r="C300" s="2" t="str">
        <f>IFERROR(__xludf.DUMMYFUNCTION("""COMPUTED_VALUE"""),"বিশদ লিখুন")</f>
        <v>বিশদ লিখুন</v>
      </c>
      <c r="D300" s="2" t="str">
        <f>IFERROR(__xludf.DUMMYFUNCTION("""COMPUTED_VALUE"""),"विवरण दर्ज करें")</f>
        <v>विवरण दर्ज करें</v>
      </c>
      <c r="E300" s="2" t="str">
        <f>IFERROR(__xludf.DUMMYFUNCTION("""COMPUTED_VALUE"""),"ವಿವರಗಳನ್ನು ನಮೂದಿಸಿ")</f>
        <v>ವಿವರಗಳನ್ನು ನಮೂದಿಸಿ</v>
      </c>
      <c r="F300" s="2" t="str">
        <f>IFERROR(__xludf.DUMMYFUNCTION("""COMPUTED_VALUE"""),"ବିବରଣୀ ପ୍ରବେଶ କରନ୍ତୁ |")</f>
        <v>ବିବରଣୀ ପ୍ରବେଶ କରନ୍ତୁ |</v>
      </c>
      <c r="G300" s="2" t="str">
        <f>IFERROR(__xludf.DUMMYFUNCTION("""COMPUTED_VALUE"""),"বিৱৰণ দিয়ক")</f>
        <v>বিৱৰণ দিয়ক</v>
      </c>
      <c r="H300" s="2" t="str">
        <f>IFERROR(__xludf.DUMMYFUNCTION("""COMPUTED_VALUE"""),"વિગતો દાખલ કરો")</f>
        <v>વિગતો દાખલ કરો</v>
      </c>
      <c r="I300" s="2" t="str">
        <f>IFERROR(__xludf.DUMMYFUNCTION("""COMPUTED_VALUE"""),"तपशील प्रविष्ट करा")</f>
        <v>तपशील प्रविष्ट करा</v>
      </c>
      <c r="J300" s="2" t="str">
        <f>IFERROR(__xludf.DUMMYFUNCTION("""COMPUTED_VALUE"""),"വിശദാംശങ്ങൾ നൽകുക")</f>
        <v>വിശദാംശങ്ങൾ നൽകുക</v>
      </c>
      <c r="K300" s="2" t="str">
        <f>IFERROR(__xludf.DUMMYFUNCTION("""COMPUTED_VALUE"""),"ਵੇਰਵੇ ਦਰਜ ਕਰੋ")</f>
        <v>ਵੇਰਵੇ ਦਰਜ ਕਰੋ</v>
      </c>
      <c r="L300" s="2" t="str">
        <f>IFERROR(__xludf.DUMMYFUNCTION("""COMPUTED_VALUE"""),"விவரங்களை உள்ளிடவும்")</f>
        <v>விவரங்களை உள்ளிடவும்</v>
      </c>
      <c r="M300" s="2" t="str">
        <f>IFERROR(__xludf.DUMMYFUNCTION("""COMPUTED_VALUE"""),"వివరాలను నమోదు చేయండి")</f>
        <v>వివరాలను నమోదు చేయండి</v>
      </c>
    </row>
    <row r="301">
      <c r="A301" s="2" t="str">
        <f>Master_en!A301</f>
        <v>businessName</v>
      </c>
      <c r="B301" s="2" t="str">
        <f>Master_en!B301</f>
        <v>Business Name</v>
      </c>
      <c r="C301" s="2" t="str">
        <f>IFERROR(__xludf.DUMMYFUNCTION("""COMPUTED_VALUE"""),"প্রাতিষ্ঠানিক নাম")</f>
        <v>প্রাতিষ্ঠানিক নাম</v>
      </c>
      <c r="D301" s="2" t="str">
        <f>IFERROR(__xludf.DUMMYFUNCTION("""COMPUTED_VALUE"""),"व्यवसाय का नाम")</f>
        <v>व्यवसाय का नाम</v>
      </c>
      <c r="E301" s="2" t="str">
        <f>IFERROR(__xludf.DUMMYFUNCTION("""COMPUTED_VALUE"""),"ವ್ಯಾಪಾರದ ಹೆಸರು")</f>
        <v>ವ್ಯಾಪಾರದ ಹೆಸರು</v>
      </c>
      <c r="F301" s="2" t="str">
        <f>IFERROR(__xludf.DUMMYFUNCTION("""COMPUTED_VALUE"""),"ବ୍ୟବସାୟ ନାମ")</f>
        <v>ବ୍ୟବସାୟ ନାମ</v>
      </c>
      <c r="G301" s="2" t="str">
        <f>IFERROR(__xludf.DUMMYFUNCTION("""COMPUTED_VALUE"""),"ব্যৱসায়িক নাম")</f>
        <v>ব্যৱসায়িক নাম</v>
      </c>
      <c r="H301" s="2" t="str">
        <f>IFERROR(__xludf.DUMMYFUNCTION("""COMPUTED_VALUE"""),"ધંધાનું નામ")</f>
        <v>ધંધાનું નામ</v>
      </c>
      <c r="I301" s="2" t="str">
        <f>IFERROR(__xludf.DUMMYFUNCTION("""COMPUTED_VALUE"""),"व्यवसायाचे नाव")</f>
        <v>व्यवसायाचे नाव</v>
      </c>
      <c r="J301" s="2" t="str">
        <f>IFERROR(__xludf.DUMMYFUNCTION("""COMPUTED_VALUE"""),"ബിസിനസ്സ് പേര്")</f>
        <v>ബിസിനസ്സ് പേര്</v>
      </c>
      <c r="K301" s="2" t="str">
        <f>IFERROR(__xludf.DUMMYFUNCTION("""COMPUTED_VALUE"""),"ਵਪਾਰ ਨਾਮ")</f>
        <v>ਵਪਾਰ ਨਾਮ</v>
      </c>
      <c r="L301" s="2" t="str">
        <f>IFERROR(__xludf.DUMMYFUNCTION("""COMPUTED_VALUE"""),"வணிகத்தின் பெயர்")</f>
        <v>வணிகத்தின் பெயர்</v>
      </c>
      <c r="M301" s="2" t="str">
        <f>IFERROR(__xludf.DUMMYFUNCTION("""COMPUTED_VALUE"""),"వ్యాపారం పేరు")</f>
        <v>వ్యాపారం పేరు</v>
      </c>
    </row>
    <row r="302">
      <c r="A302" s="2" t="str">
        <f>Master_en!A302</f>
        <v>shopno./building</v>
      </c>
      <c r="B302" s="2" t="str">
        <f>Master_en!B302</f>
        <v>Shop no./Building </v>
      </c>
      <c r="C302" s="2" t="str">
        <f>IFERROR(__xludf.DUMMYFUNCTION("""COMPUTED_VALUE"""),"শপ নং/বিল্ডিং")</f>
        <v>শপ নং/বিল্ডিং</v>
      </c>
      <c r="D302" s="2" t="str">
        <f>IFERROR(__xludf.DUMMYFUNCTION("""COMPUTED_VALUE"""),"दुकान नं /इमारत")</f>
        <v>दुकान नं /इमारत</v>
      </c>
      <c r="E302" s="2" t="str">
        <f>IFERROR(__xludf.DUMMYFUNCTION("""COMPUTED_VALUE"""),"ಅಂಗಡಿ / ಕಟ್ಟಡ ಸಂಖ್ಯೆ")</f>
        <v>ಅಂಗಡಿ / ಕಟ್ಟಡ ಸಂಖ್ಯೆ</v>
      </c>
      <c r="F302" s="2" t="str">
        <f>IFERROR(__xludf.DUMMYFUNCTION("""COMPUTED_VALUE"""),"ଦୋକାନ ନମ୍ବର / ବିଲଡିଂ |")</f>
        <v>ଦୋକାନ ନମ୍ବର / ବିଲଡିଂ |</v>
      </c>
      <c r="G302" s="2" t="str">
        <f>IFERROR(__xludf.DUMMYFUNCTION("""COMPUTED_VALUE"""),"দোকান নং")</f>
        <v>দোকান নং</v>
      </c>
      <c r="H302" s="2" t="str">
        <f>IFERROR(__xludf.DUMMYFUNCTION("""COMPUTED_VALUE"""),"નંબર નંબર બિલ્ડિંગ")</f>
        <v>નંબર નંબર બિલ્ડિંગ</v>
      </c>
      <c r="I302" s="2" t="str">
        <f>IFERROR(__xludf.DUMMYFUNCTION("""COMPUTED_VALUE"""),"दुकान क्रमांक/बिल्डिंग")</f>
        <v>दुकान क्रमांक/बिल्डिंग</v>
      </c>
      <c r="J302" s="2" t="str">
        <f>IFERROR(__xludf.DUMMYFUNCTION("""COMPUTED_VALUE"""),"ഷോപ്പ് നമ്പർ. / ബിൽഡിംഗ്")</f>
        <v>ഷോപ്പ് നമ്പർ. / ബിൽഡിംഗ്</v>
      </c>
      <c r="K302" s="2" t="str">
        <f>IFERROR(__xludf.DUMMYFUNCTION("""COMPUTED_VALUE"""),"ਦੁਕਾਨ ਨੰਬਰ / ਬਿਲਡਿੰਗ")</f>
        <v>ਦੁਕਾਨ ਨੰਬਰ / ਬਿਲਡਿੰਗ</v>
      </c>
      <c r="L302" s="2" t="str">
        <f>IFERROR(__xludf.DUMMYFUNCTION("""COMPUTED_VALUE"""),"கடை எண்/பில்டிங்")</f>
        <v>கடை எண்/பில்டிங்</v>
      </c>
      <c r="M302" s="2" t="str">
        <f>IFERROR(__xludf.DUMMYFUNCTION("""COMPUTED_VALUE"""),"షాప్ నెం./బిల్డింగ్")</f>
        <v>షాప్ నెం./బిల్డింగ్</v>
      </c>
    </row>
    <row r="303">
      <c r="A303" s="2" t="str">
        <f>Master_en!A303</f>
        <v>locality/area</v>
      </c>
      <c r="B303" s="2" t="str">
        <f>Master_en!B303</f>
        <v>Locality/Area</v>
      </c>
      <c r="C303" s="2" t="str">
        <f>IFERROR(__xludf.DUMMYFUNCTION("""COMPUTED_VALUE"""),"লোকেশন/অঞ্চল")</f>
        <v>লোকেশন/অঞ্চল</v>
      </c>
      <c r="D303" s="2" t="str">
        <f>IFERROR(__xludf.DUMMYFUNCTION("""COMPUTED_VALUE"""),"स्थानीयता/क्षेत्र")</f>
        <v>स्थानीयता/क्षेत्र</v>
      </c>
      <c r="E303" s="2" t="str">
        <f>IFERROR(__xludf.DUMMYFUNCTION("""COMPUTED_VALUE"""),"ಸ್ಥಳ/ಪ್ರದೇಶ")</f>
        <v>ಸ್ಥಳ/ಪ್ರದೇಶ</v>
      </c>
      <c r="F303" s="2" t="str">
        <f>IFERROR(__xludf.DUMMYFUNCTION("""COMPUTED_VALUE"""),"ସ୍ଥାନ / କ୍ଷେତ୍ର")</f>
        <v>ସ୍ଥାନ / କ୍ଷେତ୍ର</v>
      </c>
      <c r="G303" s="2" t="str">
        <f>IFERROR(__xludf.DUMMYFUNCTION("""COMPUTED_VALUE"""),"বিল্ডিং/স্থানীয়তা")</f>
        <v>বিল্ডিং/স্থানীয়তা</v>
      </c>
      <c r="H303" s="2" t="str">
        <f>IFERROR(__xludf.DUMMYFUNCTION("""COMPUTED_VALUE"""),"વિસ્તાર/વિસ્તાર")</f>
        <v>વિસ્તાર/વિસ્તાર</v>
      </c>
      <c r="I303" s="2" t="str">
        <f>IFERROR(__xludf.DUMMYFUNCTION("""COMPUTED_VALUE"""),"परिसर/क्षेत्र")</f>
        <v>परिसर/क्षेत्र</v>
      </c>
      <c r="J303" s="2" t="str">
        <f>IFERROR(__xludf.DUMMYFUNCTION("""COMPUTED_VALUE"""),"പ്രദേശം / ഏരിയ")</f>
        <v>പ്രദേശം / ഏരിയ</v>
      </c>
      <c r="K303" s="2" t="str">
        <f>IFERROR(__xludf.DUMMYFUNCTION("""COMPUTED_VALUE"""),"ਸਥਾਨ / ਖੇਤਰ")</f>
        <v>ਸਥਾਨ / ਖੇਤਰ</v>
      </c>
      <c r="L303" s="2" t="str">
        <f>IFERROR(__xludf.DUMMYFUNCTION("""COMPUTED_VALUE"""),"இடம்/பகுதி")</f>
        <v>இடம்/பகுதி</v>
      </c>
      <c r="M303" s="2" t="str">
        <f>IFERROR(__xludf.DUMMYFUNCTION("""COMPUTED_VALUE"""),"ప్రాంతం/ప్రాంతం")</f>
        <v>ప్రాంతం/ప్రాంతం</v>
      </c>
    </row>
    <row r="304">
      <c r="A304" s="2" t="str">
        <f>Master_en!A304</f>
        <v>once+9101234xxxxxorder</v>
      </c>
      <c r="B304" s="2" t="str">
        <f>Master_en!B304</f>
        <v>Once +91 01234xxxxx Order</v>
      </c>
      <c r="C304" s="2" t="str">
        <f>IFERROR(__xludf.DUMMYFUNCTION("""COMPUTED_VALUE"""),"একবার +91 01234xxxxx অর্ডার")</f>
        <v>একবার +91 01234xxxxx অর্ডার</v>
      </c>
      <c r="D304" s="2" t="str">
        <f>IFERROR(__xludf.DUMMYFUNCTION("""COMPUTED_VALUE"""),"एक बार +91 01234xxxxx ऑर्डर")</f>
        <v>एक बार +91 01234xxxxx ऑर्डर</v>
      </c>
      <c r="E304" s="2" t="str">
        <f>IFERROR(__xludf.DUMMYFUNCTION("""COMPUTED_VALUE"""),"ಒಮ್ಮೆ +91 01234xxxxx ಆದೇಶ")</f>
        <v>ಒಮ್ಮೆ +91 01234xxxxx ಆದೇಶ</v>
      </c>
      <c r="F304" s="2" t="str">
        <f>IFERROR(__xludf.DUMMYFUNCTION("""COMPUTED_VALUE"""),"ଥରେ +91 01234xxxxx କ୍ରମ |")</f>
        <v>ଥରେ +91 01234xxxxx କ୍ରମ |</v>
      </c>
      <c r="G304" s="2" t="str">
        <f>IFERROR(__xludf.DUMMYFUNCTION("""COMPUTED_VALUE"""),"এবাৰ +৯১ ০১২৩৪xxxxx অৰ্ডাৰ কৰক")</f>
        <v>এবাৰ +৯১ ০১২৩৪xxxxx অৰ্ডাৰ কৰক</v>
      </c>
      <c r="H304" s="2" t="str">
        <f>IFERROR(__xludf.DUMMYFUNCTION("""COMPUTED_VALUE"""),"એકવાર +91 01234XXXX ઓર્ડર")</f>
        <v>એકવાર +91 01234XXXX ઓર્ડર</v>
      </c>
      <c r="I304" s="2" t="str">
        <f>IFERROR(__xludf.DUMMYFUNCTION("""COMPUTED_VALUE"""),"एकदा +91 01234XXXXX ऑर्डर")</f>
        <v>एकदा +91 01234XXXXX ऑर्डर</v>
      </c>
      <c r="J304" s="2" t="str">
        <f>IFERROR(__xludf.DUMMYFUNCTION("""COMPUTED_VALUE"""),"+91 01234xxxxx ഓർഡർ ഒരിക്കൽ")</f>
        <v>+91 01234xxxxx ഓർഡർ ഒരിക്കൽ</v>
      </c>
      <c r="K304" s="2" t="str">
        <f>IFERROR(__xludf.DUMMYFUNCTION("""COMPUTED_VALUE"""),"ਇਕ ਵਾਰ +91 01234xxxxx ਆਰਡਰ")</f>
        <v>ਇਕ ਵਾਰ +91 01234xxxxx ਆਰਡਰ</v>
      </c>
      <c r="L304" s="2" t="str">
        <f>IFERROR(__xludf.DUMMYFUNCTION("""COMPUTED_VALUE"""),"ஒருமுறை +91 01234xxxxx ஆர்டர்")</f>
        <v>ஒருமுறை +91 01234xxxxx ஆர்டர்</v>
      </c>
      <c r="M304" s="2" t="str">
        <f>IFERROR(__xludf.DUMMYFUNCTION("""COMPUTED_VALUE"""),"ఒకసారి +91 01234XXXXX ఆర్డర్")</f>
        <v>ఒకసారి +91 01234XXXXX ఆర్డర్</v>
      </c>
    </row>
    <row r="305">
      <c r="A305" s="2" t="str">
        <f>Master_en!A305</f>
        <v>GST Number</v>
      </c>
      <c r="B305" s="2" t="str">
        <f>Master_en!B305</f>
        <v>GST Number</v>
      </c>
      <c r="C305" s="2" t="str">
        <f>IFERROR(__xludf.DUMMYFUNCTION("""COMPUTED_VALUE"""),"জিএসটি নম্বর")</f>
        <v>জিএসটি নম্বর</v>
      </c>
      <c r="D305" s="2" t="str">
        <f>IFERROR(__xludf.DUMMYFUNCTION("""COMPUTED_VALUE"""),"जीएसटी नंबर")</f>
        <v>जीएसटी नंबर</v>
      </c>
      <c r="E305" s="2" t="str">
        <f>IFERROR(__xludf.DUMMYFUNCTION("""COMPUTED_VALUE"""),"ಜಿಎಸ್ಟಿ ಸಂಖ್ಯೆ")</f>
        <v>ಜಿಎಸ್ಟಿ ಸಂಖ್ಯೆ</v>
      </c>
      <c r="F305" s="2" t="str">
        <f>IFERROR(__xludf.DUMMYFUNCTION("""COMPUTED_VALUE"""),"ଜିଏସ୍ଟି ନମ୍ବର |")</f>
        <v>ଜିଏସ୍ଟି ନମ୍ବର |</v>
      </c>
      <c r="G305" s="2" t="str">
        <f>IFERROR(__xludf.DUMMYFUNCTION("""COMPUTED_VALUE"""),"জি এছ টি নম্বৰ")</f>
        <v>জি এছ টি নম্বৰ</v>
      </c>
      <c r="H305" s="2" t="str">
        <f>IFERROR(__xludf.DUMMYFUNCTION("""COMPUTED_VALUE"""),"જી.એસ.ટી.")</f>
        <v>જી.એસ.ટી.</v>
      </c>
      <c r="I305" s="2" t="str">
        <f>IFERROR(__xludf.DUMMYFUNCTION("""COMPUTED_VALUE"""),"जीएसटी क्रमांक")</f>
        <v>जीएसटी क्रमांक</v>
      </c>
      <c r="J305" s="2" t="str">
        <f>IFERROR(__xludf.DUMMYFUNCTION("""COMPUTED_VALUE"""),"ജിഎസ്ടി നമ്പർ")</f>
        <v>ജിഎസ്ടി നമ്പർ</v>
      </c>
      <c r="K305" s="2" t="str">
        <f>IFERROR(__xludf.DUMMYFUNCTION("""COMPUTED_VALUE"""),"Gst ਨੰਬਰ")</f>
        <v>Gst ਨੰਬਰ</v>
      </c>
      <c r="L305" s="2" t="str">
        <f>IFERROR(__xludf.DUMMYFUNCTION("""COMPUTED_VALUE"""),"ஜிஎஸ்டி எண்")</f>
        <v>ஜிஎஸ்டி எண்</v>
      </c>
      <c r="M305" s="2" t="str">
        <f>IFERROR(__xludf.DUMMYFUNCTION("""COMPUTED_VALUE"""),"GST సంఖ్య")</f>
        <v>GST సంఖ్య</v>
      </c>
    </row>
    <row r="306">
      <c r="A306" s="2" t="str">
        <f>Master_en!A306</f>
        <v>city/state</v>
      </c>
      <c r="B306" s="2" t="str">
        <f>Master_en!B306</f>
        <v>City/state</v>
      </c>
      <c r="C306" s="2" t="str">
        <f>IFERROR(__xludf.DUMMYFUNCTION("""COMPUTED_VALUE"""),"শহর/রাজ্য")</f>
        <v>শহর/রাজ্য</v>
      </c>
      <c r="D306" s="2" t="str">
        <f>IFERROR(__xludf.DUMMYFUNCTION("""COMPUTED_VALUE"""),"शहरी स्थान")</f>
        <v>शहरी स्थान</v>
      </c>
      <c r="E306" s="2" t="str">
        <f>IFERROR(__xludf.DUMMYFUNCTION("""COMPUTED_VALUE"""),"ನಗರ ರಾಜ್ಯ")</f>
        <v>ನಗರ ರಾಜ್ಯ</v>
      </c>
      <c r="F306" s="2" t="str">
        <f>IFERROR(__xludf.DUMMYFUNCTION("""COMPUTED_VALUE"""),"ସହର / ରାଜ୍ୟ")</f>
        <v>ସହର / ରାଜ୍ୟ</v>
      </c>
      <c r="G306" s="2" t="str">
        <f>IFERROR(__xludf.DUMMYFUNCTION("""COMPUTED_VALUE"""),"চহৰ/ৰাজ্য")</f>
        <v>চহৰ/ৰাজ্য</v>
      </c>
      <c r="H306" s="2" t="str">
        <f>IFERROR(__xludf.DUMMYFUNCTION("""COMPUTED_VALUE"""),"શહેર રાજ્ય")</f>
        <v>શહેર રાજ્ય</v>
      </c>
      <c r="I306" s="2" t="str">
        <f>IFERROR(__xludf.DUMMYFUNCTION("""COMPUTED_VALUE"""),"शहर राज्य")</f>
        <v>शहर राज्य</v>
      </c>
      <c r="J306" s="2" t="str">
        <f>IFERROR(__xludf.DUMMYFUNCTION("""COMPUTED_VALUE"""),"നഗരം / സംസ്ഥാനം")</f>
        <v>നഗരം / സംസ്ഥാനം</v>
      </c>
      <c r="K306" s="2" t="str">
        <f>IFERROR(__xludf.DUMMYFUNCTION("""COMPUTED_VALUE"""),"ਸ਼ਹਿਰ / ਰਾਜ")</f>
        <v>ਸ਼ਹਿਰ / ਰਾਜ</v>
      </c>
      <c r="L306" s="2" t="str">
        <f>IFERROR(__xludf.DUMMYFUNCTION("""COMPUTED_VALUE"""),"நகர மாநிலம்")</f>
        <v>நகர மாநிலம்</v>
      </c>
      <c r="M306" s="2" t="str">
        <f>IFERROR(__xludf.DUMMYFUNCTION("""COMPUTED_VALUE"""),"నగరం/రాష్ట్రం")</f>
        <v>నగరం/రాష్ట్రం</v>
      </c>
    </row>
    <row r="307">
      <c r="A307" s="2" t="str">
        <f>Master_en!A307</f>
        <v>pincode</v>
      </c>
      <c r="B307" s="2" t="str">
        <f>Master_en!B307</f>
        <v>Pincode</v>
      </c>
      <c r="C307" s="2" t="str">
        <f>IFERROR(__xludf.DUMMYFUNCTION("""COMPUTED_VALUE"""),"পিনকোড")</f>
        <v>পিনকোড</v>
      </c>
      <c r="D307" s="2" t="str">
        <f>IFERROR(__xludf.DUMMYFUNCTION("""COMPUTED_VALUE"""),"पिन कोड")</f>
        <v>पिन कोड</v>
      </c>
      <c r="E307" s="2" t="str">
        <f>IFERROR(__xludf.DUMMYFUNCTION("""COMPUTED_VALUE"""),"ಪಿನ್ ಕೋಡ್")</f>
        <v>ಪಿನ್ ಕೋಡ್</v>
      </c>
      <c r="F307" s="2" t="str">
        <f>IFERROR(__xludf.DUMMYFUNCTION("""COMPUTED_VALUE"""),"ପିନକୋଡ୍ |")</f>
        <v>ପିନକୋଡ୍ |</v>
      </c>
      <c r="G307" s="2" t="str">
        <f>IFERROR(__xludf.DUMMYFUNCTION("""COMPUTED_VALUE"""),"পিনকোড")</f>
        <v>পিনকোড</v>
      </c>
      <c r="H307" s="2" t="str">
        <f>IFERROR(__xludf.DUMMYFUNCTION("""COMPUTED_VALUE"""),"પીન કોડ")</f>
        <v>પીન કોડ</v>
      </c>
      <c r="I307" s="2" t="str">
        <f>IFERROR(__xludf.DUMMYFUNCTION("""COMPUTED_VALUE"""),"पिन कोड")</f>
        <v>पिन कोड</v>
      </c>
      <c r="J307" s="2" t="str">
        <f>IFERROR(__xludf.DUMMYFUNCTION("""COMPUTED_VALUE"""),"പിൻ കോഡ്")</f>
        <v>പിൻ കോഡ്</v>
      </c>
      <c r="K307" s="2" t="str">
        <f>IFERROR(__xludf.DUMMYFUNCTION("""COMPUTED_VALUE"""),"ਪਿੰਨ ਕੋਡ")</f>
        <v>ਪਿੰਨ ਕੋਡ</v>
      </c>
      <c r="L307" s="2" t="str">
        <f>IFERROR(__xludf.DUMMYFUNCTION("""COMPUTED_VALUE"""),"அஞ்சல் குறியீடு")</f>
        <v>அஞ்சல் குறியீடு</v>
      </c>
      <c r="M307" s="2" t="str">
        <f>IFERROR(__xludf.DUMMYFUNCTION("""COMPUTED_VALUE"""),"పిన్ కోడ్")</f>
        <v>పిన్ కోడ్</v>
      </c>
    </row>
    <row r="308">
      <c r="A308" s="2" t="str">
        <f>Master_en!A308</f>
        <v>saveAndContinue</v>
      </c>
      <c r="B308" s="2" t="str">
        <f>Master_en!B308</f>
        <v>Save and Continue</v>
      </c>
      <c r="C308" s="2" t="str">
        <f>IFERROR(__xludf.DUMMYFUNCTION("""COMPUTED_VALUE"""),"সংরক্ষণ করুন এবং অবিরত থাকুন")</f>
        <v>সংরক্ষণ করুন এবং অবিরত থাকুন</v>
      </c>
      <c r="D308" s="2" t="str">
        <f>IFERROR(__xludf.DUMMYFUNCTION("""COMPUTED_VALUE"""),"सहेजें और जारी रखें")</f>
        <v>सहेजें और जारी रखें</v>
      </c>
      <c r="E308" s="2" t="str">
        <f>IFERROR(__xludf.DUMMYFUNCTION("""COMPUTED_VALUE"""),"ಉಳಿಸಿ ಮತ್ತು ಮುಂದುವರಿಸಿ")</f>
        <v>ಉಳಿಸಿ ಮತ್ತು ಮುಂದುವರಿಸಿ</v>
      </c>
      <c r="F308" s="2" t="str">
        <f>IFERROR(__xludf.DUMMYFUNCTION("""COMPUTED_VALUE"""),"ସଞ୍ଚୟ ଏବଂ ଜାରି ରଖ |")</f>
        <v>ସଞ୍ଚୟ ଏବଂ ଜାରି ରଖ |</v>
      </c>
      <c r="G308" s="2" t="str">
        <f>IFERROR(__xludf.DUMMYFUNCTION("""COMPUTED_VALUE"""),"সংৰক্ষণ কৰক আৰু অব্যাহত ৰাখক")</f>
        <v>সংৰক্ষণ কৰক আৰু অব্যাহত ৰাখক</v>
      </c>
      <c r="H308" s="2" t="str">
        <f>IFERROR(__xludf.DUMMYFUNCTION("""COMPUTED_VALUE"""),"સાચવો અને ચાલુ રાખો")</f>
        <v>સાચવો અને ચાલુ રાખો</v>
      </c>
      <c r="I308" s="2" t="str">
        <f>IFERROR(__xludf.DUMMYFUNCTION("""COMPUTED_VALUE"""),"जतन करा आणि पुढे जा")</f>
        <v>जतन करा आणि पुढे जा</v>
      </c>
      <c r="J308" s="2" t="str">
        <f>IFERROR(__xludf.DUMMYFUNCTION("""COMPUTED_VALUE"""),"സംരക്ഷിച്ച് തുടരുക")</f>
        <v>സംരക്ഷിച്ച് തുടരുക</v>
      </c>
      <c r="K308" s="2" t="str">
        <f>IFERROR(__xludf.DUMMYFUNCTION("""COMPUTED_VALUE"""),"ਸੇਵ ਅਤੇ ਜਾਰੀ ਰੱਖੋ")</f>
        <v>ਸੇਵ ਅਤੇ ਜਾਰੀ ਰੱਖੋ</v>
      </c>
      <c r="L308" s="2" t="str">
        <f>IFERROR(__xludf.DUMMYFUNCTION("""COMPUTED_VALUE"""),"சேமித்து தொடரவும்")</f>
        <v>சேமித்து தொடரவும்</v>
      </c>
      <c r="M308" s="2" t="str">
        <f>IFERROR(__xludf.DUMMYFUNCTION("""COMPUTED_VALUE"""),"సేవ్ చేయండి మరియు కొనసాగించండి")</f>
        <v>సేవ్ చేయండి మరియు కొనసాగించండి</v>
      </c>
    </row>
    <row r="309">
      <c r="A309" s="2" t="str">
        <f>Master_en!A309</f>
        <v>specifyWorkingTime</v>
      </c>
      <c r="B309" s="2" t="str">
        <f>Master_en!B309</f>
        <v>Specify Working Time</v>
      </c>
      <c r="C309" s="2" t="str">
        <f>IFERROR(__xludf.DUMMYFUNCTION("""COMPUTED_VALUE"""),"কাজের সময় নির্দিষ্ট করুন")</f>
        <v>কাজের সময় নির্দিষ্ট করুন</v>
      </c>
      <c r="D309" s="2" t="str">
        <f>IFERROR(__xludf.DUMMYFUNCTION("""COMPUTED_VALUE"""),"कार्य समय निर्दिष्ट करें")</f>
        <v>कार्य समय निर्दिष्ट करें</v>
      </c>
      <c r="E309" s="2" t="str">
        <f>IFERROR(__xludf.DUMMYFUNCTION("""COMPUTED_VALUE"""),"ಕೆಲಸದ ನಿರ್ದಿಷ್ಟ ಸಮಯ")</f>
        <v>ಕೆಲಸದ ನಿರ್ದಿಷ್ಟ ಸಮಯ</v>
      </c>
      <c r="F309" s="2" t="str">
        <f>IFERROR(__xludf.DUMMYFUNCTION("""COMPUTED_VALUE"""),"କାର୍ଯ୍ୟ ସମୟ ନିର୍ଦ୍ଦିଷ୍ଟ କରନ୍ତୁ |")</f>
        <v>କାର୍ଯ୍ୟ ସମୟ ନିର୍ଦ୍ଦିଷ୍ଟ କରନ୍ତୁ |</v>
      </c>
      <c r="G309" s="2" t="str">
        <f>IFERROR(__xludf.DUMMYFUNCTION("""COMPUTED_VALUE"""),"কাৰ্য্য সময় ধাৰ্য্য কৰক")</f>
        <v>কাৰ্য্য সময় ধাৰ্য্য কৰক</v>
      </c>
      <c r="H309" s="2" t="str">
        <f>IFERROR(__xludf.DUMMYFUNCTION("""COMPUTED_VALUE"""),"કાર્યકારી સમયનો ઉલ્લેખ કરો")</f>
        <v>કાર્યકારી સમયનો ઉલ્લેખ કરો</v>
      </c>
      <c r="I309" s="2" t="str">
        <f>IFERROR(__xludf.DUMMYFUNCTION("""COMPUTED_VALUE"""),"कामाची वेळ निर्दिष्ट करा")</f>
        <v>कामाची वेळ निर्दिष्ट करा</v>
      </c>
      <c r="J309" s="2" t="str">
        <f>IFERROR(__xludf.DUMMYFUNCTION("""COMPUTED_VALUE"""),"ജോലി സമയം വ്യക്തമാക്കുക")</f>
        <v>ജോലി സമയം വ്യക്തമാക്കുക</v>
      </c>
      <c r="K309" s="2" t="str">
        <f>IFERROR(__xludf.DUMMYFUNCTION("""COMPUTED_VALUE"""),"ਕੰਮ ਕਰਨ ਦਾ ਸਮਾਂ ਨਿਰਧਾਰਤ ਕਰੋ")</f>
        <v>ਕੰਮ ਕਰਨ ਦਾ ਸਮਾਂ ਨਿਰਧਾਰਤ ਕਰੋ</v>
      </c>
      <c r="L309" s="2" t="str">
        <f>IFERROR(__xludf.DUMMYFUNCTION("""COMPUTED_VALUE"""),"வேலை நேரத்தைக் குறிப்பிடவும்")</f>
        <v>வேலை நேரத்தைக் குறிப்பிடவும்</v>
      </c>
      <c r="M309" s="2" t="str">
        <f>IFERROR(__xludf.DUMMYFUNCTION("""COMPUTED_VALUE"""),"పని సమయాన్ని పేర్కొనండి")</f>
        <v>పని సమయాన్ని పేర్కొనండి</v>
      </c>
    </row>
    <row r="310">
      <c r="A310" s="2" t="str">
        <f>Master_en!A310</f>
        <v>sameForEveryDay</v>
      </c>
      <c r="B310" s="2" t="str">
        <f>Master_en!B310</f>
        <v>Same for Every Day</v>
      </c>
      <c r="C310" s="2" t="str">
        <f>IFERROR(__xludf.DUMMYFUNCTION("""COMPUTED_VALUE"""),"প্রতিদিনের জন্য একই")</f>
        <v>প্রতিদিনের জন্য একই</v>
      </c>
      <c r="D310" s="2" t="str">
        <f>IFERROR(__xludf.DUMMYFUNCTION("""COMPUTED_VALUE"""),"हर दिन के लिए भी")</f>
        <v>हर दिन के लिए भी</v>
      </c>
      <c r="E310" s="2" t="str">
        <f>IFERROR(__xludf.DUMMYFUNCTION("""COMPUTED_VALUE"""),"ಪ್ರತಿದಿನವೂ ಅದೇ")</f>
        <v>ಪ್ರತಿದಿನವೂ ಅದೇ</v>
      </c>
      <c r="F310" s="2" t="str">
        <f>IFERROR(__xludf.DUMMYFUNCTION("""COMPUTED_VALUE"""),"ପ୍ରତ୍ୟେକ ଦିନ ସମାନ |")</f>
        <v>ପ୍ରତ୍ୟେକ ଦିନ ସମାନ |</v>
      </c>
      <c r="G310" s="2" t="str">
        <f>IFERROR(__xludf.DUMMYFUNCTION("""COMPUTED_VALUE"""),"প্ৰতিদিনৰ বাবে একেই")</f>
        <v>প্ৰতিদিনৰ বাবে একেই</v>
      </c>
      <c r="H310" s="2" t="str">
        <f>IFERROR(__xludf.DUMMYFUNCTION("""COMPUTED_VALUE"""),"દરેક દિવસ માટે")</f>
        <v>દરેક દિવસ માટે</v>
      </c>
      <c r="I310" s="2" t="str">
        <f>IFERROR(__xludf.DUMMYFUNCTION("""COMPUTED_VALUE"""),"दररोज समान")</f>
        <v>दररोज समान</v>
      </c>
      <c r="J310" s="2" t="str">
        <f>IFERROR(__xludf.DUMMYFUNCTION("""COMPUTED_VALUE"""),"എല്ലാ ദിവസവും സമാനമാണ്")</f>
        <v>എല്ലാ ദിവസവും സമാനമാണ്</v>
      </c>
      <c r="K310" s="2" t="str">
        <f>IFERROR(__xludf.DUMMYFUNCTION("""COMPUTED_VALUE"""),"ਹਰ ਦਿਨ ਲਈ ਇਕੋ ਜਿਹਾ")</f>
        <v>ਹਰ ਦਿਨ ਲਈ ਇਕੋ ਜਿਹਾ</v>
      </c>
      <c r="L310" s="2" t="str">
        <f>IFERROR(__xludf.DUMMYFUNCTION("""COMPUTED_VALUE"""),"ஒவ்வொரு நாளும் அதே")</f>
        <v>ஒவ்வொரு நாளும் அதே</v>
      </c>
      <c r="M310" s="2" t="str">
        <f>IFERROR(__xludf.DUMMYFUNCTION("""COMPUTED_VALUE"""),"ప్రతి రోజు అదే")</f>
        <v>ప్రతి రోజు అదే</v>
      </c>
    </row>
    <row r="311">
      <c r="A311" s="2" t="str">
        <f>Master_en!A311</f>
        <v>skip</v>
      </c>
      <c r="B311" s="2" t="str">
        <f>Master_en!B311</f>
        <v>Skip</v>
      </c>
      <c r="C311" s="2" t="str">
        <f>IFERROR(__xludf.DUMMYFUNCTION("""COMPUTED_VALUE"""),"এড়িয়ে যান")</f>
        <v>এড়িয়ে যান</v>
      </c>
      <c r="D311" s="2" t="str">
        <f>IFERROR(__xludf.DUMMYFUNCTION("""COMPUTED_VALUE"""),"छोडना")</f>
        <v>छोडना</v>
      </c>
      <c r="E311" s="2" t="str">
        <f>IFERROR(__xludf.DUMMYFUNCTION("""COMPUTED_VALUE"""),"ಬಿಟ್ಟುಬಿಡು")</f>
        <v>ಬಿಟ್ಟುಬಿಡು</v>
      </c>
      <c r="F311" s="2" t="str">
        <f>IFERROR(__xludf.DUMMYFUNCTION("""COMPUTED_VALUE"""),"ଛାଡିଦିଅ |")</f>
        <v>ଛାଡିଦିଅ |</v>
      </c>
      <c r="G311" s="2" t="str">
        <f>IFERROR(__xludf.DUMMYFUNCTION("""COMPUTED_VALUE"""),"বাদ দিয়া")</f>
        <v>বাদ দিয়া</v>
      </c>
      <c r="H311" s="2" t="str">
        <f>IFERROR(__xludf.DUMMYFUNCTION("""COMPUTED_VALUE"""),"છોડો")</f>
        <v>છોડો</v>
      </c>
      <c r="I311" s="2" t="str">
        <f>IFERROR(__xludf.DUMMYFUNCTION("""COMPUTED_VALUE"""),"वगळा")</f>
        <v>वगळा</v>
      </c>
      <c r="J311" s="2" t="str">
        <f>IFERROR(__xludf.DUMMYFUNCTION("""COMPUTED_VALUE"""),"ചാടിക്കുക")</f>
        <v>ചാടിക്കുക</v>
      </c>
      <c r="K311" s="2" t="str">
        <f>IFERROR(__xludf.DUMMYFUNCTION("""COMPUTED_VALUE"""),"ਛੱਡੋ")</f>
        <v>ਛੱਡੋ</v>
      </c>
      <c r="L311" s="2" t="str">
        <f>IFERROR(__xludf.DUMMYFUNCTION("""COMPUTED_VALUE"""),"தவிர்க்கவும்")</f>
        <v>தவிர்க்கவும்</v>
      </c>
      <c r="M311" s="2" t="str">
        <f>IFERROR(__xludf.DUMMYFUNCTION("""COMPUTED_VALUE"""),"దాటవేయండి")</f>
        <v>దాటవేయండి</v>
      </c>
    </row>
    <row r="312">
      <c r="A312" s="2" t="str">
        <f>Master_en!A312</f>
        <v>save&amp;Continue</v>
      </c>
      <c r="B312" s="2" t="str">
        <f>Master_en!B312</f>
        <v>Save &amp; Continue</v>
      </c>
      <c r="C312" s="2" t="str">
        <f>IFERROR(__xludf.DUMMYFUNCTION("""COMPUTED_VALUE"""),"সংরক্ষণ করুন এবং চালিয়ে যান")</f>
        <v>সংরক্ষণ করুন এবং চালিয়ে যান</v>
      </c>
      <c r="D312" s="2" t="str">
        <f>IFERROR(__xludf.DUMMYFUNCTION("""COMPUTED_VALUE"""),"सहेजें जारी रखें")</f>
        <v>सहेजें जारी रखें</v>
      </c>
      <c r="E312" s="2" t="str">
        <f>IFERROR(__xludf.DUMMYFUNCTION("""COMPUTED_VALUE"""),"ಉಳಿಸಿಕೊಳ್ಳಿ ಮಟ್ಟು ಮುಂದುವರೆಸಿ")</f>
        <v>ಉಳಿಸಿಕೊಳ್ಳಿ ಮಟ್ಟು ಮುಂದುವರೆಸಿ</v>
      </c>
      <c r="F312" s="2" t="str">
        <f>IFERROR(__xludf.DUMMYFUNCTION("""COMPUTED_VALUE"""),"ସଞ୍ଚୟ କରନ୍ତୁ ଏବଂ ଜାରି ରଖନ୍ତୁ |")</f>
        <v>ସଞ୍ଚୟ କରନ୍ତୁ ଏବଂ ଜାରି ରଖନ୍ତୁ |</v>
      </c>
      <c r="G312" s="2" t="str">
        <f>IFERROR(__xludf.DUMMYFUNCTION("""COMPUTED_VALUE"""),"সংৰক্ষণ কৰক আৰু অব্যাহত ৰাখক")</f>
        <v>সংৰক্ষণ কৰক আৰু অব্যাহত ৰাখক</v>
      </c>
      <c r="H312" s="2" t="str">
        <f>IFERROR(__xludf.DUMMYFUNCTION("""COMPUTED_VALUE"""),"સાચવો અને ચાલુ રાખો")</f>
        <v>સાચવો અને ચાલુ રાખો</v>
      </c>
      <c r="I312" s="2" t="str">
        <f>IFERROR(__xludf.DUMMYFUNCTION("""COMPUTED_VALUE"""),"जतन करा आणि पुढे जा")</f>
        <v>जतन करा आणि पुढे जा</v>
      </c>
      <c r="J312" s="2" t="str">
        <f>IFERROR(__xludf.DUMMYFUNCTION("""COMPUTED_VALUE"""),"സംരക്ഷിക്കുക &amp; തുടരുക")</f>
        <v>സംരക്ഷിക്കുക &amp; തുടരുക</v>
      </c>
      <c r="K312" s="2" t="str">
        <f>IFERROR(__xludf.DUMMYFUNCTION("""COMPUTED_VALUE"""),"ਸੇਵ ਅਤੇ ਜਾਰੀ ਰੱਖੋ")</f>
        <v>ਸੇਵ ਅਤੇ ਜਾਰੀ ਰੱਖੋ</v>
      </c>
      <c r="L312" s="2" t="str">
        <f>IFERROR(__xludf.DUMMYFUNCTION("""COMPUTED_VALUE"""),"சேமித்து தொடரவும்")</f>
        <v>சேமித்து தொடரவும்</v>
      </c>
      <c r="M312" s="2" t="str">
        <f>IFERROR(__xludf.DUMMYFUNCTION("""COMPUTED_VALUE"""),"సేవ్ చేసి కొనసాగించండి")</f>
        <v>సేవ్ చేసి కొనసాగించండి</v>
      </c>
    </row>
    <row r="313">
      <c r="A313" s="2" t="str">
        <f>Master_en!A313</f>
        <v>sendreferralinvite</v>
      </c>
      <c r="B313" s="2" t="str">
        <f>Master_en!B313</f>
        <v>Send Referral Invite</v>
      </c>
      <c r="C313" s="2" t="str">
        <f>IFERROR(__xludf.DUMMYFUNCTION("""COMPUTED_VALUE"""),"রেফারাল আমন্ত্রণ প্রেরণ করুন")</f>
        <v>রেফারাল আমন্ত্রণ প্রেরণ করুন</v>
      </c>
      <c r="D313" s="2" t="str">
        <f>IFERROR(__xludf.DUMMYFUNCTION("""COMPUTED_VALUE"""),"रेफरल आमंत्रण भेजें")</f>
        <v>रेफरल आमंत्रण भेजें</v>
      </c>
      <c r="E313" s="2" t="str">
        <f>IFERROR(__xludf.DUMMYFUNCTION("""COMPUTED_VALUE"""),"ರೆಫರಲ್ ಆಹ್ವಾನ ಕಳುಹಿಸಿ")</f>
        <v>ರೆಫರಲ್ ಆಹ್ವಾನ ಕಳುಹಿಸಿ</v>
      </c>
      <c r="F313" s="2" t="str">
        <f>IFERROR(__xludf.DUMMYFUNCTION("""COMPUTED_VALUE"""),"ରେଫରାଲ୍ ନିମନ୍ତ୍ରଣ ପଠାନ୍ତୁ |")</f>
        <v>ରେଫରାଲ୍ ନିମନ୍ତ୍ରଣ ପଠାନ୍ତୁ |</v>
      </c>
      <c r="G313" s="2" t="str">
        <f>IFERROR(__xludf.DUMMYFUNCTION("""COMPUTED_VALUE"""),"ৰেফাৰেল আমন্ত্ৰণ পঠাওক")</f>
        <v>ৰেফাৰেল আমন্ত্ৰণ পঠাওক</v>
      </c>
      <c r="H313" s="2" t="str">
        <f>IFERROR(__xludf.DUMMYFUNCTION("""COMPUTED_VALUE"""),"રેફરલ આમંત્રણ મોકલો")</f>
        <v>રેફરલ આમંત્રણ મોકલો</v>
      </c>
      <c r="I313" s="2" t="str">
        <f>IFERROR(__xludf.DUMMYFUNCTION("""COMPUTED_VALUE"""),"रेफरल आमंत्रण पाठवा")</f>
        <v>रेफरल आमंत्रण पाठवा</v>
      </c>
      <c r="J313" s="2" t="str">
        <f>IFERROR(__xludf.DUMMYFUNCTION("""COMPUTED_VALUE"""),"റഫറൽ ക്ഷണം അയയ്ക്കുക")</f>
        <v>റഫറൽ ക്ഷണം അയയ്ക്കുക</v>
      </c>
      <c r="K313" s="2" t="str">
        <f>IFERROR(__xludf.DUMMYFUNCTION("""COMPUTED_VALUE"""),"ਰੈਫਰਲ ਇਨਵਾਈਟ ਭੇਜੋ")</f>
        <v>ਰੈਫਰਲ ਇਨਵਾਈਟ ਭੇਜੋ</v>
      </c>
      <c r="L313" s="2" t="str">
        <f>IFERROR(__xludf.DUMMYFUNCTION("""COMPUTED_VALUE"""),"பரிந்துரை அழைப்பை அனுப்பு")</f>
        <v>பரிந்துரை அழைப்பை அனுப்பு</v>
      </c>
      <c r="M313" s="2" t="str">
        <f>IFERROR(__xludf.DUMMYFUNCTION("""COMPUTED_VALUE"""),"రిఫెరల్ ఆహ్వానం పంపండి")</f>
        <v>రిఫెరల్ ఆహ్వానం పంపండి</v>
      </c>
    </row>
    <row r="314">
      <c r="A314" s="2" t="str">
        <f>Master_en!A314</f>
        <v>track</v>
      </c>
      <c r="B314" s="2" t="str">
        <f>Master_en!B314</f>
        <v>Track</v>
      </c>
      <c r="C314" s="2" t="str">
        <f>IFERROR(__xludf.DUMMYFUNCTION("""COMPUTED_VALUE"""),"ট্র্যাক")</f>
        <v>ট্র্যাক</v>
      </c>
      <c r="D314" s="2" t="str">
        <f>IFERROR(__xludf.DUMMYFUNCTION("""COMPUTED_VALUE"""),"रास्ता")</f>
        <v>रास्ता</v>
      </c>
      <c r="E314" s="2" t="str">
        <f>IFERROR(__xludf.DUMMYFUNCTION("""COMPUTED_VALUE"""),"ಟ್ರ್ಯಾಕ್")</f>
        <v>ಟ್ರ್ಯಾಕ್</v>
      </c>
      <c r="F314" s="2" t="str">
        <f>IFERROR(__xludf.DUMMYFUNCTION("""COMPUTED_VALUE"""),"ଟ୍ରାକ୍")</f>
        <v>ଟ୍ରାକ୍</v>
      </c>
      <c r="G314" s="2" t="str">
        <f>IFERROR(__xludf.DUMMYFUNCTION("""COMPUTED_VALUE"""),"ট্ৰেক")</f>
        <v>ট্ৰেক</v>
      </c>
      <c r="H314" s="2" t="str">
        <f>IFERROR(__xludf.DUMMYFUNCTION("""COMPUTED_VALUE"""),"ટ્રેક")</f>
        <v>ટ્રેક</v>
      </c>
      <c r="I314" s="2" t="str">
        <f>IFERROR(__xludf.DUMMYFUNCTION("""COMPUTED_VALUE"""),"ट्रॅक")</f>
        <v>ट्रॅक</v>
      </c>
      <c r="J314" s="2" t="str">
        <f>IFERROR(__xludf.DUMMYFUNCTION("""COMPUTED_VALUE"""),"പാത")</f>
        <v>പാത</v>
      </c>
      <c r="K314" s="2" t="str">
        <f>IFERROR(__xludf.DUMMYFUNCTION("""COMPUTED_VALUE"""),"ਟਰੈਕ")</f>
        <v>ਟਰੈਕ</v>
      </c>
      <c r="L314" s="2" t="str">
        <f>IFERROR(__xludf.DUMMYFUNCTION("""COMPUTED_VALUE"""),"டிராக்")</f>
        <v>டிராக்</v>
      </c>
      <c r="M314" s="2" t="str">
        <f>IFERROR(__xludf.DUMMYFUNCTION("""COMPUTED_VALUE"""),"ట్రాక్")</f>
        <v>ట్రాక్</v>
      </c>
    </row>
    <row r="315">
      <c r="A315" s="2" t="str">
        <f>Master_en!A315</f>
        <v>done</v>
      </c>
      <c r="B315" s="2" t="str">
        <f>Master_en!B315</f>
        <v>Done</v>
      </c>
      <c r="C315" s="2" t="str">
        <f>IFERROR(__xludf.DUMMYFUNCTION("""COMPUTED_VALUE"""),"সম্পন্ন")</f>
        <v>সম্পন্ন</v>
      </c>
      <c r="D315" s="2" t="str">
        <f>IFERROR(__xludf.DUMMYFUNCTION("""COMPUTED_VALUE"""),"पूर्ण")</f>
        <v>पूर्ण</v>
      </c>
      <c r="E315" s="2" t="str">
        <f>IFERROR(__xludf.DUMMYFUNCTION("""COMPUTED_VALUE"""),"ಮುಗಿಸಿರಿ")</f>
        <v>ಮುಗಿಸಿರಿ</v>
      </c>
      <c r="F315" s="2" t="str">
        <f>IFERROR(__xludf.DUMMYFUNCTION("""COMPUTED_VALUE"""),"ସମ୍ପନ୍ନ")</f>
        <v>ସମ୍ପନ୍ନ</v>
      </c>
      <c r="G315" s="2" t="str">
        <f>IFERROR(__xludf.DUMMYFUNCTION("""COMPUTED_VALUE"""),"কৰা হ’ল")</f>
        <v>কৰা হ’ল</v>
      </c>
      <c r="H315" s="2" t="str">
        <f>IFERROR(__xludf.DUMMYFUNCTION("""COMPUTED_VALUE"""),"કામ")</f>
        <v>કામ</v>
      </c>
      <c r="I315" s="2" t="str">
        <f>IFERROR(__xludf.DUMMYFUNCTION("""COMPUTED_VALUE"""),"पूर्ण झाले")</f>
        <v>पूर्ण झाले</v>
      </c>
      <c r="J315" s="2" t="str">
        <f>IFERROR(__xludf.DUMMYFUNCTION("""COMPUTED_VALUE"""),"നിറവേറ്റി")</f>
        <v>നിറവേറ്റി</v>
      </c>
      <c r="K315" s="2" t="str">
        <f>IFERROR(__xludf.DUMMYFUNCTION("""COMPUTED_VALUE"""),"ਕੀਤਾ")</f>
        <v>ਕੀਤਾ</v>
      </c>
      <c r="L315" s="2" t="str">
        <f>IFERROR(__xludf.DUMMYFUNCTION("""COMPUTED_VALUE"""),"முடிந்தது")</f>
        <v>முடிந்தது</v>
      </c>
      <c r="M315" s="2" t="str">
        <f>IFERROR(__xludf.DUMMYFUNCTION("""COMPUTED_VALUE"""),"పూర్తి")</f>
        <v>పూర్తి</v>
      </c>
    </row>
    <row r="316">
      <c r="A316" s="2" t="str">
        <f>Master_en!A316</f>
        <v>Kyc</v>
      </c>
      <c r="B316" s="2" t="str">
        <f>Master_en!B316</f>
        <v>KYC</v>
      </c>
      <c r="C316" s="2" t="str">
        <f>IFERROR(__xludf.DUMMYFUNCTION("""COMPUTED_VALUE"""),"কেওয়াইসি")</f>
        <v>কেওয়াইসি</v>
      </c>
      <c r="D316" s="2" t="str">
        <f>IFERROR(__xludf.DUMMYFUNCTION("""COMPUTED_VALUE"""),"केवाईसी")</f>
        <v>केवाईसी</v>
      </c>
      <c r="E316" s="2" t="str">
        <f>IFERROR(__xludf.DUMMYFUNCTION("""COMPUTED_VALUE"""),"ಕೆ ವೈ ಸಿ")</f>
        <v>ಕೆ ವೈ ಸಿ</v>
      </c>
      <c r="F316" s="2" t="str">
        <f>IFERROR(__xludf.DUMMYFUNCTION("""COMPUTED_VALUE"""),"କାଳ")</f>
        <v>କାଳ</v>
      </c>
      <c r="G316" s="2" t="str">
        <f>IFERROR(__xludf.DUMMYFUNCTION("""COMPUTED_VALUE"""),"কেৱাইচি")</f>
        <v>কেৱাইচি</v>
      </c>
      <c r="H316" s="2" t="str">
        <f>IFERROR(__xludf.DUMMYFUNCTION("""COMPUTED_VALUE"""),"કેવાયસી")</f>
        <v>કેવાયસી</v>
      </c>
      <c r="I316" s="2" t="str">
        <f>IFERROR(__xludf.DUMMYFUNCTION("""COMPUTED_VALUE"""),"के वाय सी")</f>
        <v>के वाय सी</v>
      </c>
      <c r="J316" s="2" t="str">
        <f>IFERROR(__xludf.DUMMYFUNCTION("""COMPUTED_VALUE"""),"കെവൈസി")</f>
        <v>കെവൈസി</v>
      </c>
      <c r="K316" s="2" t="str">
        <f>IFERROR(__xludf.DUMMYFUNCTION("""COMPUTED_VALUE"""),"Kyc")</f>
        <v>Kyc</v>
      </c>
      <c r="L316" s="2" t="str">
        <f>IFERROR(__xludf.DUMMYFUNCTION("""COMPUTED_VALUE"""),"KYC")</f>
        <v>KYC</v>
      </c>
      <c r="M316" s="2" t="str">
        <f>IFERROR(__xludf.DUMMYFUNCTION("""COMPUTED_VALUE"""),"KYC")</f>
        <v>KYC</v>
      </c>
    </row>
    <row r="317">
      <c r="A317" s="2" t="str">
        <f>Master_en!A317</f>
        <v>fathersName</v>
      </c>
      <c r="B317" s="2" t="str">
        <f>Master_en!B317</f>
        <v>Father’s Name</v>
      </c>
      <c r="C317" s="2" t="str">
        <f>IFERROR(__xludf.DUMMYFUNCTION("""COMPUTED_VALUE"""),"বাবার নাম")</f>
        <v>বাবার নাম</v>
      </c>
      <c r="D317" s="2" t="str">
        <f>IFERROR(__xludf.DUMMYFUNCTION("""COMPUTED_VALUE"""),"पिता का नाम")</f>
        <v>पिता का नाम</v>
      </c>
      <c r="E317" s="2" t="str">
        <f>IFERROR(__xludf.DUMMYFUNCTION("""COMPUTED_VALUE"""),"ತಂದೆಯ ಹೆಸರು")</f>
        <v>ತಂದೆಯ ಹೆಸರು</v>
      </c>
      <c r="F317" s="2" t="str">
        <f>IFERROR(__xludf.DUMMYFUNCTION("""COMPUTED_VALUE"""),"ପିତାଙ୍କ ନାମ")</f>
        <v>ପିତାଙ୍କ ନାମ</v>
      </c>
      <c r="G317" s="2" t="str">
        <f>IFERROR(__xludf.DUMMYFUNCTION("""COMPUTED_VALUE"""),"পিতৃৰ নাম")</f>
        <v>পিতৃৰ নাম</v>
      </c>
      <c r="H317" s="2" t="str">
        <f>IFERROR(__xludf.DUMMYFUNCTION("""COMPUTED_VALUE"""),"પિતાનું નામ")</f>
        <v>પિતાનું નામ</v>
      </c>
      <c r="I317" s="2" t="str">
        <f>IFERROR(__xludf.DUMMYFUNCTION("""COMPUTED_VALUE"""),"वडिलांचे नाव")</f>
        <v>वडिलांचे नाव</v>
      </c>
      <c r="J317" s="2" t="str">
        <f>IFERROR(__xludf.DUMMYFUNCTION("""COMPUTED_VALUE"""),"പിതാവിന്റെ പേര്")</f>
        <v>പിതാവിന്റെ പേര്</v>
      </c>
      <c r="K317" s="2" t="str">
        <f>IFERROR(__xludf.DUMMYFUNCTION("""COMPUTED_VALUE"""),"ਪਿਤਾ ਦਾ ਨਾਮ")</f>
        <v>ਪਿਤਾ ਦਾ ਨਾਮ</v>
      </c>
      <c r="L317" s="2" t="str">
        <f>IFERROR(__xludf.DUMMYFUNCTION("""COMPUTED_VALUE"""),"தந்தையின் பெயர்")</f>
        <v>தந்தையின் பெயர்</v>
      </c>
      <c r="M317" s="2" t="str">
        <f>IFERROR(__xludf.DUMMYFUNCTION("""COMPUTED_VALUE"""),"తండ్రి పేరు")</f>
        <v>తండ్రి పేరు</v>
      </c>
    </row>
    <row r="318">
      <c r="A318" s="2" t="str">
        <f>Master_en!A318</f>
        <v>dob</v>
      </c>
      <c r="B318" s="2" t="str">
        <f>Master_en!B318</f>
        <v>DOB</v>
      </c>
      <c r="C318" s="2" t="str">
        <f>IFERROR(__xludf.DUMMYFUNCTION("""COMPUTED_VALUE"""),"ডিওবি")</f>
        <v>ডিওবি</v>
      </c>
      <c r="D318" s="2" t="str">
        <f>IFERROR(__xludf.DUMMYFUNCTION("""COMPUTED_VALUE"""),"जन्म तिथि")</f>
        <v>जन्म तिथि</v>
      </c>
      <c r="E318" s="2" t="str">
        <f>IFERROR(__xludf.DUMMYFUNCTION("""COMPUTED_VALUE"""),"ಜನುಮ ದಿನಾಂಕ")</f>
        <v>ಜನುಮ ದಿನಾಂಕ</v>
      </c>
      <c r="F318" s="2" t="str">
        <f>IFERROR(__xludf.DUMMYFUNCTION("""COMPUTED_VALUE"""),"ଡବ୍")</f>
        <v>ଡବ୍</v>
      </c>
      <c r="G318" s="2" t="str">
        <f>IFERROR(__xludf.DUMMYFUNCTION("""COMPUTED_VALUE"""),"DOB")</f>
        <v>DOB</v>
      </c>
      <c r="H318" s="2" t="str">
        <f>IFERROR(__xludf.DUMMYFUNCTION("""COMPUTED_VALUE"""),"દળ")</f>
        <v>દળ</v>
      </c>
      <c r="I318" s="2" t="str">
        <f>IFERROR(__xludf.DUMMYFUNCTION("""COMPUTED_VALUE"""),"जन्मतारीख")</f>
        <v>जन्मतारीख</v>
      </c>
      <c r="J318" s="2" t="str">
        <f>IFERROR(__xludf.DUMMYFUNCTION("""COMPUTED_VALUE"""),"ഡോബ്")</f>
        <v>ഡോബ്</v>
      </c>
      <c r="K318" s="2" t="str">
        <f>IFERROR(__xludf.DUMMYFUNCTION("""COMPUTED_VALUE"""),"ਡੀਓਬੀ")</f>
        <v>ਡੀਓਬੀ</v>
      </c>
      <c r="L318" s="2" t="str">
        <f>IFERROR(__xludf.DUMMYFUNCTION("""COMPUTED_VALUE"""),"Dob")</f>
        <v>Dob</v>
      </c>
      <c r="M318" s="2" t="str">
        <f>IFERROR(__xludf.DUMMYFUNCTION("""COMPUTED_VALUE"""),"పుట్టిన తేదీ")</f>
        <v>పుట్టిన తేదీ</v>
      </c>
    </row>
    <row r="319">
      <c r="A319" s="2" t="str">
        <f>Master_en!A319</f>
        <v>uploadProofIdentity</v>
      </c>
      <c r="B319" s="2" t="str">
        <f>Master_en!B319</f>
        <v>Upload Proof identity</v>
      </c>
      <c r="C319" s="2" t="str">
        <f>IFERROR(__xludf.DUMMYFUNCTION("""COMPUTED_VALUE"""),"প্রমাণ পরিচয় আপলোড করুন")</f>
        <v>প্রমাণ পরিচয় আপলোড করুন</v>
      </c>
      <c r="D319" s="2" t="str">
        <f>IFERROR(__xludf.DUMMYFUNCTION("""COMPUTED_VALUE"""),"प्रूफ पहचान अपलोड करें")</f>
        <v>प्रूफ पहचान अपलोड करें</v>
      </c>
      <c r="E319" s="2" t="str">
        <f>IFERROR(__xludf.DUMMYFUNCTION("""COMPUTED_VALUE"""),"ಪೂರಾವೇ ಗುರುತನ್ನು ನೊಂದವನೆ ಮಾಡಿ")</f>
        <v>ಪೂರಾವೇ ಗುರುತನ್ನು ನೊಂದವನೆ ಮಾಡಿ</v>
      </c>
      <c r="F319" s="2" t="str">
        <f>IFERROR(__xludf.DUMMYFUNCTION("""COMPUTED_VALUE"""),"ପ୍ରୁଫ୍ ପରିଚୟ |")</f>
        <v>ପ୍ରୁଫ୍ ପରିଚୟ |</v>
      </c>
      <c r="G319" s="2" t="str">
        <f>IFERROR(__xludf.DUMMYFUNCTION("""COMPUTED_VALUE"""),"প্ৰমাণ পৰিচয় আপলোড কৰক")</f>
        <v>প্ৰমাণ পৰিচয় আপলোড কৰক</v>
      </c>
      <c r="H319" s="2" t="str">
        <f>IFERROR(__xludf.DUMMYFUNCTION("""COMPUTED_VALUE"""),"સાબિતી ઓળખ અપલોડ કરો")</f>
        <v>સાબિતી ઓળખ અપલોડ કરો</v>
      </c>
      <c r="I319" s="2" t="str">
        <f>IFERROR(__xludf.DUMMYFUNCTION("""COMPUTED_VALUE"""),"पुरावा ओळख अपलोड करा")</f>
        <v>पुरावा ओळख अपलोड करा</v>
      </c>
      <c r="J319" s="2" t="str">
        <f>IFERROR(__xludf.DUMMYFUNCTION("""COMPUTED_VALUE"""),"പ്രൂഫ് ഐഡന്റിറ്റി അപ്ലോഡുചെയ്യുന്നു")</f>
        <v>പ്രൂഫ് ഐഡന്റിറ്റി അപ്ലോഡുചെയ്യുന്നു</v>
      </c>
      <c r="K319" s="2" t="str">
        <f>IFERROR(__xludf.DUMMYFUNCTION("""COMPUTED_VALUE"""),"ਪਰੂਫ ਪਛਾਣ ਅਪਲੋਡ ਕਰੋ")</f>
        <v>ਪਰੂਫ ਪਛਾਣ ਅਪਲੋਡ ਕਰੋ</v>
      </c>
      <c r="L319" s="2" t="str">
        <f>IFERROR(__xludf.DUMMYFUNCTION("""COMPUTED_VALUE"""),"ஆதார அடையாளத்தை பதிவேற்றவும்")</f>
        <v>ஆதார அடையாளத்தை பதிவேற்றவும்</v>
      </c>
      <c r="M319" s="2" t="str">
        <f>IFERROR(__xludf.DUMMYFUNCTION("""COMPUTED_VALUE"""),"రుజువు గుర్తింపును అప్‌లోడ్ చేయండి")</f>
        <v>రుజువు గుర్తింపును అప్‌లోడ్ చేయండి</v>
      </c>
    </row>
    <row r="320">
      <c r="A320" s="2" t="str">
        <f>Master_en!A320</f>
        <v>AadharCard</v>
      </c>
      <c r="B320" s="2" t="str">
        <f>Master_en!B320</f>
        <v>Aadhar Card</v>
      </c>
      <c r="C320" s="2" t="str">
        <f>IFERROR(__xludf.DUMMYFUNCTION("""COMPUTED_VALUE"""),"আধার কার্ড")</f>
        <v>আধার কার্ড</v>
      </c>
      <c r="D320" s="2" t="str">
        <f>IFERROR(__xludf.DUMMYFUNCTION("""COMPUTED_VALUE"""),"आधार कार्ड")</f>
        <v>आधार कार्ड</v>
      </c>
      <c r="E320" s="2" t="str">
        <f>IFERROR(__xludf.DUMMYFUNCTION("""COMPUTED_VALUE"""),"ಆಧರ್ ಕಾರ್ಡ್")</f>
        <v>ಆಧರ್ ಕಾರ್ಡ್</v>
      </c>
      <c r="F320" s="2" t="str">
        <f>IFERROR(__xludf.DUMMYFUNCTION("""COMPUTED_VALUE"""),"ଅଲହର କାର୍ଡ |")</f>
        <v>ଅଲହର କାର୍ଡ |</v>
      </c>
      <c r="G320" s="2" t="str">
        <f>IFERROR(__xludf.DUMMYFUNCTION("""COMPUTED_VALUE"""),"আধাৰ কাৰ্ড")</f>
        <v>আধাৰ কাৰ্ড</v>
      </c>
      <c r="H320" s="2" t="str">
        <f>IFERROR(__xludf.DUMMYFUNCTION("""COMPUTED_VALUE"""),"આધાર કાર્ડ")</f>
        <v>આધાર કાર્ડ</v>
      </c>
      <c r="I320" s="2" t="str">
        <f>IFERROR(__xludf.DUMMYFUNCTION("""COMPUTED_VALUE"""),"आधार कार्ड")</f>
        <v>आधार कार्ड</v>
      </c>
      <c r="J320" s="2" t="str">
        <f>IFERROR(__xludf.DUMMYFUNCTION("""COMPUTED_VALUE"""),"ആധാർ കാർഡ്")</f>
        <v>ആധാർ കാർഡ്</v>
      </c>
      <c r="K320" s="2" t="str">
        <f>IFERROR(__xludf.DUMMYFUNCTION("""COMPUTED_VALUE"""),"ਆਧਾਰ ਕਾਰਡ")</f>
        <v>ਆਧਾਰ ਕਾਰਡ</v>
      </c>
      <c r="L320" s="2" t="str">
        <f>IFERROR(__xludf.DUMMYFUNCTION("""COMPUTED_VALUE"""),"ஆதார் அட்டை")</f>
        <v>ஆதார் அட்டை</v>
      </c>
      <c r="M320" s="2" t="str">
        <f>IFERROR(__xludf.DUMMYFUNCTION("""COMPUTED_VALUE"""),"ఆధార్ కార్డు")</f>
        <v>ఆధార్ కార్డు</v>
      </c>
    </row>
    <row r="321">
      <c r="A321" s="2" t="str">
        <f>Master_en!A321</f>
        <v>idCardNo.</v>
      </c>
      <c r="B321" s="2" t="str">
        <f>Master_en!B321</f>
        <v>ID Card No.</v>
      </c>
      <c r="C321" s="2" t="str">
        <f>IFERROR(__xludf.DUMMYFUNCTION("""COMPUTED_VALUE"""),"আইডি কার্ড নম্বর.")</f>
        <v>আইডি কার্ড নম্বর.</v>
      </c>
      <c r="D321" s="2" t="str">
        <f>IFERROR(__xludf.DUMMYFUNCTION("""COMPUTED_VALUE"""),"पहचान पत्र क्रमांक।")</f>
        <v>पहचान पत्र क्रमांक।</v>
      </c>
      <c r="E321" s="2" t="str">
        <f>IFERROR(__xludf.DUMMYFUNCTION("""COMPUTED_VALUE"""),"ಗುರುತಿನ ಚೀಟಿ ಸಂಖ್ಯೆ")</f>
        <v>ಗುರುತಿನ ಚೀಟಿ ಸಂಖ್ಯೆ</v>
      </c>
      <c r="F321" s="2" t="str">
        <f>IFERROR(__xludf.DUMMYFUNCTION("""COMPUTED_VALUE"""),"Id କାର୍ଡ ନମ୍ବର")</f>
        <v>Id କାର୍ଡ ନମ୍ବର</v>
      </c>
      <c r="G321" s="2" t="str">
        <f>IFERROR(__xludf.DUMMYFUNCTION("""COMPUTED_VALUE"""),"আইডি কাৰ্ড নং.")</f>
        <v>আইডি কাৰ্ড নং.</v>
      </c>
      <c r="H321" s="2" t="str">
        <f>IFERROR(__xludf.DUMMYFUNCTION("""COMPUTED_VALUE"""),"આઈડી કાર્ડ નંબર")</f>
        <v>આઈડી કાર્ડ નંબર</v>
      </c>
      <c r="I321" s="2" t="str">
        <f>IFERROR(__xludf.DUMMYFUNCTION("""COMPUTED_VALUE"""),"आयडी कार्ड क्रमांक")</f>
        <v>आयडी कार्ड क्रमांक</v>
      </c>
      <c r="J321" s="2" t="str">
        <f>IFERROR(__xludf.DUMMYFUNCTION("""COMPUTED_VALUE"""),"ഐഡി കാർഡ് നമ്പർ.")</f>
        <v>ഐഡി കാർഡ് നമ്പർ.</v>
      </c>
      <c r="K321" s="2" t="str">
        <f>IFERROR(__xludf.DUMMYFUNCTION("""COMPUTED_VALUE"""),"ਆਈਡੀ ਕਾਰਡ ਨੰਬਰ")</f>
        <v>ਆਈਡੀ ਕਾਰਡ ਨੰਬਰ</v>
      </c>
      <c r="L321" s="2" t="str">
        <f>IFERROR(__xludf.DUMMYFUNCTION("""COMPUTED_VALUE"""),"அடையாள அட்டை எண்")</f>
        <v>அடையாள அட்டை எண்</v>
      </c>
      <c r="M321" s="2" t="str">
        <f>IFERROR(__xludf.DUMMYFUNCTION("""COMPUTED_VALUE"""),"ఐడి కార్డ్ నం.")</f>
        <v>ఐడి కార్డ్ నం.</v>
      </c>
    </row>
    <row r="322">
      <c r="A322" s="2" t="str">
        <f>Master_en!A322</f>
        <v>uploadPanCard</v>
      </c>
      <c r="B322" s="2" t="str">
        <f>Master_en!B322</f>
        <v>Upload PAN Card</v>
      </c>
      <c r="C322" s="2" t="str">
        <f>IFERROR(__xludf.DUMMYFUNCTION("""COMPUTED_VALUE"""),"প্যান কার্ড আপলোড করুন")</f>
        <v>প্যান কার্ড আপলোড করুন</v>
      </c>
      <c r="D322" s="2" t="str">
        <f>IFERROR(__xludf.DUMMYFUNCTION("""COMPUTED_VALUE"""),"पैन कार्ड अपलोड करें")</f>
        <v>पैन कार्ड अपलोड करें</v>
      </c>
      <c r="E322" s="2" t="str">
        <f>IFERROR(__xludf.DUMMYFUNCTION("""COMPUTED_VALUE""")," ಪ್ಯಾನ್ ಕಾರ್ಡ್ ನೊಂದಾವಣೆ ಮಾಡಿ")</f>
        <v> ಪ್ಯಾನ್ ಕಾರ್ಡ್ ನೊಂದಾವಣೆ ಮಾಡಿ</v>
      </c>
      <c r="F322" s="2" t="str">
        <f>IFERROR(__xludf.DUMMYFUNCTION("""COMPUTED_VALUE"""),"ପ୍ୟାନ କାର୍ଡ ଅପଲୋଡ୍ କରନ୍ତୁ |")</f>
        <v>ପ୍ୟାନ କାର୍ଡ ଅପଲୋଡ୍ କରନ୍ତୁ |</v>
      </c>
      <c r="G322" s="2" t="str">
        <f>IFERROR(__xludf.DUMMYFUNCTION("""COMPUTED_VALUE"""),"PAN কাৰ্ড আপলোড কৰক")</f>
        <v>PAN কাৰ্ড আপলোড কৰক</v>
      </c>
      <c r="H322" s="2" t="str">
        <f>IFERROR(__xludf.DUMMYFUNCTION("""COMPUTED_VALUE"""),"પાન કાર્ડ અપલોડ કરો")</f>
        <v>પાન કાર્ડ અપલોડ કરો</v>
      </c>
      <c r="I322" s="2" t="str">
        <f>IFERROR(__xludf.DUMMYFUNCTION("""COMPUTED_VALUE"""),"पॅन कार्ड अपलोड करा")</f>
        <v>पॅन कार्ड अपलोड करा</v>
      </c>
      <c r="J322" s="2" t="str">
        <f>IFERROR(__xludf.DUMMYFUNCTION("""COMPUTED_VALUE"""),"പാൻ കാർഡ് അപ്ലോഡുചെയ്യുക")</f>
        <v>പാൻ കാർഡ് അപ്ലോഡുചെയ്യുക</v>
      </c>
      <c r="K322" s="2" t="str">
        <f>IFERROR(__xludf.DUMMYFUNCTION("""COMPUTED_VALUE"""),"ਪੈਨ ਕਾਰਡ ਅਪਲੋਡ ਕਰੋ")</f>
        <v>ਪੈਨ ਕਾਰਡ ਅਪਲੋਡ ਕਰੋ</v>
      </c>
      <c r="L322" s="2" t="str">
        <f>IFERROR(__xludf.DUMMYFUNCTION("""COMPUTED_VALUE"""),"பான் கார்டைப் பதிவேற்றவும்")</f>
        <v>பான் கார்டைப் பதிவேற்றவும்</v>
      </c>
      <c r="M322" s="2" t="str">
        <f>IFERROR(__xludf.DUMMYFUNCTION("""COMPUTED_VALUE"""),"పాన్ కార్డును అప్‌లోడ్ చేయండి")</f>
        <v>పాన్ కార్డును అప్‌లోడ్ చేయండి</v>
      </c>
    </row>
    <row r="323">
      <c r="A323" s="2" t="str">
        <f>Master_en!A323</f>
        <v>panCardNo</v>
      </c>
      <c r="B323" s="2" t="str">
        <f>Master_en!B323</f>
        <v>PAN Card No.</v>
      </c>
      <c r="C323" s="2" t="str">
        <f>IFERROR(__xludf.DUMMYFUNCTION("""COMPUTED_VALUE"""),"প্যান কার্ড নং")</f>
        <v>প্যান কার্ড নং</v>
      </c>
      <c r="D323" s="2" t="str">
        <f>IFERROR(__xludf.DUMMYFUNCTION("""COMPUTED_VALUE"""),"पैन कार्ड नं।")</f>
        <v>पैन कार्ड नं।</v>
      </c>
      <c r="E323" s="2" t="str">
        <f>IFERROR(__xludf.DUMMYFUNCTION("""COMPUTED_VALUE"""),"ಪ್ಯಾನ್ ಕಾರ್ಡ್ ಇಲ್ಲ.")</f>
        <v>ಪ್ಯಾನ್ ಕಾರ್ಡ್ ಇಲ್ಲ.</v>
      </c>
      <c r="F323" s="2" t="str">
        <f>IFERROR(__xludf.DUMMYFUNCTION("""COMPUTED_VALUE"""),"ପାନ୍ କାର୍ଡ ନମ୍ବର")</f>
        <v>ପାନ୍ କାର୍ଡ ନମ୍ବର</v>
      </c>
      <c r="G323" s="2" t="str">
        <f>IFERROR(__xludf.DUMMYFUNCTION("""COMPUTED_VALUE"""),"পান কাৰ্ড নং.")</f>
        <v>পান কাৰ্ড নং.</v>
      </c>
      <c r="H323" s="2" t="str">
        <f>IFERROR(__xludf.DUMMYFUNCTION("""COMPUTED_VALUE"""),"પાન કાર્ડ નંબર")</f>
        <v>પાન કાર્ડ નંબર</v>
      </c>
      <c r="I323" s="2" t="str">
        <f>IFERROR(__xludf.DUMMYFUNCTION("""COMPUTED_VALUE"""),"पॅन कार्ड क्रमांक")</f>
        <v>पॅन कार्ड क्रमांक</v>
      </c>
      <c r="J323" s="2" t="str">
        <f>IFERROR(__xludf.DUMMYFUNCTION("""COMPUTED_VALUE"""),"പാൻ കാർഡ് നമ്പർ.")</f>
        <v>പാൻ കാർഡ് നമ്പർ.</v>
      </c>
      <c r="K323" s="2" t="str">
        <f>IFERROR(__xludf.DUMMYFUNCTION("""COMPUTED_VALUE"""),"ਪੈਨ ਕਾਰਡ ਨੰਬਰ")</f>
        <v>ਪੈਨ ਕਾਰਡ ਨੰਬਰ</v>
      </c>
      <c r="L323" s="2" t="str">
        <f>IFERROR(__xludf.DUMMYFUNCTION("""COMPUTED_VALUE"""),"பான் கார்டு எண்.")</f>
        <v>பான் கார்டு எண்.</v>
      </c>
      <c r="M323" s="2" t="str">
        <f>IFERROR(__xludf.DUMMYFUNCTION("""COMPUTED_VALUE"""),"పాన్ కార్డ్ నం.")</f>
        <v>పాన్ కార్డ్ నం.</v>
      </c>
    </row>
    <row r="324">
      <c r="A324" s="2" t="str">
        <f>Master_en!A324</f>
        <v>uploadFileForm</v>
      </c>
      <c r="B324" s="2" t="str">
        <f>Master_en!B324</f>
        <v>Upload file from</v>
      </c>
      <c r="C324" s="2" t="str">
        <f>IFERROR(__xludf.DUMMYFUNCTION("""COMPUTED_VALUE"""),"থেকে ফাইল আপলোড করুন")</f>
        <v>থেকে ফাইল আপলোড করুন</v>
      </c>
      <c r="D324" s="2" t="str">
        <f>IFERROR(__xludf.DUMMYFUNCTION("""COMPUTED_VALUE"""),"से फ़ाइल अपलोड करें")</f>
        <v>से फ़ाइल अपलोड करें</v>
      </c>
      <c r="E324" s="2" t="str">
        <f>IFERROR(__xludf.DUMMYFUNCTION("""COMPUTED_VALUE"""),"ನಿಂದ ಫೈಲ್ ಅಪ್‌ಲೋಡ್ ಮಾಡಿ")</f>
        <v>ನಿಂದ ಫೈಲ್ ಅಪ್‌ಲೋಡ್ ಮಾಡಿ</v>
      </c>
      <c r="F324" s="2" t="str">
        <f>IFERROR(__xludf.DUMMYFUNCTION("""COMPUTED_VALUE"""),"ଏଥିରୁ ଫାଇଲ୍ ଅପଲୋଡ୍ କରନ୍ତୁ |")</f>
        <v>ଏଥିରୁ ଫାଇଲ୍ ଅପଲୋଡ୍ କରନ୍ତୁ |</v>
      </c>
      <c r="G324" s="2" t="str">
        <f>IFERROR(__xludf.DUMMYFUNCTION("""COMPUTED_VALUE"""),"ৰ পৰা ফাইল আপল'ড কৰক")</f>
        <v>ৰ পৰা ফাইল আপল'ড কৰক</v>
      </c>
      <c r="H324" s="2" t="str">
        <f>IFERROR(__xludf.DUMMYFUNCTION("""COMPUTED_VALUE"""),"માંથી ફાઇલ અપલોડ કરો")</f>
        <v>માંથી ફાઇલ અપલોડ કરો</v>
      </c>
      <c r="I324" s="2" t="str">
        <f>IFERROR(__xludf.DUMMYFUNCTION("""COMPUTED_VALUE"""),"वरून फाइल अपलोड करा")</f>
        <v>वरून फाइल अपलोड करा</v>
      </c>
      <c r="J324" s="2" t="str">
        <f>IFERROR(__xludf.DUMMYFUNCTION("""COMPUTED_VALUE"""),"ഫയൽ അപ്ലോഡുചെയ്യുക")</f>
        <v>ഫയൽ അപ്ലോഡുചെയ്യുക</v>
      </c>
      <c r="K324" s="2" t="str">
        <f>IFERROR(__xludf.DUMMYFUNCTION("""COMPUTED_VALUE"""),"ਤੋਂ ਫਾਈਲ ਅਪਲੋਡ ਕਰੋ")</f>
        <v>ਤੋਂ ਫਾਈਲ ਅਪਲੋਡ ਕਰੋ</v>
      </c>
      <c r="L324" s="2" t="str">
        <f>IFERROR(__xludf.DUMMYFUNCTION("""COMPUTED_VALUE"""),"இருந்து கோப்பைப் பதிவேற்றவும்")</f>
        <v>இருந்து கோப்பைப் பதிவேற்றவும்</v>
      </c>
      <c r="M324" s="2" t="str">
        <f>IFERROR(__xludf.DUMMYFUNCTION("""COMPUTED_VALUE"""),"ఫైల్ నుండి అప్‌లోడ్ చేయండి")</f>
        <v>ఫైల్ నుండి అప్‌లోడ్ చేయండి</v>
      </c>
    </row>
    <row r="325">
      <c r="A325" s="2" t="str">
        <f>Master_en!A325</f>
        <v>bankDetails</v>
      </c>
      <c r="B325" s="2" t="str">
        <f>Master_en!B325</f>
        <v>Bank Details</v>
      </c>
      <c r="C325" s="2" t="str">
        <f>IFERROR(__xludf.DUMMYFUNCTION("""COMPUTED_VALUE"""),"ব্যাংক বিবরণ")</f>
        <v>ব্যাংক বিবরণ</v>
      </c>
      <c r="D325" s="2" t="str">
        <f>IFERROR(__xludf.DUMMYFUNCTION("""COMPUTED_VALUE"""),"बैंक विवरण")</f>
        <v>बैंक विवरण</v>
      </c>
      <c r="E325" s="2" t="str">
        <f>IFERROR(__xludf.DUMMYFUNCTION("""COMPUTED_VALUE"""),"ಬ್ಯಾಂಕ್ ವಿವರಗಳು")</f>
        <v>ಬ್ಯಾಂಕ್ ವಿವರಗಳು</v>
      </c>
      <c r="F325" s="2" t="str">
        <f>IFERROR(__xludf.DUMMYFUNCTION("""COMPUTED_VALUE"""),"ବ୍ୟାଙ୍କ ବିବରଣୀ")</f>
        <v>ବ୍ୟାଙ୍କ ବିବରଣୀ</v>
      </c>
      <c r="G325" s="2" t="str">
        <f>IFERROR(__xludf.DUMMYFUNCTION("""COMPUTED_VALUE"""),"বেংকৰ বিৱৰণ")</f>
        <v>বেংকৰ বিৱৰণ</v>
      </c>
      <c r="H325" s="2" t="str">
        <f>IFERROR(__xludf.DUMMYFUNCTION("""COMPUTED_VALUE"""),"બેંકની વિગત")</f>
        <v>બેંકની વિગત</v>
      </c>
      <c r="I325" s="2" t="str">
        <f>IFERROR(__xludf.DUMMYFUNCTION("""COMPUTED_VALUE"""),"बँक तपशील")</f>
        <v>बँक तपशील</v>
      </c>
      <c r="J325" s="2" t="str">
        <f>IFERROR(__xludf.DUMMYFUNCTION("""COMPUTED_VALUE"""),"ബാങ്ക് വിശദാംശങ്ങൾ")</f>
        <v>ബാങ്ക് വിശദാംശങ്ങൾ</v>
      </c>
      <c r="K325" s="2" t="str">
        <f>IFERROR(__xludf.DUMMYFUNCTION("""COMPUTED_VALUE"""),"ਬੈਂਕ ਵੇਰਵੇ")</f>
        <v>ਬੈਂਕ ਵੇਰਵੇ</v>
      </c>
      <c r="L325" s="2" t="str">
        <f>IFERROR(__xludf.DUMMYFUNCTION("""COMPUTED_VALUE"""),"வங்கி விவரங்கள்")</f>
        <v>வங்கி விவரங்கள்</v>
      </c>
      <c r="M325" s="2" t="str">
        <f>IFERROR(__xludf.DUMMYFUNCTION("""COMPUTED_VALUE"""),"బ్యాంక్ వివరములు")</f>
        <v>బ్యాంక్ వివరములు</v>
      </c>
    </row>
    <row r="326">
      <c r="A326" s="2" t="str">
        <f>Master_en!A326</f>
        <v>BeneficiaryName</v>
      </c>
      <c r="B326" s="2" t="str">
        <f>Master_en!B326</f>
        <v>Beneficiary Name</v>
      </c>
      <c r="C326" s="2" t="str">
        <f>IFERROR(__xludf.DUMMYFUNCTION("""COMPUTED_VALUE"""),"সুবিধা প্রাপ্ত নাম")</f>
        <v>সুবিধা প্রাপ্ত নাম</v>
      </c>
      <c r="D326" s="2" t="str">
        <f>IFERROR(__xludf.DUMMYFUNCTION("""COMPUTED_VALUE"""),"लाभार्थी का नाम")</f>
        <v>लाभार्थी का नाम</v>
      </c>
      <c r="E326" s="2" t="str">
        <f>IFERROR(__xludf.DUMMYFUNCTION("""COMPUTED_VALUE"""),"ಫಲಾನುಭವಿ ಹೆಸರು")</f>
        <v>ಫಲಾನುಭವಿ ಹೆಸರು</v>
      </c>
      <c r="F326" s="2" t="str">
        <f>IFERROR(__xludf.DUMMYFUNCTION("""COMPUTED_VALUE"""),"ହିତାଧିକାରୀ ନାମ")</f>
        <v>ହିତାଧିକାରୀ ନାମ</v>
      </c>
      <c r="G326" s="2" t="str">
        <f>IFERROR(__xludf.DUMMYFUNCTION("""COMPUTED_VALUE"""),"হিতাধিকাৰীৰ নাম")</f>
        <v>হিতাধিকাৰীৰ নাম</v>
      </c>
      <c r="H326" s="2" t="str">
        <f>IFERROR(__xludf.DUMMYFUNCTION("""COMPUTED_VALUE"""),"લાભકારી નામ")</f>
        <v>લાભકારી નામ</v>
      </c>
      <c r="I326" s="2" t="str">
        <f>IFERROR(__xludf.DUMMYFUNCTION("""COMPUTED_VALUE"""),"लाभार्थीचे नाव")</f>
        <v>लाभार्थीचे नाव</v>
      </c>
      <c r="J326" s="2" t="str">
        <f>IFERROR(__xludf.DUMMYFUNCTION("""COMPUTED_VALUE"""),"ഗുണഭോക്താവിന്റെ പേര്")</f>
        <v>ഗുണഭോക്താവിന്റെ പേര്</v>
      </c>
      <c r="K326" s="2" t="str">
        <f>IFERROR(__xludf.DUMMYFUNCTION("""COMPUTED_VALUE"""),"ਲਾਭਪਾਤਰੀ ਦਾ ਨਾਮ")</f>
        <v>ਲਾਭਪਾਤਰੀ ਦਾ ਨਾਮ</v>
      </c>
      <c r="L326" s="2" t="str">
        <f>IFERROR(__xludf.DUMMYFUNCTION("""COMPUTED_VALUE"""),"நலன்பெறுநர் பெயர்")</f>
        <v>நலன்பெறுநர் பெயர்</v>
      </c>
      <c r="M326" s="2" t="str">
        <f>IFERROR(__xludf.DUMMYFUNCTION("""COMPUTED_VALUE"""),"లబ్దిదారుని పేరు")</f>
        <v>లబ్దిదారుని పేరు</v>
      </c>
    </row>
    <row r="327">
      <c r="A327" s="2" t="str">
        <f>Master_en!A327</f>
        <v>bankName</v>
      </c>
      <c r="B327" s="2" t="str">
        <f>Master_en!B327</f>
        <v>Bank Name</v>
      </c>
      <c r="C327" s="2" t="str">
        <f>IFERROR(__xludf.DUMMYFUNCTION("""COMPUTED_VALUE"""),"ব্যাংকের নাম")</f>
        <v>ব্যাংকের নাম</v>
      </c>
      <c r="D327" s="2" t="str">
        <f>IFERROR(__xludf.DUMMYFUNCTION("""COMPUTED_VALUE"""),"बैंक का नाम")</f>
        <v>बैंक का नाम</v>
      </c>
      <c r="E327" s="2" t="str">
        <f>IFERROR(__xludf.DUMMYFUNCTION("""COMPUTED_VALUE"""),"ಬ್ಯಾಂಕ್ ಹೆಸರು")</f>
        <v>ಬ್ಯಾಂಕ್ ಹೆಸರು</v>
      </c>
      <c r="F327" s="2" t="str">
        <f>IFERROR(__xludf.DUMMYFUNCTION("""COMPUTED_VALUE"""),"ବ୍ୟାଙ୍କ ନାମ")</f>
        <v>ବ୍ୟାଙ୍କ ନାମ</v>
      </c>
      <c r="G327" s="2" t="str">
        <f>IFERROR(__xludf.DUMMYFUNCTION("""COMPUTED_VALUE"""),"বেংকৰ নাম")</f>
        <v>বেংকৰ নাম</v>
      </c>
      <c r="H327" s="2" t="str">
        <f>IFERROR(__xludf.DUMMYFUNCTION("""COMPUTED_VALUE"""),"બેંકનું નામ")</f>
        <v>બેંકનું નામ</v>
      </c>
      <c r="I327" s="2" t="str">
        <f>IFERROR(__xludf.DUMMYFUNCTION("""COMPUTED_VALUE"""),"बँकेचे नाव")</f>
        <v>बँकेचे नाव</v>
      </c>
      <c r="J327" s="2" t="str">
        <f>IFERROR(__xludf.DUMMYFUNCTION("""COMPUTED_VALUE"""),"ബാങ്കിന്റെ പേര്")</f>
        <v>ബാങ്കിന്റെ പേര്</v>
      </c>
      <c r="K327" s="2" t="str">
        <f>IFERROR(__xludf.DUMMYFUNCTION("""COMPUTED_VALUE"""),"ਬੈਂਕ ਦਾ ਨਾਮ")</f>
        <v>ਬੈਂਕ ਦਾ ਨਾਮ</v>
      </c>
      <c r="L327" s="2" t="str">
        <f>IFERROR(__xludf.DUMMYFUNCTION("""COMPUTED_VALUE"""),"வங்கி பெயர்")</f>
        <v>வங்கி பெயர்</v>
      </c>
      <c r="M327" s="2" t="str">
        <f>IFERROR(__xludf.DUMMYFUNCTION("""COMPUTED_VALUE"""),"బ్యాంక్ పేరు")</f>
        <v>బ్యాంక్ పేరు</v>
      </c>
    </row>
    <row r="328">
      <c r="A328" s="2" t="str">
        <f>Master_en!A328</f>
        <v>accountNo</v>
      </c>
      <c r="B328" s="2" t="str">
        <f>Master_en!B328</f>
        <v>Account No.</v>
      </c>
      <c r="C328" s="2" t="str">
        <f>IFERROR(__xludf.DUMMYFUNCTION("""COMPUTED_VALUE"""),"হিসাব নাম্বার.")</f>
        <v>হিসাব নাম্বার.</v>
      </c>
      <c r="D328" s="2" t="str">
        <f>IFERROR(__xludf.DUMMYFUNCTION("""COMPUTED_VALUE"""),"खाता नंबर")</f>
        <v>खाता नंबर</v>
      </c>
      <c r="E328" s="2" t="str">
        <f>IFERROR(__xludf.DUMMYFUNCTION("""COMPUTED_VALUE"""),"ಖಾತೆ ಸಂಖ್ಯೆ")</f>
        <v>ಖಾತೆ ಸಂಖ್ಯೆ</v>
      </c>
      <c r="F328" s="2" t="str">
        <f>IFERROR(__xludf.DUMMYFUNCTION("""COMPUTED_VALUE"""),"ଖାତା ନମ୍ବର")</f>
        <v>ଖାତା ନମ୍ବର</v>
      </c>
      <c r="G328" s="2" t="str">
        <f>IFERROR(__xludf.DUMMYFUNCTION("""COMPUTED_VALUE"""),"একাউণ্ট নং.")</f>
        <v>একাউণ্ট নং.</v>
      </c>
      <c r="H328" s="2" t="str">
        <f>IFERROR(__xludf.DUMMYFUNCTION("""COMPUTED_VALUE"""),"ખાતા નં.")</f>
        <v>ખાતા નં.</v>
      </c>
      <c r="I328" s="2" t="str">
        <f>IFERROR(__xludf.DUMMYFUNCTION("""COMPUTED_VALUE"""),"खाते क्रमांक.")</f>
        <v>खाते क्रमांक.</v>
      </c>
      <c r="J328" s="2" t="str">
        <f>IFERROR(__xludf.DUMMYFUNCTION("""COMPUTED_VALUE"""),"അക്കൗണ്ട് നമ്പർ.")</f>
        <v>അക്കൗണ്ട് നമ്പർ.</v>
      </c>
      <c r="K328" s="2" t="str">
        <f>IFERROR(__xludf.DUMMYFUNCTION("""COMPUTED_VALUE"""),"ਖਾਤਾ ਨੰਬਰ")</f>
        <v>ਖਾਤਾ ਨੰਬਰ</v>
      </c>
      <c r="L328" s="2" t="str">
        <f>IFERROR(__xludf.DUMMYFUNCTION("""COMPUTED_VALUE"""),"கணக்கு எண்.")</f>
        <v>கணக்கு எண்.</v>
      </c>
      <c r="M328" s="2" t="str">
        <f>IFERROR(__xludf.DUMMYFUNCTION("""COMPUTED_VALUE"""),"ఖాతా సంఖ్య.")</f>
        <v>ఖాతా సంఖ్య.</v>
      </c>
    </row>
    <row r="329">
      <c r="A329" s="2" t="str">
        <f>Master_en!A329</f>
        <v>ifsc</v>
      </c>
      <c r="B329" s="2" t="str">
        <f>Master_en!B329</f>
        <v>IFSC</v>
      </c>
      <c r="C329" s="2" t="str">
        <f>IFERROR(__xludf.DUMMYFUNCTION("""COMPUTED_VALUE"""),"আইএফএসসি")</f>
        <v>আইএফএসসি</v>
      </c>
      <c r="D329" s="2" t="str">
        <f>IFERROR(__xludf.DUMMYFUNCTION("""COMPUTED_VALUE"""),"आईएफएससी")</f>
        <v>आईएफएससी</v>
      </c>
      <c r="E329" s="2" t="str">
        <f>IFERROR(__xludf.DUMMYFUNCTION("""COMPUTED_VALUE"""),"ಐಎಫ್ಎಸ್ಸಿ")</f>
        <v>ಐಎಫ್ಎಸ್ಸಿ</v>
      </c>
      <c r="F329" s="2" t="str">
        <f>IFERROR(__xludf.DUMMYFUNCTION("""COMPUTED_VALUE"""),"Ifsc")</f>
        <v>Ifsc</v>
      </c>
      <c r="G329" s="2" t="str">
        <f>IFERROR(__xludf.DUMMYFUNCTION("""COMPUTED_VALUE"""),"আই এফ এছ চি")</f>
        <v>আই এফ এছ চি</v>
      </c>
      <c r="H329" s="2" t="str">
        <f>IFERROR(__xludf.DUMMYFUNCTION("""COMPUTED_VALUE"""),"આઈએફએસસી")</f>
        <v>આઈએફએસસી</v>
      </c>
      <c r="I329" s="2" t="str">
        <f>IFERROR(__xludf.DUMMYFUNCTION("""COMPUTED_VALUE"""),"आय एफ एस सी")</f>
        <v>आय एफ एस सी</v>
      </c>
      <c r="J329" s="2" t="str">
        <f>IFERROR(__xludf.DUMMYFUNCTION("""COMPUTED_VALUE"""),"Ifsc")</f>
        <v>Ifsc</v>
      </c>
      <c r="K329" s="2" t="str">
        <f>IFERROR(__xludf.DUMMYFUNCTION("""COMPUTED_VALUE"""),"Ifsc")</f>
        <v>Ifsc</v>
      </c>
      <c r="L329" s="2" t="str">
        <f>IFERROR(__xludf.DUMMYFUNCTION("""COMPUTED_VALUE"""),"IFSC")</f>
        <v>IFSC</v>
      </c>
      <c r="M329" s="2" t="str">
        <f>IFERROR(__xludf.DUMMYFUNCTION("""COMPUTED_VALUE"""),"IFSC")</f>
        <v>IFSC</v>
      </c>
    </row>
    <row r="330">
      <c r="A330" s="2" t="str">
        <f>Master_en!A330</f>
        <v>uploadPassbookPhoto</v>
      </c>
      <c r="B330" s="2" t="str">
        <f>Master_en!B330</f>
        <v>Upload Passbook photo</v>
      </c>
      <c r="C330" s="2" t="str">
        <f>IFERROR(__xludf.DUMMYFUNCTION("""COMPUTED_VALUE"""),"পাসবুক ফটো আপলোড করুন")</f>
        <v>পাসবুক ফটো আপলোড করুন</v>
      </c>
      <c r="D330" s="2" t="str">
        <f>IFERROR(__xludf.DUMMYFUNCTION("""COMPUTED_VALUE"""),"पासबुक फोटो अपलोड करें")</f>
        <v>पासबुक फोटो अपलोड करें</v>
      </c>
      <c r="E330" s="2" t="str">
        <f>IFERROR(__xludf.DUMMYFUNCTION("""COMPUTED_VALUE"""),"ಮುಖ ಪುಟಕ್ಕೆ ಭಾವಚಿತ್ರ ನೊಂದಾವಣೆ  ಮಾಡಿ")</f>
        <v>ಮುಖ ಪುಟಕ್ಕೆ ಭಾವಚಿತ್ರ ನೊಂದಾವಣೆ  ಮಾಡಿ</v>
      </c>
      <c r="F330" s="2" t="str">
        <f>IFERROR(__xludf.DUMMYFUNCTION("""COMPUTED_VALUE"""),"ପାସବୁକ୍ ଫଟୋ ଅପଲୋଡ୍ କରନ୍ତୁ |")</f>
        <v>ପାସବୁକ୍ ଫଟୋ ଅପଲୋଡ୍ କରନ୍ତୁ |</v>
      </c>
      <c r="G330" s="2" t="str">
        <f>IFERROR(__xludf.DUMMYFUNCTION("""COMPUTED_VALUE"""),"পাছবুকৰ ফটো আপলোড কৰক")</f>
        <v>পাছবুকৰ ফটো আপলোড কৰক</v>
      </c>
      <c r="H330" s="2" t="str">
        <f>IFERROR(__xludf.DUMMYFUNCTION("""COMPUTED_VALUE"""),"પાસબુક ફોટો અપલોડ કરો")</f>
        <v>પાસબુક ફોટો અપલોડ કરો</v>
      </c>
      <c r="I330" s="2" t="str">
        <f>IFERROR(__xludf.DUMMYFUNCTION("""COMPUTED_VALUE"""),"पासबुक फोटो अपलोड करा")</f>
        <v>पासबुक फोटो अपलोड करा</v>
      </c>
      <c r="J330" s="2" t="str">
        <f>IFERROR(__xludf.DUMMYFUNCTION("""COMPUTED_VALUE"""),"പാസ്ബുക്ക് ഫോട്ടോ അപ്ലോഡുചെയ്യുക")</f>
        <v>പാസ്ബുക്ക് ഫോട്ടോ അപ്ലോഡുചെയ്യുക</v>
      </c>
      <c r="K330" s="2" t="str">
        <f>IFERROR(__xludf.DUMMYFUNCTION("""COMPUTED_VALUE"""),"ਪਾਸਵਰਡ ਕਿਤਾਬ ਅਪਲੋਡ ਕਰੋ")</f>
        <v>ਪਾਸਵਰਡ ਕਿਤਾਬ ਅਪਲੋਡ ਕਰੋ</v>
      </c>
      <c r="L330" s="2" t="str">
        <f>IFERROR(__xludf.DUMMYFUNCTION("""COMPUTED_VALUE"""),"பாஸ்புக் புகைப்படத்தை பதிவேற்றவும்")</f>
        <v>பாஸ்புக் புகைப்படத்தை பதிவேற்றவும்</v>
      </c>
      <c r="M330" s="2" t="str">
        <f>IFERROR(__xludf.DUMMYFUNCTION("""COMPUTED_VALUE"""),"పాస్‌బుక్ ఫోటోను అప్‌లోడ్ చేయండి")</f>
        <v>పాస్‌బుక్ ఫోటోను అప్‌లోడ్ చేయండి</v>
      </c>
    </row>
    <row r="331">
      <c r="A331" s="2" t="str">
        <f>Master_en!A331</f>
        <v>passbookphoto</v>
      </c>
      <c r="B331" s="2" t="str">
        <f>Master_en!B331</f>
        <v>Passbook Photo</v>
      </c>
      <c r="C331" s="2" t="str">
        <f>IFERROR(__xludf.DUMMYFUNCTION("""COMPUTED_VALUE"""),"পাসবুক ফটো")</f>
        <v>পাসবুক ফটো</v>
      </c>
      <c r="D331" s="2" t="str">
        <f>IFERROR(__xludf.DUMMYFUNCTION("""COMPUTED_VALUE"""),"पासबुक फोटो ")</f>
        <v>पासबुक फोटो </v>
      </c>
      <c r="E331" s="2" t="str">
        <f>IFERROR(__xludf.DUMMYFUNCTION("""COMPUTED_VALUE"""),"ಪಾಸ್‌ಬುಕ್ ಫೋಟೋ")</f>
        <v>ಪಾಸ್‌ಬುಕ್ ಫೋಟೋ</v>
      </c>
      <c r="F331" s="2" t="str">
        <f>IFERROR(__xludf.DUMMYFUNCTION("""COMPUTED_VALUE"""),"ପାସ୍ ବୁକ୍ ଫଟୋ |")</f>
        <v>ପାସ୍ ବୁକ୍ ଫଟୋ |</v>
      </c>
      <c r="G331" s="2" t="str">
        <f>IFERROR(__xludf.DUMMYFUNCTION("""COMPUTED_VALUE"""),"পাছবুক ফটো")</f>
        <v>পাছবুক ফটো</v>
      </c>
      <c r="H331" s="2" t="str">
        <f>IFERROR(__xludf.DUMMYFUNCTION("""COMPUTED_VALUE"""),"પાસબુક ફોટો")</f>
        <v>પાસબુક ફોટો</v>
      </c>
      <c r="I331" s="2" t="str">
        <f>IFERROR(__xludf.DUMMYFUNCTION("""COMPUTED_VALUE"""),"पासबुक फोटो")</f>
        <v>पासबुक फोटो</v>
      </c>
      <c r="J331" s="2" t="str">
        <f>IFERROR(__xludf.DUMMYFUNCTION("""COMPUTED_VALUE"""),"പാസ്ബുക്ക് ഫോട്ടോ")</f>
        <v>പാസ്ബുക്ക് ഫോട്ടോ</v>
      </c>
      <c r="K331" s="2" t="str">
        <f>IFERROR(__xludf.DUMMYFUNCTION("""COMPUTED_VALUE"""),"ਪਾਸਬੁੱਕ ਫੋਟੋ")</f>
        <v>ਪਾਸਬੁੱਕ ਫੋਟੋ</v>
      </c>
      <c r="L331" s="2" t="str">
        <f>IFERROR(__xludf.DUMMYFUNCTION("""COMPUTED_VALUE"""),"பாஸ் புக் புகைப்படம்")</f>
        <v>பாஸ் புக் புகைப்படம்</v>
      </c>
      <c r="M331" s="2" t="str">
        <f>IFERROR(__xludf.DUMMYFUNCTION("""COMPUTED_VALUE"""),"పాస్‌బుక్ ఫోటో")</f>
        <v>పాస్‌బుక్ ఫోటో</v>
      </c>
    </row>
    <row r="332">
      <c r="A332" s="2" t="str">
        <f>Master_en!A332</f>
        <v>pendingOrders</v>
      </c>
      <c r="B332" s="2" t="str">
        <f>Master_en!B332</f>
        <v>Pending Orders</v>
      </c>
      <c r="C332" s="2" t="str">
        <f>IFERROR(__xludf.DUMMYFUNCTION("""COMPUTED_VALUE"""),"মুলতুবি আদেশ")</f>
        <v>মুলতুবি আদেশ</v>
      </c>
      <c r="D332" s="2" t="str">
        <f>IFERROR(__xludf.DUMMYFUNCTION("""COMPUTED_VALUE"""),"लंबित ऑर्डर")</f>
        <v>लंबित ऑर्डर</v>
      </c>
      <c r="E332" s="2" t="str">
        <f>IFERROR(__xludf.DUMMYFUNCTION("""COMPUTED_VALUE"""),"ಬಾಕಿ ಉಳಿದ ಆದೇಶಗಳು")</f>
        <v>ಬಾಕಿ ಉಳಿದ ಆದೇಶಗಳು</v>
      </c>
      <c r="F332" s="2" t="str">
        <f>IFERROR(__xludf.DUMMYFUNCTION("""COMPUTED_VALUE"""),"ପଣ୍ଡାଳନା ଆଦେଶ |")</f>
        <v>ପଣ୍ଡାଳନା ଆଦେଶ |</v>
      </c>
      <c r="G332" s="2" t="str">
        <f>IFERROR(__xludf.DUMMYFUNCTION("""COMPUTED_VALUE"""),"পেণ্ডিং অৰ্ডাৰ")</f>
        <v>পেণ্ডিং অৰ্ডাৰ</v>
      </c>
      <c r="H332" s="2" t="str">
        <f>IFERROR(__xludf.DUMMYFUNCTION("""COMPUTED_VALUE"""),"બાકી આદેશો")</f>
        <v>બાકી આદેશો</v>
      </c>
      <c r="I332" s="2" t="str">
        <f>IFERROR(__xludf.DUMMYFUNCTION("""COMPUTED_VALUE"""),"प्रलंबित ऑर्डर")</f>
        <v>प्रलंबित ऑर्डर</v>
      </c>
      <c r="J332" s="2" t="str">
        <f>IFERROR(__xludf.DUMMYFUNCTION("""COMPUTED_VALUE"""),"ഓർഡറുകൾ ശേഷിക്കുന്നു")</f>
        <v>ഓർഡറുകൾ ശേഷിക്കുന്നു</v>
      </c>
      <c r="K332" s="2" t="str">
        <f>IFERROR(__xludf.DUMMYFUNCTION("""COMPUTED_VALUE"""),"ਲੰਬਿਤ ਆਦੇਸ਼")</f>
        <v>ਲੰਬਿਤ ਆਦੇਸ਼</v>
      </c>
      <c r="L332" s="2" t="str">
        <f>IFERROR(__xludf.DUMMYFUNCTION("""COMPUTED_VALUE"""),"நிலுவையில் உள்ள ஆர்டர்கள்")</f>
        <v>நிலுவையில் உள்ள ஆர்டர்கள்</v>
      </c>
      <c r="M332" s="2" t="str">
        <f>IFERROR(__xludf.DUMMYFUNCTION("""COMPUTED_VALUE"""),"పెండింగ్ ఆర్డర్లు")</f>
        <v>పెండింగ్ ఆర్డర్లు</v>
      </c>
    </row>
    <row r="333">
      <c r="A333" s="2" t="str">
        <f>Master_en!A333</f>
        <v>details</v>
      </c>
      <c r="B333" s="2" t="str">
        <f>Master_en!B333</f>
        <v>Details</v>
      </c>
      <c r="C333" s="2" t="str">
        <f>IFERROR(__xludf.DUMMYFUNCTION("""COMPUTED_VALUE"""),"বিশদ")</f>
        <v>বিশদ</v>
      </c>
      <c r="D333" s="2" t="str">
        <f>IFERROR(__xludf.DUMMYFUNCTION("""COMPUTED_VALUE"""),"विवरण")</f>
        <v>विवरण</v>
      </c>
      <c r="E333" s="2" t="str">
        <f>IFERROR(__xludf.DUMMYFUNCTION("""COMPUTED_VALUE"""),"ವಿವರಗಳು")</f>
        <v>ವಿವರಗಳು</v>
      </c>
      <c r="F333" s="2" t="str">
        <f>IFERROR(__xludf.DUMMYFUNCTION("""COMPUTED_VALUE"""),"ବିବରଣୀ")</f>
        <v>ବିବରଣୀ</v>
      </c>
      <c r="G333" s="2" t="str">
        <f>IFERROR(__xludf.DUMMYFUNCTION("""COMPUTED_VALUE"""),"সবিশেষ")</f>
        <v>সবিশেষ</v>
      </c>
      <c r="H333" s="2" t="str">
        <f>IFERROR(__xludf.DUMMYFUNCTION("""COMPUTED_VALUE"""),"વિગતો")</f>
        <v>વિગતો</v>
      </c>
      <c r="I333" s="2" t="str">
        <f>IFERROR(__xludf.DUMMYFUNCTION("""COMPUTED_VALUE"""),"तपशील")</f>
        <v>तपशील</v>
      </c>
      <c r="J333" s="2" t="str">
        <f>IFERROR(__xludf.DUMMYFUNCTION("""COMPUTED_VALUE"""),"വിശദാംശങ്ങൾ")</f>
        <v>വിശദാംശങ്ങൾ</v>
      </c>
      <c r="K333" s="2" t="str">
        <f>IFERROR(__xludf.DUMMYFUNCTION("""COMPUTED_VALUE"""),"ਵੇਰਵਾ")</f>
        <v>ਵੇਰਵਾ</v>
      </c>
      <c r="L333" s="2" t="str">
        <f>IFERROR(__xludf.DUMMYFUNCTION("""COMPUTED_VALUE"""),"விவரங்கள்")</f>
        <v>விவரங்கள்</v>
      </c>
      <c r="M333" s="2" t="str">
        <f>IFERROR(__xludf.DUMMYFUNCTION("""COMPUTED_VALUE"""),"వివరాలు")</f>
        <v>వివరాలు</v>
      </c>
    </row>
    <row r="334">
      <c r="A334" s="2" t="str">
        <f>Master_en!A334</f>
        <v>reEnterAccountNo</v>
      </c>
      <c r="B334" s="2" t="str">
        <f>Master_en!B334</f>
        <v>Re-enter Account No.</v>
      </c>
      <c r="C334" s="2" t="str">
        <f>IFERROR(__xludf.DUMMYFUNCTION("""COMPUTED_VALUE"""),"পুনরায় প্রবেশের অ্যাকাউন্ট নং")</f>
        <v>পুনরায় প্রবেশের অ্যাকাউন্ট নং</v>
      </c>
      <c r="D334" s="2" t="str">
        <f>IFERROR(__xludf.DUMMYFUNCTION("""COMPUTED_VALUE"""),"खाता संख्या पुनः दर्ज करें।")</f>
        <v>खाता संख्या पुनः दर्ज करें।</v>
      </c>
      <c r="E334" s="2" t="str">
        <f>IFERROR(__xludf.DUMMYFUNCTION("""COMPUTED_VALUE"""),"ಖಾತೆ ಸಂಖ್ಯೆ ಮರು ನಮೂದಿಸಿ")</f>
        <v>ಖಾತೆ ಸಂಖ್ಯೆ ಮರು ನಮೂದಿಸಿ</v>
      </c>
      <c r="F334" s="2" t="str">
        <f>IFERROR(__xludf.DUMMYFUNCTION("""COMPUTED_VALUE"""),"ଖାତା ନମ୍ବର ପୁନ - ପ୍ରବେଶ କରନ୍ତୁ |")</f>
        <v>ଖାତା ନମ୍ବର ପୁନ - ପ୍ରବେଶ କରନ୍ତୁ |</v>
      </c>
      <c r="G334" s="2" t="str">
        <f>IFERROR(__xludf.DUMMYFUNCTION("""COMPUTED_VALUE"""),"একাউণ্ট নং পুনৰ প্ৰৱেশ কৰক।")</f>
        <v>একাউণ্ট নং পুনৰ প্ৰৱেশ কৰক।</v>
      </c>
      <c r="H334" s="2" t="str">
        <f>IFERROR(__xludf.DUMMYFUNCTION("""COMPUTED_VALUE"""),"ફરીથી દાખલ એકાઉન્ટ નંબર.")</f>
        <v>ફરીથી દાખલ એકાઉન્ટ નંબર.</v>
      </c>
      <c r="I334" s="2" t="str">
        <f>IFERROR(__xludf.DUMMYFUNCTION("""COMPUTED_VALUE"""),"खाते क्रमांक पुन्हा प्रविष्ट करा")</f>
        <v>खाते क्रमांक पुन्हा प्रविष्ट करा</v>
      </c>
      <c r="J334" s="2" t="str">
        <f>IFERROR(__xludf.DUMMYFUNCTION("""COMPUTED_VALUE"""),"അക്കൗണ്ട് നമ്പർ വീണ്ടും നൽകുക.")</f>
        <v>അക്കൗണ്ട് നമ്പർ വീണ്ടും നൽകുക.</v>
      </c>
      <c r="K334" s="2" t="str">
        <f>IFERROR(__xludf.DUMMYFUNCTION("""COMPUTED_VALUE"""),"ਖਾਤਾ ਨੰਬਰ ਦੁਬਾਰਾ ਦਰਜ ਕਰੋ")</f>
        <v>ਖਾਤਾ ਨੰਬਰ ਦੁਬਾਰਾ ਦਰਜ ਕਰੋ</v>
      </c>
      <c r="L334" s="2" t="str">
        <f>IFERROR(__xludf.DUMMYFUNCTION("""COMPUTED_VALUE"""),"கணக்கு எண்ணை மீண்டும் உள்ளிடவும்.")</f>
        <v>கணக்கு எண்ணை மீண்டும் உள்ளிடவும்.</v>
      </c>
      <c r="M334" s="2" t="str">
        <f>IFERROR(__xludf.DUMMYFUNCTION("""COMPUTED_VALUE"""),"తిరిగి ఎంటర్ ఖాతా నం.")</f>
        <v>తిరిగి ఎంటర్ ఖాతా నం.</v>
      </c>
    </row>
    <row r="335">
      <c r="A335" s="2" t="str">
        <f>Master_en!A335</f>
        <v>reenteraccountnumber</v>
      </c>
      <c r="B335" s="2" t="str">
        <f>Master_en!B335</f>
        <v>Re-enter Account Number </v>
      </c>
      <c r="C335" s="2" t="str">
        <f>IFERROR(__xludf.DUMMYFUNCTION("""COMPUTED_VALUE"""),"হিসাব নং আবার প্রবেশ করান")</f>
        <v>হিসাব নং আবার প্রবেশ করান</v>
      </c>
      <c r="D335" s="2" t="str">
        <f>IFERROR(__xludf.DUMMYFUNCTION("""COMPUTED_VALUE"""),"खाता संख्या दोबारा प्रविष्ट करें")</f>
        <v>खाता संख्या दोबारा प्रविष्ट करें</v>
      </c>
      <c r="E335" s="2" t="str">
        <f>IFERROR(__xludf.DUMMYFUNCTION("""COMPUTED_VALUE"""),"ಖಾತೆ ಸಂಖ್ಯೆಯನ್ನು ಮರು ನಮೂದಿಸಿ")</f>
        <v>ಖಾತೆ ಸಂಖ್ಯೆಯನ್ನು ಮರು ನಮೂದಿಸಿ</v>
      </c>
      <c r="F335" s="2" t="str">
        <f>IFERROR(__xludf.DUMMYFUNCTION("""COMPUTED_VALUE"""),"ଖାତା ନମ୍ବର ପୁନ - ପ୍ରବେଶ କରନ୍ତୁ |")</f>
        <v>ଖାତା ନମ୍ବର ପୁନ - ପ୍ରବେଶ କରନ୍ତୁ |</v>
      </c>
      <c r="G335" s="2" t="str">
        <f>IFERROR(__xludf.DUMMYFUNCTION("""COMPUTED_VALUE"""),"একাউণ্ট নম্বৰ পুনৰ প্ৰৱেশ কৰক")</f>
        <v>একাউণ্ট নম্বৰ পুনৰ প্ৰৱেশ কৰক</v>
      </c>
      <c r="H335" s="2" t="str">
        <f>IFERROR(__xludf.DUMMYFUNCTION("""COMPUTED_VALUE"""),"ફરી દાખલ હિસાબ નંબર")</f>
        <v>ફરી દાખલ હિસાબ નંબર</v>
      </c>
      <c r="I335" s="2" t="str">
        <f>IFERROR(__xludf.DUMMYFUNCTION("""COMPUTED_VALUE"""),"खाते क्रमांक पुन्हा प्रविष्ट करा")</f>
        <v>खाते क्रमांक पुन्हा प्रविष्ट करा</v>
      </c>
      <c r="J335" s="2" t="str">
        <f>IFERROR(__xludf.DUMMYFUNCTION("""COMPUTED_VALUE"""),"അക്കൗണ്ട് നമ്പർ വീണ്ടും നൽകുക")</f>
        <v>അക്കൗണ്ട് നമ്പർ വീണ്ടും നൽകുക</v>
      </c>
      <c r="K335" s="2" t="str">
        <f>IFERROR(__xludf.DUMMYFUNCTION("""COMPUTED_VALUE"""),"ਖਾਤਾ ਨੰਬਰ ਦੁਬਾਰਾ ਦਰਜ ਕਰੋ")</f>
        <v>ਖਾਤਾ ਨੰਬਰ ਦੁਬਾਰਾ ਦਰਜ ਕਰੋ</v>
      </c>
      <c r="L335" s="2" t="str">
        <f>IFERROR(__xludf.DUMMYFUNCTION("""COMPUTED_VALUE"""),"கணக்கு எண்ணை மீண்டும் உள்ளிடவும்")</f>
        <v>கணக்கு எண்ணை மீண்டும் உள்ளிடவும்</v>
      </c>
      <c r="M335" s="2" t="str">
        <f>IFERROR(__xludf.DUMMYFUNCTION("""COMPUTED_VALUE"""),"ఖాతా సంఖ్యను తిరిగి నమోదు చేయండి")</f>
        <v>ఖాతా సంఖ్యను తిరిగి నమోదు చేయండి</v>
      </c>
    </row>
    <row r="336">
      <c r="A336" s="2" t="str">
        <f>Master_en!A336</f>
        <v>accountNumber</v>
      </c>
      <c r="B336" s="2" t="str">
        <f>Master_en!B336</f>
        <v>Account Number</v>
      </c>
      <c r="C336" s="2" t="str">
        <f>IFERROR(__xludf.DUMMYFUNCTION("""COMPUTED_VALUE"""),"হিসাব নাম্বার")</f>
        <v>হিসাব নাম্বার</v>
      </c>
      <c r="D336" s="2" t="str">
        <f>IFERROR(__xludf.DUMMYFUNCTION("""COMPUTED_VALUE"""),"खाता संख्या ")</f>
        <v>खाता संख्या </v>
      </c>
      <c r="E336" s="2" t="str">
        <f>IFERROR(__xludf.DUMMYFUNCTION("""COMPUTED_VALUE"""),"ಖಾತೆ ಸಂಖ್ಯೆ")</f>
        <v>ಖಾತೆ ಸಂಖ್ಯೆ</v>
      </c>
      <c r="F336" s="2" t="str">
        <f>IFERROR(__xludf.DUMMYFUNCTION("""COMPUTED_VALUE"""),"ଖାତା ସଂଖ୍ୟା")</f>
        <v>ଖାତା ସଂଖ୍ୟା</v>
      </c>
      <c r="G336" s="2" t="str">
        <f>IFERROR(__xludf.DUMMYFUNCTION("""COMPUTED_VALUE"""),"একাউণ্ট নম্বৰ")</f>
        <v>একাউণ্ট নম্বৰ</v>
      </c>
      <c r="H336" s="2" t="str">
        <f>IFERROR(__xludf.DUMMYFUNCTION("""COMPUTED_VALUE"""),"ખાતા નંબર")</f>
        <v>ખાતા નંબર</v>
      </c>
      <c r="I336" s="2" t="str">
        <f>IFERROR(__xludf.DUMMYFUNCTION("""COMPUTED_VALUE"""),"खाते क्रमांक")</f>
        <v>खाते क्रमांक</v>
      </c>
      <c r="J336" s="2" t="str">
        <f>IFERROR(__xludf.DUMMYFUNCTION("""COMPUTED_VALUE"""),"അക്കൗണ്ട് നമ്പർ")</f>
        <v>അക്കൗണ്ട് നമ്പർ</v>
      </c>
      <c r="K336" s="2" t="str">
        <f>IFERROR(__xludf.DUMMYFUNCTION("""COMPUTED_VALUE"""),"ਅਕਾਊਂਟ ਨੰਬਰ")</f>
        <v>ਅਕਾਊਂਟ ਨੰਬਰ</v>
      </c>
      <c r="L336" s="2" t="str">
        <f>IFERROR(__xludf.DUMMYFUNCTION("""COMPUTED_VALUE"""),"கணக்கு எண்")</f>
        <v>கணக்கு எண்</v>
      </c>
      <c r="M336" s="2" t="str">
        <f>IFERROR(__xludf.DUMMYFUNCTION("""COMPUTED_VALUE"""),"ఖాతా సంఖ్య")</f>
        <v>ఖాతా సంఖ్య</v>
      </c>
    </row>
    <row r="337">
      <c r="A337" s="2" t="str">
        <f>Master_en!A337</f>
        <v>ifsccode</v>
      </c>
      <c r="B337" s="2" t="str">
        <f>Master_en!B337</f>
        <v>IFSC Code</v>
      </c>
      <c r="C337" s="2" t="str">
        <f>IFERROR(__xludf.DUMMYFUNCTION("""COMPUTED_VALUE"""),"আইএফএসসি কোড")</f>
        <v>আইএফএসসি কোড</v>
      </c>
      <c r="D337" s="2" t="str">
        <f>IFERROR(__xludf.DUMMYFUNCTION("""COMPUTED_VALUE"""),"आईएफएससी कोड")</f>
        <v>आईएफएससी कोड</v>
      </c>
      <c r="E337" s="2" t="str">
        <f>IFERROR(__xludf.DUMMYFUNCTION("""COMPUTED_VALUE"""),"ಐಎಫ್‌ಎಸ್‌ಸಿ ಕೋಡ್")</f>
        <v>ಐಎಫ್‌ಎಸ್‌ಸಿ ಕೋಡ್</v>
      </c>
      <c r="F337" s="2" t="str">
        <f>IFERROR(__xludf.DUMMYFUNCTION("""COMPUTED_VALUE"""),"Ifsc କୋଡ୍ |")</f>
        <v>Ifsc କୋଡ୍ |</v>
      </c>
      <c r="G337" s="2" t="str">
        <f>IFERROR(__xludf.DUMMYFUNCTION("""COMPUTED_VALUE"""),"আই এফ এছ চি ক'ড")</f>
        <v>আই এফ এছ চি ক'ড</v>
      </c>
      <c r="H337" s="2" t="str">
        <f>IFERROR(__xludf.DUMMYFUNCTION("""COMPUTED_VALUE"""),"આઈએફએસસી સંહિતા")</f>
        <v>આઈએફએસસી સંહિતા</v>
      </c>
      <c r="I337" s="2" t="str">
        <f>IFERROR(__xludf.DUMMYFUNCTION("""COMPUTED_VALUE"""),"आय एफ एस सी कोड")</f>
        <v>आय एफ एस सी कोड</v>
      </c>
      <c r="J337" s="2" t="str">
        <f>IFERROR(__xludf.DUMMYFUNCTION("""COMPUTED_VALUE""")," ഐഎഫ്എസസി  കോഡ്")</f>
        <v> ഐഎഫ്എസസി  കോഡ്</v>
      </c>
      <c r="K337" s="2" t="str">
        <f>IFERROR(__xludf.DUMMYFUNCTION("""COMPUTED_VALUE"""),"ਆਈਐਫਐਸਸੀ ਕੋਡ")</f>
        <v>ਆਈਐਫਐਸਸੀ ਕੋਡ</v>
      </c>
      <c r="L337" s="2" t="str">
        <f>IFERROR(__xludf.DUMMYFUNCTION("""COMPUTED_VALUE"""),"ஐஎஃப்எஸ்சி  குறியீடு")</f>
        <v>ஐஎஃப்எஸ்சி  குறியீடு</v>
      </c>
      <c r="M337" s="2" t="str">
        <f>IFERROR(__xludf.DUMMYFUNCTION("""COMPUTED_VALUE"""),"ఐఎఫ్ఎస్సి కోడ్")</f>
        <v>ఐఎఫ్ఎస్సి కోడ్</v>
      </c>
    </row>
    <row r="338">
      <c r="A338" s="2" t="str">
        <f>Master_en!A338</f>
        <v>pannumber</v>
      </c>
      <c r="B338" s="2" t="str">
        <f>Master_en!B338</f>
        <v>PAN Number </v>
      </c>
      <c r="C338" s="2" t="str">
        <f>IFERROR(__xludf.DUMMYFUNCTION("""COMPUTED_VALUE"""),"প্যান নম্বর")</f>
        <v>প্যান নম্বর</v>
      </c>
      <c r="D338" s="2" t="str">
        <f>IFERROR(__xludf.DUMMYFUNCTION("""COMPUTED_VALUE"""),"पैन नंबर")</f>
        <v>पैन नंबर</v>
      </c>
      <c r="E338" s="2" t="str">
        <f>IFERROR(__xludf.DUMMYFUNCTION("""COMPUTED_VALUE"""),"ಪ್ಯಾನ್ ಸಂಖ್ಯೆ")</f>
        <v>ಪ್ಯಾನ್ ಸಂಖ್ಯೆ</v>
      </c>
      <c r="F338" s="2" t="str">
        <f>IFERROR(__xludf.DUMMYFUNCTION("""COMPUTED_VALUE"""),"ପାନ୍ ନମ୍ବର |")</f>
        <v>ପାନ୍ ନମ୍ବର |</v>
      </c>
      <c r="G338" s="2" t="str">
        <f>IFERROR(__xludf.DUMMYFUNCTION("""COMPUTED_VALUE"""),"পেন নম্বৰ")</f>
        <v>পেন নম্বৰ</v>
      </c>
      <c r="H338" s="2" t="str">
        <f>IFERROR(__xludf.DUMMYFUNCTION("""COMPUTED_VALUE"""),"પાન નંબર")</f>
        <v>પાન નંબર</v>
      </c>
      <c r="I338" s="2" t="str">
        <f>IFERROR(__xludf.DUMMYFUNCTION("""COMPUTED_VALUE"""),"पॅन क्रमांक")</f>
        <v>पॅन क्रमांक</v>
      </c>
      <c r="J338" s="2" t="str">
        <f>IFERROR(__xludf.DUMMYFUNCTION("""COMPUTED_VALUE"""),"പാൻ നമ്പർ")</f>
        <v>പാൻ നമ്പർ</v>
      </c>
      <c r="K338" s="2" t="str">
        <f>IFERROR(__xludf.DUMMYFUNCTION("""COMPUTED_VALUE"""),"ਪੈਨ ਨੰਬਰ")</f>
        <v>ਪੈਨ ਨੰਬਰ</v>
      </c>
      <c r="L338" s="2" t="str">
        <f>IFERROR(__xludf.DUMMYFUNCTION("""COMPUTED_VALUE"""),"பான் எண்")</f>
        <v>பான் எண்</v>
      </c>
      <c r="M338" s="2" t="str">
        <f>IFERROR(__xludf.DUMMYFUNCTION("""COMPUTED_VALUE"""),"పాన్ సంఖ్య")</f>
        <v>పాన్ సంఖ్య</v>
      </c>
    </row>
    <row r="339">
      <c r="A339" s="2" t="str">
        <f>Master_en!A339</f>
        <v>selling</v>
      </c>
      <c r="B339" s="2" t="str">
        <f>Master_en!B339</f>
        <v>Selling</v>
      </c>
      <c r="C339" s="2" t="str">
        <f>IFERROR(__xludf.DUMMYFUNCTION("""COMPUTED_VALUE"""),"বিক্রয়")</f>
        <v>বিক্রয়</v>
      </c>
      <c r="D339" s="2" t="str">
        <f>IFERROR(__xludf.DUMMYFUNCTION("""COMPUTED_VALUE"""),"बेचना")</f>
        <v>बेचना</v>
      </c>
      <c r="E339" s="2" t="str">
        <f>IFERROR(__xludf.DUMMYFUNCTION("""COMPUTED_VALUE"""),"ಮಾರಾಟ")</f>
        <v>ಮಾರಾಟ</v>
      </c>
      <c r="F339" s="2" t="str">
        <f>IFERROR(__xludf.DUMMYFUNCTION("""COMPUTED_VALUE"""),"ବିକ୍ରି")</f>
        <v>ବିକ୍ରି</v>
      </c>
      <c r="G339" s="2" t="str">
        <f>IFERROR(__xludf.DUMMYFUNCTION("""COMPUTED_VALUE"""),"বিক্ৰী কৰা")</f>
        <v>বিক্ৰী কৰা</v>
      </c>
      <c r="H339" s="2" t="str">
        <f>IFERROR(__xludf.DUMMYFUNCTION("""COMPUTED_VALUE"""),"વેચાણ")</f>
        <v>વેચાણ</v>
      </c>
      <c r="I339" s="2" t="str">
        <f>IFERROR(__xludf.DUMMYFUNCTION("""COMPUTED_VALUE"""),"विक्री")</f>
        <v>विक्री</v>
      </c>
      <c r="J339" s="2" t="str">
        <f>IFERROR(__xludf.DUMMYFUNCTION("""COMPUTED_VALUE"""),"വിൽപ്പന")</f>
        <v>വിൽപ്പന</v>
      </c>
      <c r="K339" s="2" t="str">
        <f>IFERROR(__xludf.DUMMYFUNCTION("""COMPUTED_VALUE"""),"ਵੇਚਣਾ")</f>
        <v>ਵੇਚਣਾ</v>
      </c>
      <c r="L339" s="2" t="str">
        <f>IFERROR(__xludf.DUMMYFUNCTION("""COMPUTED_VALUE"""),"விற்பனை")</f>
        <v>விற்பனை</v>
      </c>
      <c r="M339" s="2" t="str">
        <f>IFERROR(__xludf.DUMMYFUNCTION("""COMPUTED_VALUE"""),"అమ్మకం")</f>
        <v>అమ్మకం</v>
      </c>
    </row>
    <row r="340">
      <c r="A340" s="2" t="str">
        <f>Master_en!A340</f>
        <v>areyoysure?youwanttosendreferralinvitetothisnumber?</v>
      </c>
      <c r="B340" s="2" t="str">
        <f>Master_en!B340</f>
        <v>Are you sure? You want to send referral invite to this number?</v>
      </c>
      <c r="C340" s="2" t="str">
        <f>IFERROR(__xludf.DUMMYFUNCTION("""COMPUTED_VALUE"""),"তুমি কি নিশ্চিত? আপনি এই নম্বরটিতে রেফারেল আমন্ত্রণ পাঠাতে চান?")</f>
        <v>তুমি কি নিশ্চিত? আপনি এই নম্বরটিতে রেফারেল আমন্ত্রণ পাঠাতে চান?</v>
      </c>
      <c r="D340" s="2" t="str">
        <f>IFERROR(__xludf.DUMMYFUNCTION("""COMPUTED_VALUE"""),"क्या आपको यकीन है? आप इस नंबर पर रेफरल आमंत्रण भेजना चाहते हैं?")</f>
        <v>क्या आपको यकीन है? आप इस नंबर पर रेफरल आमंत्रण भेजना चाहते हैं?</v>
      </c>
      <c r="E340" s="2" t="str">
        <f>IFERROR(__xludf.DUMMYFUNCTION("""COMPUTED_VALUE"""),"ನೀವು ಖಚಿತವಾಗಿರುವಿರಾ? ಈ ಸಂಖ್ಯೆಗೆ ಉಲ್ಲೇಖಿತ ಆಹ್ವಾನವನ್ನು ಕಳುಹಿಸಲು ನೀವು ಬಯಸುವಿರಾ?")</f>
        <v>ನೀವು ಖಚಿತವಾಗಿರುವಿರಾ? ಈ ಸಂಖ್ಯೆಗೆ ಉಲ್ಲೇಖಿತ ಆಹ್ವಾನವನ್ನು ಕಳುಹಿಸಲು ನೀವು ಬಯಸುವಿರಾ?</v>
      </c>
      <c r="F340" s="2" t="str">
        <f>IFERROR(__xludf.DUMMYFUNCTION("""COMPUTED_VALUE"""),"ତମେ ନିଶ୍ଚିତ କି? ଆପଣ ଏହି ନମ୍ବରକୁ ରେଫରାଲ୍ ନିମନ୍ତ୍ରଣ ପଠାଇବାକୁ ଚାହୁଁଛନ୍ତି କି?")</f>
        <v>ତମେ ନିଶ୍ଚିତ କି? ଆପଣ ଏହି ନମ୍ବରକୁ ରେଫରାଲ୍ ନିମନ୍ତ୍ରଣ ପଠାଇବାକୁ ଚାହୁଁଛନ୍ତି କି?</v>
      </c>
      <c r="G340" s="2" t="str">
        <f>IFERROR(__xludf.DUMMYFUNCTION("""COMPUTED_VALUE"""),"আপুনি নিশ্চিত নেকি? আপুনি এই নম্বৰত ৰেফাৰেল ইনভাইট পঠাব বিচাৰেনে?")</f>
        <v>আপুনি নিশ্চিত নেকি? আপুনি এই নম্বৰত ৰেফাৰেল ইনভাইট পঠাব বিচাৰেনে?</v>
      </c>
      <c r="H340" s="2" t="str">
        <f>IFERROR(__xludf.DUMMYFUNCTION("""COMPUTED_VALUE"""),"તમને ખાતરી છે? તમે આ નંબર પર રેફરલ આમંત્રણ મોકલવા માંગો છો?")</f>
        <v>તમને ખાતરી છે? તમે આ નંબર પર રેફરલ આમંત્રણ મોકલવા માંગો છો?</v>
      </c>
      <c r="I340" s="2" t="str">
        <f>IFERROR(__xludf.DUMMYFUNCTION("""COMPUTED_VALUE"""),"तुला खात्री आहे? आपण या नंबरवर रेफरल आमंत्रण पाठवू इच्छिता?")</f>
        <v>तुला खात्री आहे? आपण या नंबरवर रेफरल आमंत्रण पाठवू इच्छिता?</v>
      </c>
      <c r="J340" s="2" t="str">
        <f>IFERROR(__xludf.DUMMYFUNCTION("""COMPUTED_VALUE"""),"നിങ്ങൾക്ക് ഉറപ്പാണോ? ഈ നമ്പറിലേക്ക് റഫറൽ ക്ഷണം അയയ്ക്കാൻ നിങ്ങൾ ആഗ്രഹിക്കുന്നുണ്ടോ?")</f>
        <v>നിങ്ങൾക്ക് ഉറപ്പാണോ? ഈ നമ്പറിലേക്ക് റഫറൽ ക്ഷണം അയയ്ക്കാൻ നിങ്ങൾ ആഗ്രഹിക്കുന്നുണ്ടോ?</v>
      </c>
      <c r="K340" s="2" t="str">
        <f>IFERROR(__xludf.DUMMYFUNCTION("""COMPUTED_VALUE"""),"ਤੁਹਾਨੂੰ ਪੂਰਾ ਵਿਸ਼ਵਾਸ ਹੈ? ਤੁਸੀਂ ਇਸ ਨੰਬਰ ਤੇ ਰੈਫਰਲ ਸੱਦਾ ਭੇਜਣਾ ਚਾਹੁੰਦੇ ਹੋ?")</f>
        <v>ਤੁਹਾਨੂੰ ਪੂਰਾ ਵਿਸ਼ਵਾਸ ਹੈ? ਤੁਸੀਂ ਇਸ ਨੰਬਰ ਤੇ ਰੈਫਰਲ ਸੱਦਾ ਭੇਜਣਾ ਚਾਹੁੰਦੇ ਹੋ?</v>
      </c>
      <c r="L340" s="2" t="str">
        <f>IFERROR(__xludf.DUMMYFUNCTION("""COMPUTED_VALUE"""),"நீ சொல்வது உறுதியா? இந்த எண்ணுக்கு பரிந்துரை அழைப்பை அனுப்ப விரும்புகிறீர்களா?")</f>
        <v>நீ சொல்வது உறுதியா? இந்த எண்ணுக்கு பரிந்துரை அழைப்பை அனுப்ப விரும்புகிறீர்களா?</v>
      </c>
      <c r="M340" s="2" t="str">
        <f>IFERROR(__xludf.DUMMYFUNCTION("""COMPUTED_VALUE"""),"మీరు చెప్పేది నిజమా? మీరు ఈ నంబర్‌కు రిఫెరల్ ఆహ్వానాన్ని పంపాలనుకుంటున్నారా?")</f>
        <v>మీరు చెప్పేది నిజమా? మీరు ఈ నంబర్‌కు రిఫెరల్ ఆహ్వానాన్ని పంపాలనుకుంటున్నారా?</v>
      </c>
    </row>
    <row r="341">
      <c r="A341" s="2" t="str">
        <f>Master_en!A341</f>
        <v>addproductdetails</v>
      </c>
      <c r="B341" s="2" t="str">
        <f>Master_en!B341</f>
        <v>Add Product Details</v>
      </c>
      <c r="C341" s="2" t="str">
        <f>IFERROR(__xludf.DUMMYFUNCTION("""COMPUTED_VALUE"""),"পণ্যের বিশদ যুক্ত করুন")</f>
        <v>পণ্যের বিশদ যুক্ত করুন</v>
      </c>
      <c r="D341" s="2" t="str">
        <f>IFERROR(__xludf.DUMMYFUNCTION("""COMPUTED_VALUE"""),"उत्पाद विवरण जोड़ें")</f>
        <v>उत्पाद विवरण जोड़ें</v>
      </c>
      <c r="E341" s="2" t="str">
        <f>IFERROR(__xludf.DUMMYFUNCTION("""COMPUTED_VALUE"""),"ಉತ್ಪನ್ನ ವಿವರಗಳನ್ನು ಸೇರಿಸಿ")</f>
        <v>ಉತ್ಪನ್ನ ವಿವರಗಳನ್ನು ಸೇರಿಸಿ</v>
      </c>
      <c r="F341" s="2" t="str">
        <f>IFERROR(__xludf.DUMMYFUNCTION("""COMPUTED_VALUE"""),"ଉତ୍ପାଦ ବିବରଣୀ ଯୋଡନ୍ତୁ |")</f>
        <v>ଉତ୍ପାଦ ବିବରଣୀ ଯୋଡନ୍ତୁ |</v>
      </c>
      <c r="G341" s="2" t="str">
        <f>IFERROR(__xludf.DUMMYFUNCTION("""COMPUTED_VALUE"""),"পণ্যৰ বিৱৰণ যোগ কৰক")</f>
        <v>পণ্যৰ বিৱৰণ যোগ কৰক</v>
      </c>
      <c r="H341" s="2" t="str">
        <f>IFERROR(__xludf.DUMMYFUNCTION("""COMPUTED_VALUE"""),"ઉત્પાદન વિગતો ઉમેરો")</f>
        <v>ઉત્પાદન વિગતો ઉમેરો</v>
      </c>
      <c r="I341" s="2" t="str">
        <f>IFERROR(__xludf.DUMMYFUNCTION("""COMPUTED_VALUE"""),"उत्पादनाचा तपशील जोडा")</f>
        <v>उत्पादनाचा तपशील जोडा</v>
      </c>
      <c r="J341" s="2" t="str">
        <f>IFERROR(__xludf.DUMMYFUNCTION("""COMPUTED_VALUE"""),"ഉൽപ്പന്ന വിശദാംശങ്ങൾ ചേർക്കുക")</f>
        <v>ഉൽപ്പന്ന വിശദാംശങ്ങൾ ചേർക്കുക</v>
      </c>
      <c r="K341" s="2" t="str">
        <f>IFERROR(__xludf.DUMMYFUNCTION("""COMPUTED_VALUE"""),"ਉਤਪਾਦ ਵੇਰਵੇ ਸ਼ਾਮਲ ਕਰੋ")</f>
        <v>ਉਤਪਾਦ ਵੇਰਵੇ ਸ਼ਾਮਲ ਕਰੋ</v>
      </c>
      <c r="L341" s="2" t="str">
        <f>IFERROR(__xludf.DUMMYFUNCTION("""COMPUTED_VALUE"""),"பொருள் விவரங்களை சேர்க்கவும் ")</f>
        <v>பொருள் விவரங்களை சேர்க்கவும் </v>
      </c>
      <c r="M341" s="2" t="str">
        <f>IFERROR(__xludf.DUMMYFUNCTION("""COMPUTED_VALUE"""),"ఉత్పత్తి వివరాలను జోడించండి")</f>
        <v>ఉత్పత్తి వివరాలను జోడించండి</v>
      </c>
    </row>
    <row r="342">
      <c r="A342" s="2" t="str">
        <f>Master_en!A342</f>
        <v>expenses</v>
      </c>
      <c r="B342" s="2" t="str">
        <f>Master_en!B342</f>
        <v>Expenses</v>
      </c>
      <c r="C342" s="2" t="str">
        <f>IFERROR(__xludf.DUMMYFUNCTION("""COMPUTED_VALUE"""),"ব্যয়")</f>
        <v>ব্যয়</v>
      </c>
      <c r="D342" s="2" t="str">
        <f>IFERROR(__xludf.DUMMYFUNCTION("""COMPUTED_VALUE"""),"खर्च")</f>
        <v>खर्च</v>
      </c>
      <c r="E342" s="2" t="str">
        <f>IFERROR(__xludf.DUMMYFUNCTION("""COMPUTED_VALUE"""),"ಖರ್ಚು")</f>
        <v>ಖರ್ಚು</v>
      </c>
      <c r="F342" s="2" t="str">
        <f>IFERROR(__xludf.DUMMYFUNCTION("""COMPUTED_VALUE"""),"ଖର୍ଚ୍ଚ")</f>
        <v>ଖର୍ଚ୍ଚ</v>
      </c>
      <c r="G342" s="2" t="str">
        <f>IFERROR(__xludf.DUMMYFUNCTION("""COMPUTED_VALUE"""),"খৰচ")</f>
        <v>খৰচ</v>
      </c>
      <c r="H342" s="2" t="str">
        <f>IFERROR(__xludf.DUMMYFUNCTION("""COMPUTED_VALUE"""),"ખર્ચ")</f>
        <v>ખર્ચ</v>
      </c>
      <c r="I342" s="2" t="str">
        <f>IFERROR(__xludf.DUMMYFUNCTION("""COMPUTED_VALUE"""),"खर्च")</f>
        <v>खर्च</v>
      </c>
      <c r="J342" s="2" t="str">
        <f>IFERROR(__xludf.DUMMYFUNCTION("""COMPUTED_VALUE"""),"ചെലവുകൾ")</f>
        <v>ചെലവുകൾ</v>
      </c>
      <c r="K342" s="2" t="str">
        <f>IFERROR(__xludf.DUMMYFUNCTION("""COMPUTED_VALUE"""),"ਖਰਚੇ")</f>
        <v>ਖਰਚੇ</v>
      </c>
      <c r="L342" s="2" t="str">
        <f>IFERROR(__xludf.DUMMYFUNCTION("""COMPUTED_VALUE"""),"செலவுகள்")</f>
        <v>செலவுகள்</v>
      </c>
      <c r="M342" s="2" t="str">
        <f>IFERROR(__xludf.DUMMYFUNCTION("""COMPUTED_VALUE"""),"ఖర్చులు")</f>
        <v>ఖర్చులు</v>
      </c>
    </row>
    <row r="343">
      <c r="A343" s="2" t="str">
        <f>Master_en!A343</f>
        <v>orderhistory</v>
      </c>
      <c r="B343" s="2" t="str">
        <f>Master_en!B343</f>
        <v>Order History</v>
      </c>
      <c r="C343" s="2" t="str">
        <f>IFERROR(__xludf.DUMMYFUNCTION("""COMPUTED_VALUE"""),"অর্ডার ইতিহাস")</f>
        <v>অর্ডার ইতিহাস</v>
      </c>
      <c r="D343" s="2" t="str">
        <f>IFERROR(__xludf.DUMMYFUNCTION("""COMPUTED_VALUE"""),"आदेश इतिहास")</f>
        <v>आदेश इतिहास</v>
      </c>
      <c r="E343" s="2" t="str">
        <f>IFERROR(__xludf.DUMMYFUNCTION("""COMPUTED_VALUE"""),"ಚರಂಡಿ ಇತಿಹಾಸ")</f>
        <v>ಚರಂಡಿ ಇತಿಹಾಸ</v>
      </c>
      <c r="F343" s="2" t="str">
        <f>IFERROR(__xludf.DUMMYFUNCTION("""COMPUTED_VALUE"""),"ଅର୍ଡର ଇତିହାସ")</f>
        <v>ଅର୍ଡର ଇତିହାସ</v>
      </c>
      <c r="G343" s="2" t="str">
        <f>IFERROR(__xludf.DUMMYFUNCTION("""COMPUTED_VALUE"""),"অৰ্ডাৰ হিষ্ট্ৰয়")</f>
        <v>অৰ্ডাৰ হিষ্ট্ৰয়</v>
      </c>
      <c r="H343" s="2" t="str">
        <f>IFERROR(__xludf.DUMMYFUNCTION("""COMPUTED_VALUE"""),"હુકમ")</f>
        <v>હુકમ</v>
      </c>
      <c r="I343" s="2" t="str">
        <f>IFERROR(__xludf.DUMMYFUNCTION("""COMPUTED_VALUE"""),"ऑर्डर इतिहास")</f>
        <v>ऑर्डर इतिहास</v>
      </c>
      <c r="J343" s="2" t="str">
        <f>IFERROR(__xludf.DUMMYFUNCTION("""COMPUTED_VALUE"""),"ഓർഡർ ചരിത്രം")</f>
        <v>ഓർഡർ ചരിത്രം</v>
      </c>
      <c r="K343" s="2" t="str">
        <f>IFERROR(__xludf.DUMMYFUNCTION("""COMPUTED_VALUE"""),"ਆਰਡਰ ਇਤਿਹਾਸ")</f>
        <v>ਆਰਡਰ ਇਤਿਹਾਸ</v>
      </c>
      <c r="L343" s="2" t="str">
        <f>IFERROR(__xludf.DUMMYFUNCTION("""COMPUTED_VALUE"""),"ஆர்டர் வரலாறு  ")</f>
        <v>ஆர்டர் வரலாறு  </v>
      </c>
      <c r="M343" s="2" t="str">
        <f>IFERROR(__xludf.DUMMYFUNCTION("""COMPUTED_VALUE"""),"ఆర్డర్ చరిత్ర")</f>
        <v>ఆర్డర్ చరిత్ర</v>
      </c>
    </row>
    <row r="344">
      <c r="A344" s="2" t="str">
        <f>Master_en!A344</f>
        <v>crm</v>
      </c>
      <c r="B344" s="2" t="str">
        <f>Master_en!B344</f>
        <v>CRM</v>
      </c>
      <c r="C344" s="2" t="str">
        <f>IFERROR(__xludf.DUMMYFUNCTION("""COMPUTED_VALUE"""),"সিআরএম")</f>
        <v>সিআরএম</v>
      </c>
      <c r="D344" s="2" t="str">
        <f>IFERROR(__xludf.DUMMYFUNCTION("""COMPUTED_VALUE"""),"सीआरएम")</f>
        <v>सीआरएम</v>
      </c>
      <c r="E344" s="2" t="str">
        <f>IFERROR(__xludf.DUMMYFUNCTION("""COMPUTED_VALUE"""),"ಸಿಆರ್ಎಂ")</f>
        <v>ಸಿಆರ್ಎಂ</v>
      </c>
      <c r="F344" s="2" t="str">
        <f>IFERROR(__xludf.DUMMYFUNCTION("""COMPUTED_VALUE"""),"CRM")</f>
        <v>CRM</v>
      </c>
      <c r="G344" s="2" t="str">
        <f>IFERROR(__xludf.DUMMYFUNCTION("""COMPUTED_VALUE"""),"চি আৰ এম")</f>
        <v>চি আৰ এম</v>
      </c>
      <c r="H344" s="2" t="str">
        <f>IFERROR(__xludf.DUMMYFUNCTION("""COMPUTED_VALUE"""),"કળ")</f>
        <v>કળ</v>
      </c>
      <c r="I344" s="2" t="str">
        <f>IFERROR(__xludf.DUMMYFUNCTION("""COMPUTED_VALUE"""),"सी आर एम")</f>
        <v>सी आर एम</v>
      </c>
      <c r="J344" s="2" t="str">
        <f>IFERROR(__xludf.DUMMYFUNCTION("""COMPUTED_VALUE"""),"സിആർഎം")</f>
        <v>സിആർഎം</v>
      </c>
      <c r="K344" s="2" t="str">
        <f>IFERROR(__xludf.DUMMYFUNCTION("""COMPUTED_VALUE"""),"ਸੀਆਰਐਮ")</f>
        <v>ਸੀਆਰਐਮ</v>
      </c>
      <c r="L344" s="2" t="str">
        <f>IFERROR(__xludf.DUMMYFUNCTION("""COMPUTED_VALUE"""),"சி.ஆர்.எம்")</f>
        <v>சி.ஆர்.எம்</v>
      </c>
      <c r="M344" s="2" t="str">
        <f>IFERROR(__xludf.DUMMYFUNCTION("""COMPUTED_VALUE"""),"సి ఆర్ ఎం")</f>
        <v>సి ఆర్ ఎం</v>
      </c>
    </row>
    <row r="345">
      <c r="A345" s="2" t="str">
        <f>Master_en!A345</f>
        <v>customer</v>
      </c>
      <c r="B345" s="2" t="str">
        <f>Master_en!B345</f>
        <v>Customer</v>
      </c>
      <c r="C345" s="2" t="str">
        <f>IFERROR(__xludf.DUMMYFUNCTION("""COMPUTED_VALUE"""),"ক্রেতা")</f>
        <v>ক্রেতা</v>
      </c>
      <c r="D345" s="2" t="str">
        <f>IFERROR(__xludf.DUMMYFUNCTION("""COMPUTED_VALUE"""),"ग्राहक")</f>
        <v>ग्राहक</v>
      </c>
      <c r="E345" s="2" t="str">
        <f>IFERROR(__xludf.DUMMYFUNCTION("""COMPUTED_VALUE"""),"ಗ್ರಾಹಕ")</f>
        <v>ಗ್ರಾಹಕ</v>
      </c>
      <c r="F345" s="2" t="str">
        <f>IFERROR(__xludf.DUMMYFUNCTION("""COMPUTED_VALUE"""),"ଗ୍ରାହକ")</f>
        <v>ଗ୍ରାହକ</v>
      </c>
      <c r="G345" s="2" t="str">
        <f>IFERROR(__xludf.DUMMYFUNCTION("""COMPUTED_VALUE"""),"গ্ৰাহক")</f>
        <v>গ্ৰাহক</v>
      </c>
      <c r="H345" s="2" t="str">
        <f>IFERROR(__xludf.DUMMYFUNCTION("""COMPUTED_VALUE"""),"ગ્રાહક")</f>
        <v>ગ્રાહક</v>
      </c>
      <c r="I345" s="2" t="str">
        <f>IFERROR(__xludf.DUMMYFUNCTION("""COMPUTED_VALUE"""),"ग्राहक")</f>
        <v>ग्राहक</v>
      </c>
      <c r="J345" s="2" t="str">
        <f>IFERROR(__xludf.DUMMYFUNCTION("""COMPUTED_VALUE"""),"ഉപഭോക്താവ്")</f>
        <v>ഉപഭോക്താവ്</v>
      </c>
      <c r="K345" s="2" t="str">
        <f>IFERROR(__xludf.DUMMYFUNCTION("""COMPUTED_VALUE"""),"ਗਾਹਕ")</f>
        <v>ਗਾਹਕ</v>
      </c>
      <c r="L345" s="2" t="str">
        <f>IFERROR(__xludf.DUMMYFUNCTION("""COMPUTED_VALUE"""),"வாடிக்கையாளர்")</f>
        <v>வாடிக்கையாளர்</v>
      </c>
      <c r="M345" s="2" t="str">
        <f>IFERROR(__xludf.DUMMYFUNCTION("""COMPUTED_VALUE"""),"వినియోగదారుడు")</f>
        <v>వినియోగదారుడు</v>
      </c>
    </row>
    <row r="346">
      <c r="A346" s="2" t="str">
        <f>Master_en!A346</f>
        <v>service</v>
      </c>
      <c r="B346" s="2" t="str">
        <f>Master_en!B346</f>
        <v>Service</v>
      </c>
      <c r="C346" s="2" t="str">
        <f>IFERROR(__xludf.DUMMYFUNCTION("""COMPUTED_VALUE"""),"পরিষেবা")</f>
        <v>পরিষেবা</v>
      </c>
      <c r="D346" s="2" t="str">
        <f>IFERROR(__xludf.DUMMYFUNCTION("""COMPUTED_VALUE"""),"सेवा")</f>
        <v>सेवा</v>
      </c>
      <c r="E346" s="2" t="str">
        <f>IFERROR(__xludf.DUMMYFUNCTION("""COMPUTED_VALUE"""),"ಸೇವ")</f>
        <v>ಸೇವ</v>
      </c>
      <c r="F346" s="2" t="str">
        <f>IFERROR(__xludf.DUMMYFUNCTION("""COMPUTED_VALUE"""),"ସେବା")</f>
        <v>ସେବା</v>
      </c>
      <c r="G346" s="2" t="str">
        <f>IFERROR(__xludf.DUMMYFUNCTION("""COMPUTED_VALUE"""),"সেৱা")</f>
        <v>সেৱা</v>
      </c>
      <c r="H346" s="2" t="str">
        <f>IFERROR(__xludf.DUMMYFUNCTION("""COMPUTED_VALUE"""),"સેવા")</f>
        <v>સેવા</v>
      </c>
      <c r="I346" s="2" t="str">
        <f>IFERROR(__xludf.DUMMYFUNCTION("""COMPUTED_VALUE"""),"सेवा")</f>
        <v>सेवा</v>
      </c>
      <c r="J346" s="2" t="str">
        <f>IFERROR(__xludf.DUMMYFUNCTION("""COMPUTED_VALUE"""),"സേവനം")</f>
        <v>സേവനം</v>
      </c>
      <c r="K346" s="2" t="str">
        <f>IFERROR(__xludf.DUMMYFUNCTION("""COMPUTED_VALUE"""),"ਸੇਵਾ")</f>
        <v>ਸੇਵਾ</v>
      </c>
      <c r="L346" s="2" t="str">
        <f>IFERROR(__xludf.DUMMYFUNCTION("""COMPUTED_VALUE"""),"சேவை")</f>
        <v>சேவை</v>
      </c>
      <c r="M346" s="2" t="str">
        <f>IFERROR(__xludf.DUMMYFUNCTION("""COMPUTED_VALUE"""),"సేవ")</f>
        <v>సేవ</v>
      </c>
    </row>
    <row r="347">
      <c r="A347" s="2" t="str">
        <f>Master_en!A347</f>
        <v>b2bBuy</v>
      </c>
      <c r="B347" s="2" t="str">
        <f>Master_en!B347</f>
        <v>B2B Buy</v>
      </c>
      <c r="C347" s="2" t="str">
        <f>IFERROR(__xludf.DUMMYFUNCTION("""COMPUTED_VALUE"""),"বি 2 বি কিনুন")</f>
        <v>বি 2 বি কিনুন</v>
      </c>
      <c r="D347" s="2" t="str">
        <f>IFERROR(__xludf.DUMMYFUNCTION("""COMPUTED_VALUE"""),"B2b खरीदें")</f>
        <v>B2b खरीदें</v>
      </c>
      <c r="E347" s="2" t="str">
        <f>IFERROR(__xludf.DUMMYFUNCTION("""COMPUTED_VALUE"""),"ಬಿ 2 ಬಿ ಖರೀದಿ")</f>
        <v>ಬಿ 2 ಬಿ ಖರೀದಿ</v>
      </c>
      <c r="F347" s="2" t="str">
        <f>IFERROR(__xludf.DUMMYFUNCTION("""COMPUTED_VALUE"""),"B2B କିଣ |")</f>
        <v>B2B କିଣ |</v>
      </c>
      <c r="G347" s="2" t="str">
        <f>IFERROR(__xludf.DUMMYFUNCTION("""COMPUTED_VALUE"""),"B2B কিনিব")</f>
        <v>B2B কিনিব</v>
      </c>
      <c r="H347" s="2" t="str">
        <f>IFERROR(__xludf.DUMMYFUNCTION("""COMPUTED_VALUE"""),"બી 2 બી ખરીદો")</f>
        <v>બી 2 બી ખરીદો</v>
      </c>
      <c r="I347" s="2" t="str">
        <f>IFERROR(__xludf.DUMMYFUNCTION("""COMPUTED_VALUE"""),"बी 2 बी खरेदी")</f>
        <v>बी 2 बी खरेदी</v>
      </c>
      <c r="J347" s="2" t="str">
        <f>IFERROR(__xludf.DUMMYFUNCTION("""COMPUTED_VALUE"""),"B2B വാങ്ങുക")</f>
        <v>B2B വാങ്ങുക</v>
      </c>
      <c r="K347" s="2" t="str">
        <f>IFERROR(__xludf.DUMMYFUNCTION("""COMPUTED_VALUE"""),"ਬੀ 2 ਬੀ ਖਰੀਦੋ")</f>
        <v>ਬੀ 2 ਬੀ ਖਰੀਦੋ</v>
      </c>
      <c r="L347" s="2" t="str">
        <f>IFERROR(__xludf.DUMMYFUNCTION("""COMPUTED_VALUE"""),"பி 2 பி வாங்க")</f>
        <v>பி 2 பி வாங்க</v>
      </c>
      <c r="M347" s="2" t="str">
        <f>IFERROR(__xludf.DUMMYFUNCTION("""COMPUTED_VALUE"""),"బి 2 బి కొనుగోలు")</f>
        <v>బి 2 బి కొనుగోలు</v>
      </c>
    </row>
    <row r="348">
      <c r="A348" s="2" t="str">
        <f>Master_en!A348</f>
        <v>promote</v>
      </c>
      <c r="B348" s="2" t="str">
        <f>Master_en!B348</f>
        <v>Promote</v>
      </c>
      <c r="C348" s="2" t="str">
        <f>IFERROR(__xludf.DUMMYFUNCTION("""COMPUTED_VALUE"""),"প্রচার")</f>
        <v>প্রচার</v>
      </c>
      <c r="D348" s="2" t="str">
        <f>IFERROR(__xludf.DUMMYFUNCTION("""COMPUTED_VALUE"""),"पदोन्नति करना")</f>
        <v>पदोन्नति करना</v>
      </c>
      <c r="E348" s="2" t="str">
        <f>IFERROR(__xludf.DUMMYFUNCTION("""COMPUTED_VALUE"""),"ಉತ್ತೇಜಿಸು")</f>
        <v>ಉತ್ತೇಜಿಸು</v>
      </c>
      <c r="F348" s="2" t="str">
        <f>IFERROR(__xludf.DUMMYFUNCTION("""COMPUTED_VALUE"""),"ପ୍ରୋତ୍ସାହନ ଦିଅ |")</f>
        <v>ପ୍ରୋତ୍ସାହନ ଦିଅ |</v>
      </c>
      <c r="G348" s="2" t="str">
        <f>IFERROR(__xludf.DUMMYFUNCTION("""COMPUTED_VALUE"""),"প্ৰচাৰ কৰা")</f>
        <v>প্ৰচাৰ কৰা</v>
      </c>
      <c r="H348" s="2" t="str">
        <f>IFERROR(__xludf.DUMMYFUNCTION("""COMPUTED_VALUE"""),"પ્રચાર કરવો")</f>
        <v>પ્રચાર કરવો</v>
      </c>
      <c r="I348" s="2" t="str">
        <f>IFERROR(__xludf.DUMMYFUNCTION("""COMPUTED_VALUE"""),"प्रचार")</f>
        <v>प्रचार</v>
      </c>
      <c r="J348" s="2" t="str">
        <f>IFERROR(__xludf.DUMMYFUNCTION("""COMPUTED_VALUE"""),"കയറ്റം കൊടുക്കുക")</f>
        <v>കയറ്റം കൊടുക്കുക</v>
      </c>
      <c r="K348" s="2" t="str">
        <f>IFERROR(__xludf.DUMMYFUNCTION("""COMPUTED_VALUE"""),"ਨੂੰ ਉਤਸ਼ਾਹਿਤ")</f>
        <v>ਨੂੰ ਉਤਸ਼ਾਹਿਤ</v>
      </c>
      <c r="L348" s="2" t="str">
        <f>IFERROR(__xludf.DUMMYFUNCTION("""COMPUTED_VALUE"""),"ஊக்குவிக்க")</f>
        <v>ஊக்குவிக்க</v>
      </c>
      <c r="M348" s="2" t="str">
        <f>IFERROR(__xludf.DUMMYFUNCTION("""COMPUTED_VALUE"""),"ప్రచారం చేయండి")</f>
        <v>ప్రచారం చేయండి</v>
      </c>
    </row>
    <row r="349">
      <c r="A349" s="2" t="str">
        <f>Master_en!A349</f>
        <v>usermanagement</v>
      </c>
      <c r="B349" s="2" t="str">
        <f>Master_en!B349</f>
        <v>User Management </v>
      </c>
      <c r="C349" s="2" t="str">
        <f>IFERROR(__xludf.DUMMYFUNCTION("""COMPUTED_VALUE"""),"ইউজার ম্যানেজমেন্ট")</f>
        <v>ইউজার ম্যানেজমেন্ট</v>
      </c>
      <c r="D349" s="2" t="str">
        <f>IFERROR(__xludf.DUMMYFUNCTION("""COMPUTED_VALUE"""),"प्रयोक्ता प्रबंधन")</f>
        <v>प्रयोक्ता प्रबंधन</v>
      </c>
      <c r="E349" s="2" t="str">
        <f>IFERROR(__xludf.DUMMYFUNCTION("""COMPUTED_VALUE"""),"ಬಳಕೆದಾರ ನಿರ್ವಹಣೆ")</f>
        <v>ಬಳಕೆದಾರ ನಿರ್ವಹಣೆ</v>
      </c>
      <c r="F349" s="2" t="str">
        <f>IFERROR(__xludf.DUMMYFUNCTION("""COMPUTED_VALUE"""),"ବ୍ୟବହାରକାରୀ Enterರ್")</f>
        <v>ବ୍ୟବହାରକାରୀ Enterರ್</v>
      </c>
      <c r="G349" s="2" t="str">
        <f>IFERROR(__xludf.DUMMYFUNCTION("""COMPUTED_VALUE"""),"ব্যৱহাৰকাৰী ব্যৱস্থাপনা")</f>
        <v>ব্যৱহাৰকাৰী ব্যৱস্থাপনা</v>
      </c>
      <c r="H349" s="2" t="str">
        <f>IFERROR(__xludf.DUMMYFUNCTION("""COMPUTED_VALUE"""),"વપરાશકર્તા વ્યવસ્થા")</f>
        <v>વપરાશકર્તા વ્યવસ્થા</v>
      </c>
      <c r="I349" s="2" t="str">
        <f>IFERROR(__xludf.DUMMYFUNCTION("""COMPUTED_VALUE"""),"वापरकर्ता व्यवस्थापन")</f>
        <v>वापरकर्ता व्यवस्थापन</v>
      </c>
      <c r="J349" s="2" t="str">
        <f>IFERROR(__xludf.DUMMYFUNCTION("""COMPUTED_VALUE"""),"ഉപയോക്തൃ മാനേജുമെന്റ്")</f>
        <v>ഉപയോക്തൃ മാനേജുമെന്റ്</v>
      </c>
      <c r="K349" s="2" t="str">
        <f>IFERROR(__xludf.DUMMYFUNCTION("""COMPUTED_VALUE"""),"ਉਪਭੋਗਤਾ ਪ੍ਰਬੰਧਨ")</f>
        <v>ਉਪਭੋਗਤਾ ਪ੍ਰਬੰਧਨ</v>
      </c>
      <c r="L349" s="2" t="str">
        <f>IFERROR(__xludf.DUMMYFUNCTION("""COMPUTED_VALUE"""),"பயனர் மேலாண்மை")</f>
        <v>பயனர் மேலாண்மை</v>
      </c>
      <c r="M349" s="2" t="str">
        <f>IFERROR(__xludf.DUMMYFUNCTION("""COMPUTED_VALUE"""),"వాడుకరి నిర్వహణ")</f>
        <v>వాడుకరి నిర్వహణ</v>
      </c>
    </row>
    <row r="350">
      <c r="A350" s="2" t="str">
        <f>Master_en!A350</f>
        <v>referralmanagement</v>
      </c>
      <c r="B350" s="2" t="str">
        <f>Master_en!B350</f>
        <v>Referral Management</v>
      </c>
      <c r="C350" s="2" t="str">
        <f>IFERROR(__xludf.DUMMYFUNCTION("""COMPUTED_VALUE"""),"রেফারাল ম্যানেজমেন্ট")</f>
        <v>রেফারাল ম্যানেজমেন্ট</v>
      </c>
      <c r="D350" s="2" t="str">
        <f>IFERROR(__xludf.DUMMYFUNCTION("""COMPUTED_VALUE"""),"रेफरल प्रबंधन")</f>
        <v>रेफरल प्रबंधन</v>
      </c>
      <c r="E350" s="2" t="str">
        <f>IFERROR(__xludf.DUMMYFUNCTION("""COMPUTED_VALUE"""),"ಉಲ್ಲೇಖಿತ ನಿರ್ವಹಣೆ")</f>
        <v>ಉಲ್ಲೇಖಿತ ನಿರ್ವಹಣೆ</v>
      </c>
      <c r="F350" s="2" t="str">
        <f>IFERROR(__xludf.DUMMYFUNCTION("""COMPUTED_VALUE"""),"ରେଫରାଲ୍ ମ୍ୟାନେଜମେଣ୍ଟ |")</f>
        <v>ରେଫରାଲ୍ ମ୍ୟାନେଜମେଣ୍ଟ |</v>
      </c>
      <c r="G350" s="2" t="str">
        <f>IFERROR(__xludf.DUMMYFUNCTION("""COMPUTED_VALUE"""),"ৰেফাৰেল ব্যৱস্থাপনা")</f>
        <v>ৰেফাৰেল ব্যৱস্থাপনা</v>
      </c>
      <c r="H350" s="2" t="str">
        <f>IFERROR(__xludf.DUMMYFUNCTION("""COMPUTED_VALUE"""),"રેફરત વ્યવસ્થાપન")</f>
        <v>રેફરત વ્યવસ્થાપન</v>
      </c>
      <c r="I350" s="2" t="str">
        <f>IFERROR(__xludf.DUMMYFUNCTION("""COMPUTED_VALUE"""),"रेफरल व्यवस्थापन")</f>
        <v>रेफरल व्यवस्थापन</v>
      </c>
      <c r="J350" s="2" t="str">
        <f>IFERROR(__xludf.DUMMYFUNCTION("""COMPUTED_VALUE"""),"റഫറൽ മാനേജുമെന്റ്")</f>
        <v>റഫറൽ മാനേജുമെന്റ്</v>
      </c>
      <c r="K350" s="2" t="str">
        <f>IFERROR(__xludf.DUMMYFUNCTION("""COMPUTED_VALUE"""),"ਰੈਫਰਲ ਪ੍ਰਬੰਧਨ")</f>
        <v>ਰੈਫਰਲ ਪ੍ਰਬੰਧਨ</v>
      </c>
      <c r="L350" s="2" t="str">
        <f>IFERROR(__xludf.DUMMYFUNCTION("""COMPUTED_VALUE"""),"பரிந்துரை மேலாண்மை")</f>
        <v>பரிந்துரை மேலாண்மை</v>
      </c>
      <c r="M350" s="2" t="str">
        <f>IFERROR(__xludf.DUMMYFUNCTION("""COMPUTED_VALUE"""),"రెఫరల్ మేనేజ్మెంట్")</f>
        <v>రెఫరల్ మేనేజ్మెంట్</v>
      </c>
    </row>
    <row r="351">
      <c r="A351" s="2" t="str">
        <f>Master_en!A351</f>
        <v>P&amp;L</v>
      </c>
      <c r="B351" s="2" t="str">
        <f>Master_en!B351</f>
        <v>P &amp; L</v>
      </c>
      <c r="C351" s="2" t="str">
        <f>IFERROR(__xludf.DUMMYFUNCTION("""COMPUTED_VALUE"""),"পি ও এল")</f>
        <v>পি ও এল</v>
      </c>
      <c r="D351" s="2" t="str">
        <f>IFERROR(__xludf.DUMMYFUNCTION("""COMPUTED_VALUE"""),"पी एंड एल")</f>
        <v>पी एंड एल</v>
      </c>
      <c r="E351" s="2" t="str">
        <f>IFERROR(__xludf.DUMMYFUNCTION("""COMPUTED_VALUE"""),"ಪಿ &amp; ಎಲ್")</f>
        <v>ಪಿ &amp; ಎಲ್</v>
      </c>
      <c r="F351" s="2" t="str">
        <f>IFERROR(__xludf.DUMMYFUNCTION("""COMPUTED_VALUE"""),"P &amp; L")</f>
        <v>P &amp; L</v>
      </c>
      <c r="G351" s="2" t="str">
        <f>IFERROR(__xludf.DUMMYFUNCTION("""COMPUTED_VALUE"""),"পি এণ্ড এল")</f>
        <v>পি এণ্ড এল</v>
      </c>
      <c r="H351" s="2" t="str">
        <f>IFERROR(__xludf.DUMMYFUNCTION("""COMPUTED_VALUE"""),"પી એન્ડ એલ")</f>
        <v>પી એન્ડ એલ</v>
      </c>
      <c r="I351" s="2" t="str">
        <f>IFERROR(__xludf.DUMMYFUNCTION("""COMPUTED_VALUE"""),"पी &amp; एल")</f>
        <v>पी &amp; एल</v>
      </c>
      <c r="J351" s="2" t="str">
        <f>IFERROR(__xludf.DUMMYFUNCTION("""COMPUTED_VALUE"""),"പി &amp; എൽ")</f>
        <v>പി &amp; എൽ</v>
      </c>
      <c r="K351" s="2" t="str">
        <f>IFERROR(__xludf.DUMMYFUNCTION("""COMPUTED_VALUE"""),"ਪੀ ਐਂਡ ਐਲ")</f>
        <v>ਪੀ ਐਂਡ ਐਲ</v>
      </c>
      <c r="L351" s="2" t="str">
        <f>IFERROR(__xludf.DUMMYFUNCTION("""COMPUTED_VALUE"""),"பி &amp; எல்")</f>
        <v>பி &amp; எல்</v>
      </c>
      <c r="M351" s="2" t="str">
        <f>IFERROR(__xludf.DUMMYFUNCTION("""COMPUTED_VALUE"""),"పి &amp; ఎల్")</f>
        <v>పి &amp; ఎల్</v>
      </c>
    </row>
    <row r="352">
      <c r="A352" s="2" t="str">
        <f>Master_en!A352</f>
        <v>subscription</v>
      </c>
      <c r="B352" s="2" t="str">
        <f>Master_en!B352</f>
        <v>Subscription</v>
      </c>
      <c r="C352" s="2" t="str">
        <f>IFERROR(__xludf.DUMMYFUNCTION("""COMPUTED_VALUE"""),"সাবস্ক্রিপশন")</f>
        <v>সাবস্ক্রিপশন</v>
      </c>
      <c r="D352" s="2" t="str">
        <f>IFERROR(__xludf.DUMMYFUNCTION("""COMPUTED_VALUE"""),"सदस्यता")</f>
        <v>सदस्यता</v>
      </c>
      <c r="E352" s="2" t="str">
        <f>IFERROR(__xludf.DUMMYFUNCTION("""COMPUTED_VALUE"""),"ಚಂದಾದಾರರು")</f>
        <v>ಚಂದಾದಾರರು</v>
      </c>
      <c r="F352" s="2" t="str">
        <f>IFERROR(__xludf.DUMMYFUNCTION("""COMPUTED_VALUE"""),"ସଦସ୍ୟତା")</f>
        <v>ସଦସ୍ୟତା</v>
      </c>
      <c r="G352" s="2" t="str">
        <f>IFERROR(__xludf.DUMMYFUNCTION("""COMPUTED_VALUE"""),"চাবস্ক্ৰিপচন")</f>
        <v>চাবস্ক্ৰিপচন</v>
      </c>
      <c r="H352" s="2" t="str">
        <f>IFERROR(__xludf.DUMMYFUNCTION("""COMPUTED_VALUE"""),"લવાજમ")</f>
        <v>લવાજમ</v>
      </c>
      <c r="I352" s="2" t="str">
        <f>IFERROR(__xludf.DUMMYFUNCTION("""COMPUTED_VALUE"""),"सदस्यता")</f>
        <v>सदस्यता</v>
      </c>
      <c r="J352" s="2" t="str">
        <f>IFERROR(__xludf.DUMMYFUNCTION("""COMPUTED_VALUE"""),"സബ്സ്ക്രിപ്ഷൻ")</f>
        <v>സബ്സ്ക്രിപ്ഷൻ</v>
      </c>
      <c r="K352" s="2" t="str">
        <f>IFERROR(__xludf.DUMMYFUNCTION("""COMPUTED_VALUE"""),"ਗਾਹਕੀ")</f>
        <v>ਗਾਹਕੀ</v>
      </c>
      <c r="L352" s="2" t="str">
        <f>IFERROR(__xludf.DUMMYFUNCTION("""COMPUTED_VALUE"""),"சந்தா")</f>
        <v>சந்தா</v>
      </c>
      <c r="M352" s="2" t="str">
        <f>IFERROR(__xludf.DUMMYFUNCTION("""COMPUTED_VALUE"""),"చందా")</f>
        <v>చందా</v>
      </c>
    </row>
    <row r="353">
      <c r="A353" s="2" t="str">
        <f>Master_en!A353</f>
        <v>catalog</v>
      </c>
      <c r="B353" s="2" t="str">
        <f>Master_en!B353</f>
        <v>Catalog</v>
      </c>
      <c r="C353" s="2" t="str">
        <f>IFERROR(__xludf.DUMMYFUNCTION("""COMPUTED_VALUE"""),"ক্যাটালগ")</f>
        <v>ক্যাটালগ</v>
      </c>
      <c r="D353" s="2" t="str">
        <f>IFERROR(__xludf.DUMMYFUNCTION("""COMPUTED_VALUE"""),"सूची")</f>
        <v>सूची</v>
      </c>
      <c r="E353" s="2" t="str">
        <f>IFERROR(__xludf.DUMMYFUNCTION("""COMPUTED_VALUE"""),"ನೌಕರರ ಕ್ರಮ ಸಂಖ್ಯೆ")</f>
        <v>ನೌಕರರ ಕ್ರಮ ಸಂಖ್ಯೆ</v>
      </c>
      <c r="F353" s="2" t="str">
        <f>IFERROR(__xludf.DUMMYFUNCTION("""COMPUTED_VALUE"""),"କାଟାଲଗ୍ |")</f>
        <v>କାଟାଲଗ୍ |</v>
      </c>
      <c r="G353" s="2" t="str">
        <f>IFERROR(__xludf.DUMMYFUNCTION("""COMPUTED_VALUE"""),"কেটেলগ")</f>
        <v>কেটেলগ</v>
      </c>
      <c r="H353" s="2" t="str">
        <f>IFERROR(__xludf.DUMMYFUNCTION("""COMPUTED_VALUE"""),"સૂચિ")</f>
        <v>સૂચિ</v>
      </c>
      <c r="I353" s="2" t="str">
        <f>IFERROR(__xludf.DUMMYFUNCTION("""COMPUTED_VALUE"""),"कॅटलॉग")</f>
        <v>कॅटलॉग</v>
      </c>
      <c r="J353" s="2" t="str">
        <f>IFERROR(__xludf.DUMMYFUNCTION("""COMPUTED_VALUE"""),"നാമാവലി")</f>
        <v>നാമാവലി</v>
      </c>
      <c r="K353" s="2" t="str">
        <f>IFERROR(__xludf.DUMMYFUNCTION("""COMPUTED_VALUE"""),"ਕੈਟਾਲਾਗ")</f>
        <v>ਕੈਟਾਲਾਗ</v>
      </c>
      <c r="L353" s="2" t="str">
        <f>IFERROR(__xludf.DUMMYFUNCTION("""COMPUTED_VALUE"""),"அட்டவணை")</f>
        <v>அட்டவணை</v>
      </c>
      <c r="M353" s="2" t="str">
        <f>IFERROR(__xludf.DUMMYFUNCTION("""COMPUTED_VALUE"""),"జాబితా")</f>
        <v>జాబితా</v>
      </c>
    </row>
    <row r="354">
      <c r="A354" s="2" t="str">
        <f>Master_en!A354</f>
        <v>financemanager</v>
      </c>
      <c r="B354" s="2" t="str">
        <f>Master_en!B354</f>
        <v>Finance Manager</v>
      </c>
      <c r="C354" s="2" t="str">
        <f>IFERROR(__xludf.DUMMYFUNCTION("""COMPUTED_VALUE"""),"অর্থ ব্যবস্থাপক")</f>
        <v>অর্থ ব্যবস্থাপক</v>
      </c>
      <c r="D354" s="2" t="str">
        <f>IFERROR(__xludf.DUMMYFUNCTION("""COMPUTED_VALUE"""),"वित्त प्रबंधक")</f>
        <v>वित्त प्रबंधक</v>
      </c>
      <c r="E354" s="2" t="str">
        <f>IFERROR(__xludf.DUMMYFUNCTION("""COMPUTED_VALUE"""),"ಹಣಕಾಸಿನ ವ್ಯವಸ್ಥಾಪಕ")</f>
        <v>ಹಣಕಾಸಿನ ವ್ಯವಸ್ಥಾಪಕ</v>
      </c>
      <c r="F354" s="2" t="str">
        <f>IFERROR(__xludf.DUMMYFUNCTION("""COMPUTED_VALUE"""),"ଫାଇନାନ୍ସ ମ୍ୟାନେଜର୍ |")</f>
        <v>ଫାଇନାନ୍ସ ମ୍ୟାନେଜର୍ |</v>
      </c>
      <c r="G354" s="2" t="str">
        <f>IFERROR(__xludf.DUMMYFUNCTION("""COMPUTED_VALUE"""),"বিত্তীয় পৰিচালক")</f>
        <v>বিত্তীয় পৰিচালক</v>
      </c>
      <c r="H354" s="2" t="str">
        <f>IFERROR(__xludf.DUMMYFUNCTION("""COMPUTED_VALUE"""),"નાણા -વ્યવસ્થાપક")</f>
        <v>નાણા -વ્યવસ્થાપક</v>
      </c>
      <c r="I354" s="2" t="str">
        <f>IFERROR(__xludf.DUMMYFUNCTION("""COMPUTED_VALUE"""),"वित्त व्यवस्थापक")</f>
        <v>वित्त व्यवस्थापक</v>
      </c>
      <c r="J354" s="2" t="str">
        <f>IFERROR(__xludf.DUMMYFUNCTION("""COMPUTED_VALUE"""),"ഫിനാൻസ് മാനേജർ")</f>
        <v>ഫിനാൻസ് മാനേജർ</v>
      </c>
      <c r="K354" s="2" t="str">
        <f>IFERROR(__xludf.DUMMYFUNCTION("""COMPUTED_VALUE"""),"ਵਿੱਤ ਮੈਨੇਜਰ")</f>
        <v>ਵਿੱਤ ਮੈਨੇਜਰ</v>
      </c>
      <c r="L354" s="2" t="str">
        <f>IFERROR(__xludf.DUMMYFUNCTION("""COMPUTED_VALUE"""),"நிதி மேலாளர்")</f>
        <v>நிதி மேலாளர்</v>
      </c>
      <c r="M354" s="2" t="str">
        <f>IFERROR(__xludf.DUMMYFUNCTION("""COMPUTED_VALUE"""),"ఆర్థిక నిర్వాహకుడు")</f>
        <v>ఆర్థిక నిర్వాహకుడు</v>
      </c>
    </row>
    <row r="355">
      <c r="A355" s="2" t="str">
        <f>Master_en!A355</f>
        <v>posexecutive</v>
      </c>
      <c r="B355" s="2" t="str">
        <f>Master_en!B355</f>
        <v>PoS Executive</v>
      </c>
      <c r="C355" s="2" t="str">
        <f>IFERROR(__xludf.DUMMYFUNCTION("""COMPUTED_VALUE"""),"পস এক্সিকিউটিভ")</f>
        <v>পস এক্সিকিউটিভ</v>
      </c>
      <c r="D355" s="2" t="str">
        <f>IFERROR(__xludf.DUMMYFUNCTION("""COMPUTED_VALUE"""),"पीओएस कार्यकारी")</f>
        <v>पीओएस कार्यकारी</v>
      </c>
      <c r="E355" s="2" t="str">
        <f>IFERROR(__xludf.DUMMYFUNCTION("""COMPUTED_VALUE"""),"ಪಿಒಎಸ್ ಕಾರ್ಯನಿರ್ವಾಹಕ")</f>
        <v>ಪಿಒಎಸ್ ಕಾರ್ಯನಿರ್ವಾಹಕ</v>
      </c>
      <c r="F355" s="2" t="str">
        <f>IFERROR(__xludf.DUMMYFUNCTION("""COMPUTED_VALUE"""),"ପପ୍ ଏକଜେକ୍ୟୁଟାଇଭ୍")</f>
        <v>ପପ୍ ଏକଜେକ୍ୟୁଟାଇଭ୍</v>
      </c>
      <c r="G355" s="2" t="str">
        <f>IFERROR(__xludf.DUMMYFUNCTION("""COMPUTED_VALUE"""),"PoS কাৰ্যবাহী")</f>
        <v>PoS কাৰ্যবাহী</v>
      </c>
      <c r="H355" s="2" t="str">
        <f>IFERROR(__xludf.DUMMYFUNCTION("""COMPUTED_VALUE"""),"ઉપનિર્માન")</f>
        <v>ઉપનિર્માન</v>
      </c>
      <c r="I355" s="2" t="str">
        <f>IFERROR(__xludf.DUMMYFUNCTION("""COMPUTED_VALUE"""),"पीओएस कार्यकारी")</f>
        <v>पीओएस कार्यकारी</v>
      </c>
      <c r="J355" s="2" t="str">
        <f>IFERROR(__xludf.DUMMYFUNCTION("""COMPUTED_VALUE"""),"Pos എക്സിക്യൂട്ടീവ്")</f>
        <v>Pos എക്സിക്യൂട്ടീവ്</v>
      </c>
      <c r="K355" s="2" t="str">
        <f>IFERROR(__xludf.DUMMYFUNCTION("""COMPUTED_VALUE"""),"ਪੋਸ ਕਾਰਜਕਾਰੀ")</f>
        <v>ਪੋਸ ਕਾਰਜਕਾਰੀ</v>
      </c>
      <c r="L355" s="2" t="str">
        <f>IFERROR(__xludf.DUMMYFUNCTION("""COMPUTED_VALUE"""),"POS நிர்வாகி ")</f>
        <v>POS நிர்வாகி </v>
      </c>
      <c r="M355" s="2" t="str">
        <f>IFERROR(__xludf.DUMMYFUNCTION("""COMPUTED_VALUE"""),"POS ఎగ్జిక్యూటివ్")</f>
        <v>POS ఎగ్జిక్యూటివ్</v>
      </c>
    </row>
    <row r="356">
      <c r="A356" s="2" t="str">
        <f>Master_en!A356</f>
        <v>add</v>
      </c>
      <c r="B356" s="2" t="str">
        <f>Master_en!B356</f>
        <v>Add</v>
      </c>
      <c r="C356" s="2" t="str">
        <f>IFERROR(__xludf.DUMMYFUNCTION("""COMPUTED_VALUE"""),"যোগ করুন")</f>
        <v>যোগ করুন</v>
      </c>
      <c r="D356" s="2" t="str">
        <f>IFERROR(__xludf.DUMMYFUNCTION("""COMPUTED_VALUE"""),"जोड़ना")</f>
        <v>जोड़ना</v>
      </c>
      <c r="E356" s="2" t="str">
        <f>IFERROR(__xludf.DUMMYFUNCTION("""COMPUTED_VALUE"""),"ಸೇರಿಸು")</f>
        <v>ಸೇರಿಸು</v>
      </c>
      <c r="F356" s="2" t="str">
        <f>IFERROR(__xludf.DUMMYFUNCTION("""COMPUTED_VALUE"""),"ଯୋଡନ୍ତୁ |")</f>
        <v>ଯୋଡନ୍ତୁ |</v>
      </c>
      <c r="G356" s="2" t="str">
        <f>IFERROR(__xludf.DUMMYFUNCTION("""COMPUTED_VALUE"""),"যোগ কৰা")</f>
        <v>যোগ কৰা</v>
      </c>
      <c r="H356" s="2" t="str">
        <f>IFERROR(__xludf.DUMMYFUNCTION("""COMPUTED_VALUE"""),"ઉમેરો")</f>
        <v>ઉમેરો</v>
      </c>
      <c r="I356" s="2" t="str">
        <f>IFERROR(__xludf.DUMMYFUNCTION("""COMPUTED_VALUE"""),"जोडा")</f>
        <v>जोडा</v>
      </c>
      <c r="J356" s="2" t="str">
        <f>IFERROR(__xludf.DUMMYFUNCTION("""COMPUTED_VALUE"""),"കൂട്ടിച്ചേര്ക്കുക")</f>
        <v>കൂട്ടിച്ചേര്ക്കുക</v>
      </c>
      <c r="K356" s="2" t="str">
        <f>IFERROR(__xludf.DUMMYFUNCTION("""COMPUTED_VALUE"""),"ਸ਼ਾਮਲ ਕਰੋ")</f>
        <v>ਸ਼ਾਮਲ ਕਰੋ</v>
      </c>
      <c r="L356" s="2" t="str">
        <f>IFERROR(__xludf.DUMMYFUNCTION("""COMPUTED_VALUE"""),"சேர்க்க")</f>
        <v>சேர்க்க</v>
      </c>
      <c r="M356" s="2" t="str">
        <f>IFERROR(__xludf.DUMMYFUNCTION("""COMPUTED_VALUE"""),"జోడించు")</f>
        <v>జోడించు</v>
      </c>
    </row>
    <row r="357">
      <c r="A357" s="2" t="str">
        <f>Master_en!A357</f>
        <v>storemanager</v>
      </c>
      <c r="B357" s="2" t="str">
        <f>Master_en!B357</f>
        <v>Store Manager</v>
      </c>
      <c r="C357" s="2" t="str">
        <f>IFERROR(__xludf.DUMMYFUNCTION("""COMPUTED_VALUE"""),"দোকান ব্যবস্থাপক")</f>
        <v>দোকান ব্যবস্থাপক</v>
      </c>
      <c r="D357" s="2" t="str">
        <f>IFERROR(__xludf.DUMMYFUNCTION("""COMPUTED_VALUE"""),"स्टोर प्रबंधक")</f>
        <v>स्टोर प्रबंधक</v>
      </c>
      <c r="E357" s="2" t="str">
        <f>IFERROR(__xludf.DUMMYFUNCTION("""COMPUTED_VALUE"""),"ಗೋದಾಮು ನಿರ್ವಾಹಕ")</f>
        <v>ಗೋದಾಮು ನಿರ್ವಾಹಕ</v>
      </c>
      <c r="F357" s="2" t="str">
        <f>IFERROR(__xludf.DUMMYFUNCTION("""COMPUTED_VALUE"""),"ଷ୍ଟୋର୍ ମ୍ୟାନେଜର୍")</f>
        <v>ଷ୍ଟୋର୍ ମ୍ୟାନେଜର୍</v>
      </c>
      <c r="G357" s="2" t="str">
        <f>IFERROR(__xludf.DUMMYFUNCTION("""COMPUTED_VALUE"""),"ষ্ট'ৰ মেনেজাৰ")</f>
        <v>ষ্ট'ৰ মেনেজাৰ</v>
      </c>
      <c r="H357" s="2" t="str">
        <f>IFERROR(__xludf.DUMMYFUNCTION("""COMPUTED_VALUE"""),"દુકાન નો વ્યવસ્થાપક")</f>
        <v>દુકાન નો વ્યવસ્થાપક</v>
      </c>
      <c r="I357" s="2" t="str">
        <f>IFERROR(__xludf.DUMMYFUNCTION("""COMPUTED_VALUE"""),"स्टोअर व्यवस्थापक")</f>
        <v>स्टोअर व्यवस्थापक</v>
      </c>
      <c r="J357" s="2" t="str">
        <f>IFERROR(__xludf.DUMMYFUNCTION("""COMPUTED_VALUE"""),"കലവറ കാര്യസ്ഥൻ")</f>
        <v>കലവറ കാര്യസ്ഥൻ</v>
      </c>
      <c r="K357" s="2" t="str">
        <f>IFERROR(__xludf.DUMMYFUNCTION("""COMPUTED_VALUE"""),"ਸਟੋਰ ਮੈਨੇਜਰ")</f>
        <v>ਸਟੋਰ ਮੈਨੇਜਰ</v>
      </c>
      <c r="L357" s="2" t="str">
        <f>IFERROR(__xludf.DUMMYFUNCTION("""COMPUTED_VALUE"""),"கடை மேலாளர்")</f>
        <v>கடை மேலாளர்</v>
      </c>
      <c r="M357" s="2" t="str">
        <f>IFERROR(__xludf.DUMMYFUNCTION("""COMPUTED_VALUE"""),"దుకాణ నిర్వాహకుడు")</f>
        <v>దుకాణ నిర్వాహకుడు</v>
      </c>
    </row>
    <row r="358">
      <c r="A358" s="2" t="str">
        <f>Master_en!A358</f>
        <v>order</v>
      </c>
      <c r="B358" s="2" t="str">
        <f>Master_en!B358</f>
        <v>Order</v>
      </c>
      <c r="C358" s="2" t="str">
        <f>IFERROR(__xludf.DUMMYFUNCTION("""COMPUTED_VALUE"""),"অর্ডার")</f>
        <v>অর্ডার</v>
      </c>
      <c r="D358" s="2" t="str">
        <f>IFERROR(__xludf.DUMMYFUNCTION("""COMPUTED_VALUE"""),"आदेश")</f>
        <v>आदेश</v>
      </c>
      <c r="E358" s="2" t="str">
        <f>IFERROR(__xludf.DUMMYFUNCTION("""COMPUTED_VALUE"""),"ಆಜ್ಞ")</f>
        <v>ಆಜ್ಞ</v>
      </c>
      <c r="F358" s="2" t="str">
        <f>IFERROR(__xludf.DUMMYFUNCTION("""COMPUTED_VALUE"""),"କ୍ରମ")</f>
        <v>କ୍ରମ</v>
      </c>
      <c r="G358" s="2" t="str">
        <f>IFERROR(__xludf.DUMMYFUNCTION("""COMPUTED_VALUE"""),"ক্ৰম")</f>
        <v>ক্ৰম</v>
      </c>
      <c r="H358" s="2" t="str">
        <f>IFERROR(__xludf.DUMMYFUNCTION("""COMPUTED_VALUE"""),"હુકમ")</f>
        <v>હુકમ</v>
      </c>
      <c r="I358" s="2" t="str">
        <f>IFERROR(__xludf.DUMMYFUNCTION("""COMPUTED_VALUE"""),"ऑर्डर")</f>
        <v>ऑर्डर</v>
      </c>
      <c r="J358" s="2" t="str">
        <f>IFERROR(__xludf.DUMMYFUNCTION("""COMPUTED_VALUE"""),"ആജ്ഞകൊടുക്കുക")</f>
        <v>ആജ്ഞകൊടുക്കുക</v>
      </c>
      <c r="K358" s="2" t="str">
        <f>IFERROR(__xludf.DUMMYFUNCTION("""COMPUTED_VALUE"""),"ਆਰਡਰ")</f>
        <v>ਆਰਡਰ</v>
      </c>
      <c r="L358" s="2" t="str">
        <f>IFERROR(__xludf.DUMMYFUNCTION("""COMPUTED_VALUE"""),"ஆர்டர் ")</f>
        <v>ஆர்டர் </v>
      </c>
      <c r="M358" s="2" t="str">
        <f>IFERROR(__xludf.DUMMYFUNCTION("""COMPUTED_VALUE"""),"ఆర్డర్")</f>
        <v>ఆర్డర్</v>
      </c>
    </row>
    <row r="359">
      <c r="A359" s="2" t="str">
        <f>Master_en!A359</f>
        <v>dispatchedintransit</v>
      </c>
      <c r="B359" s="2" t="str">
        <f>Master_en!B359</f>
        <v>Dispatched(In Transit)</v>
      </c>
      <c r="C359" s="2" t="str">
        <f>IFERROR(__xludf.DUMMYFUNCTION("""COMPUTED_VALUE"""),"প্রেরণ (ট্রানজিটে)")</f>
        <v>প্রেরণ (ট্রানজিটে)</v>
      </c>
      <c r="D359" s="2" t="str">
        <f>IFERROR(__xludf.DUMMYFUNCTION("""COMPUTED_VALUE"""),"प्रेषित (पारगमन में)")</f>
        <v>प्रेषित (पारगमन में)</v>
      </c>
      <c r="E359" s="2" t="str">
        <f>IFERROR(__xludf.DUMMYFUNCTION("""COMPUTED_VALUE"""),"ರವಾನಿಸಲಾಗಿದೆ (ಸಾಗಣೆಯಲ್ಲಿ)")</f>
        <v>ರವಾನಿಸಲಾಗಿದೆ (ಸಾಗಣೆಯಲ್ಲಿ)</v>
      </c>
      <c r="F359" s="2" t="str">
        <f>IFERROR(__xludf.DUMMYFUNCTION("""COMPUTED_VALUE"""),"ପଠାଯାଇଛି (ଗମନାଗମନ ସମୟରେ)")</f>
        <v>ପଠାଯାଇଛି (ଗମନାଗମନ ସମୟରେ)</v>
      </c>
      <c r="G359" s="2" t="str">
        <f>IFERROR(__xludf.DUMMYFUNCTION("""COMPUTED_VALUE"""),"প্ৰেৰণ কৰা হৈছে(In Transit)")</f>
        <v>প্ৰেৰণ কৰা হৈছে(In Transit)</v>
      </c>
      <c r="H359" s="2" t="str">
        <f>IFERROR(__xludf.DUMMYFUNCTION("""COMPUTED_VALUE"""),"રવાનગી (પરિવહનમાં)")</f>
        <v>રવાનગી (પરિવહનમાં)</v>
      </c>
      <c r="I359" s="2" t="str">
        <f>IFERROR(__xludf.DUMMYFUNCTION("""COMPUTED_VALUE"""),"पाठविला (संक्रमणात)")</f>
        <v>पाठविला (संक्रमणात)</v>
      </c>
      <c r="J359" s="2" t="str">
        <f>IFERROR(__xludf.DUMMYFUNCTION("""COMPUTED_VALUE"""),"അയച്ചു (ട്രാൻസിറ്റിൽ)")</f>
        <v>അയച്ചു (ട്രാൻസിറ്റിൽ)</v>
      </c>
      <c r="K359" s="2" t="str">
        <f>IFERROR(__xludf.DUMMYFUNCTION("""COMPUTED_VALUE"""),"ਰਵਾਨਗੀ (ਟ੍ਰਾਂਜਿਟ ਵਿੱਚ)")</f>
        <v>ਰਵਾਨਗੀ (ਟ੍ਰਾਂਜਿਟ ਵਿੱਚ)</v>
      </c>
      <c r="L359" s="2" t="str">
        <f>IFERROR(__xludf.DUMMYFUNCTION("""COMPUTED_VALUE"""),"அனுப்பப்பட்டது (போக்குவரத்தில்)")</f>
        <v>அனுப்பப்பட்டது (போக்குவரத்தில்)</v>
      </c>
      <c r="M359" s="2" t="str">
        <f>IFERROR(__xludf.DUMMYFUNCTION("""COMPUTED_VALUE"""),"పంపబడింది (రవాణాలో)")</f>
        <v>పంపబడింది (రవాణాలో)</v>
      </c>
    </row>
    <row r="360">
      <c r="A360" s="2" t="str">
        <f>Master_en!A360</f>
        <v>YourOrderWillBeDelivered</v>
      </c>
      <c r="B360" s="2" t="str">
        <f>Master_en!B360</f>
        <v>Your Order Will Be Delivered</v>
      </c>
      <c r="C360" s="2" t="str">
        <f>IFERROR(__xludf.DUMMYFUNCTION("""COMPUTED_VALUE"""),"আপনার অর্ডার বিতরণ করা হবে")</f>
        <v>আপনার অর্ডার বিতরণ করা হবে</v>
      </c>
      <c r="D360" s="2" t="str">
        <f>IFERROR(__xludf.DUMMYFUNCTION("""COMPUTED_VALUE"""),"आपका आदेश दिया जाएगा")</f>
        <v>आपका आदेश दिया जाएगा</v>
      </c>
      <c r="E360" s="2" t="str">
        <f>IFERROR(__xludf.DUMMYFUNCTION("""COMPUTED_VALUE"""),"ನಿಮ್ಮ ಆದೇಶವನ್ನು ತಲುಪಿಸಲಾಗುತ್ತದೆ")</f>
        <v>ನಿಮ್ಮ ಆದೇಶವನ್ನು ತಲುಪಿಸಲಾಗುತ್ತದೆ</v>
      </c>
      <c r="F360" s="2" t="str">
        <f>IFERROR(__xludf.DUMMYFUNCTION("""COMPUTED_VALUE"""),"ତୁମର ଅର୍ଡର ବିତରଣ ହେବ |")</f>
        <v>ତୁମର ଅର୍ଡର ବିତରଣ ହେବ |</v>
      </c>
      <c r="G360" s="2" t="str">
        <f>IFERROR(__xludf.DUMMYFUNCTION("""COMPUTED_VALUE"""),"আপোনাৰ অৰ্ডাৰ ডেলিভাৰী হ'ব")</f>
        <v>আপোনাৰ অৰ্ডাৰ ডেলিভাৰী হ'ব</v>
      </c>
      <c r="H360" s="2" t="str">
        <f>IFERROR(__xludf.DUMMYFUNCTION("""COMPUTED_VALUE"""),"તમારો ઓર્ડર પહોંચાડવામાં આવશે")</f>
        <v>તમારો ઓર્ડર પહોંચાડવામાં આવશે</v>
      </c>
      <c r="I360" s="2" t="str">
        <f>IFERROR(__xludf.DUMMYFUNCTION("""COMPUTED_VALUE"""),"आपली ऑर्डर वितरित केली जाईल")</f>
        <v>आपली ऑर्डर वितरित केली जाईल</v>
      </c>
      <c r="J360" s="2" t="str">
        <f>IFERROR(__xludf.DUMMYFUNCTION("""COMPUTED_VALUE"""),"നിങ്ങളുടെ ഓർഡർ കൈമാറും")</f>
        <v>നിങ്ങളുടെ ഓർഡർ കൈമാറും</v>
      </c>
      <c r="K360" s="2" t="str">
        <f>IFERROR(__xludf.DUMMYFUNCTION("""COMPUTED_VALUE"""),"ਤੁਹਾਡਾ ਆਰਡਰ ਦਿੱਤਾ ਜਾਵੇਗਾ")</f>
        <v>ਤੁਹਾਡਾ ਆਰਡਰ ਦਿੱਤਾ ਜਾਵੇਗਾ</v>
      </c>
      <c r="L360" s="2" t="str">
        <f>IFERROR(__xludf.DUMMYFUNCTION("""COMPUTED_VALUE"""),"உங்கள் ஆர்டர் வழங்கப்படும்")</f>
        <v>உங்கள் ஆர்டர் வழங்கப்படும்</v>
      </c>
      <c r="M360" s="2" t="str">
        <f>IFERROR(__xludf.DUMMYFUNCTION("""COMPUTED_VALUE"""),"మీ ఆర్డర్ పంపిణీ చేయబడుతుంది")</f>
        <v>మీ ఆర్డర్ పంపిణీ చేయబడుతుంది</v>
      </c>
    </row>
    <row r="361">
      <c r="A361" s="2" t="str">
        <f>Master_en!A361</f>
        <v>search</v>
      </c>
      <c r="B361" s="2" t="str">
        <f>Master_en!B361</f>
        <v>Search</v>
      </c>
      <c r="C361" s="2" t="str">
        <f>IFERROR(__xludf.DUMMYFUNCTION("""COMPUTED_VALUE"""),"অনুসন্ধান")</f>
        <v>অনুসন্ধান</v>
      </c>
      <c r="D361" s="2" t="str">
        <f>IFERROR(__xludf.DUMMYFUNCTION("""COMPUTED_VALUE"""),"खोज")</f>
        <v>खोज</v>
      </c>
      <c r="E361" s="2" t="str">
        <f>IFERROR(__xludf.DUMMYFUNCTION("""COMPUTED_VALUE"""),"ಹುಡುಕಿ")</f>
        <v>ಹುಡುಕಿ</v>
      </c>
      <c r="F361" s="2" t="str">
        <f>IFERROR(__xludf.DUMMYFUNCTION("""COMPUTED_VALUE"""),"ସନ୍ଧାନ କର |")</f>
        <v>ସନ୍ଧାନ କର |</v>
      </c>
      <c r="G361" s="2" t="str">
        <f>IFERROR(__xludf.DUMMYFUNCTION("""COMPUTED_VALUE"""),"সন্ধান")</f>
        <v>সন্ধান</v>
      </c>
      <c r="H361" s="2" t="str">
        <f>IFERROR(__xludf.DUMMYFUNCTION("""COMPUTED_VALUE"""),"શોધ")</f>
        <v>શોધ</v>
      </c>
      <c r="I361" s="2" t="str">
        <f>IFERROR(__xludf.DUMMYFUNCTION("""COMPUTED_VALUE"""),"शोधा")</f>
        <v>शोधा</v>
      </c>
      <c r="J361" s="2" t="str">
        <f>IFERROR(__xludf.DUMMYFUNCTION("""COMPUTED_VALUE"""),"അനേഷണം")</f>
        <v>അനേഷണം</v>
      </c>
      <c r="K361" s="2" t="str">
        <f>IFERROR(__xludf.DUMMYFUNCTION("""COMPUTED_VALUE"""),"ਖੋਜ")</f>
        <v>ਖੋਜ</v>
      </c>
      <c r="L361" s="2" t="str">
        <f>IFERROR(__xludf.DUMMYFUNCTION("""COMPUTED_VALUE"""),"தேடல்")</f>
        <v>தேடல்</v>
      </c>
      <c r="M361" s="2" t="str">
        <f>IFERROR(__xludf.DUMMYFUNCTION("""COMPUTED_VALUE"""),"వెతకండి")</f>
        <v>వెతకండి</v>
      </c>
    </row>
    <row r="362">
      <c r="A362" s="2" t="str">
        <f>Master_en!A362</f>
        <v>addUser</v>
      </c>
      <c r="B362" s="2" t="str">
        <f>Master_en!B362</f>
        <v>Add User</v>
      </c>
      <c r="C362" s="2" t="str">
        <f>IFERROR(__xludf.DUMMYFUNCTION("""COMPUTED_VALUE"""),"ব্যবহারকারী যুক্ত করুন")</f>
        <v>ব্যবহারকারী যুক্ত করুন</v>
      </c>
      <c r="D362" s="2" t="str">
        <f>IFERROR(__xludf.DUMMYFUNCTION("""COMPUTED_VALUE"""),"उपयोगकर्ता जोड़ें")</f>
        <v>उपयोगकर्ता जोड़ें</v>
      </c>
      <c r="E362" s="2" t="str">
        <f>IFERROR(__xludf.DUMMYFUNCTION("""COMPUTED_VALUE"""),"ಬಳಕೆದಾರರನ್ನು ಸೇರಿಸಿ")</f>
        <v>ಬಳಕೆದಾರರನ್ನು ಸೇರಿಸಿ</v>
      </c>
      <c r="F362" s="2" t="str">
        <f>IFERROR(__xludf.DUMMYFUNCTION("""COMPUTED_VALUE"""),"ଉପଯୋଗକର୍ତ୍ତା ଯୋଡନ୍ତୁ |")</f>
        <v>ଉପଯୋଗକର୍ତ୍ତା ଯୋଡନ୍ତୁ |</v>
      </c>
      <c r="G362" s="2" t="str">
        <f>IFERROR(__xludf.DUMMYFUNCTION("""COMPUTED_VALUE"""),"ব্যৱহাৰকাৰী যোগ কৰক")</f>
        <v>ব্যৱহাৰকাৰী যোগ কৰক</v>
      </c>
      <c r="H362" s="2" t="str">
        <f>IFERROR(__xludf.DUMMYFUNCTION("""COMPUTED_VALUE"""),"વપરાશકર્તા ઉમેરો")</f>
        <v>વપરાશકર્તા ઉમેરો</v>
      </c>
      <c r="I362" s="2" t="str">
        <f>IFERROR(__xludf.DUMMYFUNCTION("""COMPUTED_VALUE"""),"वापरकर्ता जोडा")</f>
        <v>वापरकर्ता जोडा</v>
      </c>
      <c r="J362" s="2" t="str">
        <f>IFERROR(__xludf.DUMMYFUNCTION("""COMPUTED_VALUE"""),"ഉപയോക്താവിനെ ചേർക്കുക")</f>
        <v>ഉപയോക്താവിനെ ചേർക്കുക</v>
      </c>
      <c r="K362" s="2" t="str">
        <f>IFERROR(__xludf.DUMMYFUNCTION("""COMPUTED_VALUE"""),"ਉਪਭੋਗਤਾ ਸ਼ਾਮਲ ਕਰੋ")</f>
        <v>ਉਪਭੋਗਤਾ ਸ਼ਾਮਲ ਕਰੋ</v>
      </c>
      <c r="L362" s="2" t="str">
        <f>IFERROR(__xludf.DUMMYFUNCTION("""COMPUTED_VALUE"""),"பயனரைச் சேர்க்கவும்")</f>
        <v>பயனரைச் சேர்க்கவும்</v>
      </c>
      <c r="M362" s="2" t="str">
        <f>IFERROR(__xludf.DUMMYFUNCTION("""COMPUTED_VALUE"""),"వినియోగదారుని జోడించండి")</f>
        <v>వినియోగదారుని జోడించండి</v>
      </c>
    </row>
    <row r="363">
      <c r="A363" s="2" t="str">
        <f>Master_en!A363</f>
        <v>reset</v>
      </c>
      <c r="B363" s="2" t="str">
        <f>Master_en!B363</f>
        <v>Reset </v>
      </c>
      <c r="C363" s="2" t="str">
        <f>IFERROR(__xludf.DUMMYFUNCTION("""COMPUTED_VALUE"""),"রিসেট")</f>
        <v>রিসেট</v>
      </c>
      <c r="D363" s="2" t="str">
        <f>IFERROR(__xludf.DUMMYFUNCTION("""COMPUTED_VALUE"""),"रीसेट")</f>
        <v>रीसेट</v>
      </c>
      <c r="E363" s="2" t="str">
        <f>IFERROR(__xludf.DUMMYFUNCTION("""COMPUTED_VALUE"""),"ಮರುಹೊಂದಿಸು")</f>
        <v>ಮರುಹೊಂದಿಸು</v>
      </c>
      <c r="F363" s="2" t="str">
        <f>IFERROR(__xludf.DUMMYFUNCTION("""COMPUTED_VALUE"""),"ପୁନ et ସେଟ୍ କରନ୍ତୁ |")</f>
        <v>ପୁନ et ସେଟ୍ କରନ୍ତୁ |</v>
      </c>
      <c r="G363" s="2" t="str">
        <f>IFERROR(__xludf.DUMMYFUNCTION("""COMPUTED_VALUE"""),"ৰিছেট কৰক")</f>
        <v>ৰিছেট কৰক</v>
      </c>
      <c r="H363" s="2" t="str">
        <f>IFERROR(__xludf.DUMMYFUNCTION("""COMPUTED_VALUE"""),"ફરીથી સેટ કરવું")</f>
        <v>ફરીથી સેટ કરવું</v>
      </c>
      <c r="I363" s="2" t="str">
        <f>IFERROR(__xludf.DUMMYFUNCTION("""COMPUTED_VALUE"""),"रीसेट")</f>
        <v>रीसेट</v>
      </c>
      <c r="J363" s="2" t="str">
        <f>IFERROR(__xludf.DUMMYFUNCTION("""COMPUTED_VALUE"""),"പുന .സജ്ജമാക്കുക")</f>
        <v>പുന .സജ്ജമാക്കുക</v>
      </c>
      <c r="K363" s="2" t="str">
        <f>IFERROR(__xludf.DUMMYFUNCTION("""COMPUTED_VALUE"""),"ਰੀਸੈੱਟ")</f>
        <v>ਰੀਸੈੱਟ</v>
      </c>
      <c r="L363" s="2" t="str">
        <f>IFERROR(__xludf.DUMMYFUNCTION("""COMPUTED_VALUE"""),"மீட்டமை")</f>
        <v>மீட்டமை</v>
      </c>
      <c r="M363" s="2" t="str">
        <f>IFERROR(__xludf.DUMMYFUNCTION("""COMPUTED_VALUE"""),"రీసెట్")</f>
        <v>రీసెట్</v>
      </c>
    </row>
    <row r="364">
      <c r="A364" s="2" t="str">
        <f>Master_en!A364</f>
        <v>personal</v>
      </c>
      <c r="B364" s="2" t="str">
        <f>Master_en!B364</f>
        <v>Personal</v>
      </c>
      <c r="C364" s="2" t="str">
        <f>IFERROR(__xludf.DUMMYFUNCTION("""COMPUTED_VALUE"""),"ব্যক্তিগত")</f>
        <v>ব্যক্তিগত</v>
      </c>
      <c r="D364" s="2" t="str">
        <f>IFERROR(__xludf.DUMMYFUNCTION("""COMPUTED_VALUE"""),"निजी")</f>
        <v>निजी</v>
      </c>
      <c r="E364" s="2" t="str">
        <f>IFERROR(__xludf.DUMMYFUNCTION("""COMPUTED_VALUE"""),"ವೈಯಕ್ತಿಕ")</f>
        <v>ವೈಯಕ್ತಿಕ</v>
      </c>
      <c r="F364" s="2" t="str">
        <f>IFERROR(__xludf.DUMMYFUNCTION("""COMPUTED_VALUE"""),"ବ୍ୟକ୍ତିଗତ")</f>
        <v>ବ୍ୟକ୍ତିଗତ</v>
      </c>
      <c r="G364" s="2" t="str">
        <f>IFERROR(__xludf.DUMMYFUNCTION("""COMPUTED_VALUE"""),"ব্যক্তিগত")</f>
        <v>ব্যক্তিগত</v>
      </c>
      <c r="H364" s="2" t="str">
        <f>IFERROR(__xludf.DUMMYFUNCTION("""COMPUTED_VALUE"""),"અંગત")</f>
        <v>અંગત</v>
      </c>
      <c r="I364" s="2" t="str">
        <f>IFERROR(__xludf.DUMMYFUNCTION("""COMPUTED_VALUE"""),"वैयक्तिक")</f>
        <v>वैयक्तिक</v>
      </c>
      <c r="J364" s="2" t="str">
        <f>IFERROR(__xludf.DUMMYFUNCTION("""COMPUTED_VALUE"""),"വക്തിപരമായ")</f>
        <v>വക്തിപരമായ</v>
      </c>
      <c r="K364" s="2" t="str">
        <f>IFERROR(__xludf.DUMMYFUNCTION("""COMPUTED_VALUE"""),"ਨਿੱਜੀ")</f>
        <v>ਨਿੱਜੀ</v>
      </c>
      <c r="L364" s="2" t="str">
        <f>IFERROR(__xludf.DUMMYFUNCTION("""COMPUTED_VALUE"""),"தனிப்பட்ட")</f>
        <v>தனிப்பட்ட</v>
      </c>
      <c r="M364" s="2" t="str">
        <f>IFERROR(__xludf.DUMMYFUNCTION("""COMPUTED_VALUE"""),"వ్యక్తిగత")</f>
        <v>వ్యక్తిగత</v>
      </c>
    </row>
    <row r="365">
      <c r="A365" s="2" t="str">
        <f>Master_en!A365</f>
        <v>identity</v>
      </c>
      <c r="B365" s="2" t="str">
        <f>Master_en!B365</f>
        <v>Identity</v>
      </c>
      <c r="C365" s="2" t="str">
        <f>IFERROR(__xludf.DUMMYFUNCTION("""COMPUTED_VALUE"""),"পরিচয়")</f>
        <v>পরিচয়</v>
      </c>
      <c r="D365" s="2" t="str">
        <f>IFERROR(__xludf.DUMMYFUNCTION("""COMPUTED_VALUE"""),"पहचान")</f>
        <v>पहचान</v>
      </c>
      <c r="E365" s="2" t="str">
        <f>IFERROR(__xludf.DUMMYFUNCTION("""COMPUTED_VALUE"""),"ಗುರುತು")</f>
        <v>ಗುರುತು</v>
      </c>
      <c r="F365" s="2" t="str">
        <f>IFERROR(__xludf.DUMMYFUNCTION("""COMPUTED_VALUE"""),"ପରିଚୟ")</f>
        <v>ପରିଚୟ</v>
      </c>
      <c r="G365" s="2" t="str">
        <f>IFERROR(__xludf.DUMMYFUNCTION("""COMPUTED_VALUE"""),"পৰিচয়")</f>
        <v>পৰিচয়</v>
      </c>
      <c r="H365" s="2" t="str">
        <f>IFERROR(__xludf.DUMMYFUNCTION("""COMPUTED_VALUE"""),"ઓળખ")</f>
        <v>ઓળખ</v>
      </c>
      <c r="I365" s="2" t="str">
        <f>IFERROR(__xludf.DUMMYFUNCTION("""COMPUTED_VALUE"""),"ओळख")</f>
        <v>ओळख</v>
      </c>
      <c r="J365" s="2" t="str">
        <f>IFERROR(__xludf.DUMMYFUNCTION("""COMPUTED_VALUE"""),"വക്തിതം")</f>
        <v>വക്തിതം</v>
      </c>
      <c r="K365" s="2" t="str">
        <f>IFERROR(__xludf.DUMMYFUNCTION("""COMPUTED_VALUE"""),"ਪਛਾਣ")</f>
        <v>ਪਛਾਣ</v>
      </c>
      <c r="L365" s="2" t="str">
        <f>IFERROR(__xludf.DUMMYFUNCTION("""COMPUTED_VALUE"""),"அடையாளம்")</f>
        <v>அடையாளம்</v>
      </c>
      <c r="M365" s="2" t="str">
        <f>IFERROR(__xludf.DUMMYFUNCTION("""COMPUTED_VALUE"""),"గుర్తింపు")</f>
        <v>గుర్తింపు</v>
      </c>
    </row>
    <row r="366">
      <c r="A366" s="2" t="str">
        <f>Master_en!A366</f>
        <v>description</v>
      </c>
      <c r="B366" s="2" t="str">
        <f>Master_en!B366</f>
        <v>Description</v>
      </c>
      <c r="C366" s="2" t="str">
        <f>IFERROR(__xludf.DUMMYFUNCTION("""COMPUTED_VALUE"""),"বর্ণনা")</f>
        <v>বর্ণনা</v>
      </c>
      <c r="D366" s="2" t="str">
        <f>IFERROR(__xludf.DUMMYFUNCTION("""COMPUTED_VALUE"""),"विवरण")</f>
        <v>विवरण</v>
      </c>
      <c r="E366" s="2" t="str">
        <f>IFERROR(__xludf.DUMMYFUNCTION("""COMPUTED_VALUE"""),"ವಿವರಣೆ")</f>
        <v>ವಿವರಣೆ</v>
      </c>
      <c r="F366" s="2" t="str">
        <f>IFERROR(__xludf.DUMMYFUNCTION("""COMPUTED_VALUE"""),"ବର୍ଣ୍ଣନା")</f>
        <v>ବର୍ଣ୍ଣନା</v>
      </c>
      <c r="G366" s="2" t="str">
        <f>IFERROR(__xludf.DUMMYFUNCTION("""COMPUTED_VALUE"""),"বিৱৰণ")</f>
        <v>বিৱৰণ</v>
      </c>
      <c r="H366" s="2" t="str">
        <f>IFERROR(__xludf.DUMMYFUNCTION("""COMPUTED_VALUE"""),"વર્ણન")</f>
        <v>વર્ણન</v>
      </c>
      <c r="I366" s="2" t="str">
        <f>IFERROR(__xludf.DUMMYFUNCTION("""COMPUTED_VALUE"""),"वर्णन")</f>
        <v>वर्णन</v>
      </c>
      <c r="J366" s="2" t="str">
        <f>IFERROR(__xludf.DUMMYFUNCTION("""COMPUTED_VALUE"""),"വിവരണം")</f>
        <v>വിവരണം</v>
      </c>
      <c r="K366" s="2" t="str">
        <f>IFERROR(__xludf.DUMMYFUNCTION("""COMPUTED_VALUE"""),"ਵੇਰਵਾ")</f>
        <v>ਵੇਰਵਾ</v>
      </c>
      <c r="L366" s="2" t="str">
        <f>IFERROR(__xludf.DUMMYFUNCTION("""COMPUTED_VALUE"""),"விளக்கம்")</f>
        <v>விளக்கம்</v>
      </c>
      <c r="M366" s="2" t="str">
        <f>IFERROR(__xludf.DUMMYFUNCTION("""COMPUTED_VALUE"""),"వివరణ")</f>
        <v>వివరణ</v>
      </c>
    </row>
    <row r="367">
      <c r="A367" s="2" t="str">
        <f>Master_en!A367</f>
        <v>employeeId</v>
      </c>
      <c r="B367" s="2" t="str">
        <f>Master_en!B367</f>
        <v>Employee ID</v>
      </c>
      <c r="C367" s="2" t="str">
        <f>IFERROR(__xludf.DUMMYFUNCTION("""COMPUTED_VALUE"""),"কর্মচারী আইডি")</f>
        <v>কর্মচারী আইডি</v>
      </c>
      <c r="D367" s="2" t="str">
        <f>IFERROR(__xludf.DUMMYFUNCTION("""COMPUTED_VALUE"""),"कर्मचारी आयडी")</f>
        <v>कर्मचारी आयडी</v>
      </c>
      <c r="E367" s="2" t="str">
        <f>IFERROR(__xludf.DUMMYFUNCTION("""COMPUTED_VALUE"""),"ನೌಕರರ ಕ್ರಮ ಸಂಖ್ಯೆ")</f>
        <v>ನೌಕರರ ಕ್ರಮ ಸಂಖ್ಯೆ</v>
      </c>
      <c r="F367" s="2" t="str">
        <f>IFERROR(__xludf.DUMMYFUNCTION("""COMPUTED_VALUE"""),"କର୍ମଚାରୀ ID")</f>
        <v>କର୍ମଚାରୀ ID</v>
      </c>
      <c r="G367" s="2" t="str">
        <f>IFERROR(__xludf.DUMMYFUNCTION("""COMPUTED_VALUE"""),"কৰ্মচাৰীৰ আইডি")</f>
        <v>কৰ্মচাৰীৰ আইডি</v>
      </c>
      <c r="H367" s="2" t="str">
        <f>IFERROR(__xludf.DUMMYFUNCTION("""COMPUTED_VALUE"""),"કર્મચારી")</f>
        <v>કર્મચારી</v>
      </c>
      <c r="I367" s="2" t="str">
        <f>IFERROR(__xludf.DUMMYFUNCTION("""COMPUTED_VALUE"""),"कर्मचारी आयडी")</f>
        <v>कर्मचारी आयडी</v>
      </c>
      <c r="J367" s="2" t="str">
        <f>IFERROR(__xludf.DUMMYFUNCTION("""COMPUTED_VALUE"""),"തൊഴിലാളിയുടെ തിരിച്ചറിയല് രേഖ")</f>
        <v>തൊഴിലാളിയുടെ തിരിച്ചറിയല് രേഖ</v>
      </c>
      <c r="K367" s="2" t="str">
        <f>IFERROR(__xludf.DUMMYFUNCTION("""COMPUTED_VALUE"""),"ਕਰਮਚਾਰੀ ID")</f>
        <v>ਕਰਮਚਾਰੀ ID</v>
      </c>
      <c r="L367" s="2" t="str">
        <f>IFERROR(__xludf.DUMMYFUNCTION("""COMPUTED_VALUE"""),"பணியாளர் ஐடி")</f>
        <v>பணியாளர் ஐடி</v>
      </c>
      <c r="M367" s="2" t="str">
        <f>IFERROR(__xludf.DUMMYFUNCTION("""COMPUTED_VALUE"""),"ఉద్యోగ గుర్తింపు")</f>
        <v>ఉద్యోగ గుర్తింపు</v>
      </c>
    </row>
    <row r="368">
      <c r="A368" s="2" t="str">
        <f>Master_en!A368</f>
        <v>fullName</v>
      </c>
      <c r="B368" s="2" t="str">
        <f>Master_en!B368</f>
        <v>Full Name</v>
      </c>
      <c r="C368" s="2" t="str">
        <f>IFERROR(__xludf.DUMMYFUNCTION("""COMPUTED_VALUE"""),"পুরো নাম")</f>
        <v>পুরো নাম</v>
      </c>
      <c r="D368" s="2" t="str">
        <f>IFERROR(__xludf.DUMMYFUNCTION("""COMPUTED_VALUE"""),"पूरा नाम")</f>
        <v>पूरा नाम</v>
      </c>
      <c r="E368" s="2" t="str">
        <f>IFERROR(__xludf.DUMMYFUNCTION("""COMPUTED_VALUE"""),"ಪೂರ್ಣ ಹೆಸರು")</f>
        <v>ಪೂರ್ಣ ಹೆಸರು</v>
      </c>
      <c r="F368" s="2" t="str">
        <f>IFERROR(__xludf.DUMMYFUNCTION("""COMPUTED_VALUE"""),"ପୁରା ନାମ")</f>
        <v>ପୁରା ନାମ</v>
      </c>
      <c r="G368" s="2" t="str">
        <f>IFERROR(__xludf.DUMMYFUNCTION("""COMPUTED_VALUE"""),"সম্পূৰ্ণ নাম")</f>
        <v>সম্পূৰ্ণ নাম</v>
      </c>
      <c r="H368" s="2" t="str">
        <f>IFERROR(__xludf.DUMMYFUNCTION("""COMPUTED_VALUE"""),"પૂરું નામ")</f>
        <v>પૂરું નામ</v>
      </c>
      <c r="I368" s="2" t="str">
        <f>IFERROR(__xludf.DUMMYFUNCTION("""COMPUTED_VALUE"""),"पूर्ण नाव")</f>
        <v>पूर्ण नाव</v>
      </c>
      <c r="J368" s="2" t="str">
        <f>IFERROR(__xludf.DUMMYFUNCTION("""COMPUTED_VALUE"""),"പൂർണ്ണമായ പേര്")</f>
        <v>പൂർണ്ണമായ പേര്</v>
      </c>
      <c r="K368" s="2" t="str">
        <f>IFERROR(__xludf.DUMMYFUNCTION("""COMPUTED_VALUE"""),"ਪੂਰਾ ਨਾਂਮ")</f>
        <v>ਪੂਰਾ ਨਾਂਮ</v>
      </c>
      <c r="L368" s="2" t="str">
        <f>IFERROR(__xludf.DUMMYFUNCTION("""COMPUTED_VALUE"""),"முழு பெயர்")</f>
        <v>முழு பெயர்</v>
      </c>
      <c r="M368" s="2" t="str">
        <f>IFERROR(__xludf.DUMMYFUNCTION("""COMPUTED_VALUE"""),"పూర్తి పేరు")</f>
        <v>పూర్తి పేరు</v>
      </c>
    </row>
    <row r="369">
      <c r="A369" s="2" t="str">
        <f>Master_en!A369</f>
        <v>assignRoles</v>
      </c>
      <c r="B369" s="2" t="str">
        <f>Master_en!B369</f>
        <v>Assign Roles</v>
      </c>
      <c r="C369" s="2" t="str">
        <f>IFERROR(__xludf.DUMMYFUNCTION("""COMPUTED_VALUE"""),"ভূমিকা অর্পণ")</f>
        <v>ভূমিকা অর্পণ</v>
      </c>
      <c r="D369" s="2" t="str">
        <f>IFERROR(__xludf.DUMMYFUNCTION("""COMPUTED_VALUE"""),"भूमिकाएँ सौंपें")</f>
        <v>भूमिकाएँ सौंपें</v>
      </c>
      <c r="E369" s="2" t="str">
        <f>IFERROR(__xludf.DUMMYFUNCTION("""COMPUTED_VALUE"""),"ಪಾತ್ರಗಳನ್ನು ನಿಯೋಜಿಸಿ")</f>
        <v>ಪಾತ್ರಗಳನ್ನು ನಿಯೋಜಿಸಿ</v>
      </c>
      <c r="F369" s="2" t="str">
        <f>IFERROR(__xludf.DUMMYFUNCTION("""COMPUTED_VALUE"""),"ଭୂମିକା ନ୍ୟସ୍ତ କରନ୍ତୁ |")</f>
        <v>ଭୂମିକା ନ୍ୟସ୍ତ କରନ୍ତୁ |</v>
      </c>
      <c r="G369" s="2" t="str">
        <f>IFERROR(__xludf.DUMMYFUNCTION("""COMPUTED_VALUE"""),"ভূমিকা নিযুক্তি দিয়ক")</f>
        <v>ভূমিকা নিযুক্তি দিয়ক</v>
      </c>
      <c r="H369" s="2" t="str">
        <f>IFERROR(__xludf.DUMMYFUNCTION("""COMPUTED_VALUE"""),"ભજવણી કરવી")</f>
        <v>ભજવણી કરવી</v>
      </c>
      <c r="I369" s="2" t="str">
        <f>IFERROR(__xludf.DUMMYFUNCTION("""COMPUTED_VALUE"""),"भूमिका नियुक्त करा")</f>
        <v>भूमिका नियुक्त करा</v>
      </c>
      <c r="J369" s="2" t="str">
        <f>IFERROR(__xludf.DUMMYFUNCTION("""COMPUTED_VALUE"""),"വേഷങ്ങൾ നൽകുക")</f>
        <v>വേഷങ്ങൾ നൽകുക</v>
      </c>
      <c r="K369" s="2" t="str">
        <f>IFERROR(__xludf.DUMMYFUNCTION("""COMPUTED_VALUE"""),"ਭੂਮਿਕਾਵਾਂ ਨਿਰਧਾਰਤ ਕਰੋ")</f>
        <v>ਭੂਮਿਕਾਵਾਂ ਨਿਰਧਾਰਤ ਕਰੋ</v>
      </c>
      <c r="L369" s="2" t="str">
        <f>IFERROR(__xludf.DUMMYFUNCTION("""COMPUTED_VALUE"""),"பாத்திரங்களை ஒதுக்க")</f>
        <v>பாத்திரங்களை ஒதுக்க</v>
      </c>
      <c r="M369" s="2" t="str">
        <f>IFERROR(__xludf.DUMMYFUNCTION("""COMPUTED_VALUE"""),"పాత్రలను కేటాయించండి")</f>
        <v>పాత్రలను కేటాయించండి</v>
      </c>
    </row>
    <row r="370">
      <c r="A370" s="2" t="str">
        <f>Master_en!A370</f>
        <v>emailAddress*</v>
      </c>
      <c r="B370" s="2" t="str">
        <f>Master_en!B370</f>
        <v>Email Address</v>
      </c>
      <c r="C370" s="2" t="str">
        <f>IFERROR(__xludf.DUMMYFUNCTION("""COMPUTED_VALUE"""),"ইমেল ঠিকানা")</f>
        <v>ইমেল ঠিকানা</v>
      </c>
      <c r="D370" s="2" t="str">
        <f>IFERROR(__xludf.DUMMYFUNCTION("""COMPUTED_VALUE"""),"मेल पता")</f>
        <v>मेल पता</v>
      </c>
      <c r="E370" s="2" t="str">
        <f>IFERROR(__xludf.DUMMYFUNCTION("""COMPUTED_VALUE"""),"ಇಮೇಲ್ ವಿಳಾಸ")</f>
        <v>ಇಮೇಲ್ ವಿಳಾಸ</v>
      </c>
      <c r="F370" s="2" t="str">
        <f>IFERROR(__xludf.DUMMYFUNCTION("""COMPUTED_VALUE"""),"ଈମୈଲ ଠିକଣା")</f>
        <v>ଈମୈଲ ଠିକଣା</v>
      </c>
      <c r="G370" s="2" t="str">
        <f>IFERROR(__xludf.DUMMYFUNCTION("""COMPUTED_VALUE"""),"ইমেইল ঠিকনা")</f>
        <v>ইমেইল ঠিকনা</v>
      </c>
      <c r="H370" s="2" t="str">
        <f>IFERROR(__xludf.DUMMYFUNCTION("""COMPUTED_VALUE"""),"ઈ - મેઈલ સરનામું")</f>
        <v>ઈ - મેઈલ સરનામું</v>
      </c>
      <c r="I370" s="2" t="str">
        <f>IFERROR(__xludf.DUMMYFUNCTION("""COMPUTED_VALUE"""),"ईमेल पत्ता")</f>
        <v>ईमेल पत्ता</v>
      </c>
      <c r="J370" s="2" t="str">
        <f>IFERROR(__xludf.DUMMYFUNCTION("""COMPUTED_VALUE"""),"ഇമെയിൽ വിലാസം")</f>
        <v>ഇമെയിൽ വിലാസം</v>
      </c>
      <c r="K370" s="2" t="str">
        <f>IFERROR(__xludf.DUMMYFUNCTION("""COMPUTED_VALUE"""),"ਈਮੇਲ ਪਤਾ")</f>
        <v>ਈਮੇਲ ਪਤਾ</v>
      </c>
      <c r="L370" s="2" t="str">
        <f>IFERROR(__xludf.DUMMYFUNCTION("""COMPUTED_VALUE"""),"மின்னஞ்சல் முகவரி")</f>
        <v>மின்னஞ்சல் முகவரி</v>
      </c>
      <c r="M370" s="2" t="str">
        <f>IFERROR(__xludf.DUMMYFUNCTION("""COMPUTED_VALUE"""),"ఇమెయిల్ చిరునామా")</f>
        <v>ఇమెయిల్ చిరునామా</v>
      </c>
    </row>
    <row r="371">
      <c r="A371" s="2" t="str">
        <f>Master_en!A371</f>
        <v>drupefruit10</v>
      </c>
      <c r="B371" s="2" t="str">
        <f>Master_en!B371</f>
        <v>Drupe Fruit (10)</v>
      </c>
      <c r="C371" s="2" t="str">
        <f>IFERROR(__xludf.DUMMYFUNCTION("""COMPUTED_VALUE"""),"ড্রুপ ফল (10)")</f>
        <v>ড্রুপ ফল (10)</v>
      </c>
      <c r="D371" s="2" t="str">
        <f>IFERROR(__xludf.DUMMYFUNCTION("""COMPUTED_VALUE"""),"ड्रूप फल (10)")</f>
        <v>ड्रूप फल (10)</v>
      </c>
      <c r="E371" s="2" t="str">
        <f>IFERROR(__xludf.DUMMYFUNCTION("""COMPUTED_VALUE"""),"ಡ್ರೂಪ್ ಹಣ್ಣು (10)")</f>
        <v>ಡ್ರೂಪ್ ಹಣ್ಣು (10)</v>
      </c>
      <c r="F371" s="2" t="str">
        <f>IFERROR(__xludf.DUMMYFUNCTION("""COMPUTED_VALUE"""),"ଡ୍ରୁପ୍ ଫଳ (10)")</f>
        <v>ଡ୍ରୁପ୍ ଫଳ (10)</v>
      </c>
      <c r="G371" s="2" t="str">
        <f>IFERROR(__xludf.DUMMYFUNCTION("""COMPUTED_VALUE"""),"Drupe ফল (১০)")</f>
        <v>Drupe ফল (১০)</v>
      </c>
      <c r="H371" s="2" t="str">
        <f>IFERROR(__xludf.DUMMYFUNCTION("""COMPUTED_VALUE"""),"Drupe ફળ (10)")</f>
        <v>Drupe ફળ (10)</v>
      </c>
      <c r="I371" s="2" t="str">
        <f>IFERROR(__xludf.DUMMYFUNCTION("""COMPUTED_VALUE"""),"ड्रूप फळ (10)")</f>
        <v>ड्रूप फळ (10)</v>
      </c>
      <c r="J371" s="2" t="str">
        <f>IFERROR(__xludf.DUMMYFUNCTION("""COMPUTED_VALUE"""),"ഡ്രൂപ്പ് ഫ്രൂട്ട് (10)")</f>
        <v>ഡ്രൂപ്പ് ഫ്രൂട്ട് (10)</v>
      </c>
      <c r="K371" s="2" t="str">
        <f>IFERROR(__xludf.DUMMYFUNCTION("""COMPUTED_VALUE"""),"ਡ੍ਰੂਪ ਫਲ (10)")</f>
        <v>ਡ੍ਰੂਪ ਫਲ (10)</v>
      </c>
      <c r="L371" s="2" t="str">
        <f>IFERROR(__xludf.DUMMYFUNCTION("""COMPUTED_VALUE"""),"ட்ரூப் பழம் (10)")</f>
        <v>ட்ரூப் பழம் (10)</v>
      </c>
      <c r="M371" s="2" t="str">
        <f>IFERROR(__xludf.DUMMYFUNCTION("""COMPUTED_VALUE"""),"డ్రూప్ ఫ్రూట్ (10)")</f>
        <v>డ్రూప్ ఫ్రూట్ (10)</v>
      </c>
    </row>
    <row r="372">
      <c r="A372" s="2" t="str">
        <f>Master_en!A372</f>
        <v>education</v>
      </c>
      <c r="B372" s="2" t="str">
        <f>Master_en!B372</f>
        <v>Education</v>
      </c>
      <c r="C372" s="2" t="str">
        <f>IFERROR(__xludf.DUMMYFUNCTION("""COMPUTED_VALUE"""),"শিক্ষা")</f>
        <v>শিক্ষা</v>
      </c>
      <c r="D372" s="2" t="str">
        <f>IFERROR(__xludf.DUMMYFUNCTION("""COMPUTED_VALUE"""),"शिक्षा")</f>
        <v>शिक्षा</v>
      </c>
      <c r="E372" s="2" t="str">
        <f>IFERROR(__xludf.DUMMYFUNCTION("""COMPUTED_VALUE"""),"ಶಿಕ್ಷಣ")</f>
        <v>ಶಿಕ್ಷಣ</v>
      </c>
      <c r="F372" s="2" t="str">
        <f>IFERROR(__xludf.DUMMYFUNCTION("""COMPUTED_VALUE"""),"ଶିକ୍ଷା")</f>
        <v>ଶିକ୍ଷା</v>
      </c>
      <c r="G372" s="2" t="str">
        <f>IFERROR(__xludf.DUMMYFUNCTION("""COMPUTED_VALUE"""),"শিক্ষা")</f>
        <v>শিক্ষা</v>
      </c>
      <c r="H372" s="2" t="str">
        <f>IFERROR(__xludf.DUMMYFUNCTION("""COMPUTED_VALUE"""),"શિક્ષણ")</f>
        <v>શિક્ષણ</v>
      </c>
      <c r="I372" s="2" t="str">
        <f>IFERROR(__xludf.DUMMYFUNCTION("""COMPUTED_VALUE"""),"शिक्षण")</f>
        <v>शिक्षण</v>
      </c>
      <c r="J372" s="2" t="str">
        <f>IFERROR(__xludf.DUMMYFUNCTION("""COMPUTED_VALUE"""),"പഠനം")</f>
        <v>പഠനം</v>
      </c>
      <c r="K372" s="2" t="str">
        <f>IFERROR(__xludf.DUMMYFUNCTION("""COMPUTED_VALUE"""),"ਸਿੱਖਿਆ")</f>
        <v>ਸਿੱਖਿਆ</v>
      </c>
      <c r="L372" s="2" t="str">
        <f>IFERROR(__xludf.DUMMYFUNCTION("""COMPUTED_VALUE"""),"கல்வி")</f>
        <v>கல்வி</v>
      </c>
      <c r="M372" s="2" t="str">
        <f>IFERROR(__xludf.DUMMYFUNCTION("""COMPUTED_VALUE"""),"చదువు")</f>
        <v>చదువు</v>
      </c>
    </row>
    <row r="373">
      <c r="A373" s="2" t="str">
        <f>Master_en!A373</f>
        <v>AddressLine</v>
      </c>
      <c r="B373" s="2" t="str">
        <f>Master_en!B373</f>
        <v>Address line </v>
      </c>
      <c r="C373" s="2" t="str">
        <f>IFERROR(__xludf.DUMMYFUNCTION("""COMPUTED_VALUE"""),"ঠিকানা লাইন")</f>
        <v>ঠিকানা লাইন</v>
      </c>
      <c r="D373" s="2" t="str">
        <f>IFERROR(__xludf.DUMMYFUNCTION("""COMPUTED_VALUE"""),"पता पंक्ति")</f>
        <v>पता पंक्ति</v>
      </c>
      <c r="E373" s="2" t="str">
        <f>IFERROR(__xludf.DUMMYFUNCTION("""COMPUTED_VALUE"""),"ವಿಳಾಸ ಸಾಲು")</f>
        <v>ವಿಳಾಸ ಸಾಲು</v>
      </c>
      <c r="F373" s="2" t="str">
        <f>IFERROR(__xludf.DUMMYFUNCTION("""COMPUTED_VALUE"""),"ଠିକଣା ରେଖା")</f>
        <v>ଠିକଣା ରେଖା</v>
      </c>
      <c r="G373" s="2" t="str">
        <f>IFERROR(__xludf.DUMMYFUNCTION("""COMPUTED_VALUE"""),"ঠিকনা লাইন")</f>
        <v>ঠিকনা লাইন</v>
      </c>
      <c r="H373" s="2" t="str">
        <f>IFERROR(__xludf.DUMMYFUNCTION("""COMPUTED_VALUE"""),"સરનામા")</f>
        <v>સરનામા</v>
      </c>
      <c r="I373" s="2" t="str">
        <f>IFERROR(__xludf.DUMMYFUNCTION("""COMPUTED_VALUE"""),"पत्ता ओळ")</f>
        <v>पत्ता ओळ</v>
      </c>
      <c r="J373" s="2" t="str">
        <f>IFERROR(__xludf.DUMMYFUNCTION("""COMPUTED_VALUE"""),"വിലാസ ലൈൻ")</f>
        <v>വിലാസ ലൈൻ</v>
      </c>
      <c r="K373" s="2" t="str">
        <f>IFERROR(__xludf.DUMMYFUNCTION("""COMPUTED_VALUE"""),"ਐਡਰੈੱਸ ਲਾਈਨ")</f>
        <v>ਐਡਰੈੱਸ ਲਾਈਨ</v>
      </c>
      <c r="L373" s="2" t="str">
        <f>IFERROR(__xludf.DUMMYFUNCTION("""COMPUTED_VALUE"""),"முகவரி வரி")</f>
        <v>முகவரி வரி</v>
      </c>
      <c r="M373" s="2" t="str">
        <f>IFERROR(__xludf.DUMMYFUNCTION("""COMPUTED_VALUE"""),"చిరునామా లైన్")</f>
        <v>చిరునామా లైన్</v>
      </c>
    </row>
    <row r="374">
      <c r="A374" s="2" t="str">
        <f>Master_en!A374</f>
        <v>initiatepayment</v>
      </c>
      <c r="B374" s="2" t="str">
        <f>Master_en!B374</f>
        <v>Initiate Payment</v>
      </c>
      <c r="C374" s="2" t="str">
        <f>IFERROR(__xludf.DUMMYFUNCTION("""COMPUTED_VALUE"""),"অর্থ প্রদান শুরু করুন")</f>
        <v>অর্থ প্রদান শুরু করুন</v>
      </c>
      <c r="D374" s="2" t="str">
        <f>IFERROR(__xludf.DUMMYFUNCTION("""COMPUTED_VALUE"""),"आरंभ करना")</f>
        <v>आरंभ करना</v>
      </c>
      <c r="E374" s="2" t="str">
        <f>IFERROR(__xludf.DUMMYFUNCTION("""COMPUTED_VALUE"""),"ಪಾವತಿಯನ್ನು ಪ್ರಾರಂಭಿಸಿ")</f>
        <v>ಪಾವತಿಯನ್ನು ಪ್ರಾರಂಭಿಸಿ</v>
      </c>
      <c r="F374" s="2" t="str">
        <f>IFERROR(__xludf.DUMMYFUNCTION("""COMPUTED_VALUE"""),"ଦେୟ ଆରମ୍ଭ କର |")</f>
        <v>ଦେୟ ଆରମ୍ଭ କର |</v>
      </c>
      <c r="G374" s="2" t="str">
        <f>IFERROR(__xludf.DUMMYFUNCTION("""COMPUTED_VALUE"""),"পেমেন্ট আৰম্ভ কৰক")</f>
        <v>পেমেন্ট আৰম্ভ কৰক</v>
      </c>
      <c r="H374" s="2" t="str">
        <f>IFERROR(__xludf.DUMMYFUNCTION("""COMPUTED_VALUE"""),"ચુકવણી શરૂ કરો")</f>
        <v>ચુકવણી શરૂ કરો</v>
      </c>
      <c r="I374" s="2" t="str">
        <f>IFERROR(__xludf.DUMMYFUNCTION("""COMPUTED_VALUE"""),"देय द्या")</f>
        <v>देय द्या</v>
      </c>
      <c r="J374" s="2" t="str">
        <f>IFERROR(__xludf.DUMMYFUNCTION("""COMPUTED_VALUE"""),"പേയ്മെന്റ് ആരംഭിക്കുക")</f>
        <v>പേയ്മെന്റ് ആരംഭിക്കുക</v>
      </c>
      <c r="K374" s="2" t="str">
        <f>IFERROR(__xludf.DUMMYFUNCTION("""COMPUTED_VALUE"""),"ਭੁਗਤਾਨ ਸ਼ੁਰੂ ਕਰੋ")</f>
        <v>ਭੁਗਤਾਨ ਸ਼ੁਰੂ ਕਰੋ</v>
      </c>
      <c r="L374" s="2" t="str">
        <f>IFERROR(__xludf.DUMMYFUNCTION("""COMPUTED_VALUE"""),"கட்டணத்தைத் தொடங்கவும்")</f>
        <v>கட்டணத்தைத் தொடங்கவும்</v>
      </c>
      <c r="M374" s="2" t="str">
        <f>IFERROR(__xludf.DUMMYFUNCTION("""COMPUTED_VALUE"""),"చెల్లింపును ప్రారంభించండి")</f>
        <v>చెల్లింపును ప్రారంభించండి</v>
      </c>
    </row>
    <row r="375">
      <c r="A375" s="2" t="str">
        <f>Master_en!A375</f>
        <v>roles</v>
      </c>
      <c r="B375" s="2" t="str">
        <f>Master_en!B375</f>
        <v>Roles</v>
      </c>
      <c r="C375" s="2" t="str">
        <f>IFERROR(__xludf.DUMMYFUNCTION("""COMPUTED_VALUE"""),"ভূমিকা")</f>
        <v>ভূমিকা</v>
      </c>
      <c r="D375" s="2" t="str">
        <f>IFERROR(__xludf.DUMMYFUNCTION("""COMPUTED_VALUE"""),"भूमिकाएँ")</f>
        <v>भूमिकाएँ</v>
      </c>
      <c r="E375" s="2" t="str">
        <f>IFERROR(__xludf.DUMMYFUNCTION("""COMPUTED_VALUE"""),"ಪಾತ್ರಗಳು")</f>
        <v>ಪಾತ್ರಗಳು</v>
      </c>
      <c r="F375" s="2" t="str">
        <f>IFERROR(__xludf.DUMMYFUNCTION("""COMPUTED_VALUE"""),"ଭୂମିକା")</f>
        <v>ଭୂମିକା</v>
      </c>
      <c r="G375" s="2" t="str">
        <f>IFERROR(__xludf.DUMMYFUNCTION("""COMPUTED_VALUE"""),"ভূমিকা")</f>
        <v>ভূমিকা</v>
      </c>
      <c r="H375" s="2" t="str">
        <f>IFERROR(__xludf.DUMMYFUNCTION("""COMPUTED_VALUE"""),"ભૂમિકા")</f>
        <v>ભૂમિકા</v>
      </c>
      <c r="I375" s="2" t="str">
        <f>IFERROR(__xludf.DUMMYFUNCTION("""COMPUTED_VALUE"""),"भूमिका")</f>
        <v>भूमिका</v>
      </c>
      <c r="J375" s="2" t="str">
        <f>IFERROR(__xludf.DUMMYFUNCTION("""COMPUTED_VALUE"""),"റോളുകൾ")</f>
        <v>റോളുകൾ</v>
      </c>
      <c r="K375" s="2" t="str">
        <f>IFERROR(__xludf.DUMMYFUNCTION("""COMPUTED_VALUE"""),"ਭੂਮਿਕਾਵਾਂ")</f>
        <v>ਭੂਮਿਕਾਵਾਂ</v>
      </c>
      <c r="L375" s="2" t="str">
        <f>IFERROR(__xludf.DUMMYFUNCTION("""COMPUTED_VALUE"""),"பாத்திரங்கள்")</f>
        <v>பாத்திரங்கள்</v>
      </c>
      <c r="M375" s="2" t="str">
        <f>IFERROR(__xludf.DUMMYFUNCTION("""COMPUTED_VALUE"""),"పాత్రలు")</f>
        <v>పాత్రలు</v>
      </c>
    </row>
    <row r="376">
      <c r="A376" s="2" t="str">
        <f>Master_en!A376</f>
        <v>distancekm</v>
      </c>
      <c r="B376" s="2" t="str">
        <f>Master_en!B376</f>
        <v>Distance(km)</v>
      </c>
      <c r="C376" s="2" t="str">
        <f>IFERROR(__xludf.DUMMYFUNCTION("""COMPUTED_VALUE"""),"দূরত্ব (কিমি)")</f>
        <v>দূরত্ব (কিমি)</v>
      </c>
      <c r="D376" s="2" t="str">
        <f>IFERROR(__xludf.DUMMYFUNCTION("""COMPUTED_VALUE"""),"दूरी (किमी)")</f>
        <v>दूरी (किमी)</v>
      </c>
      <c r="E376" s="2" t="str">
        <f>IFERROR(__xludf.DUMMYFUNCTION("""COMPUTED_VALUE"""),"ದೂರ (ಕಿಮೀ)")</f>
        <v>ದೂರ (ಕಿಮೀ)</v>
      </c>
      <c r="F376" s="2" t="str">
        <f>IFERROR(__xludf.DUMMYFUNCTION("""COMPUTED_VALUE"""),"ଦୂରତା (କିମି)")</f>
        <v>ଦୂରତା (କିମି)</v>
      </c>
      <c r="G376" s="2" t="str">
        <f>IFERROR(__xludf.DUMMYFUNCTION("""COMPUTED_VALUE"""),"দূৰত্ব(কিলোমিটাৰ)")</f>
        <v>দূৰত্ব(কিলোমিটাৰ)</v>
      </c>
      <c r="H376" s="2" t="str">
        <f>IFERROR(__xludf.DUMMYFUNCTION("""COMPUTED_VALUE"""),"અંતર (કિ.મી.)")</f>
        <v>અંતર (કિ.મી.)</v>
      </c>
      <c r="I376" s="2" t="str">
        <f>IFERROR(__xludf.DUMMYFUNCTION("""COMPUTED_VALUE"""),"अंतर (किमी)")</f>
        <v>अंतर (किमी)</v>
      </c>
      <c r="J376" s="2" t="str">
        <f>IFERROR(__xludf.DUMMYFUNCTION("""COMPUTED_VALUE"""),"ദൂരം (കെഎം)")</f>
        <v>ദൂരം (കെഎം)</v>
      </c>
      <c r="K376" s="2" t="str">
        <f>IFERROR(__xludf.DUMMYFUNCTION("""COMPUTED_VALUE"""),"ਦੂਰੀ (ਕਿਮੀ)")</f>
        <v>ਦੂਰੀ (ਕਿਮੀ)</v>
      </c>
      <c r="L376" s="2" t="str">
        <f>IFERROR(__xludf.DUMMYFUNCTION("""COMPUTED_VALUE"""),"தூரம் (கி.மீ)")</f>
        <v>தூரம் (கி.மீ)</v>
      </c>
      <c r="M376" s="2" t="str">
        <f>IFERROR(__xludf.DUMMYFUNCTION("""COMPUTED_VALUE"""),"దూరం")</f>
        <v>దూరం</v>
      </c>
    </row>
    <row r="377">
      <c r="A377" s="2" t="str">
        <f>Master_en!A377</f>
        <v>mandatoryitem</v>
      </c>
      <c r="B377" s="2" t="str">
        <f>Master_en!B377</f>
        <v>Mandatory Item</v>
      </c>
      <c r="C377" s="2" t="str">
        <f>IFERROR(__xludf.DUMMYFUNCTION("""COMPUTED_VALUE"""),"বাধ্যতামূলক আইটেম")</f>
        <v>বাধ্যতামূলক আইটেম</v>
      </c>
      <c r="D377" s="2" t="str">
        <f>IFERROR(__xludf.DUMMYFUNCTION("""COMPUTED_VALUE"""),"अनिवार्य वस्तु")</f>
        <v>अनिवार्य वस्तु</v>
      </c>
      <c r="E377" s="2" t="str">
        <f>IFERROR(__xludf.DUMMYFUNCTION("""COMPUTED_VALUE"""),"ಕಡ್ಡಾಯ ಐಟಂ")</f>
        <v>ಕಡ್ಡಾಯ ಐಟಂ</v>
      </c>
      <c r="F377" s="2" t="str">
        <f>IFERROR(__xludf.DUMMYFUNCTION("""COMPUTED_VALUE"""),"ବାଧ୍ୟତାମୂଳକ ଆଇଟମ୍ |")</f>
        <v>ବାଧ୍ୟତାମୂଳକ ଆଇଟମ୍ |</v>
      </c>
      <c r="G377" s="2" t="str">
        <f>IFERROR(__xludf.DUMMYFUNCTION("""COMPUTED_VALUE"""),"বাধ্যতামূলক বস্তু")</f>
        <v>বাধ্যতামূলক বস্তু</v>
      </c>
      <c r="H377" s="2" t="str">
        <f>IFERROR(__xludf.DUMMYFUNCTION("""COMPUTED_VALUE"""),"આદેશ -વસ્તુ")</f>
        <v>આદેશ -વસ્તુ</v>
      </c>
      <c r="I377" s="2" t="str">
        <f>IFERROR(__xludf.DUMMYFUNCTION("""COMPUTED_VALUE"""),"अनिवार्य आयटम")</f>
        <v>अनिवार्य आयटम</v>
      </c>
      <c r="J377" s="2" t="str">
        <f>IFERROR(__xludf.DUMMYFUNCTION("""COMPUTED_VALUE"""),"നിർബന്ധിത ഇനം")</f>
        <v>നിർബന്ധിത ഇനം</v>
      </c>
      <c r="K377" s="2" t="str">
        <f>IFERROR(__xludf.DUMMYFUNCTION("""COMPUTED_VALUE"""),"ਲਾਜ਼ਮੀ ਚੀਜ਼")</f>
        <v>ਲਾਜ਼ਮੀ ਚੀਜ਼</v>
      </c>
      <c r="L377" s="2" t="str">
        <f>IFERROR(__xludf.DUMMYFUNCTION("""COMPUTED_VALUE"""),"கட்டாய உருப்படி")</f>
        <v>கட்டாய உருப்படி</v>
      </c>
      <c r="M377" s="2" t="str">
        <f>IFERROR(__xludf.DUMMYFUNCTION("""COMPUTED_VALUE"""),"తప్పనిసరి అంశం")</f>
        <v>తప్పనిసరి అంశం</v>
      </c>
    </row>
    <row r="378">
      <c r="A378" s="2" t="str">
        <f>Master_en!A378</f>
        <v>emergencyContact</v>
      </c>
      <c r="B378" s="2" t="str">
        <f>Master_en!B378</f>
        <v>Emergency Contact</v>
      </c>
      <c r="C378" s="2" t="str">
        <f>IFERROR(__xludf.DUMMYFUNCTION("""COMPUTED_VALUE"""),"জরুরী যোগাযোগ")</f>
        <v>জরুরী যোগাযোগ</v>
      </c>
      <c r="D378" s="2" t="str">
        <f>IFERROR(__xludf.DUMMYFUNCTION("""COMPUTED_VALUE"""),"आपातकालीन संपर्क")</f>
        <v>आपातकालीन संपर्क</v>
      </c>
      <c r="E378" s="2" t="str">
        <f>IFERROR(__xludf.DUMMYFUNCTION("""COMPUTED_VALUE"""),"ತುರ್ತು ಸಂಪರ್ಕ")</f>
        <v>ತುರ್ತು ಸಂಪರ್ಕ</v>
      </c>
      <c r="F378" s="2" t="str">
        <f>IFERROR(__xludf.DUMMYFUNCTION("""COMPUTED_VALUE"""),"ଜରୁରୀକାଳୀନ ଯୋଗାଯୋଗ |")</f>
        <v>ଜରୁରୀକାଳୀନ ଯୋଗାଯୋଗ |</v>
      </c>
      <c r="G378" s="2" t="str">
        <f>IFERROR(__xludf.DUMMYFUNCTION("""COMPUTED_VALUE"""),"জৰুৰীকালীন যোগাযোগ")</f>
        <v>জৰুৰীকালীন যোগাযোগ</v>
      </c>
      <c r="H378" s="2" t="str">
        <f>IFERROR(__xludf.DUMMYFUNCTION("""COMPUTED_VALUE"""),"કટોકટીનો સંપર્ક")</f>
        <v>કટોકટીનો સંપર્ક</v>
      </c>
      <c r="I378" s="2" t="str">
        <f>IFERROR(__xludf.DUMMYFUNCTION("""COMPUTED_VALUE"""),"आपत्कालीन संपर्क")</f>
        <v>आपत्कालीन संपर्क</v>
      </c>
      <c r="J378" s="2" t="str">
        <f>IFERROR(__xludf.DUMMYFUNCTION("""COMPUTED_VALUE"""),"അത്യാവശ്യ സമീപനം")</f>
        <v>അത്യാവശ്യ സമീപനം</v>
      </c>
      <c r="K378" s="2" t="str">
        <f>IFERROR(__xludf.DUMMYFUNCTION("""COMPUTED_VALUE"""),"ਐਮਰਜੈਂਸੀ ਸੰਪਰਕ")</f>
        <v>ਐਮਰਜੈਂਸੀ ਸੰਪਰਕ</v>
      </c>
      <c r="L378" s="2" t="str">
        <f>IFERROR(__xludf.DUMMYFUNCTION("""COMPUTED_VALUE"""),"அவசர தொடர்பு")</f>
        <v>அவசர தொடர்பு</v>
      </c>
      <c r="M378" s="2" t="str">
        <f>IFERROR(__xludf.DUMMYFUNCTION("""COMPUTED_VALUE"""),"అత్యవసర సంప్రదింపు")</f>
        <v>అత్యవసర సంప్రదింపు</v>
      </c>
    </row>
    <row r="379">
      <c r="A379" s="2" t="str">
        <f>Master_en!A379</f>
        <v>uploadAdhaarCard</v>
      </c>
      <c r="B379" s="2" t="str">
        <f>Master_en!B379</f>
        <v>Upload Adhaar Card</v>
      </c>
      <c r="C379" s="2" t="str">
        <f>IFERROR(__xludf.DUMMYFUNCTION("""COMPUTED_VALUE"""),"আধার কার্ড আপলোড করুন")</f>
        <v>আধার কার্ড আপলোড করুন</v>
      </c>
      <c r="D379" s="2" t="str">
        <f>IFERROR(__xludf.DUMMYFUNCTION("""COMPUTED_VALUE"""),"अपलोड अधार कार्ड")</f>
        <v>अपलोड अधार कार्ड</v>
      </c>
      <c r="E379" s="2" t="str">
        <f>IFERROR(__xludf.DUMMYFUNCTION("""COMPUTED_VALUE"""),"ಅಧಾರ್ ಕಾರ್ಡ್ ಅಪ್‌ಲೋಡ್ ಮಾಡಿ")</f>
        <v>ಅಧಾರ್ ಕಾರ್ಡ್ ಅಪ್‌ಲೋಡ್ ಮಾಡಿ</v>
      </c>
      <c r="F379" s="2" t="str">
        <f>IFERROR(__xludf.DUMMYFUNCTION("""COMPUTED_VALUE"""),"ଆଡହର କାର୍ଡ ଅପଲୋଡ୍ କରନ୍ତୁ |")</f>
        <v>ଆଡହର କାର୍ଡ ଅପଲୋଡ୍ କରନ୍ତୁ |</v>
      </c>
      <c r="G379" s="2" t="str">
        <f>IFERROR(__xludf.DUMMYFUNCTION("""COMPUTED_VALUE"""),"আধাৰ কাৰ্ড আপলোড কৰক")</f>
        <v>আধাৰ কাৰ্ড আপলোড কৰক</v>
      </c>
      <c r="H379" s="2" t="str">
        <f>IFERROR(__xludf.DUMMYFUNCTION("""COMPUTED_VALUE"""),"અવહણ કાર્ડ અપલોડ કરો")</f>
        <v>અવહણ કાર્ડ અપલોડ કરો</v>
      </c>
      <c r="I379" s="2" t="str">
        <f>IFERROR(__xludf.DUMMYFUNCTION("""COMPUTED_VALUE"""),"अधार कार्ड अपलोड करा")</f>
        <v>अधार कार्ड अपलोड करा</v>
      </c>
      <c r="J379" s="2" t="str">
        <f>IFERROR(__xludf.DUMMYFUNCTION("""COMPUTED_VALUE"""),"അദ്ഹാർ കാർഡ് അപ്ലോഡുചെയ്യുക")</f>
        <v>അദ്ഹാർ കാർഡ് അപ്ലോഡുചെയ്യുക</v>
      </c>
      <c r="K379" s="2" t="str">
        <f>IFERROR(__xludf.DUMMYFUNCTION("""COMPUTED_VALUE"""),"ਹਿਰਾਰ ਕਾਰਡ ਅਪਲੋਡ ਕਰੋ")</f>
        <v>ਹਿਰਾਰ ਕਾਰਡ ਅਪਲੋਡ ਕਰੋ</v>
      </c>
      <c r="L379" s="2" t="str">
        <f>IFERROR(__xludf.DUMMYFUNCTION("""COMPUTED_VALUE"""),"ஆதார் கார்டைப் பதிவேற்றவும்")</f>
        <v>ஆதார் கார்டைப் பதிவேற்றவும்</v>
      </c>
      <c r="M379" s="2" t="str">
        <f>IFERROR(__xludf.DUMMYFUNCTION("""COMPUTED_VALUE"""),"ADHAAR కార్డును అప్‌లోడ్ చేయండి")</f>
        <v>ADHAAR కార్డును అప్‌లోడ్ చేయండి</v>
      </c>
    </row>
    <row r="380">
      <c r="A380" s="2" t="str">
        <f>Master_en!A380</f>
        <v>PayOnDelivery</v>
      </c>
      <c r="B380" s="2" t="str">
        <f>Master_en!B380</f>
        <v>Pay On Delivery</v>
      </c>
      <c r="C380" s="2" t="str">
        <f>IFERROR(__xludf.DUMMYFUNCTION("""COMPUTED_VALUE"""),"ডেলিভারি প্রদান")</f>
        <v>ডেলিভারি প্রদান</v>
      </c>
      <c r="D380" s="2" t="str">
        <f>IFERROR(__xludf.DUMMYFUNCTION("""COMPUTED_VALUE"""),"पहुंचने पर भुगतान")</f>
        <v>पहुंचने पर भुगतान</v>
      </c>
      <c r="E380" s="2" t="str">
        <f>IFERROR(__xludf.DUMMYFUNCTION("""COMPUTED_VALUE"""),"ವಿತರಣೆಯಲ್ಲಿ ಪಾವತಿಸಿ")</f>
        <v>ವಿತರಣೆಯಲ್ಲಿ ಪಾವತಿಸಿ</v>
      </c>
      <c r="F380" s="2" t="str">
        <f>IFERROR(__xludf.DUMMYFUNCTION("""COMPUTED_VALUE"""),"ବିତରଣରେ ଦେୟ ଦିଅ |")</f>
        <v>ବିତରଣରେ ଦେୟ ଦିଅ |</v>
      </c>
      <c r="G380" s="2" t="str">
        <f>IFERROR(__xludf.DUMMYFUNCTION("""COMPUTED_VALUE"""),"পে অন ডেলিভাৰী")</f>
        <v>পে অন ডেলিভাৰী</v>
      </c>
      <c r="H380" s="2" t="str">
        <f>IFERROR(__xludf.DUMMYFUNCTION("""COMPUTED_VALUE"""),"સોંપણી પર ચૂકવણી")</f>
        <v>સોંપણી પર ચૂકવણી</v>
      </c>
      <c r="I380" s="2" t="str">
        <f>IFERROR(__xludf.DUMMYFUNCTION("""COMPUTED_VALUE"""),"वितरणावर पैसे द्या")</f>
        <v>वितरणावर पैसे द्या</v>
      </c>
      <c r="J380" s="2" t="str">
        <f>IFERROR(__xludf.DUMMYFUNCTION("""COMPUTED_VALUE"""),"ഡെലിവറിക്ക് പണം നൽകുക")</f>
        <v>ഡെലിവറിക്ക് പണം നൽകുക</v>
      </c>
      <c r="K380" s="2" t="str">
        <f>IFERROR(__xludf.DUMMYFUNCTION("""COMPUTED_VALUE"""),"ਡਿਲਿਵਰੀ 'ਤੇ ਭੁਗਤਾਨ ਕਰੋ")</f>
        <v>ਡਿਲਿਵਰੀ 'ਤੇ ਭੁਗਤਾਨ ਕਰੋ</v>
      </c>
      <c r="L380" s="2" t="str">
        <f>IFERROR(__xludf.DUMMYFUNCTION("""COMPUTED_VALUE"""),"விநியோகத்தில் செலுத்துங்கள்")</f>
        <v>விநியோகத்தில் செலுத்துங்கள்</v>
      </c>
      <c r="M380" s="2" t="str">
        <f>IFERROR(__xludf.DUMMYFUNCTION("""COMPUTED_VALUE"""),"డెలివరీపై చెల్లించండి")</f>
        <v>డెలివరీపై చెల్లించండి</v>
      </c>
    </row>
    <row r="381">
      <c r="A381" s="2" t="str">
        <f>Master_en!A381</f>
        <v>profilePhoto</v>
      </c>
      <c r="B381" s="2" t="str">
        <f>Master_en!B381</f>
        <v>Profile Photo</v>
      </c>
      <c r="C381" s="2" t="str">
        <f>IFERROR(__xludf.DUMMYFUNCTION("""COMPUTED_VALUE"""),"প্রোফাইল ছবি")</f>
        <v>প্রোফাইল ছবি</v>
      </c>
      <c r="D381" s="2" t="str">
        <f>IFERROR(__xludf.DUMMYFUNCTION("""COMPUTED_VALUE"""),"खाते की फोटो")</f>
        <v>खाते की फोटो</v>
      </c>
      <c r="E381" s="2" t="str">
        <f>IFERROR(__xludf.DUMMYFUNCTION("""COMPUTED_VALUE"""),"ಪ್ರೊಫೈಲ್ ಫೋಟೋ")</f>
        <v>ಪ್ರೊಫೈಲ್ ಫೋಟೋ</v>
      </c>
      <c r="F381" s="2" t="str">
        <f>IFERROR(__xludf.DUMMYFUNCTION("""COMPUTED_VALUE"""),"ପ୍ରୋଫାଇଲ୍ ଫଟୋ")</f>
        <v>ପ୍ରୋଫାଇଲ୍ ଫଟୋ</v>
      </c>
      <c r="G381" s="2" t="str">
        <f>IFERROR(__xludf.DUMMYFUNCTION("""COMPUTED_VALUE"""),"প্ৰফাইল ফটো")</f>
        <v>প্ৰফাইল ফটো</v>
      </c>
      <c r="H381" s="2" t="str">
        <f>IFERROR(__xludf.DUMMYFUNCTION("""COMPUTED_VALUE"""),"પ્રોફાઇલ -ફોટો")</f>
        <v>પ્રોફાઇલ -ફોટો</v>
      </c>
      <c r="I381" s="2" t="str">
        <f>IFERROR(__xludf.DUMMYFUNCTION("""COMPUTED_VALUE"""),"प्रोफाइल फोटो")</f>
        <v>प्रोफाइल फोटो</v>
      </c>
      <c r="J381" s="2" t="str">
        <f>IFERROR(__xludf.DUMMYFUNCTION("""COMPUTED_VALUE"""),"പ്രൊഫൈൽ ഫോട്ടോ")</f>
        <v>പ്രൊഫൈൽ ഫോട്ടോ</v>
      </c>
      <c r="K381" s="2" t="str">
        <f>IFERROR(__xludf.DUMMYFUNCTION("""COMPUTED_VALUE"""),"ਪ੍ਰੋਫਾਈਲ ਫੋਟੋ")</f>
        <v>ਪ੍ਰੋਫਾਈਲ ਫੋਟੋ</v>
      </c>
      <c r="L381" s="2" t="str">
        <f>IFERROR(__xludf.DUMMYFUNCTION("""COMPUTED_VALUE"""),"சுயவிவர புகைப்படம்")</f>
        <v>சுயவிவர புகைப்படம்</v>
      </c>
      <c r="M381" s="2" t="str">
        <f>IFERROR(__xludf.DUMMYFUNCTION("""COMPUTED_VALUE"""),"ప్రొఫైల్ ఫోటో")</f>
        <v>ప్రొఫైల్ ఫోటో</v>
      </c>
    </row>
    <row r="382">
      <c r="A382" s="2" t="str">
        <f>Master_en!A382</f>
        <v>DeliveryPickup Within</v>
      </c>
      <c r="B382" s="2" t="str">
        <f>Master_en!B382</f>
        <v>Delivery/Pickup Within</v>
      </c>
      <c r="C382" s="2" t="str">
        <f>IFERROR(__xludf.DUMMYFUNCTION("""COMPUTED_VALUE"""),"বিতরণ/পিকআপ মধ্যে")</f>
        <v>বিতরণ/পিকআপ মধ্যে</v>
      </c>
      <c r="D382" s="2" t="str">
        <f>IFERROR(__xludf.DUMMYFUNCTION("""COMPUTED_VALUE"""),"डिलीवरी/पिकअप के भीतर")</f>
        <v>डिलीवरी/पिकअप के भीतर</v>
      </c>
      <c r="E382" s="2" t="str">
        <f>IFERROR(__xludf.DUMMYFUNCTION("""COMPUTED_VALUE"""),"ಖಾತೇಯ ಭಾವ ಚಿತ್ರ")</f>
        <v>ಖಾತೇಯ ಭಾವ ಚಿತ್ರ</v>
      </c>
      <c r="F382" s="2" t="str">
        <f>IFERROR(__xludf.DUMMYFUNCTION("""COMPUTED_VALUE"""),"ଭିତରେ ବିତରଣ / ପିକଅପ୍ |")</f>
        <v>ଭିତରେ ବିତରଣ / ପିକଅପ୍ |</v>
      </c>
      <c r="G382" s="2" t="str">
        <f>IFERROR(__xludf.DUMMYFUNCTION("""COMPUTED_VALUE"""),"ডেলিভাৰী/পিকআপ ভিতৰত")</f>
        <v>ডেলিভাৰী/পিকআপ ভিতৰত</v>
      </c>
      <c r="H382" s="2" t="str">
        <f>IFERROR(__xludf.DUMMYFUNCTION("""COMPUTED_VALUE"""),"અંદર ડિલિવરી/પિકઅપ")</f>
        <v>અંદર ડિલિવરી/પિકઅપ</v>
      </c>
      <c r="I382" s="2" t="str">
        <f>IFERROR(__xludf.DUMMYFUNCTION("""COMPUTED_VALUE"""),"आत वितरण/पिकअप")</f>
        <v>आत वितरण/पिकअप</v>
      </c>
      <c r="J382" s="2" t="str">
        <f>IFERROR(__xludf.DUMMYFUNCTION("""COMPUTED_VALUE"""),"ഇൻ ഡെലിവറി / അകത്ത്")</f>
        <v>ഇൻ ഡെലിവറി / അകത്ത്</v>
      </c>
      <c r="K382" s="2" t="str">
        <f>IFERROR(__xludf.DUMMYFUNCTION("""COMPUTED_VALUE"""),"ਅੰਦਰ ਡਿਲਿਵਰੀ / ਪਿਕਅਪ")</f>
        <v>ਅੰਦਰ ਡਿਲਿਵਰੀ / ਪਿਕਅਪ</v>
      </c>
      <c r="L382" s="2" t="str">
        <f>IFERROR(__xludf.DUMMYFUNCTION("""COMPUTED_VALUE"""),"டெலிவரி/பிக்கப் உள்ளே")</f>
        <v>டெலிவரி/பிக்கப் உள்ளே</v>
      </c>
      <c r="M382" s="2" t="str">
        <f>IFERROR(__xludf.DUMMYFUNCTION("""COMPUTED_VALUE"""),"లోపల డెలివరీ/పికప్")</f>
        <v>లోపల డెలివరీ/పికప్</v>
      </c>
    </row>
    <row r="383">
      <c r="A383" s="2" t="str">
        <f>Master_en!A383</f>
        <v>previous</v>
      </c>
      <c r="B383" s="2" t="str">
        <f>Master_en!B383</f>
        <v>Previous</v>
      </c>
      <c r="C383" s="2" t="str">
        <f>IFERROR(__xludf.DUMMYFUNCTION("""COMPUTED_VALUE"""),"আগে")</f>
        <v>আগে</v>
      </c>
      <c r="D383" s="2" t="str">
        <f>IFERROR(__xludf.DUMMYFUNCTION("""COMPUTED_VALUE"""),"पहले का")</f>
        <v>पहले का</v>
      </c>
      <c r="E383" s="2" t="str">
        <f>IFERROR(__xludf.DUMMYFUNCTION("""COMPUTED_VALUE"""),"ಹಿಂದಿನ")</f>
        <v>ಹಿಂದಿನ</v>
      </c>
      <c r="F383" s="2" t="str">
        <f>IFERROR(__xludf.DUMMYFUNCTION("""COMPUTED_VALUE"""),"ପୂର୍ବ")</f>
        <v>ପୂର୍ବ</v>
      </c>
      <c r="G383" s="2" t="str">
        <f>IFERROR(__xludf.DUMMYFUNCTION("""COMPUTED_VALUE"""),"পূৰ্ৱবৰ্তী")</f>
        <v>পূৰ্ৱবৰ্তী</v>
      </c>
      <c r="H383" s="2" t="str">
        <f>IFERROR(__xludf.DUMMYFUNCTION("""COMPUTED_VALUE"""),"અગાઉના")</f>
        <v>અગાઉના</v>
      </c>
      <c r="I383" s="2" t="str">
        <f>IFERROR(__xludf.DUMMYFUNCTION("""COMPUTED_VALUE"""),"मागील")</f>
        <v>मागील</v>
      </c>
      <c r="J383" s="2" t="str">
        <f>IFERROR(__xludf.DUMMYFUNCTION("""COMPUTED_VALUE"""),"മുന്പിലത്തേതായ")</f>
        <v>മുന്പിലത്തേതായ</v>
      </c>
      <c r="K383" s="2" t="str">
        <f>IFERROR(__xludf.DUMMYFUNCTION("""COMPUTED_VALUE"""),"ਪਿਛਲਾ")</f>
        <v>ਪਿਛਲਾ</v>
      </c>
      <c r="L383" s="2" t="str">
        <f>IFERROR(__xludf.DUMMYFUNCTION("""COMPUTED_VALUE"""),"முந்தைய")</f>
        <v>முந்தைய</v>
      </c>
      <c r="M383" s="2" t="str">
        <f>IFERROR(__xludf.DUMMYFUNCTION("""COMPUTED_VALUE"""),"మునుపటి")</f>
        <v>మునుపటి</v>
      </c>
    </row>
    <row r="384">
      <c r="A384" s="2" t="str">
        <f>Master_en!A384</f>
        <v>EmergencyContactNumber*</v>
      </c>
      <c r="B384" s="2" t="str">
        <f>Master_en!B384</f>
        <v>Emergency Contact Number *</v>
      </c>
      <c r="C384" s="2" t="str">
        <f>IFERROR(__xludf.DUMMYFUNCTION("""COMPUTED_VALUE"""),"জরুরী যোগাযোগের নম্বর *")</f>
        <v>জরুরী যোগাযোগের নম্বর *</v>
      </c>
      <c r="D384" s="2" t="str">
        <f>IFERROR(__xludf.DUMMYFUNCTION("""COMPUTED_VALUE"""),"आपातकालीन संपर्क नंबर *")</f>
        <v>आपातकालीन संपर्क नंबर *</v>
      </c>
      <c r="E384" s="2" t="str">
        <f>IFERROR(__xludf.DUMMYFUNCTION("""COMPUTED_VALUE"""),"ತುರ್ತು ಸಂಪರ್ಕ ಸಂಖ್ಯೆ *")</f>
        <v>ತುರ್ತು ಸಂಪರ್ಕ ಸಂಖ್ಯೆ *</v>
      </c>
      <c r="F384" s="2" t="str">
        <f>IFERROR(__xludf.DUMMYFUNCTION("""COMPUTED_VALUE"""),"ଜରୁରୀକାଳୀନ ଯୋଗାଯୋଗ ନମ୍ବର *")</f>
        <v>ଜରୁରୀକାଳୀନ ଯୋଗାଯୋଗ ନମ୍ବର *</v>
      </c>
      <c r="G384" s="2" t="str">
        <f>IFERROR(__xludf.DUMMYFUNCTION("""COMPUTED_VALUE"""),"জৰুৰীকালীন যোগাযোগ নম্বৰ *")</f>
        <v>জৰুৰীকালীন যোগাযোগ নম্বৰ *</v>
      </c>
      <c r="H384" s="2" t="str">
        <f>IFERROR(__xludf.DUMMYFUNCTION("""COMPUTED_VALUE"""),"કટોકટી સંપર્ક નંબર *")</f>
        <v>કટોકટી સંપર્ક નંબર *</v>
      </c>
      <c r="I384" s="2" t="str">
        <f>IFERROR(__xludf.DUMMYFUNCTION("""COMPUTED_VALUE"""),"आपत्कालीन संपर्क क्रमांक *")</f>
        <v>आपत्कालीन संपर्क क्रमांक *</v>
      </c>
      <c r="J384" s="2" t="str">
        <f>IFERROR(__xludf.DUMMYFUNCTION("""COMPUTED_VALUE"""),"അടിയന്തര കോൺടാക്റ്റ് നമ്പർ *")</f>
        <v>അടിയന്തര കോൺടാക്റ്റ് നമ്പർ *</v>
      </c>
      <c r="K384" s="2" t="str">
        <f>IFERROR(__xludf.DUMMYFUNCTION("""COMPUTED_VALUE"""),"ਐਮਰਜੈਂਸੀ ਸੰਪਰਕ ਨੰਬਰ *")</f>
        <v>ਐਮਰਜੈਂਸੀ ਸੰਪਰਕ ਨੰਬਰ *</v>
      </c>
      <c r="L384" s="2" t="str">
        <f>IFERROR(__xludf.DUMMYFUNCTION("""COMPUTED_VALUE"""),"அவசர தொடர்பு எண் *")</f>
        <v>அவசர தொடர்பு எண் *</v>
      </c>
      <c r="M384" s="2" t="str">
        <f>IFERROR(__xludf.DUMMYFUNCTION("""COMPUTED_VALUE"""),"అత్యవసర సంప్రదింపు సంఖ్య *")</f>
        <v>అత్యవసర సంప్రదింపు సంఖ్య *</v>
      </c>
    </row>
    <row r="385">
      <c r="A385" s="2" t="str">
        <f>Master_en!A385</f>
        <v>contactName*</v>
      </c>
      <c r="B385" s="2" t="str">
        <f>Master_en!B385</f>
        <v>Contact Name *</v>
      </c>
      <c r="C385" s="2" t="str">
        <f>IFERROR(__xludf.DUMMYFUNCTION("""COMPUTED_VALUE"""),"যোগাযোগের নাম *")</f>
        <v>যোগাযোগের নাম *</v>
      </c>
      <c r="D385" s="2" t="str">
        <f>IFERROR(__xludf.DUMMYFUNCTION("""COMPUTED_VALUE"""),"संपर्क नाम *")</f>
        <v>संपर्क नाम *</v>
      </c>
      <c r="E385" s="2" t="str">
        <f>IFERROR(__xludf.DUMMYFUNCTION("""COMPUTED_VALUE"""),"ಸಂಪರ್ಕಿಸುವ ಹೆಸರು *")</f>
        <v>ಸಂಪರ್ಕಿಸುವ ಹೆಸರು *</v>
      </c>
      <c r="F385" s="2" t="str">
        <f>IFERROR(__xludf.DUMMYFUNCTION("""COMPUTED_VALUE"""),"ଯୋଗାଯୋଗ ନାମ *")</f>
        <v>ଯୋଗାଯୋଗ ନାମ *</v>
      </c>
      <c r="G385" s="2" t="str">
        <f>IFERROR(__xludf.DUMMYFUNCTION("""COMPUTED_VALUE"""),"যোগাযোগৰ নাম *")</f>
        <v>যোগাযোগৰ নাম *</v>
      </c>
      <c r="H385" s="2" t="str">
        <f>IFERROR(__xludf.DUMMYFUNCTION("""COMPUTED_VALUE"""),"સંપર્ક નામ *")</f>
        <v>સંપર્ક નામ *</v>
      </c>
      <c r="I385" s="2" t="str">
        <f>IFERROR(__xludf.DUMMYFUNCTION("""COMPUTED_VALUE"""),"आपत्कालीन संपर्क क्रमांक *")</f>
        <v>आपत्कालीन संपर्क क्रमांक *</v>
      </c>
      <c r="J385" s="2" t="str">
        <f>IFERROR(__xludf.DUMMYFUNCTION("""COMPUTED_VALUE"""),"ബന്ധപ്പെടാനുള്ള പേര് *")</f>
        <v>ബന്ധപ്പെടാനുള്ള പേര് *</v>
      </c>
      <c r="K385" s="2" t="str">
        <f>IFERROR(__xludf.DUMMYFUNCTION("""COMPUTED_VALUE"""),"ਸੰਪਰਕ ਨਾਮ *")</f>
        <v>ਸੰਪਰਕ ਨਾਮ *</v>
      </c>
      <c r="L385" s="2" t="str">
        <f>IFERROR(__xludf.DUMMYFUNCTION("""COMPUTED_VALUE"""),"தொடர்பு பெயர் *")</f>
        <v>தொடர்பு பெயர் *</v>
      </c>
      <c r="M385" s="2" t="str">
        <f>IFERROR(__xludf.DUMMYFUNCTION("""COMPUTED_VALUE"""),"సంప్రదింపు పేరు *")</f>
        <v>సంప్రదింపు పేరు *</v>
      </c>
    </row>
    <row r="386">
      <c r="A386" s="2" t="str">
        <f>Master_en!A386</f>
        <v>relationship</v>
      </c>
      <c r="B386" s="2" t="str">
        <f>Master_en!B386</f>
        <v>Relationship</v>
      </c>
      <c r="C386" s="2" t="str">
        <f>IFERROR(__xludf.DUMMYFUNCTION("""COMPUTED_VALUE"""),"সম্পর্ক")</f>
        <v>সম্পর্ক</v>
      </c>
      <c r="D386" s="2" t="str">
        <f>IFERROR(__xludf.DUMMYFUNCTION("""COMPUTED_VALUE"""),"रिश्ता")</f>
        <v>रिश्ता</v>
      </c>
      <c r="E386" s="2" t="str">
        <f>IFERROR(__xludf.DUMMYFUNCTION("""COMPUTED_VALUE"""),"ಸಂಬಂಧ")</f>
        <v>ಸಂಬಂಧ</v>
      </c>
      <c r="F386" s="2" t="str">
        <f>IFERROR(__xludf.DUMMYFUNCTION("""COMPUTED_VALUE"""),"ସମ୍ପର୍କ")</f>
        <v>ସମ୍ପର୍କ</v>
      </c>
      <c r="G386" s="2" t="str">
        <f>IFERROR(__xludf.DUMMYFUNCTION("""COMPUTED_VALUE"""),"সম্পৰ্ক")</f>
        <v>সম্পৰ্ক</v>
      </c>
      <c r="H386" s="2" t="str">
        <f>IFERROR(__xludf.DUMMYFUNCTION("""COMPUTED_VALUE"""),"સંબંધ")</f>
        <v>સંબંધ</v>
      </c>
      <c r="I386" s="2" t="str">
        <f>IFERROR(__xludf.DUMMYFUNCTION("""COMPUTED_VALUE"""),"नाते")</f>
        <v>नाते</v>
      </c>
      <c r="J386" s="2" t="str">
        <f>IFERROR(__xludf.DUMMYFUNCTION("""COMPUTED_VALUE"""),"ബന്ധുതം")</f>
        <v>ബന്ധുതം</v>
      </c>
      <c r="K386" s="2" t="str">
        <f>IFERROR(__xludf.DUMMYFUNCTION("""COMPUTED_VALUE"""),"ਰਿਸ਼ਤਾ")</f>
        <v>ਰਿਸ਼ਤਾ</v>
      </c>
      <c r="L386" s="2" t="str">
        <f>IFERROR(__xludf.DUMMYFUNCTION("""COMPUTED_VALUE"""),"உறவு")</f>
        <v>உறவு</v>
      </c>
      <c r="M386" s="2" t="str">
        <f>IFERROR(__xludf.DUMMYFUNCTION("""COMPUTED_VALUE"""),"సంబంధం")</f>
        <v>సంబంధం</v>
      </c>
    </row>
    <row r="387">
      <c r="A387" s="2" t="str">
        <f>Master_en!A387</f>
        <v>userCreatedSuccessfullyyay!</v>
      </c>
      <c r="B387" s="2" t="str">
        <f>Master_en!B387</f>
        <v>User Created Successfully  Yay!</v>
      </c>
      <c r="C387" s="2" t="str">
        <f>IFERROR(__xludf.DUMMYFUNCTION("""COMPUTED_VALUE"""),"ব্যবহারকারী সফলভাবে তৈরি করেছেন হ্যাঁ!")</f>
        <v>ব্যবহারকারী সফলভাবে তৈরি করেছেন হ্যাঁ!</v>
      </c>
      <c r="D387" s="2" t="str">
        <f>IFERROR(__xludf.DUMMYFUNCTION("""COMPUTED_VALUE"""),"उपयोगकर्ता ने सफलतापूर्वक YAY बनाया!")</f>
        <v>उपयोगकर्ता ने सफलतापूर्वक YAY बनाया!</v>
      </c>
      <c r="E387" s="2" t="str">
        <f>IFERROR(__xludf.DUMMYFUNCTION("""COMPUTED_VALUE"""),"ಬಳಕೆದಾರರನ್ನು ಯಶಸ್ವಿಯಾಗಿ ರಚಿಸಲಾಗಿದೆ!")</f>
        <v>ಬಳಕೆದಾರರನ್ನು ಯಶಸ್ವಿಯಾಗಿ ರಚಿಸಲಾಗಿದೆ!</v>
      </c>
      <c r="F387" s="2" t="str">
        <f>IFERROR(__xludf.DUMMYFUNCTION("""COMPUTED_VALUE"""),"ଉପଯୋଗକର୍ତ୍ତା ସଫଳତାର ସହିତ ସୃଷ୍ଟି କରିଛନ୍ତି!")</f>
        <v>ଉପଯୋଗକର୍ତ୍ତା ସଫଳତାର ସହିତ ସୃଷ୍ଟି କରିଛନ୍ତି!</v>
      </c>
      <c r="G387" s="2" t="str">
        <f>IFERROR(__xludf.DUMMYFUNCTION("""COMPUTED_VALUE"""),"ব্যৱহাৰকাৰী সফলতাৰে সৃষ্টি কৰা হৈছে Yay!")</f>
        <v>ব্যৱহাৰকাৰী সফলতাৰে সৃষ্টি কৰা হৈছে Yay!</v>
      </c>
      <c r="H387" s="2" t="str">
        <f>IFERROR(__xludf.DUMMYFUNCTION("""COMPUTED_VALUE"""),"વપરાશકર્તાએ સફળતાપૂર્વક યે બનાવ્યું!")</f>
        <v>વપરાશકર્તાએ સફળતાપૂર્વક યે બનાવ્યું!</v>
      </c>
      <c r="I387" s="2" t="str">
        <f>IFERROR(__xludf.DUMMYFUNCTION("""COMPUTED_VALUE"""),"वापरकर्त्याने यशस्वीरित्या तयार केले!")</f>
        <v>वापरकर्त्याने यशस्वीरित्या तयार केले!</v>
      </c>
      <c r="J387" s="2" t="str">
        <f>IFERROR(__xludf.DUMMYFUNCTION("""COMPUTED_VALUE"""),"ഉപയോക്താവ് വിജയകരമായി അതെ!")</f>
        <v>ഉപയോക്താവ് വിജയകരമായി അതെ!</v>
      </c>
      <c r="K387" s="2" t="str">
        <f>IFERROR(__xludf.DUMMYFUNCTION("""COMPUTED_VALUE"""),"ਉਪਯੋਗਕਰਤਾ ਨੇ ਸਫਲਤਾਪੂਰਵਕ ਹਾਂ!")</f>
        <v>ਉਪਯੋਗਕਰਤਾ ਨੇ ਸਫਲਤਾਪੂਰਵਕ ਹਾਂ!</v>
      </c>
      <c r="L387" s="2" t="str">
        <f>IFERROR(__xludf.DUMMYFUNCTION("""COMPUTED_VALUE"""),"பயனர் வெற்றிகரமாக உருவாக்கப்பட்டது ஆம்!")</f>
        <v>பயனர் வெற்றிகரமாக உருவாக்கப்பட்டது ஆம்!</v>
      </c>
      <c r="M387" s="2" t="str">
        <f>IFERROR(__xludf.DUMMYFUNCTION("""COMPUTED_VALUE"""),"వినియోగదారు విజయవంతంగా సృష్టించారు అవును!")</f>
        <v>వినియోగదారు విజయవంతంగా సృష్టించారు అవును!</v>
      </c>
    </row>
    <row r="388">
      <c r="A388" s="2" t="str">
        <f>Master_en!A388</f>
        <v>yay!</v>
      </c>
      <c r="B388" s="2" t="str">
        <f>Master_en!B388</f>
        <v>YAY!</v>
      </c>
      <c r="C388" s="2" t="str">
        <f>IFERROR(__xludf.DUMMYFUNCTION("""COMPUTED_VALUE"""),"হ্যাঁ!")</f>
        <v>হ্যাঁ!</v>
      </c>
      <c r="D388" s="2" t="str">
        <f>IFERROR(__xludf.DUMMYFUNCTION("""COMPUTED_VALUE"""),"वाह!")</f>
        <v>वाह!</v>
      </c>
      <c r="E388" s="2" t="str">
        <f>IFERROR(__xludf.DUMMYFUNCTION("""COMPUTED_VALUE"""),"ವಾಹ್!")</f>
        <v>ವಾಹ್!</v>
      </c>
      <c r="F388" s="2" t="str">
        <f>IFERROR(__xludf.DUMMYFUNCTION("""COMPUTED_VALUE"""),"ବାଃ!")</f>
        <v>ବାଃ!</v>
      </c>
      <c r="G388" s="2" t="str">
        <f>IFERROR(__xludf.DUMMYFUNCTION("""COMPUTED_VALUE"""),"YAY!")</f>
        <v>YAY!</v>
      </c>
      <c r="H388" s="2" t="str">
        <f>IFERROR(__xludf.DUMMYFUNCTION("""COMPUTED_VALUE"""),"હા!")</f>
        <v>હા!</v>
      </c>
      <c r="I388" s="2" t="str">
        <f>IFERROR(__xludf.DUMMYFUNCTION("""COMPUTED_VALUE"""),"वापरकर्ता यशस्वीरित्या तयार केला")</f>
        <v>वापरकर्ता यशस्वीरित्या तयार केला</v>
      </c>
      <c r="J388" s="2" t="str">
        <f>IFERROR(__xludf.DUMMYFUNCTION("""COMPUTED_VALUE"""),"യായ്!")</f>
        <v>യായ്!</v>
      </c>
      <c r="K388" s="2" t="str">
        <f>IFERROR(__xludf.DUMMYFUNCTION("""COMPUTED_VALUE"""),"ਯੇ!")</f>
        <v>ਯੇ!</v>
      </c>
      <c r="L388" s="2" t="str">
        <f>IFERROR(__xludf.DUMMYFUNCTION("""COMPUTED_VALUE"""),"ஆம்!")</f>
        <v>ஆம்!</v>
      </c>
      <c r="M388" s="2" t="str">
        <f>IFERROR(__xludf.DUMMYFUNCTION("""COMPUTED_VALUE"""),"అవును!")</f>
        <v>అవును!</v>
      </c>
    </row>
    <row r="389">
      <c r="A389" s="2" t="str">
        <f>Master_en!A389</f>
        <v>DateofJoining </v>
      </c>
      <c r="B389" s="2" t="str">
        <f>Master_en!B389</f>
        <v>Date of Joining </v>
      </c>
      <c r="C389" s="2" t="str">
        <f>IFERROR(__xludf.DUMMYFUNCTION("""COMPUTED_VALUE"""),"যোগদানের তারিখ")</f>
        <v>যোগদানের তারিখ</v>
      </c>
      <c r="D389" s="2" t="str">
        <f>IFERROR(__xludf.DUMMYFUNCTION("""COMPUTED_VALUE"""),"शामिल होने की तिथि")</f>
        <v>शामिल होने की तिथि</v>
      </c>
      <c r="E389" s="2" t="str">
        <f>IFERROR(__xludf.DUMMYFUNCTION("""COMPUTED_VALUE"""),"ಯಾ ಯೀ")</f>
        <v>ಯಾ ಯೀ</v>
      </c>
      <c r="F389" s="2" t="str">
        <f>IFERROR(__xludf.DUMMYFUNCTION("""COMPUTED_VALUE"""),"ଯୋଗଦାନର ତାରିଖ")</f>
        <v>ଯୋଗଦାନର ତାରିଖ</v>
      </c>
      <c r="G389" s="2" t="str">
        <f>IFERROR(__xludf.DUMMYFUNCTION("""COMPUTED_VALUE"""),"যোগদানৰ তাৰিখ")</f>
        <v>যোগদানৰ তাৰিখ</v>
      </c>
      <c r="H389" s="2" t="str">
        <f>IFERROR(__xludf.DUMMYFUNCTION("""COMPUTED_VALUE"""),"જોડાવાની તારીખ")</f>
        <v>જોડાવાની તારીખ</v>
      </c>
      <c r="I389" s="2" t="str">
        <f>IFERROR(__xludf.DUMMYFUNCTION("""COMPUTED_VALUE"""),"सामील होण्याची तारीख")</f>
        <v>सामील होण्याची तारीख</v>
      </c>
      <c r="J389" s="2" t="str">
        <f>IFERROR(__xludf.DUMMYFUNCTION("""COMPUTED_VALUE"""),"ചേരുന്ന തീയതി")</f>
        <v>ചേരുന്ന തീയതി</v>
      </c>
      <c r="K389" s="2" t="str">
        <f>IFERROR(__xludf.DUMMYFUNCTION("""COMPUTED_VALUE"""),"ਸ਼ਾਮਲ ਹੋਣ ਦੀ ਮਿਤੀ")</f>
        <v>ਸ਼ਾਮਲ ਹੋਣ ਦੀ ਮਿਤੀ</v>
      </c>
      <c r="L389" s="2" t="str">
        <f>IFERROR(__xludf.DUMMYFUNCTION("""COMPUTED_VALUE"""),"சேரும் தேதி")</f>
        <v>சேரும் தேதி</v>
      </c>
      <c r="M389" s="2" t="str">
        <f>IFERROR(__xludf.DUMMYFUNCTION("""COMPUTED_VALUE"""),"చేరిన తేదీ")</f>
        <v>చేరిన తేదీ</v>
      </c>
    </row>
    <row r="390">
      <c r="A390" s="2" t="str">
        <f>Master_en!A390</f>
        <v>selecteditems</v>
      </c>
      <c r="B390" s="2" t="str">
        <f>Master_en!B390</f>
        <v>Selected Items</v>
      </c>
      <c r="C390" s="2" t="str">
        <f>IFERROR(__xludf.DUMMYFUNCTION("""COMPUTED_VALUE"""),"নির্বাচিত উপাদানসমুহ")</f>
        <v>নির্বাচিত উপাদানসমুহ</v>
      </c>
      <c r="D390" s="2" t="str">
        <f>IFERROR(__xludf.DUMMYFUNCTION("""COMPUTED_VALUE"""),"चयनित उत्पाद")</f>
        <v>चयनित उत्पाद</v>
      </c>
      <c r="E390" s="2" t="str">
        <f>IFERROR(__xludf.DUMMYFUNCTION("""COMPUTED_VALUE"""),"ಆಯ್ದ ವಸ್ತುಗಳು")</f>
        <v>ಆಯ್ದ ವಸ್ತುಗಳು</v>
      </c>
      <c r="F390" s="2" t="str">
        <f>IFERROR(__xludf.DUMMYFUNCTION("""COMPUTED_VALUE"""),"ମନୋନୀତ ଆଇଟମ୍ |")</f>
        <v>ମନୋନୀତ ଆଇଟମ୍ |</v>
      </c>
      <c r="G390" s="2" t="str">
        <f>IFERROR(__xludf.DUMMYFUNCTION("""COMPUTED_VALUE"""),"নিৰ্বাচিত বস্তু")</f>
        <v>নিৰ্বাচিত বস্তু</v>
      </c>
      <c r="H390" s="2" t="str">
        <f>IFERROR(__xludf.DUMMYFUNCTION("""COMPUTED_VALUE"""),"પસંદ કરેલી વસ્તુઓ")</f>
        <v>પસંદ કરેલી વસ્તુઓ</v>
      </c>
      <c r="I390" s="2" t="str">
        <f>IFERROR(__xludf.DUMMYFUNCTION("""COMPUTED_VALUE"""),"निवडलेल्या आयटम")</f>
        <v>निवडलेल्या आयटम</v>
      </c>
      <c r="J390" s="2" t="str">
        <f>IFERROR(__xludf.DUMMYFUNCTION("""COMPUTED_VALUE"""),"തിരഞ്ഞെടുത്ത ഇനങ്ങൾ")</f>
        <v>തിരഞ്ഞെടുത്ത ഇനങ്ങൾ</v>
      </c>
      <c r="K390" s="2" t="str">
        <f>IFERROR(__xludf.DUMMYFUNCTION("""COMPUTED_VALUE"""),"ਚੁਣੀਆਂ ਗਈਆਂ ਚੀਜ਼ਾਂ")</f>
        <v>ਚੁਣੀਆਂ ਗਈਆਂ ਚੀਜ਼ਾਂ</v>
      </c>
      <c r="L390" s="2" t="str">
        <f>IFERROR(__xludf.DUMMYFUNCTION("""COMPUTED_VALUE"""),"தேர்ந்தெடுக்கப்பட்ட உருப்படிகள்")</f>
        <v>தேர்ந்தெடுக்கப்பட்ட உருப்படிகள்</v>
      </c>
      <c r="M390" s="2" t="str">
        <f>IFERROR(__xludf.DUMMYFUNCTION("""COMPUTED_VALUE"""),"ఎంచుకున్న అంశాలు")</f>
        <v>ఎంచుకున్న అంశాలు</v>
      </c>
    </row>
    <row r="391">
      <c r="A391" s="2" t="str">
        <f>Master_en!A391</f>
        <v>inventoryManager</v>
      </c>
      <c r="B391" s="2" t="str">
        <f>Master_en!B391</f>
        <v>Inventory Manager</v>
      </c>
      <c r="C391" s="2" t="str">
        <f>IFERROR(__xludf.DUMMYFUNCTION("""COMPUTED_VALUE"""),"ইনভেন্টরি ম্যানেজার")</f>
        <v>ইনভেন্টরি ম্যানেজার</v>
      </c>
      <c r="D391" s="2" t="str">
        <f>IFERROR(__xludf.DUMMYFUNCTION("""COMPUTED_VALUE"""),"सूची प्रबंधक")</f>
        <v>सूची प्रबंधक</v>
      </c>
      <c r="E391" s="2" t="str">
        <f>IFERROR(__xludf.DUMMYFUNCTION("""COMPUTED_VALUE"""),"ದಾಸ್ತಾನು ವ್ಯವಸ್ಥಾಪಕಿ")</f>
        <v>ದಾಸ್ತಾನು ವ್ಯವಸ್ಥಾಪಕಿ</v>
      </c>
      <c r="F391" s="2" t="str">
        <f>IFERROR(__xludf.DUMMYFUNCTION("""COMPUTED_VALUE"""),"ଭଣ୍ଡାର ପରିଚାଳକ")</f>
        <v>ଭଣ୍ଡାର ପରିଚାଳକ</v>
      </c>
      <c r="G391" s="2" t="str">
        <f>IFERROR(__xludf.DUMMYFUNCTION("""COMPUTED_VALUE"""),"ইনভেণ্টৰী মেনেজাৰ")</f>
        <v>ইনভেণ্টৰী মেনেজাৰ</v>
      </c>
      <c r="H391" s="2" t="str">
        <f>IFERROR(__xludf.DUMMYFUNCTION("""COMPUTED_VALUE"""),"માલની વ્યવસ્થાપક")</f>
        <v>માલની વ્યવસ્થાપક</v>
      </c>
      <c r="I391" s="2" t="str">
        <f>IFERROR(__xludf.DUMMYFUNCTION("""COMPUTED_VALUE"""),"इन्व्हेंटरी मॅनेजर")</f>
        <v>इन्व्हेंटरी मॅनेजर</v>
      </c>
      <c r="J391" s="2" t="str">
        <f>IFERROR(__xludf.DUMMYFUNCTION("""COMPUTED_VALUE"""),"ഇൻവെന്ററി മാനേജർ")</f>
        <v>ഇൻവെന്ററി മാനേജർ</v>
      </c>
      <c r="K391" s="2" t="str">
        <f>IFERROR(__xludf.DUMMYFUNCTION("""COMPUTED_VALUE"""),"ਇਨਵੈਂਟਰੀ ਮੈਨੇਜਰ")</f>
        <v>ਇਨਵੈਂਟਰੀ ਮੈਨੇਜਰ</v>
      </c>
      <c r="L391" s="2" t="str">
        <f>IFERROR(__xludf.DUMMYFUNCTION("""COMPUTED_VALUE"""),"இன்வெண்ட்டரி மேனேஜர்")</f>
        <v>இன்வெண்ட்டரி மேனேஜர்</v>
      </c>
      <c r="M391" s="2" t="str">
        <f>IFERROR(__xludf.DUMMYFUNCTION("""COMPUTED_VALUE"""),"ఇన్వెంటరీ మేనేజర్")</f>
        <v>ఇన్వెంటరీ మేనేజర్</v>
      </c>
    </row>
    <row r="392">
      <c r="A392" s="2" t="str">
        <f>Master_en!A392</f>
        <v>empId</v>
      </c>
      <c r="B392" s="2" t="str">
        <f>Master_en!B392</f>
        <v>Emp ID </v>
      </c>
      <c r="C392" s="2" t="str">
        <f>IFERROR(__xludf.DUMMYFUNCTION("""COMPUTED_VALUE"""),"ইএমপি আইডি")</f>
        <v>ইএমপি আইডি</v>
      </c>
      <c r="D392" s="2" t="str">
        <f>IFERROR(__xludf.DUMMYFUNCTION("""COMPUTED_VALUE"""),"ईएमपी आईडी")</f>
        <v>ईएमपी आईडी</v>
      </c>
      <c r="E392" s="2" t="str">
        <f>IFERROR(__xludf.DUMMYFUNCTION("""COMPUTED_VALUE"""),"EMP ID")</f>
        <v>EMP ID</v>
      </c>
      <c r="F392" s="2" t="str">
        <f>IFERROR(__xludf.DUMMYFUNCTION("""COMPUTED_VALUE"""),"Agex id")</f>
        <v>Agex id</v>
      </c>
      <c r="G392" s="2" t="str">
        <f>IFERROR(__xludf.DUMMYFUNCTION("""COMPUTED_VALUE"""),"Emp আইডি")</f>
        <v>Emp আইডি</v>
      </c>
      <c r="H392" s="2" t="str">
        <f>IFERROR(__xludf.DUMMYFUNCTION("""COMPUTED_VALUE"""),"મંચ")</f>
        <v>મંચ</v>
      </c>
      <c r="I392" s="2" t="str">
        <f>IFERROR(__xludf.DUMMYFUNCTION("""COMPUTED_VALUE"""),"ईएमपी आयडी")</f>
        <v>ईएमपी आयडी</v>
      </c>
      <c r="J392" s="2" t="str">
        <f>IFERROR(__xludf.DUMMYFUNCTION("""COMPUTED_VALUE"""),"എംപി ഐഡി")</f>
        <v>എംപി ഐഡി</v>
      </c>
      <c r="K392" s="2" t="str">
        <f>IFERROR(__xludf.DUMMYFUNCTION("""COMPUTED_VALUE"""),"ਏ ਡੀ ਆਈ ਡੀ")</f>
        <v>ਏ ਡੀ ਆਈ ਡੀ</v>
      </c>
      <c r="L392" s="2" t="str">
        <f>IFERROR(__xludf.DUMMYFUNCTION("""COMPUTED_VALUE"""),"எம்ப் ஐடி")</f>
        <v>எம்ப் ஐடி</v>
      </c>
      <c r="M392" s="2" t="str">
        <f>IFERROR(__xludf.DUMMYFUNCTION("""COMPUTED_VALUE"""),"EMP ID")</f>
        <v>EMP ID</v>
      </c>
    </row>
    <row r="393">
      <c r="A393" s="2" t="str">
        <f>Master_en!A393</f>
        <v>activate</v>
      </c>
      <c r="B393" s="2" t="str">
        <f>Master_en!B393</f>
        <v>Activate</v>
      </c>
      <c r="C393" s="2" t="str">
        <f>IFERROR(__xludf.DUMMYFUNCTION("""COMPUTED_VALUE"""),"সক্রিয়")</f>
        <v>সক্রিয়</v>
      </c>
      <c r="D393" s="2" t="str">
        <f>IFERROR(__xludf.DUMMYFUNCTION("""COMPUTED_VALUE"""),"सक्रिय")</f>
        <v>सक्रिय</v>
      </c>
      <c r="E393" s="2" t="str">
        <f>IFERROR(__xludf.DUMMYFUNCTION("""COMPUTED_VALUE"""),"ಕೆಲಸಗಾರನ ಕ್ರಮ ಸಂಖ್ಯೆ")</f>
        <v>ಕೆಲಸಗಾರನ ಕ್ರಮ ಸಂಖ್ಯೆ</v>
      </c>
      <c r="F393" s="2" t="str">
        <f>IFERROR(__xludf.DUMMYFUNCTION("""COMPUTED_VALUE"""),"ସକ୍ରିୟ କରନ୍ତୁ |")</f>
        <v>ସକ୍ରିୟ କରନ୍ତୁ |</v>
      </c>
      <c r="G393" s="2" t="str">
        <f>IFERROR(__xludf.DUMMYFUNCTION("""COMPUTED_VALUE"""),"সক্ৰিয় কৰক")</f>
        <v>সক্ৰিয় কৰক</v>
      </c>
      <c r="H393" s="2" t="str">
        <f>IFERROR(__xludf.DUMMYFUNCTION("""COMPUTED_VALUE"""),"સક્રિય કરવું")</f>
        <v>સક્રિય કરવું</v>
      </c>
      <c r="I393" s="2" t="str">
        <f>IFERROR(__xludf.DUMMYFUNCTION("""COMPUTED_VALUE"""),"सक्रिय करा")</f>
        <v>सक्रिय करा</v>
      </c>
      <c r="J393" s="2" t="str">
        <f>IFERROR(__xludf.DUMMYFUNCTION("""COMPUTED_VALUE"""),"സജീവമാക്കുക")</f>
        <v>സജീവമാക്കുക</v>
      </c>
      <c r="K393" s="2" t="str">
        <f>IFERROR(__xludf.DUMMYFUNCTION("""COMPUTED_VALUE"""),"ਸਰਗਰਮ")</f>
        <v>ਸਰਗਰਮ</v>
      </c>
      <c r="L393" s="2" t="str">
        <f>IFERROR(__xludf.DUMMYFUNCTION("""COMPUTED_VALUE"""),"செயல்படுத்த")</f>
        <v>செயல்படுத்த</v>
      </c>
      <c r="M393" s="2" t="str">
        <f>IFERROR(__xludf.DUMMYFUNCTION("""COMPUTED_VALUE"""),"సక్రియం చేయండి")</f>
        <v>సక్రియం చేయండి</v>
      </c>
    </row>
    <row r="394">
      <c r="A394" s="2" t="str">
        <f>Master_en!A394</f>
        <v>deactivate</v>
      </c>
      <c r="B394" s="2" t="str">
        <f>Master_en!B394</f>
        <v>Deactivate</v>
      </c>
      <c r="C394" s="2" t="str">
        <f>IFERROR(__xludf.DUMMYFUNCTION("""COMPUTED_VALUE"""),"নিষ্ক্রিয়")</f>
        <v>নিষ্ক্রিয়</v>
      </c>
      <c r="D394" s="2" t="str">
        <f>IFERROR(__xludf.DUMMYFUNCTION("""COMPUTED_VALUE"""),"निष्क्रिय करें")</f>
        <v>निष्क्रिय करें</v>
      </c>
      <c r="E394" s="2" t="str">
        <f>IFERROR(__xludf.DUMMYFUNCTION("""COMPUTED_VALUE"""),"ನಿಷ್ಕ್ರಿಯಗೊಳಿಸು")</f>
        <v>ನಿಷ್ಕ್ರಿಯಗೊಳಿಸು</v>
      </c>
      <c r="F394" s="2" t="str">
        <f>IFERROR(__xludf.DUMMYFUNCTION("""COMPUTED_VALUE"""),"ନିଷ୍କ୍ରିୟ କରନ୍ତୁ |")</f>
        <v>ନିଷ୍କ୍ରିୟ କରନ୍ତୁ |</v>
      </c>
      <c r="G394" s="2" t="str">
        <f>IFERROR(__xludf.DUMMYFUNCTION("""COMPUTED_VALUE"""),"নিষ্ক্ৰিয় কৰক")</f>
        <v>নিষ্ক্ৰিয় কৰক</v>
      </c>
      <c r="H394" s="2" t="str">
        <f>IFERROR(__xludf.DUMMYFUNCTION("""COMPUTED_VALUE"""),"નિષ્ક્રિય કરવું")</f>
        <v>નિષ્ક્રિય કરવું</v>
      </c>
      <c r="I394" s="2" t="str">
        <f>IFERROR(__xludf.DUMMYFUNCTION("""COMPUTED_VALUE"""),"निष्क्रिय करा")</f>
        <v>निष्क्रिय करा</v>
      </c>
      <c r="J394" s="2" t="str">
        <f>IFERROR(__xludf.DUMMYFUNCTION("""COMPUTED_VALUE"""),"നിര്ജ്ജപ്പെടുത്തുക")</f>
        <v>നിര്ജ്ജപ്പെടുത്തുക</v>
      </c>
      <c r="K394" s="2" t="str">
        <f>IFERROR(__xludf.DUMMYFUNCTION("""COMPUTED_VALUE"""),"ਅਯੋਗ")</f>
        <v>ਅਯੋਗ</v>
      </c>
      <c r="L394" s="2" t="str">
        <f>IFERROR(__xludf.DUMMYFUNCTION("""COMPUTED_VALUE"""),"செயலிழக்கச் செய்")</f>
        <v>செயலிழக்கச் செய்</v>
      </c>
      <c r="M394" s="2" t="str">
        <f>IFERROR(__xludf.DUMMYFUNCTION("""COMPUTED_VALUE"""),"నిష్క్రియం")</f>
        <v>నిష్క్రియం</v>
      </c>
    </row>
    <row r="395">
      <c r="A395" s="2" t="str">
        <f>Master_en!A395</f>
        <v>phone</v>
      </c>
      <c r="B395" s="2" t="str">
        <f>Master_en!B395</f>
        <v>Phone</v>
      </c>
      <c r="C395" s="2" t="str">
        <f>IFERROR(__xludf.DUMMYFUNCTION("""COMPUTED_VALUE"""),"ফোন")</f>
        <v>ফোন</v>
      </c>
      <c r="D395" s="2" t="str">
        <f>IFERROR(__xludf.DUMMYFUNCTION("""COMPUTED_VALUE"""),"फ़ोन")</f>
        <v>फ़ोन</v>
      </c>
      <c r="E395" s="2" t="str">
        <f>IFERROR(__xludf.DUMMYFUNCTION("""COMPUTED_VALUE"""),"ದೂರವಾಣಿ")</f>
        <v>ದೂರವಾಣಿ</v>
      </c>
      <c r="F395" s="2" t="str">
        <f>IFERROR(__xludf.DUMMYFUNCTION("""COMPUTED_VALUE"""),"ଫୋନ୍")</f>
        <v>ଫୋନ୍</v>
      </c>
      <c r="G395" s="2" t="str">
        <f>IFERROR(__xludf.DUMMYFUNCTION("""COMPUTED_VALUE"""),"ফোন")</f>
        <v>ফোন</v>
      </c>
      <c r="H395" s="2" t="str">
        <f>IFERROR(__xludf.DUMMYFUNCTION("""COMPUTED_VALUE"""),"કણ")</f>
        <v>કણ</v>
      </c>
      <c r="I395" s="2" t="str">
        <f>IFERROR(__xludf.DUMMYFUNCTION("""COMPUTED_VALUE"""),"फोन")</f>
        <v>फोन</v>
      </c>
      <c r="J395" s="2" t="str">
        <f>IFERROR(__xludf.DUMMYFUNCTION("""COMPUTED_VALUE"""),"ഫോൺ")</f>
        <v>ഫോൺ</v>
      </c>
      <c r="K395" s="2" t="str">
        <f>IFERROR(__xludf.DUMMYFUNCTION("""COMPUTED_VALUE"""),"ਫੋਨ")</f>
        <v>ਫੋਨ</v>
      </c>
      <c r="L395" s="2" t="str">
        <f>IFERROR(__xludf.DUMMYFUNCTION("""COMPUTED_VALUE"""),"தொலைபேசி")</f>
        <v>தொலைபேசி</v>
      </c>
      <c r="M395" s="2" t="str">
        <f>IFERROR(__xludf.DUMMYFUNCTION("""COMPUTED_VALUE"""),"ఫోన్")</f>
        <v>ఫోన్</v>
      </c>
    </row>
    <row r="396">
      <c r="A396" s="2" t="str">
        <f>Master_en!A396</f>
        <v>published</v>
      </c>
      <c r="B396" s="2" t="str">
        <f>Master_en!B396</f>
        <v>Published</v>
      </c>
      <c r="C396" s="2" t="str">
        <f>IFERROR(__xludf.DUMMYFUNCTION("""COMPUTED_VALUE"""),"প্রকাশিত")</f>
        <v>প্রকাশিত</v>
      </c>
      <c r="D396" s="2" t="str">
        <f>IFERROR(__xludf.DUMMYFUNCTION("""COMPUTED_VALUE"""),"प्रकाशित")</f>
        <v>प्रकाशित</v>
      </c>
      <c r="E396" s="2" t="str">
        <f>IFERROR(__xludf.DUMMYFUNCTION("""COMPUTED_VALUE"""),"ಪ್ರಕಟವಾದ")</f>
        <v>ಪ್ರಕಟವಾದ</v>
      </c>
      <c r="F396" s="2" t="str">
        <f>IFERROR(__xludf.DUMMYFUNCTION("""COMPUTED_VALUE"""),"ପ୍ରକାଶନ")</f>
        <v>ପ୍ରକାଶନ</v>
      </c>
      <c r="G396" s="2" t="str">
        <f>IFERROR(__xludf.DUMMYFUNCTION("""COMPUTED_VALUE"""),"প্ৰকাশিত")</f>
        <v>প্ৰকাশিত</v>
      </c>
      <c r="H396" s="2" t="str">
        <f>IFERROR(__xludf.DUMMYFUNCTION("""COMPUTED_VALUE"""),"પ્રકાશિત")</f>
        <v>પ્રકાશિત</v>
      </c>
      <c r="I396" s="2" t="str">
        <f>IFERROR(__xludf.DUMMYFUNCTION("""COMPUTED_VALUE"""),"प्रकाशित")</f>
        <v>प्रकाशित</v>
      </c>
      <c r="J396" s="2" t="str">
        <f>IFERROR(__xludf.DUMMYFUNCTION("""COMPUTED_VALUE"""),"പ്രസിദ്ധീകരിച്ചത്")</f>
        <v>പ്രസിദ്ധീകരിച്ചത്</v>
      </c>
      <c r="K396" s="2" t="str">
        <f>IFERROR(__xludf.DUMMYFUNCTION("""COMPUTED_VALUE"""),"ਪ੍ਰਕਾਸ਼ਿਤ")</f>
        <v>ਪ੍ਰਕਾਸ਼ਿਤ</v>
      </c>
      <c r="L396" s="2" t="str">
        <f>IFERROR(__xludf.DUMMYFUNCTION("""COMPUTED_VALUE"""),"வெளியிடப்பட்டது")</f>
        <v>வெளியிடப்பட்டது</v>
      </c>
      <c r="M396" s="2" t="str">
        <f>IFERROR(__xludf.DUMMYFUNCTION("""COMPUTED_VALUE"""),"ప్రచురించబడింది")</f>
        <v>ప్రచురించబడింది</v>
      </c>
    </row>
    <row r="397">
      <c r="A397" s="2" t="str">
        <f>Master_en!A397</f>
        <v>aadharcard/voterid/bplid/drivinglicense</v>
      </c>
      <c r="B397" s="2" t="str">
        <f>Master_en!B397</f>
        <v>Aadhar Card/ Voter ID/BPL ID/Driving License</v>
      </c>
      <c r="C397" s="2" t="str">
        <f>IFERROR(__xludf.DUMMYFUNCTION("""COMPUTED_VALUE"""),"আধার কার্ড/ভোটার আইডি/বিপিএল আইডি/ড্রাইভিং লাইসেন্স")</f>
        <v>আধার কার্ড/ভোটার আইডি/বিপিএল আইডি/ড্রাইভিং লাইসেন্স</v>
      </c>
      <c r="D397" s="2" t="str">
        <f>IFERROR(__xludf.DUMMYFUNCTION("""COMPUTED_VALUE"""),"आधार कार्ड/वोटर आईडी/बीपीएल आईडी/ड्राइविंग लाइसेंस")</f>
        <v>आधार कार्ड/वोटर आईडी/बीपीएल आईडी/ड्राइविंग लाइसेंस</v>
      </c>
      <c r="E397" s="2" t="str">
        <f>IFERROR(__xludf.DUMMYFUNCTION("""COMPUTED_VALUE"""),"ಆಧಾರ್ ಕಾರ್ಡ್/ಮತದಾರರ ಐಡಿ/ಬಿಪಿಎಲ್ ಐಡಿ/ಚಾಲನಾ ಪರವಾನಗಿ")</f>
        <v>ಆಧಾರ್ ಕಾರ್ಡ್/ಮತದಾರರ ಐಡಿ/ಬಿಪಿಎಲ್ ಐಡಿ/ಚಾಲನಾ ಪರವಾನಗಿ</v>
      </c>
      <c r="F397" s="2" t="str">
        <f>IFERROR(__xludf.DUMMYFUNCTION("""COMPUTED_VALUE"""),"ଆଧାର କାର୍ଡ / ଭୋଟର ID / BPL ID / ଡ୍ରାଇଭିଂ ଲାଇସେନ୍ସ |")</f>
        <v>ଆଧାର କାର୍ଡ / ଭୋଟର ID / BPL ID / ଡ୍ରାଇଭିଂ ଲାଇସେନ୍ସ |</v>
      </c>
      <c r="G397" s="2" t="str">
        <f>IFERROR(__xludf.DUMMYFUNCTION("""COMPUTED_VALUE"""),"আধাৰ কাৰ্ড/ ভোটাৰ আইডি/বিপিএল আইডি/ড্ৰাইভিং লাইচেন্স")</f>
        <v>আধাৰ কাৰ্ড/ ভোটাৰ আইডি/বিপিএল আইডি/ড্ৰাইভিং লাইচেন্স</v>
      </c>
      <c r="H397" s="2" t="str">
        <f>IFERROR(__xludf.DUMMYFUNCTION("""COMPUTED_VALUE"""),"આધાર કાર્ડ/મતદાર આઈડી/બીપીએલ આઈડી/ડ્રાઇવિંગ લાઇસન્સ")</f>
        <v>આધાર કાર્ડ/મતદાર આઈડી/બીપીએલ આઈડી/ડ્રાઇવિંગ લાઇસન્સ</v>
      </c>
      <c r="I397" s="2" t="str">
        <f>IFERROR(__xludf.DUMMYFUNCTION("""COMPUTED_VALUE"""),"आधार कार्ड/मतदार आयडी/बीपीएल आयडी/ड्रायव्हिंग परवाना")</f>
        <v>आधार कार्ड/मतदार आयडी/बीपीएल आयडी/ड्रायव्हिंग परवाना</v>
      </c>
      <c r="J397" s="2" t="str">
        <f>IFERROR(__xludf.DUMMYFUNCTION("""COMPUTED_VALUE"""),"ആധാർ കാർഡ് / വോട്ടർ ഐഡി / ബിപിഎൽ ഐഡി / ഡ്രൈവിംഗ് ലൈസൻസ്")</f>
        <v>ആധാർ കാർഡ് / വോട്ടർ ഐഡി / ബിപിഎൽ ഐഡി / ഡ്രൈവിംഗ് ലൈസൻസ്</v>
      </c>
      <c r="K397" s="2" t="str">
        <f>IFERROR(__xludf.DUMMYFUNCTION("""COMPUTED_VALUE"""),"ਆਧਾਰ ਕਾਰਡ / ਵੋਟਰ ਆਈਡੀ / ਬੀਪੀਐਲ ਆਈਡੀ / ਡ੍ਰਾਇਵਿੰਗ ਲਾਇਸੈਂਸ")</f>
        <v>ਆਧਾਰ ਕਾਰਡ / ਵੋਟਰ ਆਈਡੀ / ਬੀਪੀਐਲ ਆਈਡੀ / ਡ੍ਰਾਇਵਿੰਗ ਲਾਇਸੈਂਸ</v>
      </c>
      <c r="L397" s="2" t="str">
        <f>IFERROR(__xludf.DUMMYFUNCTION("""COMPUTED_VALUE"""),"ஆதார் அட்டை/வாக்காளர் ஐடி/பிபிஎல் ஐடி/ஓட்டுநர் உரிமம்")</f>
        <v>ஆதார் அட்டை/வாக்காளர் ஐடி/பிபிஎல் ஐடி/ஓட்டுநர் உரிமம்</v>
      </c>
      <c r="M397" s="2" t="str">
        <f>IFERROR(__xludf.DUMMYFUNCTION("""COMPUTED_VALUE"""),"ఆధార్ కార్డ్/ఓటరు ఐడి/బిపిఎల్ ఐడి/డ్రైవింగ్ లైసెన్స్")</f>
        <v>ఆధార్ కార్డ్/ఓటరు ఐడి/బిపిఎల్ ఐడి/డ్రైవింగ్ లైసెన్స్</v>
      </c>
    </row>
    <row r="398">
      <c r="A398" s="2" t="str">
        <f>Master_en!A398</f>
        <v>voterId</v>
      </c>
      <c r="B398" s="2" t="str">
        <f>Master_en!B398</f>
        <v>Voter ID</v>
      </c>
      <c r="C398" s="2" t="str">
        <f>IFERROR(__xludf.DUMMYFUNCTION("""COMPUTED_VALUE"""),"ভোটার আইডি")</f>
        <v>ভোটার আইডি</v>
      </c>
      <c r="D398" s="2" t="str">
        <f>IFERROR(__xludf.DUMMYFUNCTION("""COMPUTED_VALUE"""),"आधार कार्ड/वोटर आईडी/बीपीएल आईडी/ड्राइविंग लाइसेंस प्रमाण अपलोड करें")</f>
        <v>आधार कार्ड/वोटर आईडी/बीपीएल आईडी/ड्राइविंग लाइसेंस प्रमाण अपलोड करें</v>
      </c>
      <c r="E398" s="2" t="str">
        <f>IFERROR(__xludf.DUMMYFUNCTION("""COMPUTED_VALUE"""),"ಆಧಾರ್ ಕಾರ್ಡ್/ ಮತದಾರರ ಐಡಿ/ಬಿಪಿಎಲ್ ಐಡಿ/ಚಾಲನಾ ಪರವಾನಗಿ")</f>
        <v>ಆಧಾರ್ ಕಾರ್ಡ್/ ಮತದಾರರ ಐಡಿ/ಬಿಪಿಎಲ್ ಐಡಿ/ಚಾಲನಾ ಪರವಾನಗಿ</v>
      </c>
      <c r="F398" s="2" t="str">
        <f>IFERROR(__xludf.DUMMYFUNCTION("""COMPUTED_VALUE"""),"ଭୋଟର ID")</f>
        <v>ଭୋଟର ID</v>
      </c>
      <c r="G398" s="2" t="str">
        <f>IFERROR(__xludf.DUMMYFUNCTION("""COMPUTED_VALUE"""),"ভোটাৰ আইডি")</f>
        <v>ভোটাৰ আইডি</v>
      </c>
      <c r="H398" s="2" t="str">
        <f>IFERROR(__xludf.DUMMYFUNCTION("""COMPUTED_VALUE"""),"મતદાર આઈડી")</f>
        <v>મતદાર આઈડી</v>
      </c>
      <c r="I398" s="2" t="str">
        <f>IFERROR(__xludf.DUMMYFUNCTION("""COMPUTED_VALUE"""),"मतदार आयडी")</f>
        <v>मतदार आयडी</v>
      </c>
      <c r="J398" s="2" t="str">
        <f>IFERROR(__xludf.DUMMYFUNCTION("""COMPUTED_VALUE"""),"വോട്ടർ ഐഡി")</f>
        <v>വോട്ടർ ഐഡി</v>
      </c>
      <c r="K398" s="2" t="str">
        <f>IFERROR(__xludf.DUMMYFUNCTION("""COMPUTED_VALUE"""),"ਵੋਟਰ ਆਈਡੀ")</f>
        <v>ਵੋਟਰ ਆਈਡੀ</v>
      </c>
      <c r="L398" s="2" t="str">
        <f>IFERROR(__xludf.DUMMYFUNCTION("""COMPUTED_VALUE"""),"வாக்காளர் ஐடி")</f>
        <v>வாக்காளர் ஐடி</v>
      </c>
      <c r="M398" s="2" t="str">
        <f>IFERROR(__xludf.DUMMYFUNCTION("""COMPUTED_VALUE"""),"ఓటరు ఐడి")</f>
        <v>ఓటరు ఐడి</v>
      </c>
    </row>
    <row r="399">
      <c r="A399" s="2" t="str">
        <f>Master_en!A399</f>
        <v>drivingLicense</v>
      </c>
      <c r="B399" s="2" t="str">
        <f>Master_en!B399</f>
        <v>Driving License</v>
      </c>
      <c r="C399" s="2" t="str">
        <f>IFERROR(__xludf.DUMMYFUNCTION("""COMPUTED_VALUE"""),"ড্রাইভিং লাইসেন্স")</f>
        <v>ড্রাইভিং লাইসেন্স</v>
      </c>
      <c r="D399" s="2" t="str">
        <f>IFERROR(__xludf.DUMMYFUNCTION("""COMPUTED_VALUE"""),"ड्राइविंग लाइसेंस")</f>
        <v>ड्राइविंग लाइसेंस</v>
      </c>
      <c r="E399" s="2" t="str">
        <f>IFERROR(__xludf.DUMMYFUNCTION("""COMPUTED_VALUE"""),"ಚಾಲನಾ ಪರವಾನಿಗೆ")</f>
        <v>ಚಾಲನಾ ಪರವಾನಿಗೆ</v>
      </c>
      <c r="F399" s="2" t="str">
        <f>IFERROR(__xludf.DUMMYFUNCTION("""COMPUTED_VALUE"""),"ଡ୍ରାଇଭିଂ ଲାଇସେନ୍ସ |")</f>
        <v>ଡ୍ରାଇଭିଂ ଲାଇସେନ୍ସ |</v>
      </c>
      <c r="G399" s="2" t="str">
        <f>IFERROR(__xludf.DUMMYFUNCTION("""COMPUTED_VALUE"""),"ড্ৰাইভিং লাইচেন্স")</f>
        <v>ড্ৰাইভিং লাইচেন্স</v>
      </c>
      <c r="H399" s="2" t="str">
        <f>IFERROR(__xludf.DUMMYFUNCTION("""COMPUTED_VALUE"""),"ગાડી ચલાવવાની પરવાનગી")</f>
        <v>ગાડી ચલાવવાની પરવાનગી</v>
      </c>
      <c r="I399" s="2" t="str">
        <f>IFERROR(__xludf.DUMMYFUNCTION("""COMPUTED_VALUE"""),"चालक परवाना")</f>
        <v>चालक परवाना</v>
      </c>
      <c r="J399" s="2" t="str">
        <f>IFERROR(__xludf.DUMMYFUNCTION("""COMPUTED_VALUE"""),"വാഹനം ഓടിക്കാനുള്ള അനുമതിപത്രം")</f>
        <v>വാഹനം ഓടിക്കാനുള്ള അനുമതിപത്രം</v>
      </c>
      <c r="K399" s="2" t="str">
        <f>IFERROR(__xludf.DUMMYFUNCTION("""COMPUTED_VALUE"""),"ਡ੍ਰਾਇਵਿੰਗ ਲਾਇਸੇੰਸ")</f>
        <v>ਡ੍ਰਾਇਵਿੰਗ ਲਾਇਸੇੰਸ</v>
      </c>
      <c r="L399" s="2" t="str">
        <f>IFERROR(__xludf.DUMMYFUNCTION("""COMPUTED_VALUE"""),"ஓட்டுனர் உரிமம்")</f>
        <v>ஓட்டுனர் உரிமம்</v>
      </c>
      <c r="M399" s="2" t="str">
        <f>IFERROR(__xludf.DUMMYFUNCTION("""COMPUTED_VALUE"""),"వాహనం నడపడానికి చట్టబద్ధమైన అర్హత")</f>
        <v>వాహనం నడపడానికి చట్టబద్ధమైన అర్హత</v>
      </c>
    </row>
    <row r="400">
      <c r="A400" s="2" t="str">
        <f>Master_en!A400</f>
        <v>updateChanges</v>
      </c>
      <c r="B400" s="2" t="str">
        <f>Master_en!B400</f>
        <v>Update Changes</v>
      </c>
      <c r="C400" s="2" t="str">
        <f>IFERROR(__xludf.DUMMYFUNCTION("""COMPUTED_VALUE"""),"পরিবর্তনগুলি আপডেট করুন")</f>
        <v>পরিবর্তনগুলি আপডেট করুন</v>
      </c>
      <c r="D400" s="2" t="str">
        <f>IFERROR(__xludf.DUMMYFUNCTION("""COMPUTED_VALUE"""),"अद्यतन परिवर्तन")</f>
        <v>अद्यतन परिवर्तन</v>
      </c>
      <c r="E400" s="2" t="str">
        <f>IFERROR(__xludf.DUMMYFUNCTION("""COMPUTED_VALUE"""),"ಬದಲಾವಣೆಗಳನ್ನು ನವೀಕರಿಸಿ")</f>
        <v>ಬದಲಾವಣೆಗಳನ್ನು ನವೀಕರಿಸಿ</v>
      </c>
      <c r="F400" s="2" t="str">
        <f>IFERROR(__xludf.DUMMYFUNCTION("""COMPUTED_VALUE"""),"ପରିବର୍ତ୍ତନ ପରିବର୍ତ୍ତନ ଅଦ୍ୟତନ କରନ୍ତୁ |")</f>
        <v>ପରିବର୍ତ୍ତନ ପରିବର୍ତ୍ତନ ଅଦ୍ୟତନ କରନ୍ତୁ |</v>
      </c>
      <c r="G400" s="2" t="str">
        <f>IFERROR(__xludf.DUMMYFUNCTION("""COMPUTED_VALUE"""),"পৰিবৰ্তনসমূহ আপডেইট কৰক")</f>
        <v>পৰিবৰ্তনসমূহ আপডেইট কৰক</v>
      </c>
      <c r="H400" s="2" t="str">
        <f>IFERROR(__xludf.DUMMYFUNCTION("""COMPUTED_VALUE"""),"ફેરફારો અપડેટ કરો")</f>
        <v>ફેરફારો અપડેટ કરો</v>
      </c>
      <c r="I400" s="2" t="str">
        <f>IFERROR(__xludf.DUMMYFUNCTION("""COMPUTED_VALUE"""),"बदल अद्यतनित करा")</f>
        <v>बदल अद्यतनित करा</v>
      </c>
      <c r="J400" s="2" t="str">
        <f>IFERROR(__xludf.DUMMYFUNCTION("""COMPUTED_VALUE"""),"മാറ്റങ്ങൾ അപ്ഡേറ്റുചെയ്യുക")</f>
        <v>മാറ്റങ്ങൾ അപ്ഡേറ്റുചെയ്യുക</v>
      </c>
      <c r="K400" s="2" t="str">
        <f>IFERROR(__xludf.DUMMYFUNCTION("""COMPUTED_VALUE"""),"ਅਪਡੇਟ ਬਦਲਾਅ")</f>
        <v>ਅਪਡੇਟ ਬਦਲਾਅ</v>
      </c>
      <c r="L400" s="2" t="str">
        <f>IFERROR(__xludf.DUMMYFUNCTION("""COMPUTED_VALUE"""),"மாற்றங்களை புதுப்பிக்கவும்")</f>
        <v>மாற்றங்களை புதுப்பிக்கவும்</v>
      </c>
      <c r="M400" s="2" t="str">
        <f>IFERROR(__xludf.DUMMYFUNCTION("""COMPUTED_VALUE"""),"మార్పులను నవీకరించండి")</f>
        <v>మార్పులను నవీకరించండి</v>
      </c>
    </row>
    <row r="401">
      <c r="A401" s="2" t="str">
        <f>Master_en!A401</f>
        <v>basicSalaryPerMonth</v>
      </c>
      <c r="B401" s="2" t="str">
        <f>Master_en!B401</f>
        <v>Basic Salary per month</v>
      </c>
      <c r="C401" s="2" t="str">
        <f>IFERROR(__xludf.DUMMYFUNCTION("""COMPUTED_VALUE"""),"প্রতি মাসে বেসিক বেতন")</f>
        <v>প্রতি মাসে বেসিক বেতন</v>
      </c>
      <c r="D401" s="2" t="str">
        <f>IFERROR(__xludf.DUMMYFUNCTION("""COMPUTED_VALUE"""),"प्रति माह बुनियादी वेतन")</f>
        <v>प्रति माह बुनियादी वेतन</v>
      </c>
      <c r="E401" s="2" t="str">
        <f>IFERROR(__xludf.DUMMYFUNCTION("""COMPUTED_VALUE"""),"ತಿಂಗಳಿಗೆ ಮೂಲ ವೇತನ")</f>
        <v>ತಿಂಗಳಿಗೆ ಮೂಲ ವೇತನ</v>
      </c>
      <c r="F401" s="2" t="str">
        <f>IFERROR(__xludf.DUMMYFUNCTION("""COMPUTED_VALUE"""),"ପ୍ରତି ମାସରେ ମ basic ଳିକ ଦରମା |")</f>
        <v>ପ୍ରତି ମାସରେ ମ basic ଳିକ ଦରମା |</v>
      </c>
      <c r="G401" s="2" t="str">
        <f>IFERROR(__xludf.DUMMYFUNCTION("""COMPUTED_VALUE"""),"প্ৰতিমাহে মৌলিক দৰমহা")</f>
        <v>প্ৰতিমাহে মৌলিক দৰমহা</v>
      </c>
      <c r="H401" s="2" t="str">
        <f>IFERROR(__xludf.DUMMYFUNCTION("""COMPUTED_VALUE"""),"દર મહિને મૂળભૂત પગાર")</f>
        <v>દર મહિને મૂળભૂત પગાર</v>
      </c>
      <c r="I401" s="2" t="str">
        <f>IFERROR(__xludf.DUMMYFUNCTION("""COMPUTED_VALUE"""),"बदल अपडेट करा")</f>
        <v>बदल अपडेट करा</v>
      </c>
      <c r="J401" s="2" t="str">
        <f>IFERROR(__xludf.DUMMYFUNCTION("""COMPUTED_VALUE"""),"പ്രതിമാസം അടിസ്ഥാന ശമ്പളം")</f>
        <v>പ്രതിമാസം അടിസ്ഥാന ശമ്പളം</v>
      </c>
      <c r="K401" s="2" t="str">
        <f>IFERROR(__xludf.DUMMYFUNCTION("""COMPUTED_VALUE"""),"ਪ੍ਰਤੀ ਮਹੀਨਾ ਮੁ basic ਲੀ ਤਨਖਾਹ")</f>
        <v>ਪ੍ਰਤੀ ਮਹੀਨਾ ਮੁ basic ਲੀ ਤਨਖਾਹ</v>
      </c>
      <c r="L401" s="2" t="str">
        <f>IFERROR(__xludf.DUMMYFUNCTION("""COMPUTED_VALUE"""),"மாதத்திற்கு அடிப்படை சம்பளம்")</f>
        <v>மாதத்திற்கு அடிப்படை சம்பளம்</v>
      </c>
      <c r="M401" s="2" t="str">
        <f>IFERROR(__xludf.DUMMYFUNCTION("""COMPUTED_VALUE"""),"నెలకు ప్రాథమిక జీతం")</f>
        <v>నెలకు ప్రాథమిక జీతం</v>
      </c>
    </row>
    <row r="402">
      <c r="A402" s="2" t="str">
        <f>Master_en!A402</f>
        <v>youcannotdeleteactiveuser</v>
      </c>
      <c r="B402" s="2" t="str">
        <f>Master_en!B402</f>
        <v>You cannot delete Active User!</v>
      </c>
      <c r="C402" s="2" t="str">
        <f>IFERROR(__xludf.DUMMYFUNCTION("""COMPUTED_VALUE"""),"আপনি সক্রিয় ব্যবহারকারী মুছতে পারবেন না!")</f>
        <v>আপনি সক্রিয় ব্যবহারকারী মুছতে পারবেন না!</v>
      </c>
      <c r="D402" s="2" t="str">
        <f>IFERROR(__xludf.DUMMYFUNCTION("""COMPUTED_VALUE"""),"आप सक्रिय उपयोगकर्ता को नहीं हटा सकते हैं!")</f>
        <v>आप सक्रिय उपयोगकर्ता को नहीं हटा सकते हैं!</v>
      </c>
      <c r="E402" s="2" t="str">
        <f>IFERROR(__xludf.DUMMYFUNCTION("""COMPUTED_VALUE"""),"ಪ್ರತಿ ತಿಂಗಳ ಮೂಲ ವೇತನ")</f>
        <v>ಪ್ರತಿ ತಿಂಗಳ ಮೂಲ ವೇತನ</v>
      </c>
      <c r="F402" s="2" t="str">
        <f>IFERROR(__xludf.DUMMYFUNCTION("""COMPUTED_VALUE"""),"ଆପଣ ସକ୍ରିୟ ଉପଭୋକ୍ତା ବିଲୋପ କରିପାରିବେ ନାହିଁ!")</f>
        <v>ଆପଣ ସକ୍ରିୟ ଉପଭୋକ୍ତା ବିଲୋପ କରିପାରିବେ ନାହିଁ!</v>
      </c>
      <c r="G402" s="2" t="str">
        <f>IFERROR(__xludf.DUMMYFUNCTION("""COMPUTED_VALUE"""),"আপুনি সক্ৰিয় ব্যৱহাৰকাৰীক মচি পেলাব নোৱাৰে!")</f>
        <v>আপুনি সক্ৰিয় ব্যৱহাৰকাৰীক মচি পেলাব নোৱাৰে!</v>
      </c>
      <c r="H402" s="2" t="str">
        <f>IFERROR(__xludf.DUMMYFUNCTION("""COMPUTED_VALUE"""),"તમે સક્રિય વપરાશકર્તાને કા delete ી શકતા નથી!")</f>
        <v>તમે સક્રિય વપરાશકર્તાને કા delete ી શકતા નથી!</v>
      </c>
      <c r="I402" s="2" t="str">
        <f>IFERROR(__xludf.DUMMYFUNCTION("""COMPUTED_VALUE"""),"दरमहा मूळ पगार")</f>
        <v>दरमहा मूळ पगार</v>
      </c>
      <c r="J402" s="2" t="str">
        <f>IFERROR(__xludf.DUMMYFUNCTION("""COMPUTED_VALUE"""),"നിങ്ങൾക്ക് സജീവ ഉപയോക്താവിനെ ഇല്ലാതാക്കാൻ കഴിയില്ല!")</f>
        <v>നിങ്ങൾക്ക് സജീവ ഉപയോക്താവിനെ ഇല്ലാതാക്കാൻ കഴിയില്ല!</v>
      </c>
      <c r="K402" s="2" t="str">
        <f>IFERROR(__xludf.DUMMYFUNCTION("""COMPUTED_VALUE"""),"ਤੁਸੀਂ ਕਿਰਿਆਸ਼ੀਲ ਉਪਭੋਗਤਾ ਨੂੰ ਨਹੀਂ ਮਿਟਾ ਸਕਦੇ!")</f>
        <v>ਤੁਸੀਂ ਕਿਰਿਆਸ਼ੀਲ ਉਪਭੋਗਤਾ ਨੂੰ ਨਹੀਂ ਮਿਟਾ ਸਕਦੇ!</v>
      </c>
      <c r="L402" s="2" t="str">
        <f>IFERROR(__xludf.DUMMYFUNCTION("""COMPUTED_VALUE"""),"செயலில் உள்ள பயனரை நீக்க முடியாது!")</f>
        <v>செயலில் உள்ள பயனரை நீக்க முடியாது!</v>
      </c>
      <c r="M402" s="2" t="str">
        <f>IFERROR(__xludf.DUMMYFUNCTION("""COMPUTED_VALUE"""),"మీరు క్రియాశీల వినియోగదారుని తొలగించలేరు!")</f>
        <v>మీరు క్రియాశీల వినియోగదారుని తొలగించలేరు!</v>
      </c>
    </row>
    <row r="403">
      <c r="A403" s="2" t="str">
        <f>Master_en!A403</f>
        <v>deactiveToDelete</v>
      </c>
      <c r="B403" s="2" t="str">
        <f>Master_en!B403</f>
        <v>Deactive to Delete</v>
      </c>
      <c r="C403" s="2" t="str">
        <f>IFERROR(__xludf.DUMMYFUNCTION("""COMPUTED_VALUE"""),"মুছতে ডেস্টিভ")</f>
        <v>মুছতে ডেস্টিভ</v>
      </c>
      <c r="D403" s="2" t="str">
        <f>IFERROR(__xludf.DUMMYFUNCTION("""COMPUTED_VALUE"""),"हटाने के लिए निष्क्रिय")</f>
        <v>हटाने के लिए निष्क्रिय</v>
      </c>
      <c r="E403" s="2" t="str">
        <f>IFERROR(__xludf.DUMMYFUNCTION("""COMPUTED_VALUE"""),"ಅಳಿಸಲು ನಿಷ್ಕ್ರಿಯ")</f>
        <v>ಅಳಿಸಲು ನಿಷ್ಕ್ರಿಯ</v>
      </c>
      <c r="F403" s="2" t="str">
        <f>IFERROR(__xludf.DUMMYFUNCTION("""COMPUTED_VALUE"""),"ବିଲୋପ କରିବାକୁ ନିଷ୍କ୍ରିୟ |")</f>
        <v>ବିଲୋପ କରିବାକୁ ନିଷ୍କ୍ରିୟ |</v>
      </c>
      <c r="G403" s="2" t="str">
        <f>IFERROR(__xludf.DUMMYFUNCTION("""COMPUTED_VALUE"""),"মচি পেলাবলৈ নিষ্ক্ৰিয়")</f>
        <v>মচি পেলাবলৈ নিষ্ক্ৰিয়</v>
      </c>
      <c r="H403" s="2" t="str">
        <f>IFERROR(__xludf.DUMMYFUNCTION("""COMPUTED_VALUE"""),"કા delete ી નાખવા માટે નિષ્ક્રિય")</f>
        <v>કા delete ી નાખવા માટે નિષ્ક્રિય</v>
      </c>
      <c r="I403" s="2" t="str">
        <f>IFERROR(__xludf.DUMMYFUNCTION("""COMPUTED_VALUE"""),"हटविण्यासाठी निष्क्रिय")</f>
        <v>हटविण्यासाठी निष्क्रिय</v>
      </c>
      <c r="J403" s="2" t="str">
        <f>IFERROR(__xludf.DUMMYFUNCTION("""COMPUTED_VALUE"""),"ഇല്ലാതാക്കാൻ നിർജ്ജീവമാക്കുക")</f>
        <v>ഇല്ലാതാക്കാൻ നിർജ്ജീവമാക്കുക</v>
      </c>
      <c r="K403" s="2" t="str">
        <f>IFERROR(__xludf.DUMMYFUNCTION("""COMPUTED_VALUE"""),"ਮਿਟਾਉਣ ਲਈ ਅਯੋਗ")</f>
        <v>ਮਿਟਾਉਣ ਲਈ ਅਯੋਗ</v>
      </c>
      <c r="L403" s="2" t="str">
        <f>IFERROR(__xludf.DUMMYFUNCTION("""COMPUTED_VALUE"""),"நீக்குவதற்கு செயலிழக்க செய்")</f>
        <v>நீக்குவதற்கு செயலிழக்க செய்</v>
      </c>
      <c r="M403" s="2" t="str">
        <f>IFERROR(__xludf.DUMMYFUNCTION("""COMPUTED_VALUE"""),"తొలగించడానికి డయాక్టివ్")</f>
        <v>తొలగించడానికి డయాక్టివ్</v>
      </c>
    </row>
    <row r="404">
      <c r="A404" s="2" t="str">
        <f>Master_en!A404</f>
        <v>fruits</v>
      </c>
      <c r="B404" s="2" t="str">
        <f>Master_en!B404</f>
        <v>Fruits</v>
      </c>
      <c r="C404" s="2" t="str">
        <f>IFERROR(__xludf.DUMMYFUNCTION("""COMPUTED_VALUE"""),"ফল")</f>
        <v>ফল</v>
      </c>
      <c r="D404" s="2" t="str">
        <f>IFERROR(__xludf.DUMMYFUNCTION("""COMPUTED_VALUE"""),"फल")</f>
        <v>फल</v>
      </c>
      <c r="E404" s="2" t="str">
        <f>IFERROR(__xludf.DUMMYFUNCTION("""COMPUTED_VALUE"""),"ತೆಗೆದುಹಾಕಲು ನಿಷ್ಕ್ರಿಯ ಗೋಳಿಸಿ")</f>
        <v>ತೆಗೆದುಹಾಕಲು ನಿಷ್ಕ್ರಿಯ ಗೋಳಿಸಿ</v>
      </c>
      <c r="F404" s="2" t="str">
        <f>IFERROR(__xludf.DUMMYFUNCTION("""COMPUTED_VALUE"""),"ଫଳଗୁଡିକ")</f>
        <v>ଫଳଗୁଡିକ</v>
      </c>
      <c r="G404" s="2" t="str">
        <f>IFERROR(__xludf.DUMMYFUNCTION("""COMPUTED_VALUE"""),"ফলমূল")</f>
        <v>ফলমূল</v>
      </c>
      <c r="H404" s="2" t="str">
        <f>IFERROR(__xludf.DUMMYFUNCTION("""COMPUTED_VALUE"""),"ફળ")</f>
        <v>ફળ</v>
      </c>
      <c r="I404" s="2" t="str">
        <f>IFERROR(__xludf.DUMMYFUNCTION("""COMPUTED_VALUE"""),"फळे")</f>
        <v>फळे</v>
      </c>
      <c r="J404" s="2" t="str">
        <f>IFERROR(__xludf.DUMMYFUNCTION("""COMPUTED_VALUE"""),"പഴങ്ങൾ")</f>
        <v>പഴങ്ങൾ</v>
      </c>
      <c r="K404" s="2" t="str">
        <f>IFERROR(__xludf.DUMMYFUNCTION("""COMPUTED_VALUE"""),"ਫਲ")</f>
        <v>ਫਲ</v>
      </c>
      <c r="L404" s="2" t="str">
        <f>IFERROR(__xludf.DUMMYFUNCTION("""COMPUTED_VALUE"""),"பழங்கள்")</f>
        <v>பழங்கள்</v>
      </c>
      <c r="M404" s="2" t="str">
        <f>IFERROR(__xludf.DUMMYFUNCTION("""COMPUTED_VALUE"""),"పండ్లు")</f>
        <v>పండ్లు</v>
      </c>
    </row>
    <row r="405">
      <c r="A405" s="2" t="str">
        <f>Master_en!A405</f>
        <v>vegetables</v>
      </c>
      <c r="B405" s="2" t="str">
        <f>Master_en!B405</f>
        <v>Vegetables</v>
      </c>
      <c r="C405" s="2" t="str">
        <f>IFERROR(__xludf.DUMMYFUNCTION("""COMPUTED_VALUE"""),"শাকসবজি")</f>
        <v>শাকসবজি</v>
      </c>
      <c r="D405" s="2" t="str">
        <f>IFERROR(__xludf.DUMMYFUNCTION("""COMPUTED_VALUE"""),"सब्ज़ियाँ")</f>
        <v>सब्ज़ियाँ</v>
      </c>
      <c r="E405" s="2" t="str">
        <f>IFERROR(__xludf.DUMMYFUNCTION("""COMPUTED_VALUE"""),"ತರಕಾರಿಗಳು")</f>
        <v>ತರಕಾರಿಗಳು</v>
      </c>
      <c r="F405" s="2" t="str">
        <f>IFERROR(__xludf.DUMMYFUNCTION("""COMPUTED_VALUE"""),"ପନିପରିବା |")</f>
        <v>ପନିପରିବା |</v>
      </c>
      <c r="G405" s="2" t="str">
        <f>IFERROR(__xludf.DUMMYFUNCTION("""COMPUTED_VALUE"""),"শাক-পাচলি")</f>
        <v>শাক-পাচলি</v>
      </c>
      <c r="H405" s="2" t="str">
        <f>IFERROR(__xludf.DUMMYFUNCTION("""COMPUTED_VALUE"""),"શાકભાજી")</f>
        <v>શાકભાજી</v>
      </c>
      <c r="I405" s="2" t="str">
        <f>IFERROR(__xludf.DUMMYFUNCTION("""COMPUTED_VALUE"""),"भाज्या")</f>
        <v>भाज्या</v>
      </c>
      <c r="J405" s="2" t="str">
        <f>IFERROR(__xludf.DUMMYFUNCTION("""COMPUTED_VALUE"""),"പച്ചക്കറികൾ")</f>
        <v>പച്ചക്കറികൾ</v>
      </c>
      <c r="K405" s="2" t="str">
        <f>IFERROR(__xludf.DUMMYFUNCTION("""COMPUTED_VALUE"""),"ਸਬਜ਼ੀਆਂ")</f>
        <v>ਸਬਜ਼ੀਆਂ</v>
      </c>
      <c r="L405" s="2" t="str">
        <f>IFERROR(__xludf.DUMMYFUNCTION("""COMPUTED_VALUE"""),"காய்கறிகள்")</f>
        <v>காய்கறிகள்</v>
      </c>
      <c r="M405" s="2" t="str">
        <f>IFERROR(__xludf.DUMMYFUNCTION("""COMPUTED_VALUE"""),"కూరగాయలు")</f>
        <v>కూరగాయలు</v>
      </c>
    </row>
    <row r="406">
      <c r="A406" s="2" t="str">
        <f>Master_en!A406</f>
        <v>groceries</v>
      </c>
      <c r="B406" s="2" t="str">
        <f>Master_en!B406</f>
        <v>Groceries</v>
      </c>
      <c r="C406" s="2" t="str">
        <f>IFERROR(__xludf.DUMMYFUNCTION("""COMPUTED_VALUE"""),"মুদি")</f>
        <v>মুদি</v>
      </c>
      <c r="D406" s="2" t="str">
        <f>IFERROR(__xludf.DUMMYFUNCTION("""COMPUTED_VALUE"""),"किराने का सामान")</f>
        <v>किराने का सामान</v>
      </c>
      <c r="E406" s="2" t="str">
        <f>IFERROR(__xludf.DUMMYFUNCTION("""COMPUTED_VALUE"""),"ದಿನಸಿ")</f>
        <v>ದಿನಸಿ</v>
      </c>
      <c r="F406" s="2" t="str">
        <f>IFERROR(__xludf.DUMMYFUNCTION("""COMPUTED_VALUE"""),"ଖାଦ୍ୟ ସାମଗ୍ରୀ")</f>
        <v>ଖାଦ୍ୟ ସାମଗ୍ରୀ</v>
      </c>
      <c r="G406" s="2" t="str">
        <f>IFERROR(__xludf.DUMMYFUNCTION("""COMPUTED_VALUE"""),"গেলামালৰ সামগ্ৰী")</f>
        <v>গেলামালৰ সামগ্ৰী</v>
      </c>
      <c r="H406" s="2" t="str">
        <f>IFERROR(__xludf.DUMMYFUNCTION("""COMPUTED_VALUE"""),"કરચાળો")</f>
        <v>કરચાળો</v>
      </c>
      <c r="I406" s="2" t="str">
        <f>IFERROR(__xludf.DUMMYFUNCTION("""COMPUTED_VALUE"""),"किराणा सामान")</f>
        <v>किराणा सामान</v>
      </c>
      <c r="J406" s="2" t="str">
        <f>IFERROR(__xludf.DUMMYFUNCTION("""COMPUTED_VALUE"""),"പലചരക്ക്")</f>
        <v>പലചരക്ക്</v>
      </c>
      <c r="K406" s="2" t="str">
        <f>IFERROR(__xludf.DUMMYFUNCTION("""COMPUTED_VALUE"""),"ਕਰਿਆਨੇ")</f>
        <v>ਕਰਿਆਨੇ</v>
      </c>
      <c r="L406" s="2" t="str">
        <f>IFERROR(__xludf.DUMMYFUNCTION("""COMPUTED_VALUE"""),"மளிகை")</f>
        <v>மளிகை</v>
      </c>
      <c r="M406" s="2" t="str">
        <f>IFERROR(__xludf.DUMMYFUNCTION("""COMPUTED_VALUE"""),"కిరాణా")</f>
        <v>కిరాణా</v>
      </c>
    </row>
    <row r="407">
      <c r="A407" s="2" t="str">
        <f>Master_en!A407</f>
        <v>fishes</v>
      </c>
      <c r="B407" s="2" t="str">
        <f>Master_en!B407</f>
        <v>Fishes</v>
      </c>
      <c r="C407" s="2" t="str">
        <f>IFERROR(__xludf.DUMMYFUNCTION("""COMPUTED_VALUE"""),"মাছ")</f>
        <v>মাছ</v>
      </c>
      <c r="D407" s="2" t="str">
        <f>IFERROR(__xludf.DUMMYFUNCTION("""COMPUTED_VALUE"""),"मछलियों का वर्ग")</f>
        <v>मछलियों का वर्ग</v>
      </c>
      <c r="E407" s="2" t="str">
        <f>IFERROR(__xludf.DUMMYFUNCTION("""COMPUTED_VALUE"""),"ಮೀನು")</f>
        <v>ಮೀನು</v>
      </c>
      <c r="F407" s="2" t="str">
        <f>IFERROR(__xludf.DUMMYFUNCTION("""COMPUTED_VALUE"""),"ମାଛଗୁଡିକ")</f>
        <v>ମାଛଗୁଡିକ</v>
      </c>
      <c r="G407" s="2" t="str">
        <f>IFERROR(__xludf.DUMMYFUNCTION("""COMPUTED_VALUE"""),"মাছ")</f>
        <v>মাছ</v>
      </c>
      <c r="H407" s="2" t="str">
        <f>IFERROR(__xludf.DUMMYFUNCTION("""COMPUTED_VALUE"""),"માછલીઓ")</f>
        <v>માછલીઓ</v>
      </c>
      <c r="I407" s="2" t="str">
        <f>IFERROR(__xludf.DUMMYFUNCTION("""COMPUTED_VALUE"""),"मासे")</f>
        <v>मासे</v>
      </c>
      <c r="J407" s="2" t="str">
        <f>IFERROR(__xludf.DUMMYFUNCTION("""COMPUTED_VALUE"""),"മീൻ")</f>
        <v>മീൻ</v>
      </c>
      <c r="K407" s="2" t="str">
        <f>IFERROR(__xludf.DUMMYFUNCTION("""COMPUTED_VALUE"""),"ਮੱਛੀਆਂ")</f>
        <v>ਮੱਛੀਆਂ</v>
      </c>
      <c r="L407" s="2" t="str">
        <f>IFERROR(__xludf.DUMMYFUNCTION("""COMPUTED_VALUE"""),"மீன்கள்")</f>
        <v>மீன்கள்</v>
      </c>
      <c r="M407" s="2" t="str">
        <f>IFERROR(__xludf.DUMMYFUNCTION("""COMPUTED_VALUE"""),"చేపలు")</f>
        <v>చేపలు</v>
      </c>
    </row>
    <row r="408">
      <c r="A408" s="2" t="str">
        <f>Master_en!A408</f>
        <v>meat</v>
      </c>
      <c r="B408" s="2" t="str">
        <f>Master_en!B408</f>
        <v>Meat</v>
      </c>
      <c r="C408" s="2" t="str">
        <f>IFERROR(__xludf.DUMMYFUNCTION("""COMPUTED_VALUE"""),"মাংস")</f>
        <v>মাংস</v>
      </c>
      <c r="D408" s="2" t="str">
        <f>IFERROR(__xludf.DUMMYFUNCTION("""COMPUTED_VALUE"""),"मांस")</f>
        <v>मांस</v>
      </c>
      <c r="E408" s="2" t="str">
        <f>IFERROR(__xludf.DUMMYFUNCTION("""COMPUTED_VALUE"""),"ಮಾಂಸ")</f>
        <v>ಮಾಂಸ</v>
      </c>
      <c r="F408" s="2" t="str">
        <f>IFERROR(__xludf.DUMMYFUNCTION("""COMPUTED_VALUE"""),"ମାଂସ")</f>
        <v>ମାଂସ</v>
      </c>
      <c r="G408" s="2" t="str">
        <f>IFERROR(__xludf.DUMMYFUNCTION("""COMPUTED_VALUE"""),"মাংস")</f>
        <v>মাংস</v>
      </c>
      <c r="H408" s="2" t="str">
        <f>IFERROR(__xludf.DUMMYFUNCTION("""COMPUTED_VALUE"""),"માંસ")</f>
        <v>માંસ</v>
      </c>
      <c r="I408" s="2" t="str">
        <f>IFERROR(__xludf.DUMMYFUNCTION("""COMPUTED_VALUE"""),"मांस")</f>
        <v>मांस</v>
      </c>
      <c r="J408" s="2" t="str">
        <f>IFERROR(__xludf.DUMMYFUNCTION("""COMPUTED_VALUE"""),"മാംസം")</f>
        <v>മാംസം</v>
      </c>
      <c r="K408" s="2" t="str">
        <f>IFERROR(__xludf.DUMMYFUNCTION("""COMPUTED_VALUE"""),"ਮੀਟ")</f>
        <v>ਮੀਟ</v>
      </c>
      <c r="L408" s="2" t="str">
        <f>IFERROR(__xludf.DUMMYFUNCTION("""COMPUTED_VALUE"""),"இறைச்சி")</f>
        <v>இறைச்சி</v>
      </c>
      <c r="M408" s="2" t="str">
        <f>IFERROR(__xludf.DUMMYFUNCTION("""COMPUTED_VALUE"""),"మాంసం")</f>
        <v>మాంసం</v>
      </c>
    </row>
    <row r="409">
      <c r="A409" s="2" t="str">
        <f>Master_en!A409</f>
        <v>dairy</v>
      </c>
      <c r="B409" s="2" t="str">
        <f>Master_en!B409</f>
        <v>Dairy</v>
      </c>
      <c r="C409" s="2" t="str">
        <f>IFERROR(__xludf.DUMMYFUNCTION("""COMPUTED_VALUE"""),"দুগ্ধ")</f>
        <v>দুগ্ধ</v>
      </c>
      <c r="D409" s="2" t="str">
        <f>IFERROR(__xludf.DUMMYFUNCTION("""COMPUTED_VALUE"""),"डेरी")</f>
        <v>डेरी</v>
      </c>
      <c r="E409" s="2" t="str">
        <f>IFERROR(__xludf.DUMMYFUNCTION("""COMPUTED_VALUE"""),"ಡೈರಿ")</f>
        <v>ಡೈರಿ</v>
      </c>
      <c r="F409" s="2" t="str">
        <f>IFERROR(__xludf.DUMMYFUNCTION("""COMPUTED_VALUE"""),"ଦୁଗ୍ଧ")</f>
        <v>ଦୁଗ୍ଧ</v>
      </c>
      <c r="G409" s="2" t="str">
        <f>IFERROR(__xludf.DUMMYFUNCTION("""COMPUTED_VALUE"""),"দুগ্ধজাত")</f>
        <v>দুগ্ধজাত</v>
      </c>
      <c r="H409" s="2" t="str">
        <f>IFERROR(__xludf.DUMMYFUNCTION("""COMPUTED_VALUE"""),"ડેરી")</f>
        <v>ડેરી</v>
      </c>
      <c r="I409" s="2" t="str">
        <f>IFERROR(__xludf.DUMMYFUNCTION("""COMPUTED_VALUE"""),"डेअरी")</f>
        <v>डेअरी</v>
      </c>
      <c r="J409" s="2" t="str">
        <f>IFERROR(__xludf.DUMMYFUNCTION("""COMPUTED_VALUE"""),"പാല്ശേഖരണകേന്ദം")</f>
        <v>പാല്ശേഖരണകേന്ദം</v>
      </c>
      <c r="K409" s="2" t="str">
        <f>IFERROR(__xludf.DUMMYFUNCTION("""COMPUTED_VALUE"""),"ਡੇਅਰੀ")</f>
        <v>ਡੇਅਰੀ</v>
      </c>
      <c r="L409" s="2" t="str">
        <f>IFERROR(__xludf.DUMMYFUNCTION("""COMPUTED_VALUE"""),"பால்")</f>
        <v>பால்</v>
      </c>
      <c r="M409" s="2" t="str">
        <f>IFERROR(__xludf.DUMMYFUNCTION("""COMPUTED_VALUE"""),"పాల")</f>
        <v>పాల</v>
      </c>
    </row>
    <row r="410">
      <c r="A410" s="2" t="str">
        <f>Master_en!A410</f>
        <v>uploadBPLcard</v>
      </c>
      <c r="B410" s="2" t="str">
        <f>Master_en!B410</f>
        <v>Upload BPL card</v>
      </c>
      <c r="C410" s="2" t="str">
        <f>IFERROR(__xludf.DUMMYFUNCTION("""COMPUTED_VALUE"""),"বিপিএল কার্ড আপলোড করুন")</f>
        <v>বিপিএল কার্ড আপলোড করুন</v>
      </c>
      <c r="D410" s="2" t="str">
        <f>IFERROR(__xludf.DUMMYFUNCTION("""COMPUTED_VALUE"""),"बीपीएल कार्ड अपलोड करें")</f>
        <v>बीपीएल कार्ड अपलोड करें</v>
      </c>
      <c r="E410" s="2" t="str">
        <f>IFERROR(__xludf.DUMMYFUNCTION("""COMPUTED_VALUE"""),"ಬಿಪಿಎಲ್ ಕಾರ್ಡ್ ಅಪ್‌ಲೋಡ್ ಮಾಡಿ")</f>
        <v>ಬಿಪಿಎಲ್ ಕಾರ್ಡ್ ಅಪ್‌ಲೋಡ್ ಮಾಡಿ</v>
      </c>
      <c r="F410" s="2" t="str">
        <f>IFERROR(__xludf.DUMMYFUNCTION("""COMPUTED_VALUE"""),"BPL କାର୍ଡ ଅପଲୋଡ୍ କରନ୍ତୁ |")</f>
        <v>BPL କାର୍ଡ ଅପଲୋଡ୍ କରନ୍ତୁ |</v>
      </c>
      <c r="G410" s="2" t="str">
        <f>IFERROR(__xludf.DUMMYFUNCTION("""COMPUTED_VALUE"""),"বিপিএল কাৰ্ড আপলোড কৰক")</f>
        <v>বিপিএল কাৰ্ড আপলোড কৰক</v>
      </c>
      <c r="H410" s="2" t="str">
        <f>IFERROR(__xludf.DUMMYFUNCTION("""COMPUTED_VALUE"""),"બીપીએલ કાર્ડ અપલોડ કરો")</f>
        <v>બીપીએલ કાર્ડ અપલોડ કરો</v>
      </c>
      <c r="I410" s="2" t="str">
        <f>IFERROR(__xludf.DUMMYFUNCTION("""COMPUTED_VALUE"""),"बीपीएल कार्ड अपलोड करा")</f>
        <v>बीपीएल कार्ड अपलोड करा</v>
      </c>
      <c r="J410" s="2" t="str">
        <f>IFERROR(__xludf.DUMMYFUNCTION("""COMPUTED_VALUE"""),"ബിപിഎൽ കാർഡ് അപ്ലോഡുചെയ്യുക")</f>
        <v>ബിപിഎൽ കാർഡ് അപ്ലോഡുചെയ്യുക</v>
      </c>
      <c r="K410" s="2" t="str">
        <f>IFERROR(__xludf.DUMMYFUNCTION("""COMPUTED_VALUE"""),"ਬੀਪੀਐਲ ਕਾਰਡ ਅਪਲੋਡ ਕਰੋ")</f>
        <v>ਬੀਪੀਐਲ ਕਾਰਡ ਅਪਲੋਡ ਕਰੋ</v>
      </c>
      <c r="L410" s="2" t="str">
        <f>IFERROR(__xludf.DUMMYFUNCTION("""COMPUTED_VALUE"""),"பிபிஎல் கார்டைப் பதிவேற்றவும்")</f>
        <v>பிபிஎல் கார்டைப் பதிவேற்றவும்</v>
      </c>
      <c r="M410" s="2" t="str">
        <f>IFERROR(__xludf.DUMMYFUNCTION("""COMPUTED_VALUE"""),"పాల ఉత్పత్తి కేంద్రం")</f>
        <v>పాల ఉత్పత్తి కేంద్రం</v>
      </c>
    </row>
    <row r="411">
      <c r="A411" s="2" t="str">
        <f>Master_en!A411</f>
        <v>uploaddrivinglicence</v>
      </c>
      <c r="B411" s="2" t="str">
        <f>Master_en!B411</f>
        <v>Upload Driving Licence</v>
      </c>
      <c r="C411" s="2" t="str">
        <f>IFERROR(__xludf.DUMMYFUNCTION("""COMPUTED_VALUE"""),"ড্রাইভিং লাইসেন্স আপলোড করুন")</f>
        <v>ড্রাইভিং লাইসেন্স আপলোড করুন</v>
      </c>
      <c r="D411" s="2" t="str">
        <f>IFERROR(__xludf.DUMMYFUNCTION("""COMPUTED_VALUE"""),"ड्राइविंग लाइसेंस अपलोड करें")</f>
        <v>ड्राइविंग लाइसेंस अपलोड करें</v>
      </c>
      <c r="E411" s="2" t="str">
        <f>IFERROR(__xludf.DUMMYFUNCTION("""COMPUTED_VALUE"""),"ಚಾಲನಾ ಪರವಾನಗಿ ಅಪ್‌ಲೋಡ್ ಮಾಡಿ")</f>
        <v>ಚಾಲನಾ ಪರವಾನಗಿ ಅಪ್‌ಲೋಡ್ ಮಾಡಿ</v>
      </c>
      <c r="F411" s="2" t="str">
        <f>IFERROR(__xludf.DUMMYFUNCTION("""COMPUTED_VALUE"""),"ଡ୍ରାଇଭିଂ ଲାଇସେନ୍ସ ଅପଲୋଡ୍ କରନ୍ତୁ |")</f>
        <v>ଡ୍ରାଇଭିଂ ଲାଇସେନ୍ସ ଅପଲୋଡ୍ କରନ୍ତୁ |</v>
      </c>
      <c r="G411" s="2" t="str">
        <f>IFERROR(__xludf.DUMMYFUNCTION("""COMPUTED_VALUE"""),"ড্ৰাইভিং লাইচেন্স আপলোড কৰক")</f>
        <v>ড্ৰাইভিং লাইচেন্স আপলোড কৰক</v>
      </c>
      <c r="H411" s="2" t="str">
        <f>IFERROR(__xludf.DUMMYFUNCTION("""COMPUTED_VALUE"""),"ડ્રાઇવિંગ લાઇસન્સ અપલોડ કરો")</f>
        <v>ડ્રાઇવિંગ લાઇસન્સ અપલોડ કરો</v>
      </c>
      <c r="I411" s="2" t="str">
        <f>IFERROR(__xludf.DUMMYFUNCTION("""COMPUTED_VALUE"""),"ड्रायव्हिंग परवाना अपलोड करा")</f>
        <v>ड्रायव्हिंग परवाना अपलोड करा</v>
      </c>
      <c r="J411" s="2" t="str">
        <f>IFERROR(__xludf.DUMMYFUNCTION("""COMPUTED_VALUE"""),"ഡ്രൈവിംഗ് ലൈസൻസ് അപ്ലോഡുചെയ്യുക")</f>
        <v>ഡ്രൈവിംഗ് ലൈസൻസ് അപ്ലോഡുചെയ്യുക</v>
      </c>
      <c r="K411" s="2" t="str">
        <f>IFERROR(__xludf.DUMMYFUNCTION("""COMPUTED_VALUE"""),"ਡਰਾਈਵਿੰਗ ਲਾਇਸੈਂਸ ਅਪਲੋਡ ਕਰੋ")</f>
        <v>ਡਰਾਈਵਿੰਗ ਲਾਇਸੈਂਸ ਅਪਲੋਡ ਕਰੋ</v>
      </c>
      <c r="L411" s="2" t="str">
        <f>IFERROR(__xludf.DUMMYFUNCTION("""COMPUTED_VALUE"""),"ஓட்டுநர் உரிமத்தை பதிவேற்றவும்")</f>
        <v>ஓட்டுநர் உரிமத்தை பதிவேற்றவும்</v>
      </c>
      <c r="M411" s="2" t="str">
        <f>IFERROR(__xludf.DUMMYFUNCTION("""COMPUTED_VALUE"""),"డ్రైవింగ్ లైసెన్స్‌ను అప్‌లోడ్ చేయండి")</f>
        <v>డ్రైవింగ్ లైసెన్స్‌ను అప్‌లోడ్ చేయండి</v>
      </c>
    </row>
    <row r="412">
      <c r="A412" s="2" t="str">
        <f>Master_en!A412</f>
        <v>shopno</v>
      </c>
      <c r="B412" s="2" t="str">
        <f>Master_en!B412</f>
        <v>Shop no</v>
      </c>
      <c r="C412" s="2" t="str">
        <f>IFERROR(__xludf.DUMMYFUNCTION("""COMPUTED_VALUE"""),"শপ নং")</f>
        <v>শপ নং</v>
      </c>
      <c r="D412" s="2" t="str">
        <f>IFERROR(__xludf.DUMMYFUNCTION("""COMPUTED_VALUE"""),"दुकान नहीं")</f>
        <v>दुकान नहीं</v>
      </c>
      <c r="E412" s="2" t="str">
        <f>IFERROR(__xludf.DUMMYFUNCTION("""COMPUTED_VALUE"""),"ಶಾಪಿಂಗ್ ಇಲ್ಲ")</f>
        <v>ಶಾಪಿಂಗ್ ಇಲ್ಲ</v>
      </c>
      <c r="F412" s="2" t="str">
        <f>IFERROR(__xludf.DUMMYFUNCTION("""COMPUTED_VALUE"""),"ଦୋକାନ ନଂ")</f>
        <v>ଦୋକାନ ନଂ</v>
      </c>
      <c r="G412" s="2" t="str">
        <f>IFERROR(__xludf.DUMMYFUNCTION("""COMPUTED_VALUE"""),"দোকান নং")</f>
        <v>দোকান নং</v>
      </c>
      <c r="H412" s="2" t="str">
        <f>IFERROR(__xludf.DUMMYFUNCTION("""COMPUTED_VALUE"""),"દુકાન નંબર")</f>
        <v>દુકાન નંબર</v>
      </c>
      <c r="I412" s="2" t="str">
        <f>IFERROR(__xludf.DUMMYFUNCTION("""COMPUTED_VALUE"""),"खरेदी क्र")</f>
        <v>खरेदी क्र</v>
      </c>
      <c r="J412" s="2" t="str">
        <f>IFERROR(__xludf.DUMMYFUNCTION("""COMPUTED_VALUE"""),"ഷോപ്പ് നമ്പർ")</f>
        <v>ഷോപ്പ് നമ്പർ</v>
      </c>
      <c r="K412" s="2" t="str">
        <f>IFERROR(__xludf.DUMMYFUNCTION("""COMPUTED_VALUE"""),"ਦੁਕਾਨ ਨੰ")</f>
        <v>ਦੁਕਾਨ ਨੰ</v>
      </c>
      <c r="L412" s="2" t="str">
        <f>IFERROR(__xludf.DUMMYFUNCTION("""COMPUTED_VALUE"""),"கடை எண்")</f>
        <v>கடை எண்</v>
      </c>
      <c r="M412" s="2" t="str">
        <f>IFERROR(__xludf.DUMMYFUNCTION("""COMPUTED_VALUE"""),"షాప్ నం")</f>
        <v>షాప్ నం</v>
      </c>
    </row>
    <row r="413">
      <c r="A413" s="2" t="str">
        <f>Master_en!A413</f>
        <v>pleaseprovidealltherequiredvalue</v>
      </c>
      <c r="B413" s="2" t="str">
        <f>Master_en!B413</f>
        <v>Please provide all the required value</v>
      </c>
      <c r="C413" s="2" t="str">
        <f>IFERROR(__xludf.DUMMYFUNCTION("""COMPUTED_VALUE"""),"প্রয়োজনীয় সমস্ত মান সরবরাহ করুন")</f>
        <v>প্রয়োজনীয় সমস্ত মান সরবরাহ করুন</v>
      </c>
      <c r="D413" s="2" t="str">
        <f>IFERROR(__xludf.DUMMYFUNCTION("""COMPUTED_VALUE"""),"दुकान संख्या")</f>
        <v>दुकान संख्या</v>
      </c>
      <c r="E413" s="2" t="str">
        <f>IFERROR(__xludf.DUMMYFUNCTION("""COMPUTED_VALUE"""),"ದಯವಿಟ್ಟು ಅಗತ್ಯವಿರುವ ಎಲ್ಲಾ ಮೌಲ್ಯವನ್ನು ಒದಗಿಸಿ")</f>
        <v>ದಯವಿಟ್ಟು ಅಗತ್ಯವಿರುವ ಎಲ್ಲಾ ಮೌಲ್ಯವನ್ನು ಒದಗಿಸಿ</v>
      </c>
      <c r="F413" s="2" t="str">
        <f>IFERROR(__xludf.DUMMYFUNCTION("""COMPUTED_VALUE"""),"ଦୟାକରି ସମସ୍ତ ଆବଶ୍ୟକୀୟ ମୂଲ୍ୟ ପ୍ରଦାନ କରନ୍ତୁ |")</f>
        <v>ଦୟାକରି ସମସ୍ତ ଆବଶ୍ୟକୀୟ ମୂଲ୍ୟ ପ୍ରଦାନ କରନ୍ତୁ |</v>
      </c>
      <c r="G413" s="2" t="str">
        <f>IFERROR(__xludf.DUMMYFUNCTION("""COMPUTED_VALUE"""),"অনুগ্ৰহ কৰি সকলো প্ৰয়োজনীয় মূল্য প্ৰদান কৰক")</f>
        <v>অনুগ্ৰহ কৰি সকলো প্ৰয়োজনীয় মূল্য প্ৰদান কৰক</v>
      </c>
      <c r="H413" s="2" t="str">
        <f>IFERROR(__xludf.DUMMYFUNCTION("""COMPUTED_VALUE"""),"કૃપા કરીને બધા જરૂરી મૂલ્ય પ્રદાન કરો")</f>
        <v>કૃપા કરીને બધા જરૂરી મૂલ્ય પ્રદાન કરો</v>
      </c>
      <c r="I413" s="2" t="str">
        <f>IFERROR(__xludf.DUMMYFUNCTION("""COMPUTED_VALUE"""),"कृपया सर्व आवश्यक मूल्य प्रदान करा")</f>
        <v>कृपया सर्व आवश्यक मूल्य प्रदान करा</v>
      </c>
      <c r="J413" s="2" t="str">
        <f>IFERROR(__xludf.DUMMYFUNCTION("""COMPUTED_VALUE"""),"ആവശ്യമായ എല്ലാ മൂല്യവും നൽകുക")</f>
        <v>ആവശ്യമായ എല്ലാ മൂല്യവും നൽകുക</v>
      </c>
      <c r="K413" s="2" t="str">
        <f>IFERROR(__xludf.DUMMYFUNCTION("""COMPUTED_VALUE"""),"ਕਿਰਪਾ ਕਰਕੇ ਲੋੜੀਂਦਾ ਮੁੱਲ ਪ੍ਰਦਾਨ ਕਰੋ")</f>
        <v>ਕਿਰਪਾ ਕਰਕੇ ਲੋੜੀਂਦਾ ਮੁੱਲ ਪ੍ਰਦਾਨ ਕਰੋ</v>
      </c>
      <c r="L413" s="2" t="str">
        <f>IFERROR(__xludf.DUMMYFUNCTION("""COMPUTED_VALUE"""),"தேவையான அனைத்து மதிப்பையும் வழங்கவும்")</f>
        <v>தேவையான அனைத்து மதிப்பையும் வழங்கவும்</v>
      </c>
      <c r="M413" s="2" t="str">
        <f>IFERROR(__xludf.DUMMYFUNCTION("""COMPUTED_VALUE"""),"దయచేసి అవసరమైన అన్ని విలువలను అందించండి")</f>
        <v>దయచేసి అవసరమైన అన్ని విలువలను అందించండి</v>
      </c>
    </row>
    <row r="414">
      <c r="A414" s="2" t="str">
        <f>Master_en!A414</f>
        <v>unpublish</v>
      </c>
      <c r="B414" s="2" t="str">
        <f>Master_en!B414</f>
        <v>Unpublish</v>
      </c>
      <c r="C414" s="2" t="str">
        <f>IFERROR(__xludf.DUMMYFUNCTION("""COMPUTED_VALUE"""),"অপ্রকাশিত")</f>
        <v>অপ্রকাশিত</v>
      </c>
      <c r="D414" s="2" t="str">
        <f>IFERROR(__xludf.DUMMYFUNCTION("""COMPUTED_VALUE"""),"अनियंत्रित करना")</f>
        <v>अनियंत्रित करना</v>
      </c>
      <c r="E414" s="2" t="str">
        <f>IFERROR(__xludf.DUMMYFUNCTION("""COMPUTED_VALUE"""),"ಪ್ರಕಟಿಸು")</f>
        <v>ಪ್ರಕಟಿಸು</v>
      </c>
      <c r="F414" s="2" t="str">
        <f>IFERROR(__xludf.DUMMYFUNCTION("""COMPUTED_VALUE"""),"ଖୋଲିବା")</f>
        <v>ଖୋଲିବା</v>
      </c>
      <c r="G414" s="2" t="str">
        <f>IFERROR(__xludf.DUMMYFUNCTION("""COMPUTED_VALUE"""),"অপ্ৰকাশিত কৰক")</f>
        <v>অপ্ৰকাশিত কৰক</v>
      </c>
      <c r="H414" s="2" t="str">
        <f>IFERROR(__xludf.DUMMYFUNCTION("""COMPUTED_VALUE"""),"પ્રજ્વન કરવું")</f>
        <v>પ્રજ્વન કરવું</v>
      </c>
      <c r="I414" s="2" t="str">
        <f>IFERROR(__xludf.DUMMYFUNCTION("""COMPUTED_VALUE"""),"अप्रकाशित")</f>
        <v>अप्रकाशित</v>
      </c>
      <c r="J414" s="2" t="str">
        <f>IFERROR(__xludf.DUMMYFUNCTION("""COMPUTED_VALUE"""),"ഉന്നന്ധമുള്ള")</f>
        <v>ഉന്നന്ധമുള്ള</v>
      </c>
      <c r="K414" s="2" t="str">
        <f>IFERROR(__xludf.DUMMYFUNCTION("""COMPUTED_VALUE"""),"ਅਣਪਛਾਤਾ")</f>
        <v>ਅਣਪਛਾਤਾ</v>
      </c>
      <c r="L414" s="2" t="str">
        <f>IFERROR(__xludf.DUMMYFUNCTION("""COMPUTED_VALUE"""),"வெளியிட வேண்டாம்")</f>
        <v>வெளியிட வேண்டாம்</v>
      </c>
      <c r="M414" s="2" t="str">
        <f>IFERROR(__xludf.DUMMYFUNCTION("""COMPUTED_VALUE"""),"ప్రచురణ")</f>
        <v>ప్రచురణ</v>
      </c>
    </row>
    <row r="415">
      <c r="A415" s="2" t="str">
        <f>Master_en!A415</f>
        <v>publish</v>
      </c>
      <c r="B415" s="2" t="str">
        <f>Master_en!B415</f>
        <v>Publish</v>
      </c>
      <c r="C415" s="5" t="str">
        <f>IFERROR(__xludf.DUMMYFUNCTION("""COMPUTED_VALUE"""),"প্রকাশ")</f>
        <v>প্রকাশ</v>
      </c>
      <c r="D415" s="2" t="str">
        <f>IFERROR(__xludf.DUMMYFUNCTION("""COMPUTED_VALUE"""),"प्रकाशित करना")</f>
        <v>प्रकाशित करना</v>
      </c>
      <c r="E415" s="2" t="str">
        <f>IFERROR(__xludf.DUMMYFUNCTION("""COMPUTED_VALUE"""),"ಪ್ರಕಟಿಸು")</f>
        <v>ಪ್ರಕಟಿಸು</v>
      </c>
      <c r="F415" s="2" t="str">
        <f>IFERROR(__xludf.DUMMYFUNCTION("""COMPUTED_VALUE"""),"ପ୍ରକାଶନ କର |")</f>
        <v>ପ୍ରକାଶନ କର |</v>
      </c>
      <c r="G415" s="2" t="str">
        <f>IFERROR(__xludf.DUMMYFUNCTION("""COMPUTED_VALUE"""),"প্ৰকাশ কৰক")</f>
        <v>প্ৰকাশ কৰক</v>
      </c>
      <c r="H415" s="2" t="str">
        <f>IFERROR(__xludf.DUMMYFUNCTION("""COMPUTED_VALUE"""),"પ્રકાશિત કરવું")</f>
        <v>પ્રકાશિત કરવું</v>
      </c>
      <c r="I415" s="2" t="str">
        <f>IFERROR(__xludf.DUMMYFUNCTION("""COMPUTED_VALUE"""),"प्रकाशित")</f>
        <v>प्रकाशित</v>
      </c>
      <c r="J415" s="2" t="str">
        <f>IFERROR(__xludf.DUMMYFUNCTION("""COMPUTED_VALUE"""),"പസിദ്ധീകരിക്കുക")</f>
        <v>പസിദ്ധീകരിക്കുക</v>
      </c>
      <c r="K415" s="2" t="str">
        <f>IFERROR(__xludf.DUMMYFUNCTION("""COMPUTED_VALUE"""),"ਪ੍ਰਕਾਸ਼ਤ")</f>
        <v>ਪ੍ਰਕਾਸ਼ਤ</v>
      </c>
      <c r="L415" s="2" t="str">
        <f>IFERROR(__xludf.DUMMYFUNCTION("""COMPUTED_VALUE"""),"வெளியிடுங்கள்")</f>
        <v>வெளியிடுங்கள்</v>
      </c>
      <c r="M415" s="2" t="str">
        <f>IFERROR(__xludf.DUMMYFUNCTION("""COMPUTED_VALUE"""),"ప్రచురించండి")</f>
        <v>ప్రచురించండి</v>
      </c>
    </row>
    <row r="416">
      <c r="A416" s="2" t="str">
        <f>Master_en!A416</f>
        <v>orders</v>
      </c>
      <c r="B416" s="2" t="str">
        <f>Master_en!B416</f>
        <v>Orders</v>
      </c>
      <c r="C416" s="2" t="str">
        <f>IFERROR(__xludf.DUMMYFUNCTION("""COMPUTED_VALUE"""),"অর্ডার")</f>
        <v>অর্ডার</v>
      </c>
      <c r="D416" s="2" t="str">
        <f>IFERROR(__xludf.DUMMYFUNCTION("""COMPUTED_VALUE"""),"आदेश")</f>
        <v>आदेश</v>
      </c>
      <c r="E416" s="2" t="str">
        <f>IFERROR(__xludf.DUMMYFUNCTION("""COMPUTED_VALUE"""),"ಆಜ್ಞಾ")</f>
        <v>ಆಜ್ಞಾ</v>
      </c>
      <c r="F416" s="2" t="str">
        <f>IFERROR(__xludf.DUMMYFUNCTION("""COMPUTED_VALUE"""),"ଆଦେଶ")</f>
        <v>ଆଦେଶ</v>
      </c>
      <c r="G416" s="2" t="str">
        <f>IFERROR(__xludf.DUMMYFUNCTION("""COMPUTED_VALUE"""),"অৰ্ডাৰ")</f>
        <v>অৰ্ডাৰ</v>
      </c>
      <c r="H416" s="2" t="str">
        <f>IFERROR(__xludf.DUMMYFUNCTION("""COMPUTED_VALUE"""),"આદેશો")</f>
        <v>આદેશો</v>
      </c>
      <c r="I416" s="2" t="str">
        <f>IFERROR(__xludf.DUMMYFUNCTION("""COMPUTED_VALUE"""),"आदेश")</f>
        <v>आदेश</v>
      </c>
      <c r="J416" s="2" t="str">
        <f>IFERROR(__xludf.DUMMYFUNCTION("""COMPUTED_VALUE"""),"ഓർഡറുകൾ")</f>
        <v>ഓർഡറുകൾ</v>
      </c>
      <c r="K416" s="2" t="str">
        <f>IFERROR(__xludf.DUMMYFUNCTION("""COMPUTED_VALUE"""),"ਆਦੇਸ਼")</f>
        <v>ਆਦੇਸ਼</v>
      </c>
      <c r="L416" s="2" t="str">
        <f>IFERROR(__xludf.DUMMYFUNCTION("""COMPUTED_VALUE"""),"ஆர்டர்கள்")</f>
        <v>ஆர்டர்கள்</v>
      </c>
      <c r="M416" s="2" t="str">
        <f>IFERROR(__xludf.DUMMYFUNCTION("""COMPUTED_VALUE"""),"ఆదేశాలు")</f>
        <v>ఆదేశాలు</v>
      </c>
    </row>
    <row r="417">
      <c r="A417" s="2" t="str">
        <f>Master_en!A417</f>
        <v>others</v>
      </c>
      <c r="B417" s="2" t="str">
        <f>Master_en!B417</f>
        <v>Others</v>
      </c>
      <c r="C417" s="2" t="str">
        <f>IFERROR(__xludf.DUMMYFUNCTION("""COMPUTED_VALUE"""),"অন্যান্য")</f>
        <v>অন্যান্য</v>
      </c>
      <c r="D417" s="2" t="str">
        <f>IFERROR(__xludf.DUMMYFUNCTION("""COMPUTED_VALUE"""),"अन्य")</f>
        <v>अन्य</v>
      </c>
      <c r="E417" s="2" t="str">
        <f>IFERROR(__xludf.DUMMYFUNCTION("""COMPUTED_VALUE"""),"ಇತರರು")</f>
        <v>ಇತರರು</v>
      </c>
      <c r="F417" s="2" t="str">
        <f>IFERROR(__xludf.DUMMYFUNCTION("""COMPUTED_VALUE"""),"ଅନ୍ୟମାନେ")</f>
        <v>ଅନ୍ୟମାନେ</v>
      </c>
      <c r="G417" s="2" t="str">
        <f>IFERROR(__xludf.DUMMYFUNCTION("""COMPUTED_VALUE"""),"আন কিছুমান")</f>
        <v>আন কিছুমান</v>
      </c>
      <c r="H417" s="2" t="str">
        <f>IFERROR(__xludf.DUMMYFUNCTION("""COMPUTED_VALUE"""),"અન્ય")</f>
        <v>અન્ય</v>
      </c>
      <c r="I417" s="2" t="str">
        <f>IFERROR(__xludf.DUMMYFUNCTION("""COMPUTED_VALUE"""),"इतर")</f>
        <v>इतर</v>
      </c>
      <c r="J417" s="2" t="str">
        <f>IFERROR(__xludf.DUMMYFUNCTION("""COMPUTED_VALUE"""),"മറ്റുള്ളവ")</f>
        <v>മറ്റുള്ളവ</v>
      </c>
      <c r="K417" s="2" t="str">
        <f>IFERROR(__xludf.DUMMYFUNCTION("""COMPUTED_VALUE"""),"ਹੋਰ")</f>
        <v>ਹੋਰ</v>
      </c>
      <c r="L417" s="2" t="str">
        <f>IFERROR(__xludf.DUMMYFUNCTION("""COMPUTED_VALUE"""),"மற்றவைகள்")</f>
        <v>மற்றவைகள்</v>
      </c>
      <c r="M417" s="2" t="str">
        <f>IFERROR(__xludf.DUMMYFUNCTION("""COMPUTED_VALUE"""),"ఇతరులు")</f>
        <v>ఇతరులు</v>
      </c>
    </row>
    <row r="418">
      <c r="A418" s="2" t="str">
        <f>Master_en!A418</f>
        <v>bakery</v>
      </c>
      <c r="B418" s="2" t="str">
        <f>Master_en!B418</f>
        <v>Bakery</v>
      </c>
      <c r="C418" s="2" t="str">
        <f>IFERROR(__xludf.DUMMYFUNCTION("""COMPUTED_VALUE"""),"বেকারি")</f>
        <v>বেকারি</v>
      </c>
      <c r="D418" s="2" t="str">
        <f>IFERROR(__xludf.DUMMYFUNCTION("""COMPUTED_VALUE"""),"बेकरी")</f>
        <v>बेकरी</v>
      </c>
      <c r="E418" s="2" t="str">
        <f>IFERROR(__xludf.DUMMYFUNCTION("""COMPUTED_VALUE"""),"ಅಣಕ")</f>
        <v>ಅಣಕ</v>
      </c>
      <c r="F418" s="2" t="str">
        <f>IFERROR(__xludf.DUMMYFUNCTION("""COMPUTED_VALUE"""),"ବେକେରୀ")</f>
        <v>ବେକେରୀ</v>
      </c>
      <c r="G418" s="2" t="str">
        <f>IFERROR(__xludf.DUMMYFUNCTION("""COMPUTED_VALUE"""),"বেকাৰী")</f>
        <v>বেকাৰী</v>
      </c>
      <c r="H418" s="2" t="str">
        <f>IFERROR(__xludf.DUMMYFUNCTION("""COMPUTED_VALUE"""),"બેકરી")</f>
        <v>બેકરી</v>
      </c>
      <c r="I418" s="2" t="str">
        <f>IFERROR(__xludf.DUMMYFUNCTION("""COMPUTED_VALUE"""),"बेकरी")</f>
        <v>बेकरी</v>
      </c>
      <c r="J418" s="2" t="str">
        <f>IFERROR(__xludf.DUMMYFUNCTION("""COMPUTED_VALUE"""),"ബേക്കറി")</f>
        <v>ബേക്കറി</v>
      </c>
      <c r="K418" s="2" t="str">
        <f>IFERROR(__xludf.DUMMYFUNCTION("""COMPUTED_VALUE"""),"ਬੇਕਰੀ")</f>
        <v>ਬੇਕਰੀ</v>
      </c>
      <c r="L418" s="2" t="str">
        <f>IFERROR(__xludf.DUMMYFUNCTION("""COMPUTED_VALUE"""),"பேக்கரி")</f>
        <v>பேக்கரி</v>
      </c>
      <c r="M418" s="2" t="str">
        <f>IFERROR(__xludf.DUMMYFUNCTION("""COMPUTED_VALUE"""),"బేకరీ")</f>
        <v>బేకరీ</v>
      </c>
    </row>
    <row r="419">
      <c r="A419" s="2" t="str">
        <f>Master_en!A419</f>
        <v>flowers</v>
      </c>
      <c r="B419" s="2" t="str">
        <f>Master_en!B419</f>
        <v>Flowers</v>
      </c>
      <c r="C419" s="2" t="str">
        <f>IFERROR(__xludf.DUMMYFUNCTION("""COMPUTED_VALUE"""),"ফুল")</f>
        <v>ফুল</v>
      </c>
      <c r="D419" s="2" t="str">
        <f>IFERROR(__xludf.DUMMYFUNCTION("""COMPUTED_VALUE"""),"पुष्प")</f>
        <v>पुष्प</v>
      </c>
      <c r="E419" s="2" t="str">
        <f>IFERROR(__xludf.DUMMYFUNCTION("""COMPUTED_VALUE"""),"ಹೂವುಗಳು")</f>
        <v>ಹೂವುಗಳು</v>
      </c>
      <c r="F419" s="2" t="str">
        <f>IFERROR(__xludf.DUMMYFUNCTION("""COMPUTED_VALUE"""),"ଫୁଲ")</f>
        <v>ଫୁଲ</v>
      </c>
      <c r="G419" s="2" t="str">
        <f>IFERROR(__xludf.DUMMYFUNCTION("""COMPUTED_VALUE"""),"ফুল")</f>
        <v>ফুল</v>
      </c>
      <c r="H419" s="2" t="str">
        <f>IFERROR(__xludf.DUMMYFUNCTION("""COMPUTED_VALUE"""),"ફૂલો")</f>
        <v>ફૂલો</v>
      </c>
      <c r="I419" s="2" t="str">
        <f>IFERROR(__xludf.DUMMYFUNCTION("""COMPUTED_VALUE"""),"फुले")</f>
        <v>फुले</v>
      </c>
      <c r="J419" s="2" t="str">
        <f>IFERROR(__xludf.DUMMYFUNCTION("""COMPUTED_VALUE"""),"പൂക്കൾ")</f>
        <v>പൂക്കൾ</v>
      </c>
      <c r="K419" s="2" t="str">
        <f>IFERROR(__xludf.DUMMYFUNCTION("""COMPUTED_VALUE"""),"ਫੁੱਲ")</f>
        <v>ਫੁੱਲ</v>
      </c>
      <c r="L419" s="2" t="str">
        <f>IFERROR(__xludf.DUMMYFUNCTION("""COMPUTED_VALUE"""),"மலர்கள்")</f>
        <v>மலர்கள்</v>
      </c>
      <c r="M419" s="2" t="str">
        <f>IFERROR(__xludf.DUMMYFUNCTION("""COMPUTED_VALUE"""),"పువ్వులు")</f>
        <v>పువ్వులు</v>
      </c>
    </row>
    <row r="420">
      <c r="A420" s="2" t="str">
        <f>Master_en!A420</f>
        <v>appversion:</v>
      </c>
      <c r="B420" s="2" t="str">
        <f>Master_en!B420</f>
        <v>App Version:</v>
      </c>
      <c r="C420" s="2" t="str">
        <f>IFERROR(__xludf.DUMMYFUNCTION("""COMPUTED_VALUE"""),"অ্যাপ্লিকেশন সংস্করণ:")</f>
        <v>অ্যাপ্লিকেশন সংস্করণ:</v>
      </c>
      <c r="D420" s="2" t="str">
        <f>IFERROR(__xludf.DUMMYFUNCTION("""COMPUTED_VALUE"""),"एप्लिकेशन वेरीज़न:")</f>
        <v>एप्लिकेशन वेरीज़न:</v>
      </c>
      <c r="E420" s="2" t="str">
        <f>IFERROR(__xludf.DUMMYFUNCTION("""COMPUTED_VALUE"""),"ಅಪ್ಲಿಕೇಶನ್ ಆವೃತ್ತಿ:")</f>
        <v>ಅಪ್ಲಿಕೇಶನ್ ಆವೃತ್ತಿ:</v>
      </c>
      <c r="F420" s="2" t="str">
        <f>IFERROR(__xludf.DUMMYFUNCTION("""COMPUTED_VALUE"""),"ଆପ୍ ସଂସ୍କରଣ:")</f>
        <v>ଆପ୍ ସଂସ୍କରଣ:</v>
      </c>
      <c r="G420" s="2" t="str">
        <f>IFERROR(__xludf.DUMMYFUNCTION("""COMPUTED_VALUE"""),"এপ সংস্কৰণ:")</f>
        <v>এপ সংস্কৰণ:</v>
      </c>
      <c r="H420" s="2" t="str">
        <f>IFERROR(__xludf.DUMMYFUNCTION("""COMPUTED_VALUE"""),"એપ્લિકેશન સંસ્કરણ:")</f>
        <v>એપ્લિકેશન સંસ્કરણ:</v>
      </c>
      <c r="I420" s="2" t="str">
        <f>IFERROR(__xludf.DUMMYFUNCTION("""COMPUTED_VALUE"""),"अ‍ॅप आवृत्ती:")</f>
        <v>अ‍ॅप आवृत्ती:</v>
      </c>
      <c r="J420" s="2" t="str">
        <f>IFERROR(__xludf.DUMMYFUNCTION("""COMPUTED_VALUE"""),"അപ്ലിക്കേഷൻ പതിപ്പ്:")</f>
        <v>അപ്ലിക്കേഷൻ പതിപ്പ്:</v>
      </c>
      <c r="K420" s="2" t="str">
        <f>IFERROR(__xludf.DUMMYFUNCTION("""COMPUTED_VALUE"""),"ਐਪ ਸੰਸਕਰਣ:")</f>
        <v>ਐਪ ਸੰਸਕਰਣ:</v>
      </c>
      <c r="L420" s="2" t="str">
        <f>IFERROR(__xludf.DUMMYFUNCTION("""COMPUTED_VALUE"""),"பயன்பாட்டு பதிப்பு:")</f>
        <v>பயன்பாட்டு பதிப்பு:</v>
      </c>
      <c r="M420" s="2" t="str">
        <f>IFERROR(__xludf.DUMMYFUNCTION("""COMPUTED_VALUE"""),"అనువర్తన సంస్కరణ:")</f>
        <v>అనువర్తన సంస్కరణ:</v>
      </c>
    </row>
    <row r="421">
      <c r="A421" s="2" t="str">
        <f>Master_en!A421</f>
        <v>Deliveryat</v>
      </c>
      <c r="B421" s="2" t="str">
        <f>Master_en!B421</f>
        <v>Delivery at</v>
      </c>
      <c r="C421" s="2" t="str">
        <f>IFERROR(__xludf.DUMMYFUNCTION("""COMPUTED_VALUE"""),"ডেলিভারি এ")</f>
        <v>ডেলিভারি এ</v>
      </c>
      <c r="D421" s="2" t="str">
        <f>IFERROR(__xludf.DUMMYFUNCTION("""COMPUTED_VALUE"""),"एप्लिकेशन वरज़न:")</f>
        <v>एप्लिकेशन वरज़न:</v>
      </c>
      <c r="E421" s="2" t="str">
        <f>IFERROR(__xludf.DUMMYFUNCTION("""COMPUTED_VALUE"""),"ನಲ್ಲಿ ವಿತರಣೆ")</f>
        <v>ನಲ್ಲಿ ವಿತರಣೆ</v>
      </c>
      <c r="F421" s="2" t="str">
        <f>IFERROR(__xludf.DUMMYFUNCTION("""COMPUTED_VALUE"""),"ବିତରଣ")</f>
        <v>ବିତରଣ</v>
      </c>
      <c r="G421" s="2" t="str">
        <f>IFERROR(__xludf.DUMMYFUNCTION("""COMPUTED_VALUE"""),"ডেলিভাৰী এট")</f>
        <v>ডেলিভাৰী এট</v>
      </c>
      <c r="H421" s="2" t="str">
        <f>IFERROR(__xludf.DUMMYFUNCTION("""COMPUTED_VALUE"""),"માર્ગદર્શન")</f>
        <v>માર્ગદર્શન</v>
      </c>
      <c r="I421" s="2" t="str">
        <f>IFERROR(__xludf.DUMMYFUNCTION("""COMPUTED_VALUE"""),"येथे वितरण")</f>
        <v>येथे वितरण</v>
      </c>
      <c r="J421" s="2" t="str">
        <f>IFERROR(__xludf.DUMMYFUNCTION("""COMPUTED_VALUE"""),"ഡെലിവറി")</f>
        <v>ഡെലിവറി</v>
      </c>
      <c r="K421" s="2" t="str">
        <f>IFERROR(__xludf.DUMMYFUNCTION("""COMPUTED_VALUE"""),"'ਤੇ ਡਿਲਿਵਰੀ")</f>
        <v>'ਤੇ ਡਿਲਿਵਰੀ</v>
      </c>
      <c r="L421" s="2" t="str">
        <f>IFERROR(__xludf.DUMMYFUNCTION("""COMPUTED_VALUE"""),"வழங்கல்")</f>
        <v>வழங்கல்</v>
      </c>
      <c r="M421" s="2" t="str">
        <f>IFERROR(__xludf.DUMMYFUNCTION("""COMPUTED_VALUE"""),"వద్ద డెలివరీ")</f>
        <v>వద్ద డెలివరీ</v>
      </c>
    </row>
    <row r="422">
      <c r="A422" s="2" t="str">
        <f>Master_en!A422</f>
        <v>capsules</v>
      </c>
      <c r="B422" s="2" t="str">
        <f>Master_en!B422</f>
        <v>Capsules</v>
      </c>
      <c r="C422" s="2" t="str">
        <f>IFERROR(__xludf.DUMMYFUNCTION("""COMPUTED_VALUE"""),"ক্যাপসুলস")</f>
        <v>ক্যাপসুলস</v>
      </c>
      <c r="D422" s="2" t="str">
        <f>IFERROR(__xludf.DUMMYFUNCTION("""COMPUTED_VALUE"""),"कैप्सूल")</f>
        <v>कैप्सूल</v>
      </c>
      <c r="E422" s="2" t="str">
        <f>IFERROR(__xludf.DUMMYFUNCTION("""COMPUTED_VALUE"""),"ಬಿಲ್ಲೆ")</f>
        <v>ಬಿಲ್ಲೆ</v>
      </c>
      <c r="F422" s="2" t="str">
        <f>IFERROR(__xludf.DUMMYFUNCTION("""COMPUTED_VALUE"""),"କ୍ୟାପସୁଲ |")</f>
        <v>କ୍ୟାପସୁଲ |</v>
      </c>
      <c r="G422" s="2" t="str">
        <f>IFERROR(__xludf.DUMMYFUNCTION("""COMPUTED_VALUE"""),"কেপচুল")</f>
        <v>কেপচুল</v>
      </c>
      <c r="H422" s="2" t="str">
        <f>IFERROR(__xludf.DUMMYFUNCTION("""COMPUTED_VALUE"""),"પેશસ")</f>
        <v>પેશસ</v>
      </c>
      <c r="I422" s="2" t="str">
        <f>IFERROR(__xludf.DUMMYFUNCTION("""COMPUTED_VALUE"""),"कॅप्सूल")</f>
        <v>कॅप्सूल</v>
      </c>
      <c r="J422" s="2" t="str">
        <f>IFERROR(__xludf.DUMMYFUNCTION("""COMPUTED_VALUE"""),"ഗുളികകൾ")</f>
        <v>ഗുളികകൾ</v>
      </c>
      <c r="K422" s="2" t="str">
        <f>IFERROR(__xludf.DUMMYFUNCTION("""COMPUTED_VALUE"""),"ਕੈਪਸੂਲ")</f>
        <v>ਕੈਪਸੂਲ</v>
      </c>
      <c r="L422" s="2" t="str">
        <f>IFERROR(__xludf.DUMMYFUNCTION("""COMPUTED_VALUE"""),"காப்ஸ்யூல்கள்")</f>
        <v>காப்ஸ்யூல்கள்</v>
      </c>
      <c r="M422" s="2" t="str">
        <f>IFERROR(__xludf.DUMMYFUNCTION("""COMPUTED_VALUE"""),"గుళికలు")</f>
        <v>గుళికలు</v>
      </c>
    </row>
    <row r="423">
      <c r="A423" s="2" t="str">
        <f>Master_en!A423</f>
        <v>invalidmanagerid</v>
      </c>
      <c r="B423" s="2" t="str">
        <f>Master_en!B423</f>
        <v>Invalid Manager id</v>
      </c>
      <c r="C423" s="2" t="str">
        <f>IFERROR(__xludf.DUMMYFUNCTION("""COMPUTED_VALUE"""),"অবৈধ পরিচালক আইডি")</f>
        <v>অবৈধ পরিচালক আইডি</v>
      </c>
      <c r="D423" s="2" t="str">
        <f>IFERROR(__xludf.DUMMYFUNCTION("""COMPUTED_VALUE"""),"अमान्य प्रबंधक आईडी")</f>
        <v>अमान्य प्रबंधक आईडी</v>
      </c>
      <c r="E423" s="2" t="str">
        <f>IFERROR(__xludf.DUMMYFUNCTION("""COMPUTED_VALUE"""),"ಅಮಾನ್ಯ ವ್ಯವಸ್ಥಾಪಕ ID")</f>
        <v>ಅಮಾನ್ಯ ವ್ಯವಸ್ಥಾಪಕ ID</v>
      </c>
      <c r="F423" s="2" t="str">
        <f>IFERROR(__xludf.DUMMYFUNCTION("""COMPUTED_VALUE"""),"ଅବ val ଧ ପରିଚାଳକ ID |")</f>
        <v>ଅବ val ଧ ପରିଚାଳକ ID |</v>
      </c>
      <c r="G423" s="2" t="str">
        <f>IFERROR(__xludf.DUMMYFUNCTION("""COMPUTED_VALUE"""),"অবৈধ ব্যৱস্থাপক id")</f>
        <v>অবৈধ ব্যৱস্থাপক id</v>
      </c>
      <c r="H423" s="2" t="str">
        <f>IFERROR(__xludf.DUMMYFUNCTION("""COMPUTED_VALUE"""),"અમાન્ય મેનેજર આઈ.ડી.")</f>
        <v>અમાન્ય મેનેજર આઈ.ડી.</v>
      </c>
      <c r="I423" s="2" t="str">
        <f>IFERROR(__xludf.DUMMYFUNCTION("""COMPUTED_VALUE"""),"अवैध व्यवस्थापक आयडी")</f>
        <v>अवैध व्यवस्थापक आयडी</v>
      </c>
      <c r="J423" s="2" t="str">
        <f>IFERROR(__xludf.DUMMYFUNCTION("""COMPUTED_VALUE"""),"അസാധുവായ മാനേജർ ഐഡി")</f>
        <v>അസാധുവായ മാനേജർ ഐഡി</v>
      </c>
      <c r="K423" s="2" t="str">
        <f>IFERROR(__xludf.DUMMYFUNCTION("""COMPUTED_VALUE"""),"ਗਲਤ ਮੈਨੇਜਰ ID")</f>
        <v>ਗਲਤ ਮੈਨੇਜਰ ID</v>
      </c>
      <c r="L423" s="2" t="str">
        <f>IFERROR(__xludf.DUMMYFUNCTION("""COMPUTED_VALUE"""),"தவறான மேலாளர் ஐடி")</f>
        <v>தவறான மேலாளர் ஐடி</v>
      </c>
      <c r="M423" s="2" t="str">
        <f>IFERROR(__xludf.DUMMYFUNCTION("""COMPUTED_VALUE"""),"చెల్లని మేనేజర్ ఐడి")</f>
        <v>చెల్లని మేనేజర్ ఐడి</v>
      </c>
    </row>
    <row r="424">
      <c r="A424" s="2" t="str">
        <f>Master_en!A424</f>
        <v>invalidmobilenumber</v>
      </c>
      <c r="B424" s="2" t="str">
        <f>Master_en!B424</f>
        <v>Invalid Mobile Number</v>
      </c>
      <c r="C424" s="2" t="str">
        <f>IFERROR(__xludf.DUMMYFUNCTION("""COMPUTED_VALUE"""),"অকার্যকর মোবাইল নম্বর")</f>
        <v>অকার্যকর মোবাইল নম্বর</v>
      </c>
      <c r="D424" s="2" t="str">
        <f>IFERROR(__xludf.DUMMYFUNCTION("""COMPUTED_VALUE"""),"अमान्य मोबाइल नंबर")</f>
        <v>अमान्य मोबाइल नंबर</v>
      </c>
      <c r="E424" s="2" t="str">
        <f>IFERROR(__xludf.DUMMYFUNCTION("""COMPUTED_VALUE"""),"ಅಮಾನ್ಯ ಮೊಬೈಲ್ ಸಂಖ್ಯೆ")</f>
        <v>ಅಮಾನ್ಯ ಮೊಬೈಲ್ ಸಂಖ್ಯೆ</v>
      </c>
      <c r="F424" s="2" t="str">
        <f>IFERROR(__xludf.DUMMYFUNCTION("""COMPUTED_VALUE"""),"ଅବ val ଧ ମୋବାଇଲ୍ ନମ୍ବର |")</f>
        <v>ଅବ val ଧ ମୋବାଇଲ୍ ନମ୍ବର |</v>
      </c>
      <c r="G424" s="2" t="str">
        <f>IFERROR(__xludf.DUMMYFUNCTION("""COMPUTED_VALUE"""),"অবৈধ মোবাইল নম্বৰ")</f>
        <v>অবৈধ মোবাইল নম্বৰ</v>
      </c>
      <c r="H424" s="2" t="str">
        <f>IFERROR(__xludf.DUMMYFUNCTION("""COMPUTED_VALUE"""),"અમાન્ય મોબાઇલ નંબર")</f>
        <v>અમાન્ય મોબાઇલ નંબર</v>
      </c>
      <c r="I424" s="2" t="str">
        <f>IFERROR(__xludf.DUMMYFUNCTION("""COMPUTED_VALUE"""),"अवैध मोबाइल नंबर")</f>
        <v>अवैध मोबाइल नंबर</v>
      </c>
      <c r="J424" s="2" t="str">
        <f>IFERROR(__xludf.DUMMYFUNCTION("""COMPUTED_VALUE"""),"അസാധുവായ മൊബൈൽ നമ്പർ")</f>
        <v>അസാധുവായ മൊബൈൽ നമ്പർ</v>
      </c>
      <c r="K424" s="2" t="str">
        <f>IFERROR(__xludf.DUMMYFUNCTION("""COMPUTED_VALUE"""),"ਗਲਤ ਮੋਬਾਈਲ ਨੰਬਰ")</f>
        <v>ਗਲਤ ਮੋਬਾਈਲ ਨੰਬਰ</v>
      </c>
      <c r="L424" s="2" t="str">
        <f>IFERROR(__xludf.DUMMYFUNCTION("""COMPUTED_VALUE"""),"தவறான மொபைல் எண்")</f>
        <v>தவறான மொபைல் எண்</v>
      </c>
      <c r="M424" s="2" t="str">
        <f>IFERROR(__xludf.DUMMYFUNCTION("""COMPUTED_VALUE"""),"చెల్లని మొబైల్ నంబర్")</f>
        <v>చెల్లని మొబైల్ నంబర్</v>
      </c>
    </row>
    <row r="425">
      <c r="A425" s="2" t="str">
        <f>Master_en!A425</f>
        <v>update</v>
      </c>
      <c r="B425" s="2" t="str">
        <f>Master_en!B425</f>
        <v>Update</v>
      </c>
      <c r="C425" s="2" t="str">
        <f>IFERROR(__xludf.DUMMYFUNCTION("""COMPUTED_VALUE"""),"হালনাগাদ")</f>
        <v>হালনাগাদ</v>
      </c>
      <c r="D425" s="2" t="str">
        <f>IFERROR(__xludf.DUMMYFUNCTION("""COMPUTED_VALUE"""),"अद्यतन")</f>
        <v>अद्यतन</v>
      </c>
      <c r="E425" s="2" t="str">
        <f>IFERROR(__xludf.DUMMYFUNCTION("""COMPUTED_VALUE"""),"ನವೀಕರಿಸು")</f>
        <v>ನವೀಕರಿಸು</v>
      </c>
      <c r="F425" s="2" t="str">
        <f>IFERROR(__xludf.DUMMYFUNCTION("""COMPUTED_VALUE"""),"ଅଦ୍ୟତନ କରନ୍ତୁ |")</f>
        <v>ଅଦ୍ୟତନ କରନ୍ତୁ |</v>
      </c>
      <c r="G425" s="2" t="str">
        <f>IFERROR(__xludf.DUMMYFUNCTION("""COMPUTED_VALUE"""),"নবীকৰণ")</f>
        <v>নবীকৰণ</v>
      </c>
      <c r="H425" s="2" t="str">
        <f>IFERROR(__xludf.DUMMYFUNCTION("""COMPUTED_VALUE"""),"અપડેટ કરવું")</f>
        <v>અપડેટ કરવું</v>
      </c>
      <c r="I425" s="2" t="str">
        <f>IFERROR(__xludf.DUMMYFUNCTION("""COMPUTED_VALUE"""),"अद्यतन")</f>
        <v>अद्यतन</v>
      </c>
      <c r="J425" s="2" t="str">
        <f>IFERROR(__xludf.DUMMYFUNCTION("""COMPUTED_VALUE"""),"അപ്ഡേറ്റ് ചെയ്യുക")</f>
        <v>അപ്ഡേറ്റ് ചെയ്യുക</v>
      </c>
      <c r="K425" s="2" t="str">
        <f>IFERROR(__xludf.DUMMYFUNCTION("""COMPUTED_VALUE"""),"ਅਪਡੇਟ")</f>
        <v>ਅਪਡੇਟ</v>
      </c>
      <c r="L425" s="2" t="str">
        <f>IFERROR(__xludf.DUMMYFUNCTION("""COMPUTED_VALUE"""),"புதுப்பிப்பு")</f>
        <v>புதுப்பிப்பு</v>
      </c>
      <c r="M425" s="2" t="str">
        <f>IFERROR(__xludf.DUMMYFUNCTION("""COMPUTED_VALUE"""),"నవీకరణ")</f>
        <v>నవీకరణ</v>
      </c>
    </row>
    <row r="426">
      <c r="A426" s="2" t="str">
        <f>Master_en!A426</f>
        <v>product</v>
      </c>
      <c r="B426" s="2" t="str">
        <f>Master_en!B426</f>
        <v>Product</v>
      </c>
      <c r="C426" s="2" t="str">
        <f>IFERROR(__xludf.DUMMYFUNCTION("""COMPUTED_VALUE"""),"পণ্য")</f>
        <v>পণ্য</v>
      </c>
      <c r="D426" s="2" t="str">
        <f>IFERROR(__xludf.DUMMYFUNCTION("""COMPUTED_VALUE"""),"उत्पाद")</f>
        <v>उत्पाद</v>
      </c>
      <c r="E426" s="2" t="str">
        <f>IFERROR(__xludf.DUMMYFUNCTION("""COMPUTED_VALUE"""),"ಉತ್ಪನ್ನ")</f>
        <v>ಉತ್ಪನ್ನ</v>
      </c>
      <c r="F426" s="2" t="str">
        <f>IFERROR(__xludf.DUMMYFUNCTION("""COMPUTED_VALUE"""),"ଉତ୍ପାଦ")</f>
        <v>ଉତ୍ପାଦ</v>
      </c>
      <c r="G426" s="2" t="str">
        <f>IFERROR(__xludf.DUMMYFUNCTION("""COMPUTED_VALUE"""),"সামগ্ৰী")</f>
        <v>সামগ্ৰী</v>
      </c>
      <c r="H426" s="2" t="str">
        <f>IFERROR(__xludf.DUMMYFUNCTION("""COMPUTED_VALUE"""),"ઉત્પાદન")</f>
        <v>ઉત્પાદન</v>
      </c>
      <c r="I426" s="2" t="str">
        <f>IFERROR(__xludf.DUMMYFUNCTION("""COMPUTED_VALUE"""),"अपडेट")</f>
        <v>अपडेट</v>
      </c>
      <c r="J426" s="2" t="str">
        <f>IFERROR(__xludf.DUMMYFUNCTION("""COMPUTED_VALUE"""),"ഉത്പന്നം")</f>
        <v>ഉത്പന്നം</v>
      </c>
      <c r="K426" s="2" t="str">
        <f>IFERROR(__xludf.DUMMYFUNCTION("""COMPUTED_VALUE"""),"ਉਤਪਾਦ")</f>
        <v>ਉਤਪਾਦ</v>
      </c>
      <c r="L426" s="2" t="str">
        <f>IFERROR(__xludf.DUMMYFUNCTION("""COMPUTED_VALUE"""),"பொருள்")</f>
        <v>பொருள்</v>
      </c>
      <c r="M426" s="2" t="str">
        <f>IFERROR(__xludf.DUMMYFUNCTION("""COMPUTED_VALUE"""),"ఉత్పత్తి")</f>
        <v>ఉత్పత్తి</v>
      </c>
    </row>
    <row r="427">
      <c r="A427" s="2" t="str">
        <f>Master_en!A427</f>
        <v>updateExisting</v>
      </c>
      <c r="B427" s="2" t="str">
        <f>Master_en!B427</f>
        <v>Update Existing</v>
      </c>
      <c r="C427" s="2" t="str">
        <f>IFERROR(__xludf.DUMMYFUNCTION("""COMPUTED_VALUE"""),"বিদ্যমান আপডেট")</f>
        <v>বিদ্যমান আপডেট</v>
      </c>
      <c r="D427" s="2" t="str">
        <f>IFERROR(__xludf.DUMMYFUNCTION("""COMPUTED_VALUE"""),"वर्तमान को अपडेट करें")</f>
        <v>वर्तमान को अपडेट करें</v>
      </c>
      <c r="E427" s="2" t="str">
        <f>IFERROR(__xludf.DUMMYFUNCTION("""COMPUTED_VALUE"""),"ಅಸ್ತಿತ್ವದಲ್ಲಿರುವ ನವೀಕರಿಸಿ")</f>
        <v>ಅಸ್ತಿತ್ವದಲ್ಲಿರುವ ನವೀಕರಿಸಿ</v>
      </c>
      <c r="F427" s="2" t="str">
        <f>IFERROR(__xludf.DUMMYFUNCTION("""COMPUTED_VALUE"""),"ବିଦ୍ୟମାନ ଅଦ୍ୟତନ କରନ୍ତୁ |")</f>
        <v>ବିଦ୍ୟମାନ ଅଦ୍ୟତନ କରନ୍ତୁ |</v>
      </c>
      <c r="G427" s="2" t="str">
        <f>IFERROR(__xludf.DUMMYFUNCTION("""COMPUTED_VALUE"""),"আপডেট বিদ্যমান")</f>
        <v>আপডেট বিদ্যমান</v>
      </c>
      <c r="H427" s="2" t="str">
        <f>IFERROR(__xludf.DUMMYFUNCTION("""COMPUTED_VALUE"""),"અસ્તિત્વમાં છે")</f>
        <v>અસ્તિત્વમાં છે</v>
      </c>
      <c r="I427" s="2" t="str">
        <f>IFERROR(__xludf.DUMMYFUNCTION("""COMPUTED_VALUE"""),"विद्यमान अद्यतनित करा")</f>
        <v>विद्यमान अद्यतनित करा</v>
      </c>
      <c r="J427" s="2" t="str">
        <f>IFERROR(__xludf.DUMMYFUNCTION("""COMPUTED_VALUE"""),"നിലവിലുള്ള അപ്ഡേറ്റ് ചെയ്യുക")</f>
        <v>നിലവിലുള്ള അപ്ഡേറ്റ് ചെയ്യുക</v>
      </c>
      <c r="K427" s="2" t="str">
        <f>IFERROR(__xludf.DUMMYFUNCTION("""COMPUTED_VALUE"""),"ਮੌਜੂਦਾ ਨੂੰ ਅਪਡੇਟ ਕਰੋ")</f>
        <v>ਮੌਜੂਦਾ ਨੂੰ ਅਪਡੇਟ ਕਰੋ</v>
      </c>
      <c r="L427" s="2" t="str">
        <f>IFERROR(__xludf.DUMMYFUNCTION("""COMPUTED_VALUE"""),"உள்ளதை புதுப்பிக்கவும்")</f>
        <v>உள்ளதை புதுப்பிக்கவும்</v>
      </c>
      <c r="M427" s="2" t="str">
        <f>IFERROR(__xludf.DUMMYFUNCTION("""COMPUTED_VALUE"""),"ఇప్పటికే ఉన్న నవీకరించండి")</f>
        <v>ఇప్పటికే ఉన్న నవీకరించండి</v>
      </c>
    </row>
    <row r="428">
      <c r="A428" s="2" t="str">
        <f>Master_en!A428</f>
        <v>continue</v>
      </c>
      <c r="B428" s="2" t="str">
        <f>Master_en!B428</f>
        <v>Continue</v>
      </c>
      <c r="C428" s="2" t="str">
        <f>IFERROR(__xludf.DUMMYFUNCTION("""COMPUTED_VALUE"""),"চালিয়ে যান")</f>
        <v>চালিয়ে যান</v>
      </c>
      <c r="D428" s="2" t="str">
        <f>IFERROR(__xludf.DUMMYFUNCTION("""COMPUTED_VALUE"""),"जारी रखना")</f>
        <v>जारी रखना</v>
      </c>
      <c r="E428" s="2" t="str">
        <f>IFERROR(__xludf.DUMMYFUNCTION("""COMPUTED_VALUE"""),"ಮುಂದುವರಿಸು")</f>
        <v>ಮುಂದುವರಿಸು</v>
      </c>
      <c r="F428" s="2" t="str">
        <f>IFERROR(__xludf.DUMMYFUNCTION("""COMPUTED_VALUE"""),"ଜାରି ରଖ |")</f>
        <v>ଜାରି ରଖ |</v>
      </c>
      <c r="G428" s="2" t="str">
        <f>IFERROR(__xludf.DUMMYFUNCTION("""COMPUTED_VALUE"""),"অব্যাহত ৰাখক")</f>
        <v>অব্যাহত ৰাখক</v>
      </c>
      <c r="H428" s="2" t="str">
        <f>IFERROR(__xludf.DUMMYFUNCTION("""COMPUTED_VALUE"""),"ચાલુ રાખવું")</f>
        <v>ચાલુ રાખવું</v>
      </c>
      <c r="I428" s="2" t="str">
        <f>IFERROR(__xludf.DUMMYFUNCTION("""COMPUTED_VALUE"""),"आधी असलेले अपडेट करा")</f>
        <v>आधी असलेले अपडेट करा</v>
      </c>
      <c r="J428" s="2" t="str">
        <f>IFERROR(__xludf.DUMMYFUNCTION("""COMPUTED_VALUE"""),"തുടരുക")</f>
        <v>തുടരുക</v>
      </c>
      <c r="K428" s="2" t="str">
        <f>IFERROR(__xludf.DUMMYFUNCTION("""COMPUTED_VALUE"""),"ਜਾਰੀ ਰੱਖੋ")</f>
        <v>ਜਾਰੀ ਰੱਖੋ</v>
      </c>
      <c r="L428" s="2" t="str">
        <f>IFERROR(__xludf.DUMMYFUNCTION("""COMPUTED_VALUE"""),"தொடரவும்")</f>
        <v>தொடரவும்</v>
      </c>
      <c r="M428" s="2" t="str">
        <f>IFERROR(__xludf.DUMMYFUNCTION("""COMPUTED_VALUE"""),"కొనసాగించండి")</f>
        <v>కొనసాగించండి</v>
      </c>
    </row>
    <row r="429">
      <c r="A429" s="2" t="str">
        <f>Master_en!A429</f>
        <v>showAll</v>
      </c>
      <c r="B429" s="2" t="str">
        <f>Master_en!B429</f>
        <v>Show all</v>
      </c>
      <c r="C429" s="2" t="str">
        <f>IFERROR(__xludf.DUMMYFUNCTION("""COMPUTED_VALUE"""),"সব দেখাও")</f>
        <v>সব দেখাও</v>
      </c>
      <c r="D429" s="2" t="str">
        <f>IFERROR(__xludf.DUMMYFUNCTION("""COMPUTED_VALUE"""),"सब दिखाएं")</f>
        <v>सब दिखाएं</v>
      </c>
      <c r="E429" s="2" t="str">
        <f>IFERROR(__xludf.DUMMYFUNCTION("""COMPUTED_VALUE"""),"ಎಲ್ಲ ತೋರಿಸು")</f>
        <v>ಎಲ್ಲ ತೋರಿಸು</v>
      </c>
      <c r="F429" s="2" t="str">
        <f>IFERROR(__xludf.DUMMYFUNCTION("""COMPUTED_VALUE"""),"ସମସ୍ତ ଦର୍ଶାନ୍ତୁ")</f>
        <v>ସମସ୍ତ ଦର୍ଶାନ୍ତୁ</v>
      </c>
      <c r="G429" s="2" t="str">
        <f>IFERROR(__xludf.DUMMYFUNCTION("""COMPUTED_VALUE"""),"সকলো দেখুৱাওক")</f>
        <v>সকলো দেখুৱাওক</v>
      </c>
      <c r="H429" s="2" t="str">
        <f>IFERROR(__xludf.DUMMYFUNCTION("""COMPUTED_VALUE"""),"બધું બતાવો")</f>
        <v>બધું બતાવો</v>
      </c>
      <c r="I429" s="2" t="str">
        <f>IFERROR(__xludf.DUMMYFUNCTION("""COMPUTED_VALUE"""),"पुढे जा")</f>
        <v>पुढे जा</v>
      </c>
      <c r="J429" s="2" t="str">
        <f>IFERROR(__xludf.DUMMYFUNCTION("""COMPUTED_VALUE"""),"എല്ലാം കാണിക്കൂ")</f>
        <v>എല്ലാം കാണിക്കൂ</v>
      </c>
      <c r="K429" s="2" t="str">
        <f>IFERROR(__xludf.DUMMYFUNCTION("""COMPUTED_VALUE"""),"ਸਾਰੇ ਦਿਖਾਓ")</f>
        <v>ਸਾਰੇ ਦਿਖਾਓ</v>
      </c>
      <c r="L429" s="2" t="str">
        <f>IFERROR(__xludf.DUMMYFUNCTION("""COMPUTED_VALUE"""),"அனைத்தையும் காட்டு")</f>
        <v>அனைத்தையும் காட்டு</v>
      </c>
      <c r="M429" s="2" t="str">
        <f>IFERROR(__xludf.DUMMYFUNCTION("""COMPUTED_VALUE"""),"అన్నీ చూపండి")</f>
        <v>అన్నీ చూపండి</v>
      </c>
    </row>
    <row r="430">
      <c r="A430" s="2" t="str">
        <f>Master_en!A430</f>
        <v>procurementmanager</v>
      </c>
      <c r="B430" s="2" t="str">
        <f>Master_en!B430</f>
        <v>Procurement Manager</v>
      </c>
      <c r="C430" s="2" t="str">
        <f>IFERROR(__xludf.DUMMYFUNCTION("""COMPUTED_VALUE"""),"প্রকিউরমেন্ট ম্যানেজার")</f>
        <v>প্রকিউরমেন্ট ম্যানেজার</v>
      </c>
      <c r="D430" s="2" t="str">
        <f>IFERROR(__xludf.DUMMYFUNCTION("""COMPUTED_VALUE"""),"खरीद प्रबंधक")</f>
        <v>खरीद प्रबंधक</v>
      </c>
      <c r="E430" s="2" t="str">
        <f>IFERROR(__xludf.DUMMYFUNCTION("""COMPUTED_VALUE"""),"ಖರೀದಿ ವ್ಯವಸ್ಥಾಪಕ")</f>
        <v>ಖರೀದಿ ವ್ಯವಸ್ಥಾಪಕ</v>
      </c>
      <c r="F430" s="2" t="str">
        <f>IFERROR(__xludf.DUMMYFUNCTION("""COMPUTED_VALUE"""),"ପ୍ରକାଶନ ପରିଚାଳକ")</f>
        <v>ପ୍ରକାଶନ ପରିଚାଳକ</v>
      </c>
      <c r="G430" s="2" t="str">
        <f>IFERROR(__xludf.DUMMYFUNCTION("""COMPUTED_VALUE"""),"ক্ৰয় পৰিচালক")</f>
        <v>ক্ৰয় পৰিচালক</v>
      </c>
      <c r="H430" s="2" t="str">
        <f>IFERROR(__xludf.DUMMYFUNCTION("""COMPUTED_VALUE"""),"પ્રાપ્તિ વ્યવસ્થાપક")</f>
        <v>પ્રાપ્તિ વ્યવસ્થાપક</v>
      </c>
      <c r="I430" s="2" t="str">
        <f>IFERROR(__xludf.DUMMYFUNCTION("""COMPUTED_VALUE"""),"संकलन व्यवस्थापक")</f>
        <v>संकलन व्यवस्थापक</v>
      </c>
      <c r="J430" s="2" t="str">
        <f>IFERROR(__xludf.DUMMYFUNCTION("""COMPUTED_VALUE"""),"സംഭരണം മാനേജർ")</f>
        <v>സംഭരണം മാനേജർ</v>
      </c>
      <c r="K430" s="2" t="str">
        <f>IFERROR(__xludf.DUMMYFUNCTION("""COMPUTED_VALUE"""),"ਖਰੀਦ ਪ੍ਰਬੰਧਕ")</f>
        <v>ਖਰੀਦ ਪ੍ਰਬੰਧਕ</v>
      </c>
      <c r="L430" s="2" t="str">
        <f>IFERROR(__xludf.DUMMYFUNCTION("""COMPUTED_VALUE"""),"கொள்முதல் மேலாளர்")</f>
        <v>கொள்முதல் மேலாளர்</v>
      </c>
      <c r="M430" s="2" t="str">
        <f>IFERROR(__xludf.DUMMYFUNCTION("""COMPUTED_VALUE"""),"ప్రొక్యూర్‌మెంట్ మేనేజర్")</f>
        <v>ప్రొక్యూర్‌మెంట్ మేనేజర్</v>
      </c>
    </row>
    <row r="431">
      <c r="A431" s="2" t="str">
        <f>Master_en!A431</f>
        <v>to</v>
      </c>
      <c r="B431" s="2" t="str">
        <f>Master_en!B431</f>
        <v>To</v>
      </c>
      <c r="C431" s="2" t="str">
        <f>IFERROR(__xludf.DUMMYFUNCTION("""COMPUTED_VALUE"""),"প্রতি")</f>
        <v>প্রতি</v>
      </c>
      <c r="D431" s="2" t="str">
        <f>IFERROR(__xludf.DUMMYFUNCTION("""COMPUTED_VALUE"""),"को")</f>
        <v>को</v>
      </c>
      <c r="E431" s="2" t="str">
        <f>IFERROR(__xludf.DUMMYFUNCTION("""COMPUTED_VALUE"""),"ಗಾಗಿ")</f>
        <v>ಗಾಗಿ</v>
      </c>
      <c r="F431" s="2" t="str">
        <f>IFERROR(__xludf.DUMMYFUNCTION("""COMPUTED_VALUE"""),"କୁ")</f>
        <v>କୁ</v>
      </c>
      <c r="G431" s="2" t="str">
        <f>IFERROR(__xludf.DUMMYFUNCTION("""COMPUTED_VALUE"""),"লৈ")</f>
        <v>লৈ</v>
      </c>
      <c r="H431" s="2" t="str">
        <f>IFERROR(__xludf.DUMMYFUNCTION("""COMPUTED_VALUE"""),"પ્રતિ")</f>
        <v>પ્રતિ</v>
      </c>
      <c r="I431" s="2" t="str">
        <f>IFERROR(__xludf.DUMMYFUNCTION("""COMPUTED_VALUE"""),"टू")</f>
        <v>टू</v>
      </c>
      <c r="J431" s="2" t="str">
        <f>IFERROR(__xludf.DUMMYFUNCTION("""COMPUTED_VALUE"""),"... ലേക്ക്")</f>
        <v>... ലേക്ക്</v>
      </c>
      <c r="K431" s="2" t="str">
        <f>IFERROR(__xludf.DUMMYFUNCTION("""COMPUTED_VALUE"""),"ਨੂੰ")</f>
        <v>ਨੂੰ</v>
      </c>
      <c r="L431" s="2" t="str">
        <f>IFERROR(__xludf.DUMMYFUNCTION("""COMPUTED_VALUE"""),"To")</f>
        <v>To</v>
      </c>
      <c r="M431" s="2" t="str">
        <f>IFERROR(__xludf.DUMMYFUNCTION("""COMPUTED_VALUE"""),"To")</f>
        <v>To</v>
      </c>
    </row>
    <row r="432">
      <c r="A432" s="2" t="str">
        <f>Master_en!A432</f>
        <v>inr</v>
      </c>
      <c r="B432" s="2" t="str">
        <f>Master_en!B432</f>
        <v>INR</v>
      </c>
      <c r="C432" s="2" t="str">
        <f>IFERROR(__xludf.DUMMYFUNCTION("""COMPUTED_VALUE"""),"Inr")</f>
        <v>Inr</v>
      </c>
      <c r="D432" s="2" t="str">
        <f>IFERROR(__xludf.DUMMYFUNCTION("""COMPUTED_VALUE"""),"इनर")</f>
        <v>इनर</v>
      </c>
      <c r="E432" s="2" t="str">
        <f>IFERROR(__xludf.DUMMYFUNCTION("""COMPUTED_VALUE"""),"ನಸು")</f>
        <v>ನಸು</v>
      </c>
      <c r="F432" s="2" t="str">
        <f>IFERROR(__xludf.DUMMYFUNCTION("""COMPUTED_VALUE"""),"ଇତ୍ୟାଦି")</f>
        <v>ଇତ୍ୟାଦି</v>
      </c>
      <c r="G432" s="2" t="str">
        <f>IFERROR(__xludf.DUMMYFUNCTION("""COMPUTED_VALUE"""),"আই এন আৰ")</f>
        <v>আই এন আৰ</v>
      </c>
      <c r="H432" s="2" t="str">
        <f>IFERROR(__xludf.DUMMYFUNCTION("""COMPUTED_VALUE"""),"આહલાદક")</f>
        <v>આહલાદક</v>
      </c>
      <c r="I432" s="2" t="str">
        <f>IFERROR(__xludf.DUMMYFUNCTION("""COMPUTED_VALUE"""),"INR")</f>
        <v>INR</v>
      </c>
      <c r="J432" s="2" t="str">
        <f>IFERROR(__xludf.DUMMYFUNCTION("""COMPUTED_VALUE"""),"INNR")</f>
        <v>INNR</v>
      </c>
      <c r="K432" s="2" t="str">
        <f>IFERROR(__xludf.DUMMYFUNCTION("""COMPUTED_VALUE"""),"Inr")</f>
        <v>Inr</v>
      </c>
      <c r="L432" s="2" t="str">
        <f>IFERROR(__xludf.DUMMYFUNCTION("""COMPUTED_VALUE"""),"Inr")</f>
        <v>Inr</v>
      </c>
      <c r="M432" s="2" t="str">
        <f>IFERROR(__xludf.DUMMYFUNCTION("""COMPUTED_VALUE"""),"Inr")</f>
        <v>Inr</v>
      </c>
    </row>
    <row r="433">
      <c r="A433" s="2" t="str">
        <f>Master_en!A433</f>
        <v>filter</v>
      </c>
      <c r="B433" s="2" t="str">
        <f>Master_en!B433</f>
        <v>Filter</v>
      </c>
      <c r="C433" s="2" t="str">
        <f>IFERROR(__xludf.DUMMYFUNCTION("""COMPUTED_VALUE"""),"ছাঁকনি")</f>
        <v>ছাঁকনি</v>
      </c>
      <c r="D433" s="2" t="str">
        <f>IFERROR(__xludf.DUMMYFUNCTION("""COMPUTED_VALUE"""),"फ़िल्टर")</f>
        <v>फ़िल्टर</v>
      </c>
      <c r="E433" s="2" t="str">
        <f>IFERROR(__xludf.DUMMYFUNCTION("""COMPUTED_VALUE"""),"ಫಿಲ್ಟರ್")</f>
        <v>ಫಿಲ್ಟರ್</v>
      </c>
      <c r="F433" s="2" t="str">
        <f>IFERROR(__xludf.DUMMYFUNCTION("""COMPUTED_VALUE"""),"ଫିଲ୍ଟର୍")</f>
        <v>ଫିଲ୍ଟର୍</v>
      </c>
      <c r="G433" s="2" t="str">
        <f>IFERROR(__xludf.DUMMYFUNCTION("""COMPUTED_VALUE"""),"ফিল্টাৰ কৰক")</f>
        <v>ফিল্টাৰ কৰক</v>
      </c>
      <c r="H433" s="2" t="str">
        <f>IFERROR(__xludf.DUMMYFUNCTION("""COMPUTED_VALUE"""),"ફિલ્ટર કરવું")</f>
        <v>ફિલ્ટર કરવું</v>
      </c>
      <c r="I433" s="2" t="str">
        <f>IFERROR(__xludf.DUMMYFUNCTION("""COMPUTED_VALUE"""),"फिल्टर")</f>
        <v>फिल्टर</v>
      </c>
      <c r="J433" s="2" t="str">
        <f>IFERROR(__xludf.DUMMYFUNCTION("""COMPUTED_VALUE"""),"അരിപ്പ")</f>
        <v>അരിപ്പ</v>
      </c>
      <c r="K433" s="2" t="str">
        <f>IFERROR(__xludf.DUMMYFUNCTION("""COMPUTED_VALUE"""),"ਫਿਲਟਰ")</f>
        <v>ਫਿਲਟਰ</v>
      </c>
      <c r="L433" s="2" t="str">
        <f>IFERROR(__xludf.DUMMYFUNCTION("""COMPUTED_VALUE"""),"பில்டர்")</f>
        <v>பில்டர்</v>
      </c>
      <c r="M433" s="2" t="str">
        <f>IFERROR(__xludf.DUMMYFUNCTION("""COMPUTED_VALUE"""),"ఫిల్టర్")</f>
        <v>ఫిల్టర్</v>
      </c>
    </row>
    <row r="434">
      <c r="A434" s="2" t="str">
        <f>Master_en!A434</f>
        <v>invalidrole</v>
      </c>
      <c r="B434" s="2" t="str">
        <f>Master_en!B434</f>
        <v>Invalid Role</v>
      </c>
      <c r="C434" s="2" t="str">
        <f>IFERROR(__xludf.DUMMYFUNCTION("""COMPUTED_VALUE"""),"অবৈধ ভূমিকা")</f>
        <v>অবৈধ ভূমিকা</v>
      </c>
      <c r="D434" s="2" t="str">
        <f>IFERROR(__xludf.DUMMYFUNCTION("""COMPUTED_VALUE"""),"अमान्य भूमिका")</f>
        <v>अमान्य भूमिका</v>
      </c>
      <c r="E434" s="2" t="str">
        <f>IFERROR(__xludf.DUMMYFUNCTION("""COMPUTED_VALUE"""),"ಅಮಾನ್ಯ ಪಾತ್ರ")</f>
        <v>ಅಮಾನ್ಯ ಪಾತ್ರ</v>
      </c>
      <c r="F434" s="2" t="str">
        <f>IFERROR(__xludf.DUMMYFUNCTION("""COMPUTED_VALUE"""),"ଅବ val ଧ ଭୂମିକା |")</f>
        <v>ଅବ val ଧ ଭୂମିକା |</v>
      </c>
      <c r="G434" s="2" t="str">
        <f>IFERROR(__xludf.DUMMYFUNCTION("""COMPUTED_VALUE"""),"অবৈধ ভূমিকা")</f>
        <v>অবৈধ ভূমিকা</v>
      </c>
      <c r="H434" s="2" t="str">
        <f>IFERROR(__xludf.DUMMYFUNCTION("""COMPUTED_VALUE"""),"અમાન્ય ભૂમિકા")</f>
        <v>અમાન્ય ભૂમિકા</v>
      </c>
      <c r="I434" s="2" t="str">
        <f>IFERROR(__xludf.DUMMYFUNCTION("""COMPUTED_VALUE"""),"अवैध भूमिका")</f>
        <v>अवैध भूमिका</v>
      </c>
      <c r="J434" s="2" t="str">
        <f>IFERROR(__xludf.DUMMYFUNCTION("""COMPUTED_VALUE"""),"അസാധുവായ വേഷം")</f>
        <v>അസാധുവായ വേഷം</v>
      </c>
      <c r="K434" s="2" t="str">
        <f>IFERROR(__xludf.DUMMYFUNCTION("""COMPUTED_VALUE"""),"ਗਲਤ ਭੂਮਿਕਾ")</f>
        <v>ਗਲਤ ਭੂਮਿਕਾ</v>
      </c>
      <c r="L434" s="2" t="str">
        <f>IFERROR(__xludf.DUMMYFUNCTION("""COMPUTED_VALUE"""),"தவறான ரோல்")</f>
        <v>தவறான ரோல்</v>
      </c>
      <c r="M434" s="2" t="str">
        <f>IFERROR(__xludf.DUMMYFUNCTION("""COMPUTED_VALUE"""),"చెల్లని పాత్ర")</f>
        <v>చెల్లని పాత్ర</v>
      </c>
    </row>
    <row r="435">
      <c r="A435" s="2" t="str">
        <f>Master_en!A435</f>
        <v>select</v>
      </c>
      <c r="B435" s="2" t="str">
        <f>Master_en!B435</f>
        <v>Select </v>
      </c>
      <c r="C435" s="2" t="str">
        <f>IFERROR(__xludf.DUMMYFUNCTION("""COMPUTED_VALUE"""),"নির্বাচন করুন")</f>
        <v>নির্বাচন করুন</v>
      </c>
      <c r="D435" s="2" t="str">
        <f>IFERROR(__xludf.DUMMYFUNCTION("""COMPUTED_VALUE"""),"चुनना")</f>
        <v>चुनना</v>
      </c>
      <c r="E435" s="2" t="str">
        <f>IFERROR(__xludf.DUMMYFUNCTION("""COMPUTED_VALUE"""),"ಆಯ್ಕೆ ಮಾಡಿ")</f>
        <v>ಆಯ್ಕೆ ಮಾಡಿ</v>
      </c>
      <c r="F435" s="2" t="str">
        <f>IFERROR(__xludf.DUMMYFUNCTION("""COMPUTED_VALUE"""),"ଚୟନ କରନ୍ତୁ |")</f>
        <v>ଚୟନ କରନ୍ତୁ |</v>
      </c>
      <c r="G435" s="2" t="str">
        <f>IFERROR(__xludf.DUMMYFUNCTION("""COMPUTED_VALUE"""),"চয়ন কৰা")</f>
        <v>চয়ন কৰা</v>
      </c>
      <c r="H435" s="2" t="str">
        <f>IFERROR(__xludf.DUMMYFUNCTION("""COMPUTED_VALUE"""),"પસંદ કરો")</f>
        <v>પસંદ કરો</v>
      </c>
      <c r="I435" s="2" t="str">
        <f>IFERROR(__xludf.DUMMYFUNCTION("""COMPUTED_VALUE"""),"निवडा")</f>
        <v>निवडा</v>
      </c>
      <c r="J435" s="2" t="str">
        <f>IFERROR(__xludf.DUMMYFUNCTION("""COMPUTED_VALUE"""),"തെരഞ്ഞെടുക്കുക")</f>
        <v>തെരഞ്ഞെടുക്കുക</v>
      </c>
      <c r="K435" s="2" t="str">
        <f>IFERROR(__xludf.DUMMYFUNCTION("""COMPUTED_VALUE"""),"ਚੁਣੋ")</f>
        <v>ਚੁਣੋ</v>
      </c>
      <c r="L435" s="2" t="str">
        <f>IFERROR(__xludf.DUMMYFUNCTION("""COMPUTED_VALUE"""),"தேர்ந்தெடுக்கவும்")</f>
        <v>தேர்ந்தெடுக்கவும்</v>
      </c>
      <c r="M435" s="2" t="str">
        <f>IFERROR(__xludf.DUMMYFUNCTION("""COMPUTED_VALUE"""),"ఎంచుకోండి")</f>
        <v>ఎంచుకోండి</v>
      </c>
    </row>
    <row r="436">
      <c r="A436" s="2" t="str">
        <f>Master_en!A436</f>
        <v>New</v>
      </c>
      <c r="B436" s="2" t="str">
        <f>Master_en!B436</f>
        <v>New</v>
      </c>
      <c r="C436" s="2" t="str">
        <f>IFERROR(__xludf.DUMMYFUNCTION("""COMPUTED_VALUE"""),"নতুন")</f>
        <v>নতুন</v>
      </c>
      <c r="D436" s="2" t="str">
        <f>IFERROR(__xludf.DUMMYFUNCTION("""COMPUTED_VALUE"""),"नया")</f>
        <v>नया</v>
      </c>
      <c r="E436" s="2" t="str">
        <f>IFERROR(__xludf.DUMMYFUNCTION("""COMPUTED_VALUE"""),"ಹೊಸದಾದ")</f>
        <v>ಹೊಸದಾದ</v>
      </c>
      <c r="F436" s="2" t="str">
        <f>IFERROR(__xludf.DUMMYFUNCTION("""COMPUTED_VALUE"""),"ନୂତନ")</f>
        <v>ନୂତନ</v>
      </c>
      <c r="G436" s="2" t="str">
        <f>IFERROR(__xludf.DUMMYFUNCTION("""COMPUTED_VALUE"""),"নতুন")</f>
        <v>নতুন</v>
      </c>
      <c r="H436" s="2" t="str">
        <f>IFERROR(__xludf.DUMMYFUNCTION("""COMPUTED_VALUE"""),"નવું")</f>
        <v>નવું</v>
      </c>
      <c r="I436" s="2" t="str">
        <f>IFERROR(__xludf.DUMMYFUNCTION("""COMPUTED_VALUE"""),"नवीन")</f>
        <v>नवीन</v>
      </c>
      <c r="J436" s="2" t="str">
        <f>IFERROR(__xludf.DUMMYFUNCTION("""COMPUTED_VALUE"""),"നവീനമായ")</f>
        <v>നവീനമായ</v>
      </c>
      <c r="K436" s="2" t="str">
        <f>IFERROR(__xludf.DUMMYFUNCTION("""COMPUTED_VALUE"""),"ਨਵਾਂ")</f>
        <v>ਨਵਾਂ</v>
      </c>
      <c r="L436" s="2" t="str">
        <f>IFERROR(__xludf.DUMMYFUNCTION("""COMPUTED_VALUE"""),"புதியது")</f>
        <v>புதியது</v>
      </c>
      <c r="M436" s="2" t="str">
        <f>IFERROR(__xludf.DUMMYFUNCTION("""COMPUTED_VALUE"""),"క్రొత్తది")</f>
        <v>క్రొత్తది</v>
      </c>
    </row>
    <row r="437">
      <c r="A437" s="2" t="str">
        <f>Master_en!A437</f>
        <v>accept </v>
      </c>
      <c r="B437" s="2" t="str">
        <f>Master_en!B437</f>
        <v>Accept </v>
      </c>
      <c r="C437" s="2" t="str">
        <f>IFERROR(__xludf.DUMMYFUNCTION("""COMPUTED_VALUE"""),"গ্রহণ")</f>
        <v>গ্রহণ</v>
      </c>
      <c r="D437" s="2" t="str">
        <f>IFERROR(__xludf.DUMMYFUNCTION("""COMPUTED_VALUE"""),"स्वीकार करना")</f>
        <v>स्वीकार करना</v>
      </c>
      <c r="E437" s="2" t="str">
        <f>IFERROR(__xludf.DUMMYFUNCTION("""COMPUTED_VALUE"""),"ಒಪ್ಪಿಕೊಳ್ಳಿ")</f>
        <v>ಒಪ್ಪಿಕೊಳ್ಳಿ</v>
      </c>
      <c r="F437" s="2" t="str">
        <f>IFERROR(__xludf.DUMMYFUNCTION("""COMPUTED_VALUE"""),"ଗ୍ରହଣ କର")</f>
        <v>ଗ୍ରହଣ କର</v>
      </c>
      <c r="G437" s="2" t="str">
        <f>IFERROR(__xludf.DUMMYFUNCTION("""COMPUTED_VALUE"""),"গ্ৰহণ কৰা")</f>
        <v>গ্ৰহণ কৰা</v>
      </c>
      <c r="H437" s="2" t="str">
        <f>IFERROR(__xludf.DUMMYFUNCTION("""COMPUTED_VALUE"""),"સ્વીકારવું")</f>
        <v>સ્વીકારવું</v>
      </c>
      <c r="I437" s="2" t="str">
        <f>IFERROR(__xludf.DUMMYFUNCTION("""COMPUTED_VALUE"""),"स्वीकारा")</f>
        <v>स्वीकारा</v>
      </c>
      <c r="J437" s="2" t="str">
        <f>IFERROR(__xludf.DUMMYFUNCTION("""COMPUTED_VALUE"""),"അംഗീകരിക്കുക")</f>
        <v>അംഗീകരിക്കുക</v>
      </c>
      <c r="K437" s="2" t="str">
        <f>IFERROR(__xludf.DUMMYFUNCTION("""COMPUTED_VALUE"""),"ਸਵੀਕਾਰ ਕਰੋ")</f>
        <v>ਸਵੀਕਾਰ ਕਰੋ</v>
      </c>
      <c r="L437" s="2" t="str">
        <f>IFERROR(__xludf.DUMMYFUNCTION("""COMPUTED_VALUE"""),"ஏற்றுக்கொள்")</f>
        <v>ஏற்றுக்கொள்</v>
      </c>
      <c r="M437" s="2" t="str">
        <f>IFERROR(__xludf.DUMMYFUNCTION("""COMPUTED_VALUE"""),"అంగీకరించండి")</f>
        <v>అంగీకరించండి</v>
      </c>
    </row>
    <row r="438">
      <c r="A438" s="2" t="str">
        <f>Master_en!A438</f>
        <v>Accepted </v>
      </c>
      <c r="B438" s="2" t="str">
        <f>Master_en!B438</f>
        <v>Accepted</v>
      </c>
      <c r="C438" s="2" t="str">
        <f>IFERROR(__xludf.DUMMYFUNCTION("""COMPUTED_VALUE"""),"গৃহীত")</f>
        <v>গৃহীত</v>
      </c>
      <c r="D438" s="2" t="str">
        <f>IFERROR(__xludf.DUMMYFUNCTION("""COMPUTED_VALUE"""),"को स्वीकृत")</f>
        <v>को स्वीकृत</v>
      </c>
      <c r="E438" s="2" t="str">
        <f>IFERROR(__xludf.DUMMYFUNCTION("""COMPUTED_VALUE"""),"ಅಂಗೀಕರಿಸಲ್ಪಟ್ಟ")</f>
        <v>ಅಂಗೀಕರಿಸಲ್ಪಟ್ಟ</v>
      </c>
      <c r="F438" s="2" t="str">
        <f>IFERROR(__xludf.DUMMYFUNCTION("""COMPUTED_VALUE"""),"ଗ୍ରହଣୀୟ")</f>
        <v>ଗ୍ରହଣୀୟ</v>
      </c>
      <c r="G438" s="2" t="str">
        <f>IFERROR(__xludf.DUMMYFUNCTION("""COMPUTED_VALUE"""),"গ্ৰহণ কৰা হৈছে")</f>
        <v>গ্ৰহণ কৰা হৈছে</v>
      </c>
      <c r="H438" s="2" t="str">
        <f>IFERROR(__xludf.DUMMYFUNCTION("""COMPUTED_VALUE"""),"સ્વીકૃત")</f>
        <v>સ્વીકૃત</v>
      </c>
      <c r="I438" s="2" t="str">
        <f>IFERROR(__xludf.DUMMYFUNCTION("""COMPUTED_VALUE"""),"स्वीकारले")</f>
        <v>स्वीकारले</v>
      </c>
      <c r="J438" s="2" t="str">
        <f>IFERROR(__xludf.DUMMYFUNCTION("""COMPUTED_VALUE"""),"അംഗീകരിച്ചു")</f>
        <v>അംഗീകരിച്ചു</v>
      </c>
      <c r="K438" s="2" t="str">
        <f>IFERROR(__xludf.DUMMYFUNCTION("""COMPUTED_VALUE"""),"ਸਵੀਕਾਰ ਕੀਤਾ")</f>
        <v>ਸਵੀਕਾਰ ਕੀਤਾ</v>
      </c>
      <c r="L438" s="2" t="str">
        <f>IFERROR(__xludf.DUMMYFUNCTION("""COMPUTED_VALUE"""),"ஏற்றுக்கொள்ளப்பட்டது")</f>
        <v>ஏற்றுக்கொள்ளப்பட்டது</v>
      </c>
      <c r="M438" s="2" t="str">
        <f>IFERROR(__xludf.DUMMYFUNCTION("""COMPUTED_VALUE"""),"ఆమోదించబడిన")</f>
        <v>ఆమోదించబడిన</v>
      </c>
    </row>
    <row r="439">
      <c r="A439" s="2" t="str">
        <f>Master_en!A439</f>
        <v>Dispatch</v>
      </c>
      <c r="B439" s="2" t="str">
        <f>Master_en!B439</f>
        <v>Dispatch</v>
      </c>
      <c r="C439" s="2" t="str">
        <f>IFERROR(__xludf.DUMMYFUNCTION("""COMPUTED_VALUE"""),"প্রেরণ")</f>
        <v>প্রেরণ</v>
      </c>
      <c r="D439" s="2" t="str">
        <f>IFERROR(__xludf.DUMMYFUNCTION("""COMPUTED_VALUE"""),"प्रेषण")</f>
        <v>प्रेषण</v>
      </c>
      <c r="E439" s="2" t="str">
        <f>IFERROR(__xludf.DUMMYFUNCTION("""COMPUTED_VALUE"""),"ರವಾನೆ")</f>
        <v>ರವಾನೆ</v>
      </c>
      <c r="F439" s="2" t="str">
        <f>IFERROR(__xludf.DUMMYFUNCTION("""COMPUTED_VALUE"""),"ପଠନ")</f>
        <v>ପଠନ</v>
      </c>
      <c r="G439" s="2" t="str">
        <f>IFERROR(__xludf.DUMMYFUNCTION("""COMPUTED_VALUE"""),"পঠিওৱা")</f>
        <v>পঠিওৱা</v>
      </c>
      <c r="H439" s="2" t="str">
        <f>IFERROR(__xludf.DUMMYFUNCTION("""COMPUTED_VALUE"""),"રવાનગી")</f>
        <v>રવાનગી</v>
      </c>
      <c r="I439" s="2" t="str">
        <f>IFERROR(__xludf.DUMMYFUNCTION("""COMPUTED_VALUE"""),"पाठवणे")</f>
        <v>पाठवणे</v>
      </c>
      <c r="J439" s="2" t="str">
        <f>IFERROR(__xludf.DUMMYFUNCTION("""COMPUTED_VALUE"""),"അയയ്ക്കുക")</f>
        <v>അയയ്ക്കുക</v>
      </c>
      <c r="K439" s="2" t="str">
        <f>IFERROR(__xludf.DUMMYFUNCTION("""COMPUTED_VALUE"""),"ਭੇਜਣ")</f>
        <v>ਭੇਜਣ</v>
      </c>
      <c r="L439" s="2" t="str">
        <f>IFERROR(__xludf.DUMMYFUNCTION("""COMPUTED_VALUE"""),"அனுப்பவும்")</f>
        <v>அனுப்பவும்</v>
      </c>
      <c r="M439" s="2" t="str">
        <f>IFERROR(__xludf.DUMMYFUNCTION("""COMPUTED_VALUE"""),"పంపండి")</f>
        <v>పంపండి</v>
      </c>
    </row>
    <row r="440">
      <c r="A440" s="2" t="str">
        <f>Master_en!A440</f>
        <v>Reject</v>
      </c>
      <c r="B440" s="2" t="str">
        <f>Master_en!B440</f>
        <v>Reject</v>
      </c>
      <c r="C440" s="2" t="str">
        <f>IFERROR(__xludf.DUMMYFUNCTION("""COMPUTED_VALUE"""),"প্রত্যাখ্যান")</f>
        <v>প্রত্যাখ্যান</v>
      </c>
      <c r="D440" s="2" t="str">
        <f>IFERROR(__xludf.DUMMYFUNCTION("""COMPUTED_VALUE"""),"अस्वीकार करना")</f>
        <v>अस्वीकार करना</v>
      </c>
      <c r="E440" s="2" t="str">
        <f>IFERROR(__xludf.DUMMYFUNCTION("""COMPUTED_VALUE"""),"ತಿರಸ್ಕಾರ")</f>
        <v>ತಿರಸ್ಕಾರ</v>
      </c>
      <c r="F440" s="2" t="str">
        <f>IFERROR(__xludf.DUMMYFUNCTION("""COMPUTED_VALUE"""),"ପ୍ରତ୍ୟାଖ୍ୟାନ କର |")</f>
        <v>ପ୍ରତ୍ୟାଖ୍ୟାନ କର |</v>
      </c>
      <c r="G440" s="2" t="str">
        <f>IFERROR(__xludf.DUMMYFUNCTION("""COMPUTED_VALUE"""),"প্ৰত্যাখ্যান")</f>
        <v>প্ৰত্যাখ্যান</v>
      </c>
      <c r="H440" s="2" t="str">
        <f>IFERROR(__xludf.DUMMYFUNCTION("""COMPUTED_VALUE"""),"અસ્વીકાર કરવો")</f>
        <v>અસ્વીકાર કરવો</v>
      </c>
      <c r="I440" s="2" t="str">
        <f>IFERROR(__xludf.DUMMYFUNCTION("""COMPUTED_VALUE"""),"नाकारणे")</f>
        <v>नाकारणे</v>
      </c>
      <c r="J440" s="2" t="str">
        <f>IFERROR(__xludf.DUMMYFUNCTION("""COMPUTED_VALUE"""),"തള്ളുക")</f>
        <v>തള്ളുക</v>
      </c>
      <c r="K440" s="2" t="str">
        <f>IFERROR(__xludf.DUMMYFUNCTION("""COMPUTED_VALUE"""),"ਰੱਦ ਕਰੋ")</f>
        <v>ਰੱਦ ਕਰੋ</v>
      </c>
      <c r="L440" s="2" t="str">
        <f>IFERROR(__xludf.DUMMYFUNCTION("""COMPUTED_VALUE"""),"நிராகரிக்கவும்")</f>
        <v>நிராகரிக்கவும்</v>
      </c>
      <c r="M440" s="2" t="str">
        <f>IFERROR(__xludf.DUMMYFUNCTION("""COMPUTED_VALUE"""),"తిరస్కరించండి")</f>
        <v>తిరస్కరించండి</v>
      </c>
    </row>
    <row r="441">
      <c r="A441" s="2" t="str">
        <f>Master_en!A441</f>
        <v>DoyouwanttoRejecttheorder</v>
      </c>
      <c r="B441" s="2" t="str">
        <f>Master_en!B441</f>
        <v>Do You Want to Reject the order</v>
      </c>
      <c r="C441" s="2" t="str">
        <f>IFERROR(__xludf.DUMMYFUNCTION("""COMPUTED_VALUE"""),"আপনি কি অর্ডার প্রত্যাখ্যান করতে চান?")</f>
        <v>আপনি কি অর্ডার প্রত্যাখ্যান করতে চান?</v>
      </c>
      <c r="D441" s="2" t="str">
        <f>IFERROR(__xludf.DUMMYFUNCTION("""COMPUTED_VALUE"""),"क्या आप आदेश को अस्वीकार करना चाहते हैं")</f>
        <v>क्या आप आदेश को अस्वीकार करना चाहते हैं</v>
      </c>
      <c r="E441" s="2" t="str">
        <f>IFERROR(__xludf.DUMMYFUNCTION("""COMPUTED_VALUE"""),"ನೀವು ಆದೇಶವನ್ನು ತಿರಸ್ಕರಿಸಲು ಬಯಸುವಿರಾ")</f>
        <v>ನೀವು ಆದೇಶವನ್ನು ತಿರಸ್ಕರಿಸಲು ಬಯಸುವಿರಾ</v>
      </c>
      <c r="F441" s="2" t="str">
        <f>IFERROR(__xludf.DUMMYFUNCTION("""COMPUTED_VALUE"""),"ଆପଣ କ୍ରମକୁ ପ୍ରତ୍ୟାଖ୍ୟାନ କରିବାକୁ ଚାହୁଁଛନ୍ତି କି?")</f>
        <v>ଆପଣ କ୍ରମକୁ ପ୍ରତ୍ୟାଖ୍ୟାନ କରିବାକୁ ଚାହୁଁଛନ୍ତି କି?</v>
      </c>
      <c r="G441" s="2" t="str">
        <f>IFERROR(__xludf.DUMMYFUNCTION("""COMPUTED_VALUE"""),"আপুনি অৰ্ডাৰটো নাকচ কৰিব বিচাৰেনে")</f>
        <v>আপুনি অৰ্ডাৰটো নাকচ কৰিব বিচাৰেনে</v>
      </c>
      <c r="H441" s="2" t="str">
        <f>IFERROR(__xludf.DUMMYFUNCTION("""COMPUTED_VALUE"""),"શું તમે ઓર્ડર નકારવા માંગો છો")</f>
        <v>શું તમે ઓર્ડર નકારવા માંગો છો</v>
      </c>
      <c r="I441" s="2" t="str">
        <f>IFERROR(__xludf.DUMMYFUNCTION("""COMPUTED_VALUE"""),"आपण ऑर्डर नाकारू इच्छिता?")</f>
        <v>आपण ऑर्डर नाकारू इच्छिता?</v>
      </c>
      <c r="J441" s="2" t="str">
        <f>IFERROR(__xludf.DUMMYFUNCTION("""COMPUTED_VALUE"""),"ഓർഡർ നിരസിക്കാൻ നിങ്ങൾ ആഗ്രഹിക്കുന്നുണ്ടോ?")</f>
        <v>ഓർഡർ നിരസിക്കാൻ നിങ്ങൾ ആഗ്രഹിക്കുന്നുണ്ടോ?</v>
      </c>
      <c r="K441" s="2" t="str">
        <f>IFERROR(__xludf.DUMMYFUNCTION("""COMPUTED_VALUE"""),"ਕੀ ਤੁਸੀਂ ਆਰਡਰ ਨੂੰ ਰੱਦ ਕਰਨਾ ਚਾਹੁੰਦੇ ਹੋ?")</f>
        <v>ਕੀ ਤੁਸੀਂ ਆਰਡਰ ਨੂੰ ਰੱਦ ਕਰਨਾ ਚਾਹੁੰਦੇ ਹੋ?</v>
      </c>
      <c r="L441" s="2" t="str">
        <f>IFERROR(__xludf.DUMMYFUNCTION("""COMPUTED_VALUE"""),"நீங்கள் ஆர்டரை நிராகரிக்க விரும்புகிறீர்களா?")</f>
        <v>நீங்கள் ஆர்டரை நிராகரிக்க விரும்புகிறீர்களா?</v>
      </c>
      <c r="M441" s="2" t="str">
        <f>IFERROR(__xludf.DUMMYFUNCTION("""COMPUTED_VALUE"""),"మీరు ఆర్డర్‌ను తిరస్కరించాలనుకుంటున్నారా")</f>
        <v>మీరు ఆర్డర్‌ను తిరస్కరించాలనుకుంటున్నారా</v>
      </c>
    </row>
    <row r="442">
      <c r="A442" s="2" t="str">
        <f>Master_en!A442</f>
        <v>Neworder</v>
      </c>
      <c r="B442" s="2" t="str">
        <f>Master_en!B442</f>
        <v>New Order</v>
      </c>
      <c r="C442" s="2" t="str">
        <f>IFERROR(__xludf.DUMMYFUNCTION("""COMPUTED_VALUE"""),"নতুন আদেশ")</f>
        <v>নতুন আদেশ</v>
      </c>
      <c r="D442" s="2" t="str">
        <f>IFERROR(__xludf.DUMMYFUNCTION("""COMPUTED_VALUE"""),"नए आदेश")</f>
        <v>नए आदेश</v>
      </c>
      <c r="E442" s="2" t="str">
        <f>IFERROR(__xludf.DUMMYFUNCTION("""COMPUTED_VALUE"""),"ಹೊಸ ಆದೇಶ")</f>
        <v>ಹೊಸ ಆದೇಶ</v>
      </c>
      <c r="F442" s="2" t="str">
        <f>IFERROR(__xludf.DUMMYFUNCTION("""COMPUTED_VALUE"""),"ନୂତନ ଆଦେଶ")</f>
        <v>ନୂତନ ଆଦେଶ</v>
      </c>
      <c r="G442" s="2" t="str">
        <f>IFERROR(__xludf.DUMMYFUNCTION("""COMPUTED_VALUE"""),"নিউ অৰ্ডাৰ")</f>
        <v>নিউ অৰ্ডাৰ</v>
      </c>
      <c r="H442" s="2" t="str">
        <f>IFERROR(__xludf.DUMMYFUNCTION("""COMPUTED_VALUE"""),"નવો હુકમ")</f>
        <v>નવો હુકમ</v>
      </c>
      <c r="I442" s="2" t="str">
        <f>IFERROR(__xludf.DUMMYFUNCTION("""COMPUTED_VALUE"""),"नवीन ऑर्डर")</f>
        <v>नवीन ऑर्डर</v>
      </c>
      <c r="J442" s="2" t="str">
        <f>IFERROR(__xludf.DUMMYFUNCTION("""COMPUTED_VALUE"""),"പുതിയ ഉത്തരവ്")</f>
        <v>പുതിയ ഉത്തരവ്</v>
      </c>
      <c r="K442" s="2" t="str">
        <f>IFERROR(__xludf.DUMMYFUNCTION("""COMPUTED_VALUE"""),"ਨਵਾਂ ਆਰਡਰ")</f>
        <v>ਨਵਾਂ ਆਰਡਰ</v>
      </c>
      <c r="L442" s="2" t="str">
        <f>IFERROR(__xludf.DUMMYFUNCTION("""COMPUTED_VALUE"""),"புதிய ஆர்டர்")</f>
        <v>புதிய ஆர்டர்</v>
      </c>
      <c r="M442" s="2" t="str">
        <f>IFERROR(__xludf.DUMMYFUNCTION("""COMPUTED_VALUE"""),"కొత్త ఆజ్ఞ")</f>
        <v>కొత్త ఆజ్ఞ</v>
      </c>
    </row>
    <row r="443">
      <c r="A443" s="2" t="str">
        <f>Master_en!A443</f>
        <v>avaliable</v>
      </c>
      <c r="B443" s="2" t="str">
        <f>Master_en!B443</f>
        <v>Available</v>
      </c>
      <c r="C443" s="2" t="str">
        <f>IFERROR(__xludf.DUMMYFUNCTION("""COMPUTED_VALUE"""),"উপলব্ধ")</f>
        <v>উপলব্ধ</v>
      </c>
      <c r="D443" s="2" t="str">
        <f>IFERROR(__xludf.DUMMYFUNCTION("""COMPUTED_VALUE"""),"उपलब्ध")</f>
        <v>उपलब्ध</v>
      </c>
      <c r="E443" s="2" t="str">
        <f>IFERROR(__xludf.DUMMYFUNCTION("""COMPUTED_VALUE"""),"ಲಭ್ಯ")</f>
        <v>ಲಭ್ಯ</v>
      </c>
      <c r="F443" s="2" t="str">
        <f>IFERROR(__xludf.DUMMYFUNCTION("""COMPUTED_VALUE"""),"ଉପଲବ୍ଧ |")</f>
        <v>ଉପଲବ୍ଧ |</v>
      </c>
      <c r="G443" s="2" t="str">
        <f>IFERROR(__xludf.DUMMYFUNCTION("""COMPUTED_VALUE"""),"উপলব্ধ")</f>
        <v>উপলব্ধ</v>
      </c>
      <c r="H443" s="2" t="str">
        <f>IFERROR(__xludf.DUMMYFUNCTION("""COMPUTED_VALUE"""),"ઉપલબ્ધ")</f>
        <v>ઉપલબ્ધ</v>
      </c>
      <c r="I443" s="2" t="str">
        <f>IFERROR(__xludf.DUMMYFUNCTION("""COMPUTED_VALUE"""),"उपलब्ध")</f>
        <v>उपलब्ध</v>
      </c>
      <c r="J443" s="2" t="str">
        <f>IFERROR(__xludf.DUMMYFUNCTION("""COMPUTED_VALUE"""),"സുലഭം")</f>
        <v>സുലഭം</v>
      </c>
      <c r="K443" s="2" t="str">
        <f>IFERROR(__xludf.DUMMYFUNCTION("""COMPUTED_VALUE"""),"ਉਪਲੱਬਧ")</f>
        <v>ਉਪਲੱਬਧ</v>
      </c>
      <c r="L443" s="2" t="str">
        <f>IFERROR(__xludf.DUMMYFUNCTION("""COMPUTED_VALUE"""),"கிடைக்கும்")</f>
        <v>கிடைக்கும்</v>
      </c>
      <c r="M443" s="2" t="str">
        <f>IFERROR(__xludf.DUMMYFUNCTION("""COMPUTED_VALUE"""),"అందుబాటులో ఉంది")</f>
        <v>అందుబాటులో ఉంది</v>
      </c>
    </row>
    <row r="444">
      <c r="A444" s="2" t="str">
        <f>Master_en!A444</f>
        <v>blockward</v>
      </c>
      <c r="B444" s="2" t="str">
        <f>Master_en!B444</f>
        <v>Block/Ward</v>
      </c>
      <c r="C444" s="2" t="str">
        <f>IFERROR(__xludf.DUMMYFUNCTION("""COMPUTED_VALUE"""),"ব্লক/ওয়ার্ড")</f>
        <v>ব্লক/ওয়ার্ড</v>
      </c>
      <c r="D444" s="2" t="str">
        <f>IFERROR(__xludf.DUMMYFUNCTION("""COMPUTED_VALUE"""),"ब्लॉक/वार्ड")</f>
        <v>ब्लॉक/वार्ड</v>
      </c>
      <c r="E444" s="2" t="str">
        <f>IFERROR(__xludf.DUMMYFUNCTION("""COMPUTED_VALUE"""),"ನಿರ್ಬಂಧ/ವಾರ್ಡ್")</f>
        <v>ನಿರ್ಬಂಧ/ವಾರ್ಡ್</v>
      </c>
      <c r="F444" s="2" t="str">
        <f>IFERROR(__xludf.DUMMYFUNCTION("""COMPUTED_VALUE"""),"ବ୍ଲକ / ୱାର୍ଡ |")</f>
        <v>ବ୍ଲକ / ୱାର୍ଡ |</v>
      </c>
      <c r="G444" s="2" t="str">
        <f>IFERROR(__xludf.DUMMYFUNCTION("""COMPUTED_VALUE"""),"ব্লক/ৱাৰ্ড")</f>
        <v>ব্লক/ৱাৰ্ড</v>
      </c>
      <c r="H444" s="2" t="str">
        <f>IFERROR(__xludf.DUMMYFUNCTION("""COMPUTED_VALUE"""),"અવરોધ")</f>
        <v>અવરોધ</v>
      </c>
      <c r="I444" s="2" t="str">
        <f>IFERROR(__xludf.DUMMYFUNCTION("""COMPUTED_VALUE"""),"ब्लॉक/वॉर्ड")</f>
        <v>ब्लॉक/वॉर्ड</v>
      </c>
      <c r="J444" s="2" t="str">
        <f>IFERROR(__xludf.DUMMYFUNCTION("""COMPUTED_VALUE"""),"തടയുക / വാർഡ്")</f>
        <v>തടയുക / വാർഡ്</v>
      </c>
      <c r="K444" s="2" t="str">
        <f>IFERROR(__xludf.DUMMYFUNCTION("""COMPUTED_VALUE"""),"ਬਲਾਕ / ਵਾਰਡ")</f>
        <v>ਬਲਾਕ / ਵਾਰਡ</v>
      </c>
      <c r="L444" s="2" t="str">
        <f>IFERROR(__xludf.DUMMYFUNCTION("""COMPUTED_VALUE"""),"தொகுதி/வார்டு")</f>
        <v>தொகுதி/வார்டு</v>
      </c>
      <c r="M444" s="2" t="str">
        <f>IFERROR(__xludf.DUMMYFUNCTION("""COMPUTED_VALUE"""),"బ్లాక్/వార్డ్")</f>
        <v>బ్లాక్/వార్డ్</v>
      </c>
    </row>
    <row r="445">
      <c r="A445" s="2" t="str">
        <f>Master_en!A445</f>
        <v>acceptorder</v>
      </c>
      <c r="B445" s="2" t="str">
        <f>Master_en!B445</f>
        <v>Accept Order</v>
      </c>
      <c r="C445" s="2" t="str">
        <f>IFERROR(__xludf.DUMMYFUNCTION("""COMPUTED_VALUE"""),"আদেশ গ্রহণ")</f>
        <v>আদেশ গ্রহণ</v>
      </c>
      <c r="D445" s="2" t="str">
        <f>IFERROR(__xludf.DUMMYFUNCTION("""COMPUTED_VALUE"""),"आदेश स्वीकार करना")</f>
        <v>आदेश स्वीकार करना</v>
      </c>
      <c r="E445" s="2" t="str">
        <f>IFERROR(__xludf.DUMMYFUNCTION("""COMPUTED_VALUE"""),"ಆದೇಶವನ್ನು ಸ್ವೀಕರಿಸಿ")</f>
        <v>ಆದೇಶವನ್ನು ಸ್ವೀಕರಿಸಿ</v>
      </c>
      <c r="F445" s="2" t="str">
        <f>IFERROR(__xludf.DUMMYFUNCTION("""COMPUTED_VALUE"""),"ଅର୍ଡର ଗ୍ରହଣ କରନ୍ତୁ |")</f>
        <v>ଅର୍ଡର ଗ୍ରହଣ କରନ୍ତୁ |</v>
      </c>
      <c r="G445" s="2" t="str">
        <f>IFERROR(__xludf.DUMMYFUNCTION("""COMPUTED_VALUE"""),"অৰ্ডাৰ গ্ৰহণ কৰক")</f>
        <v>অৰ্ডাৰ গ্ৰহণ কৰক</v>
      </c>
      <c r="H445" s="2" t="str">
        <f>IFERROR(__xludf.DUMMYFUNCTION("""COMPUTED_VALUE"""),"આદેશ સ્વીકારો")</f>
        <v>આદેશ સ્વીકારો</v>
      </c>
      <c r="I445" s="2" t="str">
        <f>IFERROR(__xludf.DUMMYFUNCTION("""COMPUTED_VALUE"""),"ऑर्डर स्वीकारा")</f>
        <v>ऑर्डर स्वीकारा</v>
      </c>
      <c r="J445" s="2" t="str">
        <f>IFERROR(__xludf.DUMMYFUNCTION("""COMPUTED_VALUE"""),"ഓർഡർ സ്വീകരിക്കുക")</f>
        <v>ഓർഡർ സ്വീകരിക്കുക</v>
      </c>
      <c r="K445" s="2" t="str">
        <f>IFERROR(__xludf.DUMMYFUNCTION("""COMPUTED_VALUE"""),"ਆਰਡਰ ਸਵੀਕਾਰ ਕਰੋ")</f>
        <v>ਆਰਡਰ ਸਵੀਕਾਰ ਕਰੋ</v>
      </c>
      <c r="L445" s="2" t="str">
        <f>IFERROR(__xludf.DUMMYFUNCTION("""COMPUTED_VALUE"""),"ஆர்டரை ஏற்றுக்கொள்")</f>
        <v>ஆர்டரை ஏற்றுக்கொள்</v>
      </c>
      <c r="M445" s="2" t="str">
        <f>IFERROR(__xludf.DUMMYFUNCTION("""COMPUTED_VALUE"""),"క్రమాన్ని అంగీకరించండి")</f>
        <v>క్రమాన్ని అంగీకరించండి</v>
      </c>
    </row>
    <row r="446">
      <c r="A446" s="2" t="str">
        <f>Master_en!A446</f>
        <v>Process</v>
      </c>
      <c r="B446" s="2" t="str">
        <f>Master_en!B446</f>
        <v>Process</v>
      </c>
      <c r="C446" s="2" t="str">
        <f>IFERROR(__xludf.DUMMYFUNCTION("""COMPUTED_VALUE"""),"প্রক্রিয়া")</f>
        <v>প্রক্রিয়া</v>
      </c>
      <c r="D446" s="2" t="str">
        <f>IFERROR(__xludf.DUMMYFUNCTION("""COMPUTED_VALUE"""),"प्रक्रिया")</f>
        <v>प्रक्रिया</v>
      </c>
      <c r="E446" s="2" t="str">
        <f>IFERROR(__xludf.DUMMYFUNCTION("""COMPUTED_VALUE"""),"ಪ್ರಕ್ರಿಯೆ")</f>
        <v>ಪ್ರಕ್ರಿಯೆ</v>
      </c>
      <c r="F446" s="2" t="str">
        <f>IFERROR(__xludf.DUMMYFUNCTION("""COMPUTED_VALUE"""),"ପ୍ରକ୍ରିୟା")</f>
        <v>ପ୍ରକ୍ରିୟା</v>
      </c>
      <c r="G446" s="2" t="str">
        <f>IFERROR(__xludf.DUMMYFUNCTION("""COMPUTED_VALUE"""),"প্ৰক্ৰিয়া")</f>
        <v>প্ৰক্ৰিয়া</v>
      </c>
      <c r="H446" s="2" t="str">
        <f>IFERROR(__xludf.DUMMYFUNCTION("""COMPUTED_VALUE"""),"પ્રક્રિયા")</f>
        <v>પ્રક્રિયા</v>
      </c>
      <c r="I446" s="2" t="str">
        <f>IFERROR(__xludf.DUMMYFUNCTION("""COMPUTED_VALUE"""),"प्रक्रिया")</f>
        <v>प्रक्रिया</v>
      </c>
      <c r="J446" s="2" t="str">
        <f>IFERROR(__xludf.DUMMYFUNCTION("""COMPUTED_VALUE"""),"പതേകനടപടികള്")</f>
        <v>പതേകനടപടികള്</v>
      </c>
      <c r="K446" s="2" t="str">
        <f>IFERROR(__xludf.DUMMYFUNCTION("""COMPUTED_VALUE"""),"ਪ੍ਰਕਿਰਿਆ")</f>
        <v>ਪ੍ਰਕਿਰਿਆ</v>
      </c>
      <c r="L446" s="2" t="str">
        <f>IFERROR(__xludf.DUMMYFUNCTION("""COMPUTED_VALUE"""),"செயல்முறை")</f>
        <v>செயல்முறை</v>
      </c>
      <c r="M446" s="2" t="str">
        <f>IFERROR(__xludf.DUMMYFUNCTION("""COMPUTED_VALUE"""),"ప్రక్రియ")</f>
        <v>ప్రక్రియ</v>
      </c>
    </row>
    <row r="447">
      <c r="A447" s="2" t="str">
        <f>Master_en!A447</f>
        <v>Doyouwanttocanceltheorder</v>
      </c>
      <c r="B447" s="2" t="str">
        <f>Master_en!B447</f>
        <v>Do you want to Cancel the Order?</v>
      </c>
      <c r="C447" s="2" t="str">
        <f>IFERROR(__xludf.DUMMYFUNCTION("""COMPUTED_VALUE"""),"আপনি কি অর্ডার বাতিল করতে চান?")</f>
        <v>আপনি কি অর্ডার বাতিল করতে চান?</v>
      </c>
      <c r="D447" s="2" t="str">
        <f>IFERROR(__xludf.DUMMYFUNCTION("""COMPUTED_VALUE"""),"क्या आप ऑर्डर रद्द करना चाहते हैं?")</f>
        <v>क्या आप ऑर्डर रद्द करना चाहते हैं?</v>
      </c>
      <c r="E447" s="2" t="str">
        <f>IFERROR(__xludf.DUMMYFUNCTION("""COMPUTED_VALUE"""),"ನೀವು ಆದೇಶವನ್ನು ರದ್ದುಗೊಳಿಸಲು ಬಯಸುವಿರಾ?")</f>
        <v>ನೀವು ಆದೇಶವನ್ನು ರದ್ದುಗೊಳಿಸಲು ಬಯಸುವಿರಾ?</v>
      </c>
      <c r="F447" s="2" t="str">
        <f>IFERROR(__xludf.DUMMYFUNCTION("""COMPUTED_VALUE"""),"ଆପଣ ଅର୍ଡର ବାତିଲ କରିବାକୁ ଚାହୁଁଛନ୍ତି କି?")</f>
        <v>ଆପଣ ଅର୍ଡର ବାତିଲ କରିବାକୁ ଚାହୁଁଛନ୍ତି କି?</v>
      </c>
      <c r="G447" s="2" t="str">
        <f>IFERROR(__xludf.DUMMYFUNCTION("""COMPUTED_VALUE"""),"আপুনি অৰ্ডাৰ বাতিল কৰিব বিচাৰেনে?")</f>
        <v>আপুনি অৰ্ডাৰ বাতিল কৰিব বিচাৰেনে?</v>
      </c>
      <c r="H447" s="2" t="str">
        <f>IFERROR(__xludf.DUMMYFUNCTION("""COMPUTED_VALUE"""),"શું તમે ઓર્ડર રદ કરવા માંગો છો?")</f>
        <v>શું તમે ઓર્ડર રદ કરવા માંગો છો?</v>
      </c>
      <c r="I447" s="2" t="str">
        <f>IFERROR(__xludf.DUMMYFUNCTION("""COMPUTED_VALUE"""),"आपण ऑर्डर रद्द करू इच्छिता?")</f>
        <v>आपण ऑर्डर रद्द करू इच्छिता?</v>
      </c>
      <c r="J447" s="2" t="str">
        <f>IFERROR(__xludf.DUMMYFUNCTION("""COMPUTED_VALUE"""),"ഓർഡർ റദ്ദാക്കാൻ നിങ്ങൾ ആഗ്രഹിക്കുന്നുണ്ടോ?")</f>
        <v>ഓർഡർ റദ്ദാക്കാൻ നിങ്ങൾ ആഗ്രഹിക്കുന്നുണ്ടോ?</v>
      </c>
      <c r="K447" s="2" t="str">
        <f>IFERROR(__xludf.DUMMYFUNCTION("""COMPUTED_VALUE"""),"ਕੀ ਤੁਸੀਂ ਆਰਡਰ ਰੱਦ ਕਰਨਾ ਚਾਹੁੰਦੇ ਹੋ?")</f>
        <v>ਕੀ ਤੁਸੀਂ ਆਰਡਰ ਰੱਦ ਕਰਨਾ ਚਾਹੁੰਦੇ ਹੋ?</v>
      </c>
      <c r="L447" s="2" t="str">
        <f>IFERROR(__xludf.DUMMYFUNCTION("""COMPUTED_VALUE"""),"ஆர்டரை ரத்து செய்ய விரும்புகிறீர்களா?")</f>
        <v>ஆர்டரை ரத்து செய்ய விரும்புகிறீர்களா?</v>
      </c>
      <c r="M447" s="2" t="str">
        <f>IFERROR(__xludf.DUMMYFUNCTION("""COMPUTED_VALUE"""),"మీరు ఆర్డర్‌ను రద్దు చేయాలనుకుంటున్నారా?")</f>
        <v>మీరు ఆర్డర్‌ను రద్దు చేయాలనుకుంటున్నారా?</v>
      </c>
    </row>
    <row r="448">
      <c r="A448" s="2" t="str">
        <f>Master_en!A448</f>
        <v>noshow</v>
      </c>
      <c r="B448" s="2" t="str">
        <f>Master_en!B448</f>
        <v>No Show</v>
      </c>
      <c r="C448" s="2" t="str">
        <f>IFERROR(__xludf.DUMMYFUNCTION("""COMPUTED_VALUE"""),"কোন শো")</f>
        <v>কোন শো</v>
      </c>
      <c r="D448" s="2" t="str">
        <f>IFERROR(__xludf.DUMMYFUNCTION("""COMPUTED_VALUE"""),"कोई शो नहीं")</f>
        <v>कोई शो नहीं</v>
      </c>
      <c r="E448" s="2" t="str">
        <f>IFERROR(__xludf.DUMMYFUNCTION("""COMPUTED_VALUE"""),"ಪ್ರದರ್ಶನವಿಲ್ಲ")</f>
        <v>ಪ್ರದರ್ಶನವಿಲ್ಲ</v>
      </c>
      <c r="F448" s="2" t="str">
        <f>IFERROR(__xludf.DUMMYFUNCTION("""COMPUTED_VALUE"""),"କ show ଣସି ଶୋ ନାହିଁ |")</f>
        <v>କ show ଣସି ଶୋ ନାହିଁ |</v>
      </c>
      <c r="G448" s="2" t="str">
        <f>IFERROR(__xludf.DUMMYFUNCTION("""COMPUTED_VALUE"""),"কোনো শ্ব’ নাই")</f>
        <v>কোনো শ্ব’ নাই</v>
      </c>
      <c r="H448" s="2" t="str">
        <f>IFERROR(__xludf.DUMMYFUNCTION("""COMPUTED_VALUE"""),"કોઈ શો")</f>
        <v>કોઈ શો</v>
      </c>
      <c r="I448" s="2" t="str">
        <f>IFERROR(__xludf.DUMMYFUNCTION("""COMPUTED_VALUE"""),"नाही शो")</f>
        <v>नाही शो</v>
      </c>
      <c r="J448" s="2" t="str">
        <f>IFERROR(__xludf.DUMMYFUNCTION("""COMPUTED_VALUE"""),"പ്രദര്ശനം ഇല്ല")</f>
        <v>പ്രദര്ശനം ഇല്ല</v>
      </c>
      <c r="K448" s="2" t="str">
        <f>IFERROR(__xludf.DUMMYFUNCTION("""COMPUTED_VALUE"""),"ਕੋਈ ਸ਼ੋਅ ਨਹੀਂ")</f>
        <v>ਕੋਈ ਸ਼ੋਅ ਨਹੀਂ</v>
      </c>
      <c r="L448" s="2" t="str">
        <f>IFERROR(__xludf.DUMMYFUNCTION("""COMPUTED_VALUE"""),"காட்சி இல்லை")</f>
        <v>காட்சி இல்லை</v>
      </c>
      <c r="M448" s="2" t="str">
        <f>IFERROR(__xludf.DUMMYFUNCTION("""COMPUTED_VALUE"""),"ప్రదర్శన లేదు")</f>
        <v>ప్రదర్శన లేదు</v>
      </c>
    </row>
    <row r="449">
      <c r="A449" s="2" t="str">
        <f>Master_en!A449</f>
        <v>intransit</v>
      </c>
      <c r="B449" s="2" t="str">
        <f>Master_en!B449</f>
        <v>In Transit</v>
      </c>
      <c r="C449" s="2" t="str">
        <f>IFERROR(__xludf.DUMMYFUNCTION("""COMPUTED_VALUE"""),"ট্রানজিটে")</f>
        <v>ট্রানজিটে</v>
      </c>
      <c r="D449" s="2" t="str">
        <f>IFERROR(__xludf.DUMMYFUNCTION("""COMPUTED_VALUE"""),"रास्ते में")</f>
        <v>रास्ते में</v>
      </c>
      <c r="E449" s="2" t="str">
        <f>IFERROR(__xludf.DUMMYFUNCTION("""COMPUTED_VALUE"""),"ಸಾಗಣೆಯಲ್ಲಿ")</f>
        <v>ಸಾಗಣೆಯಲ್ಲಿ</v>
      </c>
      <c r="F449" s="2" t="str">
        <f>IFERROR(__xludf.DUMMYFUNCTION("""COMPUTED_VALUE"""),"ଗମନାଗମନରେ")</f>
        <v>ଗମନାଗମନରେ</v>
      </c>
      <c r="G449" s="2" t="str">
        <f>IFERROR(__xludf.DUMMYFUNCTION("""COMPUTED_VALUE"""),"পৰিবহণত")</f>
        <v>পৰিবহণত</v>
      </c>
      <c r="H449" s="2" t="str">
        <f>IFERROR(__xludf.DUMMYFUNCTION("""COMPUTED_VALUE"""),"પરિવહનમાં")</f>
        <v>પરિવહનમાં</v>
      </c>
      <c r="I449" s="2" t="str">
        <f>IFERROR(__xludf.DUMMYFUNCTION("""COMPUTED_VALUE"""),"शो नाही")</f>
        <v>शो नाही</v>
      </c>
      <c r="J449" s="2" t="str">
        <f>IFERROR(__xludf.DUMMYFUNCTION("""COMPUTED_VALUE"""),"യാത്രയിൽ")</f>
        <v>യാത്രയിൽ</v>
      </c>
      <c r="K449" s="2" t="str">
        <f>IFERROR(__xludf.DUMMYFUNCTION("""COMPUTED_VALUE"""),"ਢੁਆਈ ਵਿੱਚ")</f>
        <v>ਢੁਆਈ ਵਿੱਚ</v>
      </c>
      <c r="L449" s="2" t="str">
        <f>IFERROR(__xludf.DUMMYFUNCTION("""COMPUTED_VALUE"""),"நடு வழியில்")</f>
        <v>நடு வழியில்</v>
      </c>
      <c r="M449" s="2" t="str">
        <f>IFERROR(__xludf.DUMMYFUNCTION("""COMPUTED_VALUE"""),"ట్రాన్సిట్ లో")</f>
        <v>ట్రాన్సిట్ లో</v>
      </c>
    </row>
    <row r="450">
      <c r="A450" s="2" t="str">
        <f>Master_en!A450</f>
        <v>Cancelled</v>
      </c>
      <c r="B450" s="2" t="str">
        <f>Master_en!B450</f>
        <v>Cancelled</v>
      </c>
      <c r="C450" s="2" t="str">
        <f>IFERROR(__xludf.DUMMYFUNCTION("""COMPUTED_VALUE"""),"বাতিল")</f>
        <v>বাতিল</v>
      </c>
      <c r="D450" s="2" t="str">
        <f>IFERROR(__xludf.DUMMYFUNCTION("""COMPUTED_VALUE"""),"रद्द")</f>
        <v>रद्द</v>
      </c>
      <c r="E450" s="2" t="str">
        <f>IFERROR(__xludf.DUMMYFUNCTION("""COMPUTED_VALUE"""),"ರದ್ದುಗೊಳಿಸಲಾಗಿದೆ")</f>
        <v>ರದ್ದುಗೊಳಿಸಲಾಗಿದೆ</v>
      </c>
      <c r="F450" s="2" t="str">
        <f>IFERROR(__xludf.DUMMYFUNCTION("""COMPUTED_VALUE"""),"ବାତିଲ")</f>
        <v>ବାତିଲ</v>
      </c>
      <c r="G450" s="2" t="str">
        <f>IFERROR(__xludf.DUMMYFUNCTION("""COMPUTED_VALUE"""),"বাতিল কৰা হৈছে")</f>
        <v>বাতিল কৰা হৈছে</v>
      </c>
      <c r="H450" s="2" t="str">
        <f>IFERROR(__xludf.DUMMYFUNCTION("""COMPUTED_VALUE"""),"રદ કરવું")</f>
        <v>રદ કરવું</v>
      </c>
      <c r="I450" s="2" t="str">
        <f>IFERROR(__xludf.DUMMYFUNCTION("""COMPUTED_VALUE"""),"संक्रमणामध्ये")</f>
        <v>संक्रमणामध्ये</v>
      </c>
      <c r="J450" s="2" t="str">
        <f>IFERROR(__xludf.DUMMYFUNCTION("""COMPUTED_VALUE"""),"റദ്ദാക്കി")</f>
        <v>റദ്ദാക്കി</v>
      </c>
      <c r="K450" s="2" t="str">
        <f>IFERROR(__xludf.DUMMYFUNCTION("""COMPUTED_VALUE"""),"ਰੱਦ")</f>
        <v>ਰੱਦ</v>
      </c>
      <c r="L450" s="2" t="str">
        <f>IFERROR(__xludf.DUMMYFUNCTION("""COMPUTED_VALUE"""),"ரத்து செய்யப்பட்டது")</f>
        <v>ரத்து செய்யப்பட்டது</v>
      </c>
      <c r="M450" s="2" t="str">
        <f>IFERROR(__xludf.DUMMYFUNCTION("""COMPUTED_VALUE"""),"రద్దు")</f>
        <v>రద్దు</v>
      </c>
    </row>
    <row r="451">
      <c r="A451" s="2" t="str">
        <f>Master_en!A451</f>
        <v>InStorePickup</v>
      </c>
      <c r="B451" s="2" t="str">
        <f>Master_en!B451</f>
        <v>In Store Pickup</v>
      </c>
      <c r="C451" s="2" t="str">
        <f>IFERROR(__xludf.DUMMYFUNCTION("""COMPUTED_VALUE"""),"স্টোর পিকআপে")</f>
        <v>স্টোর পিকআপে</v>
      </c>
      <c r="D451" s="2" t="str">
        <f>IFERROR(__xludf.DUMMYFUNCTION("""COMPUTED_VALUE"""),"दुकान से लेना")</f>
        <v>दुकान से लेना</v>
      </c>
      <c r="E451" s="2" t="str">
        <f>IFERROR(__xludf.DUMMYFUNCTION("""COMPUTED_VALUE"""),"ಅಂಗಡಿ ಪಿಕಪ್ನಲ್ಲಿ")</f>
        <v>ಅಂಗಡಿ ಪಿಕಪ್ನಲ್ಲಿ</v>
      </c>
      <c r="F451" s="2" t="str">
        <f>IFERROR(__xludf.DUMMYFUNCTION("""COMPUTED_VALUE"""),"ଷ୍ଟୋର ପିକଅପ୍ ରେ |")</f>
        <v>ଷ୍ଟୋର ପିକଅପ୍ ରେ |</v>
      </c>
      <c r="G451" s="2" t="str">
        <f>IFERROR(__xludf.DUMMYFUNCTION("""COMPUTED_VALUE"""),"ষ্ট'ৰ পিকআপত")</f>
        <v>ষ্ট'ৰ পিকআপত</v>
      </c>
      <c r="H451" s="2" t="str">
        <f>IFERROR(__xludf.DUMMYFUNCTION("""COMPUTED_VALUE"""),"સ્ટોરમાં પિકઅપ")</f>
        <v>સ્ટોરમાં પિકઅપ</v>
      </c>
      <c r="I451" s="2" t="str">
        <f>IFERROR(__xludf.DUMMYFUNCTION("""COMPUTED_VALUE"""),"स्टोअर पिकअपमध्ये")</f>
        <v>स्टोअर पिकअपमध्ये</v>
      </c>
      <c r="J451" s="2" t="str">
        <f>IFERROR(__xludf.DUMMYFUNCTION("""COMPUTED_VALUE"""),"സ്റ്റോർ പിക്കപ്പിൽ")</f>
        <v>സ്റ്റോർ പിക്കപ്പിൽ</v>
      </c>
      <c r="K451" s="2" t="str">
        <f>IFERROR(__xludf.DUMMYFUNCTION("""COMPUTED_VALUE"""),"ਸਟੋਰ ਪਿਕਅਪ ਵਿੱਚ")</f>
        <v>ਸਟੋਰ ਪਿਕਅਪ ਵਿੱਚ</v>
      </c>
      <c r="L451" s="2" t="str">
        <f>IFERROR(__xludf.DUMMYFUNCTION("""COMPUTED_VALUE"""),"ஸ்டோர் பிக்கப்பில்")</f>
        <v>ஸ்டோர் பிக்கப்பில்</v>
      </c>
      <c r="M451" s="2" t="str">
        <f>IFERROR(__xludf.DUMMYFUNCTION("""COMPUTED_VALUE"""),"స్టోర్ పికప్‌లో")</f>
        <v>స్టోర్ పికప్‌లో</v>
      </c>
    </row>
    <row r="452">
      <c r="A452" s="2" t="str">
        <f>Master_en!A452</f>
        <v>HomeDelivery</v>
      </c>
      <c r="B452" s="2" t="str">
        <f>Master_en!B452</f>
        <v>Home Delivery</v>
      </c>
      <c r="C452" s="2" t="str">
        <f>IFERROR(__xludf.DUMMYFUNCTION("""COMPUTED_VALUE"""),"হোম ডেলিভারি")</f>
        <v>হোম ডেলিভারি</v>
      </c>
      <c r="D452" s="2" t="str">
        <f>IFERROR(__xludf.DUMMYFUNCTION("""COMPUTED_VALUE"""),"घर पहुँचाना")</f>
        <v>घर पहुँचाना</v>
      </c>
      <c r="E452" s="2" t="str">
        <f>IFERROR(__xludf.DUMMYFUNCTION("""COMPUTED_VALUE"""),"ಮನೆ ವಿತರಣೆ")</f>
        <v>ಮನೆ ವಿತರಣೆ</v>
      </c>
      <c r="F452" s="2" t="str">
        <f>IFERROR(__xludf.DUMMYFUNCTION("""COMPUTED_VALUE"""),"ଗୃହ ବିତରଣ |")</f>
        <v>ଗୃହ ବିତରଣ |</v>
      </c>
      <c r="G452" s="2" t="str">
        <f>IFERROR(__xludf.DUMMYFUNCTION("""COMPUTED_VALUE"""),"হোম ডেলিভাৰী")</f>
        <v>হোম ডেলিভাৰী</v>
      </c>
      <c r="H452" s="2" t="str">
        <f>IFERROR(__xludf.DUMMYFUNCTION("""COMPUTED_VALUE"""),"સ્વદેશ")</f>
        <v>સ્વદેશ</v>
      </c>
      <c r="I452" s="2" t="str">
        <f>IFERROR(__xludf.DUMMYFUNCTION("""COMPUTED_VALUE"""),"घरपोच")</f>
        <v>घरपोच</v>
      </c>
      <c r="J452" s="2" t="str">
        <f>IFERROR(__xludf.DUMMYFUNCTION("""COMPUTED_VALUE"""),"വീട്ടില് എത്തിക്കും")</f>
        <v>വീട്ടില് എത്തിക്കും</v>
      </c>
      <c r="K452" s="2" t="str">
        <f>IFERROR(__xludf.DUMMYFUNCTION("""COMPUTED_VALUE"""),"ਘਰ ਦੀ ਸਪੁਰਦਗੀ")</f>
        <v>ਘਰ ਦੀ ਸਪੁਰਦਗੀ</v>
      </c>
      <c r="L452" s="2" t="str">
        <f>IFERROR(__xludf.DUMMYFUNCTION("""COMPUTED_VALUE"""),"வீட்டு விநியோகம்")</f>
        <v>வீட்டு விநியோகம்</v>
      </c>
      <c r="M452" s="2" t="str">
        <f>IFERROR(__xludf.DUMMYFUNCTION("""COMPUTED_VALUE"""),"ఇంటికి చేరవేయుట")</f>
        <v>ఇంటికి చేరవేయుట</v>
      </c>
    </row>
    <row r="453">
      <c r="A453" s="2" t="str">
        <f>Master_en!A453</f>
        <v>Pickedupat</v>
      </c>
      <c r="B453" s="2" t="str">
        <f>Master_en!B453</f>
        <v>Picked up at</v>
      </c>
      <c r="C453" s="2" t="str">
        <f>IFERROR(__xludf.DUMMYFUNCTION("""COMPUTED_VALUE"""),"বাছাই")</f>
        <v>বাছাই</v>
      </c>
      <c r="D453" s="2" t="str">
        <f>IFERROR(__xludf.DUMMYFUNCTION("""COMPUTED_VALUE"""),"पर उठाया गया")</f>
        <v>पर उठाया गया</v>
      </c>
      <c r="E453" s="2" t="str">
        <f>IFERROR(__xludf.DUMMYFUNCTION("""COMPUTED_VALUE"""),"ನಲ್ಲಿ ಎತ್ತಿಕೊಳ್ಳಲಾಗಿದೆ")</f>
        <v>ನಲ್ಲಿ ಎತ್ತಿಕೊಳ್ಳಲಾಗಿದೆ</v>
      </c>
      <c r="F453" s="2" t="str">
        <f>IFERROR(__xludf.DUMMYFUNCTION("""COMPUTED_VALUE"""),"ଭିତରକୁ ଉଠିଛି")</f>
        <v>ଭିତରକୁ ଉଠିଛି</v>
      </c>
      <c r="G453" s="2" t="str">
        <f>IFERROR(__xludf.DUMMYFUNCTION("""COMPUTED_VALUE"""),"পিক আপ এট")</f>
        <v>পিক আপ এট</v>
      </c>
      <c r="H453" s="2" t="str">
        <f>IFERROR(__xludf.DUMMYFUNCTION("""COMPUTED_VALUE"""),"ને ઉપજાવી")</f>
        <v>ને ઉપજાવી</v>
      </c>
      <c r="I453" s="2" t="str">
        <f>IFERROR(__xludf.DUMMYFUNCTION("""COMPUTED_VALUE"""),"येथे उचलले")</f>
        <v>येथे उचलले</v>
      </c>
      <c r="J453" s="2" t="str">
        <f>IFERROR(__xludf.DUMMYFUNCTION("""COMPUTED_VALUE"""),"എടുത്തു")</f>
        <v>എടുത്തു</v>
      </c>
      <c r="K453" s="2" t="str">
        <f>IFERROR(__xludf.DUMMYFUNCTION("""COMPUTED_VALUE"""),"'ਤੇ ਚੁੱਕਿਆ")</f>
        <v>'ਤੇ ਚੁੱਕਿਆ</v>
      </c>
      <c r="L453" s="2" t="str">
        <f>IFERROR(__xludf.DUMMYFUNCTION("""COMPUTED_VALUE"""),"எடுத்துக்கொண்டேன்")</f>
        <v>எடுத்துக்கொண்டேன்</v>
      </c>
      <c r="M453" s="2" t="str">
        <f>IFERROR(__xludf.DUMMYFUNCTION("""COMPUTED_VALUE"""),"వద్ద తీయబడింది")</f>
        <v>వద్ద తీయబడింది</v>
      </c>
    </row>
    <row r="454">
      <c r="A454" s="2" t="str">
        <f>Master_en!A454</f>
        <v>Deliveredat</v>
      </c>
      <c r="B454" s="2" t="str">
        <f>Master_en!B454</f>
        <v>Delivered at</v>
      </c>
      <c r="C454" s="2" t="str">
        <f>IFERROR(__xludf.DUMMYFUNCTION("""COMPUTED_VALUE"""),"বিতরণ")</f>
        <v>বিতরণ</v>
      </c>
      <c r="D454" s="2" t="str">
        <f>IFERROR(__xludf.DUMMYFUNCTION("""COMPUTED_VALUE"""),"पर सुपुर्दगी")</f>
        <v>पर सुपुर्दगी</v>
      </c>
      <c r="E454" s="2" t="str">
        <f>IFERROR(__xludf.DUMMYFUNCTION("""COMPUTED_VALUE"""),"ನಲ್ಲಿ ತಲುಪಿಸಲಾಗಿದೆ")</f>
        <v>ನಲ್ಲಿ ತಲುಪಿಸಲಾಗಿದೆ</v>
      </c>
      <c r="F454" s="2" t="str">
        <f>IFERROR(__xludf.DUMMYFUNCTION("""COMPUTED_VALUE"""),"ରେ ବିତରଣ")</f>
        <v>ରେ ବିତରଣ</v>
      </c>
      <c r="G454" s="2" t="str">
        <f>IFERROR(__xludf.DUMMYFUNCTION("""COMPUTED_VALUE"""),"ডেলিভাৰী কৰা হৈছে")</f>
        <v>ডেলিভাৰী কৰা হৈছে</v>
      </c>
      <c r="H454" s="2" t="str">
        <f>IFERROR(__xludf.DUMMYFUNCTION("""COMPUTED_VALUE"""),"દ્વારા વિતરિત")</f>
        <v>દ્વારા વિતરિત</v>
      </c>
      <c r="I454" s="2" t="str">
        <f>IFERROR(__xludf.DUMMYFUNCTION("""COMPUTED_VALUE"""),"येथे वितरित")</f>
        <v>येथे वितरित</v>
      </c>
      <c r="J454" s="2" t="str">
        <f>IFERROR(__xludf.DUMMYFUNCTION("""COMPUTED_VALUE"""),"കൈമാറി")</f>
        <v>കൈമാറി</v>
      </c>
      <c r="K454" s="2" t="str">
        <f>IFERROR(__xludf.DUMMYFUNCTION("""COMPUTED_VALUE"""),"'ਤੇ ਦਿੱਤਾ")</f>
        <v>'ਤੇ ਦਿੱਤਾ</v>
      </c>
      <c r="L454" s="2" t="str">
        <f>IFERROR(__xludf.DUMMYFUNCTION("""COMPUTED_VALUE"""),"வழங்கப்பட்டது")</f>
        <v>வழங்கப்பட்டது</v>
      </c>
      <c r="M454" s="2" t="str">
        <f>IFERROR(__xludf.DUMMYFUNCTION("""COMPUTED_VALUE"""),"వద్ద పంపిణీ చేయబడింది")</f>
        <v>వద్ద పంపిణీ చేయబడింది</v>
      </c>
    </row>
    <row r="455">
      <c r="A455" s="2" t="str">
        <f>Master_en!A455</f>
        <v>Rejectedat</v>
      </c>
      <c r="B455" s="2" t="str">
        <f>Master_en!B455</f>
        <v>Rejected at</v>
      </c>
      <c r="C455" s="2" t="str">
        <f>IFERROR(__xludf.DUMMYFUNCTION("""COMPUTED_VALUE"""),"প্রত্যাখ্যান")</f>
        <v>প্রত্যাখ্যান</v>
      </c>
      <c r="D455" s="2" t="str">
        <f>IFERROR(__xludf.DUMMYFUNCTION("""COMPUTED_VALUE"""),"पर अस्वीकार कर दिया")</f>
        <v>पर अस्वीकार कर दिया</v>
      </c>
      <c r="E455" s="2" t="str">
        <f>IFERROR(__xludf.DUMMYFUNCTION("""COMPUTED_VALUE"""),"ನಲ್ಲಿ ತಿರಸ್ಕರಿಸಲಾಗಿದೆ")</f>
        <v>ನಲ್ಲಿ ತಿರಸ್ಕರಿಸಲಾಗಿದೆ</v>
      </c>
      <c r="F455" s="2" t="str">
        <f>IFERROR(__xludf.DUMMYFUNCTION("""COMPUTED_VALUE"""),"ପ୍ରତ୍ୟାଖ୍ୟାନ")</f>
        <v>ପ୍ରତ୍ୟାଖ୍ୟାନ</v>
      </c>
      <c r="G455" s="2" t="str">
        <f>IFERROR(__xludf.DUMMYFUNCTION("""COMPUTED_VALUE"""),"নাকচ কৰা হৈছে এ")</f>
        <v>নাকচ কৰা হৈছে এ</v>
      </c>
      <c r="H455" s="2" t="str">
        <f>IFERROR(__xludf.DUMMYFUNCTION("""COMPUTED_VALUE"""),"ને નકારી")</f>
        <v>ને નકારી</v>
      </c>
      <c r="I455" s="2" t="str">
        <f>IFERROR(__xludf.DUMMYFUNCTION("""COMPUTED_VALUE"""),"येथे नाकारले")</f>
        <v>येथे नाकारले</v>
      </c>
      <c r="J455" s="2" t="str">
        <f>IFERROR(__xludf.DUMMYFUNCTION("""COMPUTED_VALUE"""),"നിരസിച്ചു")</f>
        <v>നിരസിച്ചു</v>
      </c>
      <c r="K455" s="2" t="str">
        <f>IFERROR(__xludf.DUMMYFUNCTION("""COMPUTED_VALUE"""),"'ਤੇ ਰੱਦ ਕਰ ਦਿੱਤਾ")</f>
        <v>'ਤੇ ਰੱਦ ਕਰ ਦਿੱਤਾ</v>
      </c>
      <c r="L455" s="2" t="str">
        <f>IFERROR(__xludf.DUMMYFUNCTION("""COMPUTED_VALUE"""),"நிராகரிக்கப்பட்டது")</f>
        <v>நிராகரிக்கப்பட்டது</v>
      </c>
      <c r="M455" s="2" t="str">
        <f>IFERROR(__xludf.DUMMYFUNCTION("""COMPUTED_VALUE"""),"వద్ద తిరస్కరించబడింది")</f>
        <v>వద్ద తిరస్కరించబడింది</v>
      </c>
    </row>
    <row r="456">
      <c r="A456" s="2" t="str">
        <f>Master_en!A456</f>
        <v>Timeslot </v>
      </c>
      <c r="B456" s="2" t="str">
        <f>Master_en!B456</f>
        <v>Time slot </v>
      </c>
      <c r="C456" s="2" t="str">
        <f>IFERROR(__xludf.DUMMYFUNCTION("""COMPUTED_VALUE"""),"সময় স্লট")</f>
        <v>সময় স্লট</v>
      </c>
      <c r="D456" s="2" t="str">
        <f>IFERROR(__xludf.DUMMYFUNCTION("""COMPUTED_VALUE"""),"टाइम स्लॉट")</f>
        <v>टाइम स्लॉट</v>
      </c>
      <c r="E456" s="2" t="str">
        <f>IFERROR(__xludf.DUMMYFUNCTION("""COMPUTED_VALUE"""),"ಕೊಟ್ಟ ಸಮಯ")</f>
        <v>ಕೊಟ್ಟ ಸಮಯ</v>
      </c>
      <c r="F456" s="2" t="str">
        <f>IFERROR(__xludf.DUMMYFUNCTION("""COMPUTED_VALUE"""),"ସମୟ ସ୍ଲଟ୍")</f>
        <v>ସମୟ ସ୍ଲଟ୍</v>
      </c>
      <c r="G456" s="2" t="str">
        <f>IFERROR(__xludf.DUMMYFUNCTION("""COMPUTED_VALUE"""),"সময়ৰ স্লট")</f>
        <v>সময়ৰ স্লট</v>
      </c>
      <c r="H456" s="2" t="str">
        <f>IFERROR(__xludf.DUMMYFUNCTION("""COMPUTED_VALUE"""),"સમય -સ્લોટ")</f>
        <v>સમય -સ્લોટ</v>
      </c>
      <c r="I456" s="2" t="str">
        <f>IFERROR(__xludf.DUMMYFUNCTION("""COMPUTED_VALUE"""),"वेळ स्लॉट")</f>
        <v>वेळ स्लॉट</v>
      </c>
      <c r="J456" s="2" t="str">
        <f>IFERROR(__xludf.DUMMYFUNCTION("""COMPUTED_VALUE"""),"സമയ സ്ലോട്ട്")</f>
        <v>സമയ സ്ലോട്ട്</v>
      </c>
      <c r="K456" s="2" t="str">
        <f>IFERROR(__xludf.DUMMYFUNCTION("""COMPUTED_VALUE"""),"ਟਾਈਮ ਸਲਾਟ")</f>
        <v>ਟਾਈਮ ਸਲਾਟ</v>
      </c>
      <c r="L456" s="2" t="str">
        <f>IFERROR(__xludf.DUMMYFUNCTION("""COMPUTED_VALUE"""),"ஒதுக்கப்பட்ட நேரம்")</f>
        <v>ஒதுக்கப்பட்ட நேரம்</v>
      </c>
      <c r="M456" s="2" t="str">
        <f>IFERROR(__xludf.DUMMYFUNCTION("""COMPUTED_VALUE"""),"సమయ విభాగం")</f>
        <v>సమయ విభాగం</v>
      </c>
    </row>
    <row r="457">
      <c r="A457" s="2" t="str">
        <f>Master_en!A457</f>
        <v>Notavailable</v>
      </c>
      <c r="B457" s="2" t="str">
        <f>Master_en!B457</f>
        <v>Not available</v>
      </c>
      <c r="C457" s="2" t="str">
        <f>IFERROR(__xludf.DUMMYFUNCTION("""COMPUTED_VALUE"""),"পাওয়া যায় না")</f>
        <v>পাওয়া যায় না</v>
      </c>
      <c r="D457" s="2" t="str">
        <f>IFERROR(__xludf.DUMMYFUNCTION("""COMPUTED_VALUE"""),"उपलब्ध नहीं है")</f>
        <v>उपलब्ध नहीं है</v>
      </c>
      <c r="E457" s="2" t="str">
        <f>IFERROR(__xludf.DUMMYFUNCTION("""COMPUTED_VALUE"""),"ಲಭ್ಯವಿಲ್ಲ")</f>
        <v>ಲಭ್ಯವಿಲ್ಲ</v>
      </c>
      <c r="F457" s="2" t="str">
        <f>IFERROR(__xludf.DUMMYFUNCTION("""COMPUTED_VALUE"""),"ଉପଲବ୍ଧ ନୁହେଁ")</f>
        <v>ଉପଲବ୍ଧ ନୁହେଁ</v>
      </c>
      <c r="G457" s="2" t="str">
        <f>IFERROR(__xludf.DUMMYFUNCTION("""COMPUTED_VALUE"""),"উপলব্ধ নহয়")</f>
        <v>উপলব্ধ নহয়</v>
      </c>
      <c r="H457" s="2" t="str">
        <f>IFERROR(__xludf.DUMMYFUNCTION("""COMPUTED_VALUE"""),"ઉપલબ્ધ નથી")</f>
        <v>ઉપલબ્ધ નથી</v>
      </c>
      <c r="I457" s="2" t="str">
        <f>IFERROR(__xludf.DUMMYFUNCTION("""COMPUTED_VALUE"""),"उपलब्ध नाही")</f>
        <v>उपलब्ध नाही</v>
      </c>
      <c r="J457" s="2" t="str">
        <f>IFERROR(__xludf.DUMMYFUNCTION("""COMPUTED_VALUE"""),"ലഭ്യമല്ല")</f>
        <v>ലഭ്യമല്ല</v>
      </c>
      <c r="K457" s="2" t="str">
        <f>IFERROR(__xludf.DUMMYFUNCTION("""COMPUTED_VALUE"""),"ਉਪਲਭਦ ਨਹੀ")</f>
        <v>ਉਪਲਭਦ ਨਹੀ</v>
      </c>
      <c r="L457" s="2" t="str">
        <f>IFERROR(__xludf.DUMMYFUNCTION("""COMPUTED_VALUE"""),"கிடைக்கவில்லை")</f>
        <v>கிடைக்கவில்லை</v>
      </c>
      <c r="M457" s="2" t="str">
        <f>IFERROR(__xludf.DUMMYFUNCTION("""COMPUTED_VALUE"""),"అందుబాటులో లేదు")</f>
        <v>అందుబాటులో లేదు</v>
      </c>
    </row>
    <row r="458">
      <c r="A458" s="2" t="str">
        <f>Master_en!A458</f>
        <v>PaymentSuccessful</v>
      </c>
      <c r="B458" s="2" t="str">
        <f>Master_en!B458</f>
        <v>Payment Successful</v>
      </c>
      <c r="C458" s="2" t="str">
        <f>IFERROR(__xludf.DUMMYFUNCTION("""COMPUTED_VALUE"""),"পেমেন্ট সফল")</f>
        <v>পেমেন্ট সফল</v>
      </c>
      <c r="D458" s="2" t="str">
        <f>IFERROR(__xludf.DUMMYFUNCTION("""COMPUTED_VALUE"""),"भुगतान सफल")</f>
        <v>भुगतान सफल</v>
      </c>
      <c r="E458" s="2" t="str">
        <f>IFERROR(__xludf.DUMMYFUNCTION("""COMPUTED_VALUE"""),"ಪಾವತಿ ಯಶಸ್ವಿಯಾಗಿದೆ")</f>
        <v>ಪಾವತಿ ಯಶಸ್ವಿಯಾಗಿದೆ</v>
      </c>
      <c r="F458" s="2" t="str">
        <f>IFERROR(__xludf.DUMMYFUNCTION("""COMPUTED_VALUE"""),"ଦେୟ ସଫଳ")</f>
        <v>ଦେୟ ସଫଳ</v>
      </c>
      <c r="G458" s="2" t="str">
        <f>IFERROR(__xludf.DUMMYFUNCTION("""COMPUTED_VALUE"""),"পেমেন্ট সফল")</f>
        <v>পেমেন্ট সফল</v>
      </c>
      <c r="H458" s="2" t="str">
        <f>IFERROR(__xludf.DUMMYFUNCTION("""COMPUTED_VALUE"""),"ચુકવણી સફળ")</f>
        <v>ચુકવણી સફળ</v>
      </c>
      <c r="I458" s="2" t="str">
        <f>IFERROR(__xludf.DUMMYFUNCTION("""COMPUTED_VALUE"""),"देयक यशस्वी")</f>
        <v>देयक यशस्वी</v>
      </c>
      <c r="J458" s="2" t="str">
        <f>IFERROR(__xludf.DUMMYFUNCTION("""COMPUTED_VALUE"""),"പേയ്മെന്റ് വിജയകരമാണ്")</f>
        <v>പേയ്മെന്റ് വിജയകരമാണ്</v>
      </c>
      <c r="K458" s="2" t="str">
        <f>IFERROR(__xludf.DUMMYFUNCTION("""COMPUTED_VALUE"""),"ਭੁਗਤਾਨ ਸਫਲ")</f>
        <v>ਭੁਗਤਾਨ ਸਫਲ</v>
      </c>
      <c r="L458" s="2" t="str">
        <f>IFERROR(__xludf.DUMMYFUNCTION("""COMPUTED_VALUE"""),"பணம் வெற்றிகரமாக செலுத்தப்பட்டது")</f>
        <v>பணம் வெற்றிகரமாக செலுத்தப்பட்டது</v>
      </c>
      <c r="M458" s="2" t="str">
        <f>IFERROR(__xludf.DUMMYFUNCTION("""COMPUTED_VALUE"""),"చెల్లింపు విజయవంతమైంది")</f>
        <v>చెల్లింపు విజయవంతమైంది</v>
      </c>
    </row>
    <row r="459">
      <c r="A459" s="2" t="str">
        <f>Master_en!A459</f>
        <v>CashReceived</v>
      </c>
      <c r="B459" s="2" t="str">
        <f>Master_en!B459</f>
        <v>Cash Received</v>
      </c>
      <c r="C459" s="2" t="str">
        <f>IFERROR(__xludf.DUMMYFUNCTION("""COMPUTED_VALUE"""),"নগদ গ্রহন")</f>
        <v>নগদ গ্রহন</v>
      </c>
      <c r="D459" s="2" t="str">
        <f>IFERROR(__xludf.DUMMYFUNCTION("""COMPUTED_VALUE"""),"नकदी प्राप्त हुई")</f>
        <v>नकदी प्राप्त हुई</v>
      </c>
      <c r="E459" s="2" t="str">
        <f>IFERROR(__xludf.DUMMYFUNCTION("""COMPUTED_VALUE"""),"ನಗದು ಸ್ವೀಕರಿಸಲಾಗಿದೆ")</f>
        <v>ನಗದು ಸ್ವೀಕರಿಸಲಾಗಿದೆ</v>
      </c>
      <c r="F459" s="2" t="str">
        <f>IFERROR(__xludf.DUMMYFUNCTION("""COMPUTED_VALUE"""),"ନଗଦ ପ୍ରାପ୍ତ ହେଲା |")</f>
        <v>ନଗଦ ପ୍ରାପ୍ତ ହେଲା |</v>
      </c>
      <c r="G459" s="2" t="str">
        <f>IFERROR(__xludf.DUMMYFUNCTION("""COMPUTED_VALUE"""),"নগদ ধন লাভ কৰা হৈছে")</f>
        <v>নগদ ধন লাভ কৰা হৈছে</v>
      </c>
      <c r="H459" s="2" t="str">
        <f>IFERROR(__xludf.DUMMYFUNCTION("""COMPUTED_VALUE"""),"રોકડ પ્રાપ્ત")</f>
        <v>રોકડ પ્રાપ્ત</v>
      </c>
      <c r="I459" s="2" t="str">
        <f>IFERROR(__xludf.DUMMYFUNCTION("""COMPUTED_VALUE"""),"पेमेंट यशस्वी")</f>
        <v>पेमेंट यशस्वी</v>
      </c>
      <c r="J459" s="2" t="str">
        <f>IFERROR(__xludf.DUMMYFUNCTION("""COMPUTED_VALUE"""),"പണം ലഭിച്ചു")</f>
        <v>പണം ലഭിച്ചു</v>
      </c>
      <c r="K459" s="2" t="str">
        <f>IFERROR(__xludf.DUMMYFUNCTION("""COMPUTED_VALUE"""),"ਨਕਦ ਪ੍ਰਾਪਤ ਹੋਇਆ")</f>
        <v>ਨਕਦ ਪ੍ਰਾਪਤ ਹੋਇਆ</v>
      </c>
      <c r="L459" s="2" t="str">
        <f>IFERROR(__xludf.DUMMYFUNCTION("""COMPUTED_VALUE"""),"பெறப்பட்ட பணம்")</f>
        <v>பெறப்பட்ட பணம்</v>
      </c>
      <c r="M459" s="2" t="str">
        <f>IFERROR(__xludf.DUMMYFUNCTION("""COMPUTED_VALUE"""),"నగదు అందుకుంది")</f>
        <v>నగదు అందుకుంది</v>
      </c>
    </row>
    <row r="460">
      <c r="A460" s="2" t="str">
        <f>Master_en!A460</f>
        <v>Return</v>
      </c>
      <c r="B460" s="2" t="str">
        <f>Master_en!B460</f>
        <v>Return</v>
      </c>
      <c r="C460" s="2" t="str">
        <f>IFERROR(__xludf.DUMMYFUNCTION("""COMPUTED_VALUE"""),"প্রত্যাবর্তন")</f>
        <v>প্রত্যাবর্তন</v>
      </c>
      <c r="D460" s="2" t="str">
        <f>IFERROR(__xludf.DUMMYFUNCTION("""COMPUTED_VALUE"""),"वापस करना")</f>
        <v>वापस करना</v>
      </c>
      <c r="E460" s="2" t="str">
        <f>IFERROR(__xludf.DUMMYFUNCTION("""COMPUTED_VALUE"""),"ಮರಳಿ")</f>
        <v>ಮರಳಿ</v>
      </c>
      <c r="F460" s="2" t="str">
        <f>IFERROR(__xludf.DUMMYFUNCTION("""COMPUTED_VALUE"""),"ଫେରନ୍ତୁ")</f>
        <v>ଫେରନ୍ତୁ</v>
      </c>
      <c r="G460" s="2" t="str">
        <f>IFERROR(__xludf.DUMMYFUNCTION("""COMPUTED_VALUE"""),"উভতাই দিয়া")</f>
        <v>উভতাই দিয়া</v>
      </c>
      <c r="H460" s="2" t="str">
        <f>IFERROR(__xludf.DUMMYFUNCTION("""COMPUTED_VALUE"""),"વળતર")</f>
        <v>વળતર</v>
      </c>
      <c r="I460" s="2" t="str">
        <f>IFERROR(__xludf.DUMMYFUNCTION("""COMPUTED_VALUE"""),"प्राप्त रोख")</f>
        <v>प्राप्त रोख</v>
      </c>
      <c r="J460" s="2" t="str">
        <f>IFERROR(__xludf.DUMMYFUNCTION("""COMPUTED_VALUE"""),"മടങ്ങിവരുക")</f>
        <v>മടങ്ങിവരുക</v>
      </c>
      <c r="K460" s="2" t="str">
        <f>IFERROR(__xludf.DUMMYFUNCTION("""COMPUTED_VALUE"""),"ਵਾਪਸੀ")</f>
        <v>ਵਾਪਸੀ</v>
      </c>
      <c r="L460" s="2" t="str">
        <f>IFERROR(__xludf.DUMMYFUNCTION("""COMPUTED_VALUE"""),"திரும்ப")</f>
        <v>திரும்ப</v>
      </c>
      <c r="M460" s="2" t="str">
        <f>IFERROR(__xludf.DUMMYFUNCTION("""COMPUTED_VALUE"""),"తిరిగి")</f>
        <v>తిరిగి</v>
      </c>
    </row>
    <row r="461">
      <c r="A461" s="2" t="str">
        <f>Master_en!A461</f>
        <v>ItemStatus</v>
      </c>
      <c r="B461" s="2" t="str">
        <f>Master_en!B461</f>
        <v>Item Status</v>
      </c>
      <c r="C461" s="2" t="str">
        <f>IFERROR(__xludf.DUMMYFUNCTION("""COMPUTED_VALUE"""),"আইটেমের স্থিতি")</f>
        <v>আইটেমের স্থিতি</v>
      </c>
      <c r="D461" s="2" t="str">
        <f>IFERROR(__xludf.DUMMYFUNCTION("""COMPUTED_VALUE"""),"मद की स्थिति")</f>
        <v>मद की स्थिति</v>
      </c>
      <c r="E461" s="2" t="str">
        <f>IFERROR(__xludf.DUMMYFUNCTION("""COMPUTED_VALUE"""),"ಐಟಂ ಸ್ಥಿತಿ")</f>
        <v>ಐಟಂ ಸ್ಥಿತಿ</v>
      </c>
      <c r="F461" s="2" t="str">
        <f>IFERROR(__xludf.DUMMYFUNCTION("""COMPUTED_VALUE"""),"ବସ୍ତୁ ସ୍ଥିତି")</f>
        <v>ବସ୍ତୁ ସ୍ଥିତି</v>
      </c>
      <c r="G461" s="2" t="str">
        <f>IFERROR(__xludf.DUMMYFUNCTION("""COMPUTED_VALUE"""),"বস্তুৰ অৱস্থা")</f>
        <v>বস্তুৰ অৱস্থা</v>
      </c>
      <c r="H461" s="2" t="str">
        <f>IFERROR(__xludf.DUMMYFUNCTION("""COMPUTED_VALUE"""),"બાબત")</f>
        <v>બાબત</v>
      </c>
      <c r="I461" s="2" t="str">
        <f>IFERROR(__xludf.DUMMYFUNCTION("""COMPUTED_VALUE"""),"आयटम स्थिती")</f>
        <v>आयटम स्थिती</v>
      </c>
      <c r="J461" s="2" t="str">
        <f>IFERROR(__xludf.DUMMYFUNCTION("""COMPUTED_VALUE"""),"ഇനം നില")</f>
        <v>ഇനം നില</v>
      </c>
      <c r="K461" s="2" t="str">
        <f>IFERROR(__xludf.DUMMYFUNCTION("""COMPUTED_VALUE"""),"ਆਈਟਮ ਸਥਿਤੀ")</f>
        <v>ਆਈਟਮ ਸਥਿਤੀ</v>
      </c>
      <c r="L461" s="2" t="str">
        <f>IFERROR(__xludf.DUMMYFUNCTION("""COMPUTED_VALUE"""),"பொருளின் நிலை")</f>
        <v>பொருளின் நிலை</v>
      </c>
      <c r="M461" s="2" t="str">
        <f>IFERROR(__xludf.DUMMYFUNCTION("""COMPUTED_VALUE"""),"అంశం స్థితి")</f>
        <v>అంశం స్థితి</v>
      </c>
    </row>
    <row r="462">
      <c r="A462" s="2" t="str">
        <f>Master_en!A462</f>
        <v>noReturn</v>
      </c>
      <c r="B462" s="2" t="str">
        <f>Master_en!B462</f>
        <v>No Return</v>
      </c>
      <c r="C462" s="2" t="str">
        <f>IFERROR(__xludf.DUMMYFUNCTION("""COMPUTED_VALUE"""),"ফেরত নেই")</f>
        <v>ফেরত নেই</v>
      </c>
      <c r="D462" s="2" t="str">
        <f>IFERROR(__xludf.DUMMYFUNCTION("""COMPUTED_VALUE"""),"कोई वापसी नहीं")</f>
        <v>कोई वापसी नहीं</v>
      </c>
      <c r="E462" s="2" t="str">
        <f>IFERROR(__xludf.DUMMYFUNCTION("""COMPUTED_VALUE"""),"ರಿಟರ್ನ್ ಇಲ್ಲ")</f>
        <v>ರಿಟರ್ನ್ ಇಲ್ಲ</v>
      </c>
      <c r="F462" s="2" t="str">
        <f>IFERROR(__xludf.DUMMYFUNCTION("""COMPUTED_VALUE"""),"କ return ଣସି ପ୍ରତ୍ୟାବର୍ତ୍ତନ ନାହିଁ")</f>
        <v>କ return ଣସି ପ୍ରତ୍ୟାବର୍ତ୍ତନ ନାହିଁ</v>
      </c>
      <c r="G462" s="2" t="str">
        <f>IFERROR(__xludf.DUMMYFUNCTION("""COMPUTED_VALUE"""),"No Return")</f>
        <v>No Return</v>
      </c>
      <c r="H462" s="2" t="str">
        <f>IFERROR(__xludf.DUMMYFUNCTION("""COMPUTED_VALUE"""),"વળતર")</f>
        <v>વળતર</v>
      </c>
      <c r="I462" s="2" t="str">
        <f>IFERROR(__xludf.DUMMYFUNCTION("""COMPUTED_VALUE"""),"वस्तूची स्थिती")</f>
        <v>वस्तूची स्थिती</v>
      </c>
      <c r="J462" s="2" t="str">
        <f>IFERROR(__xludf.DUMMYFUNCTION("""COMPUTED_VALUE"""),"മടക്കം ഇല്ല")</f>
        <v>മടക്കം ഇല്ല</v>
      </c>
      <c r="K462" s="2" t="str">
        <f>IFERROR(__xludf.DUMMYFUNCTION("""COMPUTED_VALUE"""),"ਕੋਈ ਵਾਪਸੀ ਨਹੀਂ")</f>
        <v>ਕੋਈ ਵਾਪਸੀ ਨਹੀਂ</v>
      </c>
      <c r="L462" s="2" t="str">
        <f>IFERROR(__xludf.DUMMYFUNCTION("""COMPUTED_VALUE"""),"திரும்ப தரப்படாது")</f>
        <v>திரும்ப தரப்படாது</v>
      </c>
      <c r="M462" s="2" t="str">
        <f>IFERROR(__xludf.DUMMYFUNCTION("""COMPUTED_VALUE"""),"తిరిగి రాదు")</f>
        <v>తిరిగి రాదు</v>
      </c>
    </row>
    <row r="463">
      <c r="A463" s="2" t="str">
        <f>Master_en!A463</f>
        <v>sameDay</v>
      </c>
      <c r="B463" s="2" t="str">
        <f>Master_en!B463</f>
        <v>Same Day</v>
      </c>
      <c r="C463" s="2" t="str">
        <f>IFERROR(__xludf.DUMMYFUNCTION("""COMPUTED_VALUE"""),"একই দিন")</f>
        <v>একই দিন</v>
      </c>
      <c r="D463" s="2" t="str">
        <f>IFERROR(__xludf.DUMMYFUNCTION("""COMPUTED_VALUE"""),"एक ही दिन")</f>
        <v>एक ही दिन</v>
      </c>
      <c r="E463" s="2" t="str">
        <f>IFERROR(__xludf.DUMMYFUNCTION("""COMPUTED_VALUE"""),"ಅದೇ ದಿನ")</f>
        <v>ಅದೇ ದಿನ</v>
      </c>
      <c r="F463" s="2" t="str">
        <f>IFERROR(__xludf.DUMMYFUNCTION("""COMPUTED_VALUE"""),"ଯେଉଁ ଦିନ")</f>
        <v>ଯେଉଁ ଦିନ</v>
      </c>
      <c r="G463" s="2" t="str">
        <f>IFERROR(__xludf.DUMMYFUNCTION("""COMPUTED_VALUE"""),"একেদিনাই")</f>
        <v>একেদিনাই</v>
      </c>
      <c r="H463" s="2" t="str">
        <f>IFERROR(__xludf.DUMMYFUNCTION("""COMPUTED_VALUE"""),"તે જ દિવસે")</f>
        <v>તે જ દિવસે</v>
      </c>
      <c r="I463" s="2" t="str">
        <f>IFERROR(__xludf.DUMMYFUNCTION("""COMPUTED_VALUE"""),"त्याच दिवशी")</f>
        <v>त्याच दिवशी</v>
      </c>
      <c r="J463" s="2" t="str">
        <f>IFERROR(__xludf.DUMMYFUNCTION("""COMPUTED_VALUE"""),"ഒരേ ദിവസം")</f>
        <v>ഒരേ ദിവസം</v>
      </c>
      <c r="K463" s="2" t="str">
        <f>IFERROR(__xludf.DUMMYFUNCTION("""COMPUTED_VALUE"""),"ਉਸੇ ਦਿਨ")</f>
        <v>ਉਸੇ ਦਿਨ</v>
      </c>
      <c r="L463" s="2" t="str">
        <f>IFERROR(__xludf.DUMMYFUNCTION("""COMPUTED_VALUE"""),"அதே நாள்")</f>
        <v>அதே நாள்</v>
      </c>
      <c r="M463" s="2" t="str">
        <f>IFERROR(__xludf.DUMMYFUNCTION("""COMPUTED_VALUE"""),"అదే రోజు")</f>
        <v>అదే రోజు</v>
      </c>
    </row>
    <row r="464">
      <c r="A464" s="2" t="str">
        <f>Master_en!A464</f>
        <v>nextDay</v>
      </c>
      <c r="B464" s="2" t="str">
        <f>Master_en!B464</f>
        <v>Next Day</v>
      </c>
      <c r="C464" s="2" t="str">
        <f>IFERROR(__xludf.DUMMYFUNCTION("""COMPUTED_VALUE"""),"পরবর্তী দিন")</f>
        <v>পরবর্তী দিন</v>
      </c>
      <c r="D464" s="2" t="str">
        <f>IFERROR(__xludf.DUMMYFUNCTION("""COMPUTED_VALUE"""),"अगले दिन")</f>
        <v>अगले दिन</v>
      </c>
      <c r="E464" s="2" t="str">
        <f>IFERROR(__xludf.DUMMYFUNCTION("""COMPUTED_VALUE"""),"ಹಿಂಪಡೆಯುವುದಿಲ್ಲ")</f>
        <v>ಹಿಂಪಡೆಯುವುದಿಲ್ಲ</v>
      </c>
      <c r="F464" s="2" t="str">
        <f>IFERROR(__xludf.DUMMYFUNCTION("""COMPUTED_VALUE"""),"ପରଦିନ")</f>
        <v>ପରଦିନ</v>
      </c>
      <c r="G464" s="2" t="str">
        <f>IFERROR(__xludf.DUMMYFUNCTION("""COMPUTED_VALUE"""),"পৰৱৰ্তী দিনটো")</f>
        <v>পৰৱৰ্তী দিনটো</v>
      </c>
      <c r="H464" s="2" t="str">
        <f>IFERROR(__xludf.DUMMYFUNCTION("""COMPUTED_VALUE"""),"આવતો દિવસ")</f>
        <v>આવતો દિવસ</v>
      </c>
      <c r="I464" s="2" t="str">
        <f>IFERROR(__xludf.DUMMYFUNCTION("""COMPUTED_VALUE"""),"दुसर्‍या दिवशी")</f>
        <v>दुसर्‍या दिवशी</v>
      </c>
      <c r="J464" s="2" t="str">
        <f>IFERROR(__xludf.DUMMYFUNCTION("""COMPUTED_VALUE"""),"അടുത്ത ദിവസം")</f>
        <v>അടുത്ത ദിവസം</v>
      </c>
      <c r="K464" s="2" t="str">
        <f>IFERROR(__xludf.DUMMYFUNCTION("""COMPUTED_VALUE"""),"ਅਗਲੇ ਦਿਨ")</f>
        <v>ਅਗਲੇ ਦਿਨ</v>
      </c>
      <c r="L464" s="2" t="str">
        <f>IFERROR(__xludf.DUMMYFUNCTION("""COMPUTED_VALUE"""),"மறுநாள்")</f>
        <v>மறுநாள்</v>
      </c>
      <c r="M464" s="2" t="str">
        <f>IFERROR(__xludf.DUMMYFUNCTION("""COMPUTED_VALUE"""),"మరుసటి రోజు")</f>
        <v>మరుసటి రోజు</v>
      </c>
    </row>
    <row r="465">
      <c r="A465" s="2" t="str">
        <f>Master_en!A465</f>
        <v>Delivered </v>
      </c>
      <c r="B465" s="2" t="str">
        <f>Master_en!B465</f>
        <v>Delivered </v>
      </c>
      <c r="C465" s="2" t="str">
        <f>IFERROR(__xludf.DUMMYFUNCTION("""COMPUTED_VALUE"""),"বিতরণ")</f>
        <v>বিতরণ</v>
      </c>
      <c r="D465" s="2" t="str">
        <f>IFERROR(__xludf.DUMMYFUNCTION("""COMPUTED_VALUE"""),"पहुंचा दिया")</f>
        <v>पहुंचा दिया</v>
      </c>
      <c r="E465" s="2" t="str">
        <f>IFERROR(__xludf.DUMMYFUNCTION("""COMPUTED_VALUE"""),"ವಿತರಿಸಿದ")</f>
        <v>ವಿತರಿಸಿದ</v>
      </c>
      <c r="F465" s="2" t="str">
        <f>IFERROR(__xludf.DUMMYFUNCTION("""COMPUTED_VALUE"""),"ବିତରଣ")</f>
        <v>ବିତରଣ</v>
      </c>
      <c r="G465" s="2" t="str">
        <f>IFERROR(__xludf.DUMMYFUNCTION("""COMPUTED_VALUE"""),"বিলি কৰা হ’ল")</f>
        <v>বিলি কৰা হ’ল</v>
      </c>
      <c r="H465" s="2" t="str">
        <f>IFERROR(__xludf.DUMMYFUNCTION("""COMPUTED_VALUE"""),"પહોંચાડવું")</f>
        <v>પહોંચાડવું</v>
      </c>
      <c r="I465" s="2" t="str">
        <f>IFERROR(__xludf.DUMMYFUNCTION("""COMPUTED_VALUE"""),"वितरित")</f>
        <v>वितरित</v>
      </c>
      <c r="J465" s="2" t="str">
        <f>IFERROR(__xludf.DUMMYFUNCTION("""COMPUTED_VALUE"""),"കൈമാറി")</f>
        <v>കൈമാറി</v>
      </c>
      <c r="K465" s="2" t="str">
        <f>IFERROR(__xludf.DUMMYFUNCTION("""COMPUTED_VALUE"""),"ਦਿੱਤਾ ਗਿਆ")</f>
        <v>ਦਿੱਤਾ ਗਿਆ</v>
      </c>
      <c r="L465" s="2" t="str">
        <f>IFERROR(__xludf.DUMMYFUNCTION("""COMPUTED_VALUE"""),"டெலிவெரெட்")</f>
        <v>டெலிவெரெட்</v>
      </c>
      <c r="M465" s="2" t="str">
        <f>IFERROR(__xludf.DUMMYFUNCTION("""COMPUTED_VALUE"""),"పంపిణీ చేయబడింది")</f>
        <v>పంపిణీ చేయబడింది</v>
      </c>
    </row>
    <row r="466">
      <c r="A466" s="2" t="str">
        <f>Master_en!A466</f>
        <v>Hrs</v>
      </c>
      <c r="B466" s="2" t="str">
        <f>Master_en!B466</f>
        <v>Hrs</v>
      </c>
      <c r="C466" s="2" t="str">
        <f>IFERROR(__xludf.DUMMYFUNCTION("""COMPUTED_VALUE"""),"ঘন্টা")</f>
        <v>ঘন্টা</v>
      </c>
      <c r="D466" s="2" t="str">
        <f>IFERROR(__xludf.DUMMYFUNCTION("""COMPUTED_VALUE"""),"घंटे")</f>
        <v>घंटे</v>
      </c>
      <c r="E466" s="2" t="str">
        <f>IFERROR(__xludf.DUMMYFUNCTION("""COMPUTED_VALUE"""),"ಗಂ")</f>
        <v>ಗಂ</v>
      </c>
      <c r="F466" s="2" t="str">
        <f>IFERROR(__xludf.DUMMYFUNCTION("""COMPUTED_VALUE"""),"00")</f>
        <v>00</v>
      </c>
      <c r="G466" s="2" t="str">
        <f>IFERROR(__xludf.DUMMYFUNCTION("""COMPUTED_VALUE"""),"ঘন্টা")</f>
        <v>ঘন্টা</v>
      </c>
      <c r="H466" s="2" t="str">
        <f>IFERROR(__xludf.DUMMYFUNCTION("""COMPUTED_VALUE"""),"કલા")</f>
        <v>કલા</v>
      </c>
      <c r="I466" s="2" t="str">
        <f>IFERROR(__xludf.DUMMYFUNCTION("""COMPUTED_VALUE"""),"तास")</f>
        <v>तास</v>
      </c>
      <c r="J466" s="2" t="str">
        <f>IFERROR(__xludf.DUMMYFUNCTION("""COMPUTED_VALUE"""),"എച്ച്ആർഎസ്")</f>
        <v>എച്ച്ആർഎസ്</v>
      </c>
      <c r="K466" s="2" t="str">
        <f>IFERROR(__xludf.DUMMYFUNCTION("""COMPUTED_VALUE"""),"ਘੰਟਾ")</f>
        <v>ਘੰਟਾ</v>
      </c>
      <c r="L466" s="2" t="str">
        <f>IFERROR(__xludf.DUMMYFUNCTION("""COMPUTED_VALUE"""),"மணி")</f>
        <v>மணி</v>
      </c>
      <c r="M466" s="2" t="str">
        <f>IFERROR(__xludf.DUMMYFUNCTION("""COMPUTED_VALUE"""),"Hrs")</f>
        <v>Hrs</v>
      </c>
    </row>
    <row r="467">
      <c r="A467" s="2" t="str">
        <f>Master_en!A467</f>
        <v>kg</v>
      </c>
      <c r="B467" s="2" t="str">
        <f>Master_en!B467</f>
        <v>kg</v>
      </c>
      <c r="C467" s="2" t="str">
        <f>IFERROR(__xludf.DUMMYFUNCTION("""COMPUTED_VALUE"""),"কেজি")</f>
        <v>কেজি</v>
      </c>
      <c r="D467" s="2" t="str">
        <f>IFERROR(__xludf.DUMMYFUNCTION("""COMPUTED_VALUE"""),"किलोग्राम")</f>
        <v>किलोग्राम</v>
      </c>
      <c r="E467" s="2" t="str">
        <f>IFERROR(__xludf.DUMMYFUNCTION("""COMPUTED_VALUE"""),"ಕೇಜಿ")</f>
        <v>ಕೇಜಿ</v>
      </c>
      <c r="F467" s="2" t="str">
        <f>IFERROR(__xludf.DUMMYFUNCTION("""COMPUTED_VALUE"""),"କିଲୋଗ୍ରାମ୍")</f>
        <v>କିଲୋଗ୍ରାମ୍</v>
      </c>
      <c r="G467" s="2" t="str">
        <f>IFERROR(__xludf.DUMMYFUNCTION("""COMPUTED_VALUE"""),"কে.জি")</f>
        <v>কে.জি</v>
      </c>
      <c r="H467" s="2" t="str">
        <f>IFERROR(__xludf.DUMMYFUNCTION("""COMPUTED_VALUE"""),"કિલો ગ્રામ")</f>
        <v>કિલો ગ્રામ</v>
      </c>
      <c r="I467" s="2" t="str">
        <f>IFERROR(__xludf.DUMMYFUNCTION("""COMPUTED_VALUE"""),"किलो")</f>
        <v>किलो</v>
      </c>
      <c r="J467" s="2" t="str">
        <f>IFERROR(__xludf.DUMMYFUNCTION("""COMPUTED_VALUE"""),"കി. ഗ്രാം")</f>
        <v>കി. ഗ്രാം</v>
      </c>
      <c r="K467" s="2" t="str">
        <f>IFERROR(__xludf.DUMMYFUNCTION("""COMPUTED_VALUE"""),"ਕਿਲੋ")</f>
        <v>ਕਿਲੋ</v>
      </c>
      <c r="L467" s="2" t="str">
        <f>IFERROR(__xludf.DUMMYFUNCTION("""COMPUTED_VALUE"""),"கிலோ")</f>
        <v>கிலோ</v>
      </c>
      <c r="M467" s="2" t="str">
        <f>IFERROR(__xludf.DUMMYFUNCTION("""COMPUTED_VALUE"""),"కిలొగ్రామ్")</f>
        <v>కిలొగ్రామ్</v>
      </c>
    </row>
    <row r="468">
      <c r="A468" s="2" t="str">
        <f>Master_en!A468</f>
        <v>returnWithin</v>
      </c>
      <c r="B468" s="2" t="str">
        <f>Master_en!B468</f>
        <v>Return Within</v>
      </c>
      <c r="C468" s="2" t="str">
        <f>IFERROR(__xludf.DUMMYFUNCTION("""COMPUTED_VALUE"""),"মধ্যে ফিরে")</f>
        <v>মধ্যে ফিরে</v>
      </c>
      <c r="D468" s="2" t="str">
        <f>IFERROR(__xludf.DUMMYFUNCTION("""COMPUTED_VALUE"""),"भीतर वापस लौटना")</f>
        <v>भीतर वापस लौटना</v>
      </c>
      <c r="E468" s="2" t="str">
        <f>IFERROR(__xludf.DUMMYFUNCTION("""COMPUTED_VALUE"""),"ಒಳಗೆ ಹಿಂತಿರುಗಿ")</f>
        <v>ಒಳಗೆ ಹಿಂತಿರುಗಿ</v>
      </c>
      <c r="F468" s="2" t="str">
        <f>IFERROR(__xludf.DUMMYFUNCTION("""COMPUTED_VALUE"""),"ଭିତରେ ଫେରନ୍ତୁ |")</f>
        <v>ଭିତରେ ଫେରନ୍ତୁ |</v>
      </c>
      <c r="G468" s="2" t="str">
        <f>IFERROR(__xludf.DUMMYFUNCTION("""COMPUTED_VALUE"""),"ভিতৰত উভতি যাওক")</f>
        <v>ভিতৰত উভতি যাওক</v>
      </c>
      <c r="H468" s="2" t="str">
        <f>IFERROR(__xludf.DUMMYFUNCTION("""COMPUTED_VALUE"""),"અંદર પાછા ફરો")</f>
        <v>અંદર પાછા ફરો</v>
      </c>
      <c r="I468" s="2" t="str">
        <f>IFERROR(__xludf.DUMMYFUNCTION("""COMPUTED_VALUE"""),"आत परत जा")</f>
        <v>आत परत जा</v>
      </c>
      <c r="J468" s="2" t="str">
        <f>IFERROR(__xludf.DUMMYFUNCTION("""COMPUTED_VALUE"""),"അകത്ത് മടങ്ങുക")</f>
        <v>അകത്ത് മടങ്ങുക</v>
      </c>
      <c r="K468" s="2" t="str">
        <f>IFERROR(__xludf.DUMMYFUNCTION("""COMPUTED_VALUE"""),"ਅੰਦਰ ਵਾਪਸ ਜਾਓ")</f>
        <v>ਅੰਦਰ ਵਾਪਸ ਜਾਓ</v>
      </c>
      <c r="L468" s="2" t="str">
        <f>IFERROR(__xludf.DUMMYFUNCTION("""COMPUTED_VALUE"""),"உள்ளே திரும்பவும்")</f>
        <v>உள்ளே திரும்பவும்</v>
      </c>
      <c r="M468" s="2" t="str">
        <f>IFERROR(__xludf.DUMMYFUNCTION("""COMPUTED_VALUE"""),"లోపల తిరిగి")</f>
        <v>లోపల తిరిగి</v>
      </c>
    </row>
    <row r="469">
      <c r="A469" s="2" t="str">
        <f>Master_en!A469</f>
        <v>maxQtyPerOrder</v>
      </c>
      <c r="B469" s="2" t="str">
        <f>Master_en!B469</f>
        <v>Max. qty per Order</v>
      </c>
      <c r="C469" s="2" t="str">
        <f>IFERROR(__xludf.DUMMYFUNCTION("""COMPUTED_VALUE"""),"সর্বোচ্চ অর্ডার প্রতি কিটি")</f>
        <v>সর্বোচ্চ অর্ডার প্রতি কিটি</v>
      </c>
      <c r="D469" s="2" t="str">
        <f>IFERROR(__xludf.DUMMYFUNCTION("""COMPUTED_VALUE"""),"अधिकतम। प्रति आदेश qty")</f>
        <v>अधिकतम। प्रति आदेश qty</v>
      </c>
      <c r="E469" s="2" t="str">
        <f>IFERROR(__xludf.DUMMYFUNCTION("""COMPUTED_VALUE"""),"ಗರಿಷ್ಠ. ಪ್ರತಿ ಆದೇಶಕ್ಕೆ qty")</f>
        <v>ಗರಿಷ್ಠ. ಪ್ರತಿ ಆದೇಶಕ್ಕೆ qty</v>
      </c>
      <c r="F469" s="2" t="str">
        <f>IFERROR(__xludf.DUMMYFUNCTION("""COMPUTED_VALUE"""),"ସର୍ବାଧିକ qty କ୍ରମ")</f>
        <v>ସର୍ବାଧିକ qty କ୍ରମ</v>
      </c>
      <c r="G469" s="2" t="str">
        <f>IFERROR(__xludf.DUMMYFUNCTION("""COMPUTED_VALUE"""),"সৰ্বোচ্চ। প্ৰতি অৰ্ডাৰত qty")</f>
        <v>সৰ্বোচ্চ। প্ৰতি অৰ্ডাৰত qty</v>
      </c>
      <c r="H469" s="2" t="str">
        <f>IFERROR(__xludf.DUMMYFUNCTION("""COMPUTED_VALUE"""),"મહત્તમ. ઓર્ડર દીઠ QTY")</f>
        <v>મહત્તમ. ઓર્ડર દીઠ QTY</v>
      </c>
      <c r="I469" s="2" t="str">
        <f>IFERROR(__xludf.DUMMYFUNCTION("""COMPUTED_VALUE"""),"आत परत")</f>
        <v>आत परत</v>
      </c>
      <c r="J469" s="2" t="str">
        <f>IFERROR(__xludf.DUMMYFUNCTION("""COMPUTED_VALUE"""),"പരമാവധി. ഓരോ ഓർഡറിനും qty")</f>
        <v>പരമാവധി. ഓരോ ഓർഡറിനും qty</v>
      </c>
      <c r="K469" s="2" t="str">
        <f>IFERROR(__xludf.DUMMYFUNCTION("""COMPUTED_VALUE"""),"ਅਧਿਕਤਮ ਕਿ quy% ਪ੍ਰਤੀ ਆਰਡਰ")</f>
        <v>ਅਧਿਕਤਮ ਕਿ quy% ਪ੍ਰਤੀ ਆਰਡਰ</v>
      </c>
      <c r="L469" s="2" t="str">
        <f>IFERROR(__xludf.DUMMYFUNCTION("""COMPUTED_VALUE"""),"அதிகபட்சம். ஒரு ஆர்டருக்கு qty")</f>
        <v>அதிகபட்சம். ஒரு ஆர்டருக்கு qty</v>
      </c>
      <c r="M469" s="2" t="str">
        <f>IFERROR(__xludf.DUMMYFUNCTION("""COMPUTED_VALUE"""),"గరిష్టంగా. QTY ప్రతి ఆర్డర్‌కు")</f>
        <v>గరిష్టంగా. QTY ప్రతి ఆర్డర్‌కు</v>
      </c>
    </row>
    <row r="470">
      <c r="A470" s="2" t="str">
        <f>Master_en!A470</f>
        <v>salarypermonth</v>
      </c>
      <c r="B470" s="2" t="str">
        <f>Master_en!B470</f>
        <v>Salary Per Month</v>
      </c>
      <c r="C470" s="2" t="str">
        <f>IFERROR(__xludf.DUMMYFUNCTION("""COMPUTED_VALUE"""),"প্রতি মাসে বেতন")</f>
        <v>প্রতি মাসে বেতন</v>
      </c>
      <c r="D470" s="2" t="str">
        <f>IFERROR(__xludf.DUMMYFUNCTION("""COMPUTED_VALUE"""),"प्रति माह वेतन")</f>
        <v>प्रति माह वेतन</v>
      </c>
      <c r="E470" s="2" t="str">
        <f>IFERROR(__xludf.DUMMYFUNCTION("""COMPUTED_VALUE"""),"ತಿಂಗಳಿಗೆ ಸಂಬಳ")</f>
        <v>ತಿಂಗಳಿಗೆ ಸಂಬಳ</v>
      </c>
      <c r="F470" s="2" t="str">
        <f>IFERROR(__xludf.DUMMYFUNCTION("""COMPUTED_VALUE"""),"ମାସକୁ ଦରମା |")</f>
        <v>ମାସକୁ ଦରମା |</v>
      </c>
      <c r="G470" s="2" t="str">
        <f>IFERROR(__xludf.DUMMYFUNCTION("""COMPUTED_VALUE"""),"প্ৰতি মাহে দৰমহা")</f>
        <v>প্ৰতি মাহে দৰমহা</v>
      </c>
      <c r="H470" s="2" t="str">
        <f>IFERROR(__xludf.DUMMYFUNCTION("""COMPUTED_VALUE"""),"દર મહિને પગાર")</f>
        <v>દર મહિને પગાર</v>
      </c>
      <c r="I470" s="2" t="str">
        <f>IFERROR(__xludf.DUMMYFUNCTION("""COMPUTED_VALUE"""),"प्रति ऑर्डर कमाल प्रमाण")</f>
        <v>प्रति ऑर्डर कमाल प्रमाण</v>
      </c>
      <c r="J470" s="2" t="str">
        <f>IFERROR(__xludf.DUMMYFUNCTION("""COMPUTED_VALUE"""),"പ്രതിമാസം ശമ്പളം")</f>
        <v>പ്രതിമാസം ശമ്പളം</v>
      </c>
      <c r="K470" s="2" t="str">
        <f>IFERROR(__xludf.DUMMYFUNCTION("""COMPUTED_VALUE"""),"ਪ੍ਰਤੀ ਮਹੀਨਾ ਤਨਖਾਹ")</f>
        <v>ਪ੍ਰਤੀ ਮਹੀਨਾ ਤਨਖਾਹ</v>
      </c>
      <c r="L470" s="2" t="str">
        <f>IFERROR(__xludf.DUMMYFUNCTION("""COMPUTED_VALUE"""),"மாத சம்பளம்")</f>
        <v>மாத சம்பளம்</v>
      </c>
      <c r="M470" s="2" t="str">
        <f>IFERROR(__xludf.DUMMYFUNCTION("""COMPUTED_VALUE"""),"నెలకు జీతం")</f>
        <v>నెలకు జీతం</v>
      </c>
    </row>
    <row r="471">
      <c r="A471" s="2" t="str">
        <f>Master_en!A471</f>
        <v>sales&amp;serviceofficer</v>
      </c>
      <c r="B471" s="2" t="str">
        <f>Master_en!B471</f>
        <v>Sales &amp; Service Officer</v>
      </c>
      <c r="C471" s="2" t="str">
        <f>IFERROR(__xludf.DUMMYFUNCTION("""COMPUTED_VALUE"""),"বিক্রয় ও সেবা অফিসার")</f>
        <v>বিক্রয় ও সেবা অফিসার</v>
      </c>
      <c r="D471" s="2" t="str">
        <f>IFERROR(__xludf.DUMMYFUNCTION("""COMPUTED_VALUE"""),"बिक्री और सेवा अधिकारी")</f>
        <v>बिक्री और सेवा अधिकारी</v>
      </c>
      <c r="E471" s="2" t="str">
        <f>IFERROR(__xludf.DUMMYFUNCTION("""COMPUTED_VALUE"""),"ಮಾರಾಟ ಮತ್ತು ಸೇವಾ ಅಧಿಕಾರಿ")</f>
        <v>ಮಾರಾಟ ಮತ್ತು ಸೇವಾ ಅಧಿಕಾರಿ</v>
      </c>
      <c r="F471" s="2" t="str">
        <f>IFERROR(__xludf.DUMMYFUNCTION("""COMPUTED_VALUE"""),"ବିକ୍ରୟ ଏବଂ ସେବା ଅଧିକାରୀ |")</f>
        <v>ବିକ୍ରୟ ଏବଂ ସେବା ଅଧିକାରୀ |</v>
      </c>
      <c r="G471" s="2" t="str">
        <f>IFERROR(__xludf.DUMMYFUNCTION("""COMPUTED_VALUE"""),"বিক্ৰী আৰু সেৱা বিষয়া")</f>
        <v>বিক্ৰী আৰু সেৱা বিষয়া</v>
      </c>
      <c r="H471" s="2" t="str">
        <f>IFERROR(__xludf.DUMMYFUNCTION("""COMPUTED_VALUE"""),"વેચાણ અને સેવા અધિકારી")</f>
        <v>વેચાણ અને સેવા અધિકારી</v>
      </c>
      <c r="I471" s="2" t="str">
        <f>IFERROR(__xludf.DUMMYFUNCTION("""COMPUTED_VALUE"""),"विक्री व सेवा अधिकारी")</f>
        <v>विक्री व सेवा अधिकारी</v>
      </c>
      <c r="J471" s="2" t="str">
        <f>IFERROR(__xludf.DUMMYFUNCTION("""COMPUTED_VALUE"""),"സെയിൽസ് &amp; സർവീസ് ഓഫീസർ")</f>
        <v>സെയിൽസ് &amp; സർവീസ് ഓഫീസർ</v>
      </c>
      <c r="K471" s="2" t="str">
        <f>IFERROR(__xludf.DUMMYFUNCTION("""COMPUTED_VALUE"""),"ਵਿਕਰੀ ਅਤੇ ਸੇਵਾ ਅਧਿਕਾਰੀ")</f>
        <v>ਵਿਕਰੀ ਅਤੇ ਸੇਵਾ ਅਧਿਕਾਰੀ</v>
      </c>
      <c r="L471" s="2" t="str">
        <f>IFERROR(__xludf.DUMMYFUNCTION("""COMPUTED_VALUE"""),"விற்பனை மற்றும் சேவை அதிகாரி")</f>
        <v>விற்பனை மற்றும் சேவை அதிகாரி</v>
      </c>
      <c r="M471" s="2" t="str">
        <f>IFERROR(__xludf.DUMMYFUNCTION("""COMPUTED_VALUE"""),"అమ్మకాలు &amp; సేవా అధికారి")</f>
        <v>అమ్మకాలు &amp; సేవా అధికారి</v>
      </c>
    </row>
    <row r="472">
      <c r="A472" s="2" t="str">
        <f>Master_en!A472</f>
        <v>inStock</v>
      </c>
      <c r="B472" s="2" t="str">
        <f>Master_en!B472</f>
        <v>In Stock</v>
      </c>
      <c r="C472" s="2" t="str">
        <f>IFERROR(__xludf.DUMMYFUNCTION("""COMPUTED_VALUE"""),"স্টক")</f>
        <v>স্টক</v>
      </c>
      <c r="D472" s="2" t="str">
        <f>IFERROR(__xludf.DUMMYFUNCTION("""COMPUTED_VALUE"""),"स्टॉक में")</f>
        <v>स्टॉक में</v>
      </c>
      <c r="E472" s="2" t="str">
        <f>IFERROR(__xludf.DUMMYFUNCTION("""COMPUTED_VALUE"""),"ಉಪಲಬ್ದವಿದೆ")</f>
        <v>ಉಪಲಬ್ದವಿದೆ</v>
      </c>
      <c r="F472" s="2" t="str">
        <f>IFERROR(__xludf.DUMMYFUNCTION("""COMPUTED_VALUE"""),"ମହଜୁଦ ଅଛି")</f>
        <v>ମହଜୁଦ ଅଛି</v>
      </c>
      <c r="G472" s="2" t="str">
        <f>IFERROR(__xludf.DUMMYFUNCTION("""COMPUTED_VALUE"""),"ভঁৰালত")</f>
        <v>ভঁৰালত</v>
      </c>
      <c r="H472" s="2" t="str">
        <f>IFERROR(__xludf.DUMMYFUNCTION("""COMPUTED_VALUE"""),"ઉપલબ્ધ છે")</f>
        <v>ઉપલબ્ધ છે</v>
      </c>
      <c r="I472" s="2" t="str">
        <f>IFERROR(__xludf.DUMMYFUNCTION("""COMPUTED_VALUE"""),"स्टॉक मध्ये")</f>
        <v>स्टॉक मध्ये</v>
      </c>
      <c r="J472" s="2" t="str">
        <f>IFERROR(__xludf.DUMMYFUNCTION("""COMPUTED_VALUE"""),"സ്റ്റോക്കുണ്ട്")</f>
        <v>സ്റ്റോക്കുണ്ട്</v>
      </c>
      <c r="K472" s="2" t="str">
        <f>IFERROR(__xludf.DUMMYFUNCTION("""COMPUTED_VALUE"""),"ਭੰਡਾਰ ਵਿੱਚ")</f>
        <v>ਭੰਡਾਰ ਵਿੱਚ</v>
      </c>
      <c r="L472" s="2" t="str">
        <f>IFERROR(__xludf.DUMMYFUNCTION("""COMPUTED_VALUE"""),"கையிருப்பு")</f>
        <v>கையிருப்பு</v>
      </c>
      <c r="M472" s="2" t="str">
        <f>IFERROR(__xludf.DUMMYFUNCTION("""COMPUTED_VALUE"""),"అందుబాటులో ఉంది")</f>
        <v>అందుబాటులో ఉంది</v>
      </c>
    </row>
    <row r="473">
      <c r="A473" s="2" t="str">
        <f>Master_en!A473</f>
        <v>outOfStock</v>
      </c>
      <c r="B473" s="2" t="str">
        <f>Master_en!B473</f>
        <v>Out of Stock</v>
      </c>
      <c r="C473" s="2" t="str">
        <f>IFERROR(__xludf.DUMMYFUNCTION("""COMPUTED_VALUE"""),"স্টক বাইরে")</f>
        <v>স্টক বাইরে</v>
      </c>
      <c r="D473" s="2" t="str">
        <f>IFERROR(__xludf.DUMMYFUNCTION("""COMPUTED_VALUE"""),"स्टॉक ख़त्म")</f>
        <v>स्टॉक ख़त्म</v>
      </c>
      <c r="E473" s="2" t="str">
        <f>IFERROR(__xludf.DUMMYFUNCTION("""COMPUTED_VALUE"""),"ಸ್ಟಾಕ್ನಿಂದ ಹೊರಗಡೆ")</f>
        <v>ಸ್ಟಾಕ್ನಿಂದ ಹೊರಗಡೆ</v>
      </c>
      <c r="F473" s="2" t="str">
        <f>IFERROR(__xludf.DUMMYFUNCTION("""COMPUTED_VALUE"""),"ଷ୍ଟକ୍ ସେଶ")</f>
        <v>ଷ୍ଟକ୍ ସେଶ</v>
      </c>
      <c r="G473" s="2" t="str">
        <f>IFERROR(__xludf.DUMMYFUNCTION("""COMPUTED_VALUE"""),"ষ্টক শেষ হৈ গৈছে")</f>
        <v>ষ্টক শেষ হৈ গৈছে</v>
      </c>
      <c r="H473" s="2" t="str">
        <f>IFERROR(__xludf.DUMMYFUNCTION("""COMPUTED_VALUE"""),"તદ્દન")</f>
        <v>તદ્દન</v>
      </c>
      <c r="I473" s="2" t="str">
        <f>IFERROR(__xludf.DUMMYFUNCTION("""COMPUTED_VALUE"""),"स्टॉकच्या बाहेर")</f>
        <v>स्टॉकच्या बाहेर</v>
      </c>
      <c r="J473" s="2" t="str">
        <f>IFERROR(__xludf.DUMMYFUNCTION("""COMPUTED_VALUE"""),"സ്റ്റോക്കില്ല")</f>
        <v>സ്റ്റോക്കില്ല</v>
      </c>
      <c r="K473" s="2" t="str">
        <f>IFERROR(__xludf.DUMMYFUNCTION("""COMPUTED_VALUE"""),"ਖਤਮ ਹੈ")</f>
        <v>ਖਤਮ ਹੈ</v>
      </c>
      <c r="L473" s="2" t="str">
        <f>IFERROR(__xludf.DUMMYFUNCTION("""COMPUTED_VALUE"""),"கையிருப்பில் இல்லை")</f>
        <v>கையிருப்பில் இல்லை</v>
      </c>
      <c r="M473" s="2" t="str">
        <f>IFERROR(__xludf.DUMMYFUNCTION("""COMPUTED_VALUE"""),"స్టాక్ లేదు")</f>
        <v>స్టాక్ లేదు</v>
      </c>
    </row>
    <row r="474">
      <c r="A474" s="2" t="str">
        <f>Master_en!A474</f>
        <v>received</v>
      </c>
      <c r="B474" s="2" t="str">
        <f>Master_en!B474</f>
        <v>Received</v>
      </c>
      <c r="C474" s="2" t="str">
        <f>IFERROR(__xludf.DUMMYFUNCTION("""COMPUTED_VALUE"""),"প্রাপ্ত")</f>
        <v>প্রাপ্ত</v>
      </c>
      <c r="D474" s="2" t="str">
        <f>IFERROR(__xludf.DUMMYFUNCTION("""COMPUTED_VALUE"""),"प्राप्त")</f>
        <v>प्राप्त</v>
      </c>
      <c r="E474" s="2" t="str">
        <f>IFERROR(__xludf.DUMMYFUNCTION("""COMPUTED_VALUE"""),"ಪಡೆದ")</f>
        <v>ಪಡೆದ</v>
      </c>
      <c r="F474" s="2" t="str">
        <f>IFERROR(__xludf.DUMMYFUNCTION("""COMPUTED_VALUE"""),"ଗ୍ରହଣ କରାଯାଇଛି")</f>
        <v>ଗ୍ରହଣ କରାଯାଇଛି</v>
      </c>
      <c r="G474" s="2" t="str">
        <f>IFERROR(__xludf.DUMMYFUNCTION("""COMPUTED_VALUE"""),"প্ৰাপ্ত কৰা হৈছে")</f>
        <v>প্ৰাপ্ত কৰা হৈছে</v>
      </c>
      <c r="H474" s="2" t="str">
        <f>IFERROR(__xludf.DUMMYFUNCTION("""COMPUTED_VALUE"""),"પ્રાપ્ત કરવું")</f>
        <v>પ્રાપ્ત કરવું</v>
      </c>
      <c r="I474" s="2" t="str">
        <f>IFERROR(__xludf.DUMMYFUNCTION("""COMPUTED_VALUE"""),"मिळाले")</f>
        <v>मिळाले</v>
      </c>
      <c r="J474" s="2" t="str">
        <f>IFERROR(__xludf.DUMMYFUNCTION("""COMPUTED_VALUE"""),"ലഭിച്ചു")</f>
        <v>ലഭിച്ചു</v>
      </c>
      <c r="K474" s="2" t="str">
        <f>IFERROR(__xludf.DUMMYFUNCTION("""COMPUTED_VALUE"""),"ਪ੍ਰਾਪਤ ਕੀਤਾ")</f>
        <v>ਪ੍ਰਾਪਤ ਕੀਤਾ</v>
      </c>
      <c r="L474" s="2" t="str">
        <f>IFERROR(__xludf.DUMMYFUNCTION("""COMPUTED_VALUE"""),"பெறப்பட்டது")</f>
        <v>பெறப்பட்டது</v>
      </c>
      <c r="M474" s="2" t="str">
        <f>IFERROR(__xludf.DUMMYFUNCTION("""COMPUTED_VALUE"""),"స్వీకరించబడింది")</f>
        <v>స్వీకరించబడింది</v>
      </c>
    </row>
    <row r="475">
      <c r="A475" s="2" t="str">
        <f>Master_en!A475</f>
        <v>selectedproductpreview</v>
      </c>
      <c r="B475" s="2" t="str">
        <f>Master_en!B475</f>
        <v>Selected Product Preview</v>
      </c>
      <c r="C475" s="2" t="str">
        <f>IFERROR(__xludf.DUMMYFUNCTION("""COMPUTED_VALUE"""),"নির্বাচিত পণ্য পূর্বরূপ")</f>
        <v>নির্বাচিত পণ্য পূর্বরূপ</v>
      </c>
      <c r="D475" s="2" t="str">
        <f>IFERROR(__xludf.DUMMYFUNCTION("""COMPUTED_VALUE"""),"चयनित उत्पाद पूर्वावलोकन")</f>
        <v>चयनित उत्पाद पूर्वावलोकन</v>
      </c>
      <c r="E475" s="2" t="str">
        <f>IFERROR(__xludf.DUMMYFUNCTION("""COMPUTED_VALUE"""),"ಆಯ್ದ ಉತ್ಪನ್ನ ಪೂರ್ವವೀಕ್ಷಣೆ")</f>
        <v>ಆಯ್ದ ಉತ್ಪನ್ನ ಪೂರ್ವವೀಕ್ಷಣೆ</v>
      </c>
      <c r="F475" s="2" t="str">
        <f>IFERROR(__xludf.DUMMYFUNCTION("""COMPUTED_VALUE"""),"ମନୋନୀତ ଉତ୍ପାଦ ପୂର୍ବାବଲୋକନ |")</f>
        <v>ମନୋନୀତ ଉତ୍ପାଦ ପୂର୍ବାବଲୋକନ |</v>
      </c>
      <c r="G475" s="2" t="str">
        <f>IFERROR(__xludf.DUMMYFUNCTION("""COMPUTED_VALUE"""),"নিৰ্বাচিত পণ্য পূৰ্বদৰ্শন")</f>
        <v>নিৰ্বাচিত পণ্য পূৰ্বদৰ্শন</v>
      </c>
      <c r="H475" s="2" t="str">
        <f>IFERROR(__xludf.DUMMYFUNCTION("""COMPUTED_VALUE"""),"પસંદ કરેલ ઉત્પાદન પૂર્વાવલોકન")</f>
        <v>પસંદ કરેલ ઉત્પાદન પૂર્વાવલોકન</v>
      </c>
      <c r="I475" s="2" t="str">
        <f>IFERROR(__xludf.DUMMYFUNCTION("""COMPUTED_VALUE"""),"निवडलेले उत्पादन पूर्वावलोकन")</f>
        <v>निवडलेले उत्पादन पूर्वावलोकन</v>
      </c>
      <c r="J475" s="2" t="str">
        <f>IFERROR(__xludf.DUMMYFUNCTION("""COMPUTED_VALUE"""),"തിരഞ്ഞെടുത്ത ഉൽപ്പന്ന പ്രിവ്യൂ")</f>
        <v>തിരഞ്ഞെടുത്ത ഉൽപ്പന്ന പ്രിവ്യൂ</v>
      </c>
      <c r="K475" s="2" t="str">
        <f>IFERROR(__xludf.DUMMYFUNCTION("""COMPUTED_VALUE"""),"ਚੁਣਿਆ ਉਤਪਾਦ ਝਲਕ")</f>
        <v>ਚੁਣਿਆ ਉਤਪਾਦ ਝਲਕ</v>
      </c>
      <c r="L475" s="2" t="str">
        <f>IFERROR(__xludf.DUMMYFUNCTION("""COMPUTED_VALUE"""),"சேகரிக்கபட்ட பொருள் மதிப்பாய்வு")</f>
        <v>சேகரிக்கபட்ட பொருள் மதிப்பாய்வு</v>
      </c>
      <c r="M475" s="2" t="str">
        <f>IFERROR(__xludf.DUMMYFUNCTION("""COMPUTED_VALUE"""),"ఎంచుకున్న ఉత్పత్తి పరిదృశ్యం")</f>
        <v>ఎంచుకున్న ఉత్పత్తి పరిదృశ్యం</v>
      </c>
    </row>
    <row r="476">
      <c r="A476" s="2" t="str">
        <f>Master_en!A476</f>
        <v>Invaliddoj</v>
      </c>
      <c r="B476" s="2" t="str">
        <f>Master_en!B476</f>
        <v>Invalid DOJ</v>
      </c>
      <c r="C476" s="2" t="str">
        <f>IFERROR(__xludf.DUMMYFUNCTION("""COMPUTED_VALUE"""),"অবৈধ ডিওজে")</f>
        <v>অবৈধ ডিওজে</v>
      </c>
      <c r="D476" s="2" t="str">
        <f>IFERROR(__xludf.DUMMYFUNCTION("""COMPUTED_VALUE"""),"अमान्य डीओजे")</f>
        <v>अमान्य डीओजे</v>
      </c>
      <c r="E476" s="2" t="str">
        <f>IFERROR(__xludf.DUMMYFUNCTION("""COMPUTED_VALUE"""),"ಅಮಾನ್ಯ DOJ")</f>
        <v>ಅಮಾನ್ಯ DOJ</v>
      </c>
      <c r="F476" s="2" t="str">
        <f>IFERROR(__xludf.DUMMYFUNCTION("""COMPUTED_VALUE"""),"ଅବ val ଧ ଡୋଜ |")</f>
        <v>ଅବ val ଧ ଡୋଜ |</v>
      </c>
      <c r="G476" s="2" t="str">
        <f>IFERROR(__xludf.DUMMYFUNCTION("""COMPUTED_VALUE"""),"অবৈধ DOJ")</f>
        <v>অবৈধ DOJ</v>
      </c>
      <c r="H476" s="2" t="str">
        <f>IFERROR(__xludf.DUMMYFUNCTION("""COMPUTED_VALUE"""),"અમાન્ય ડીઓજે")</f>
        <v>અમાન્ય ડીઓજે</v>
      </c>
      <c r="I476" s="2" t="str">
        <f>IFERROR(__xludf.DUMMYFUNCTION("""COMPUTED_VALUE"""),"अवैध डीओजे")</f>
        <v>अवैध डीओजे</v>
      </c>
      <c r="J476" s="2" t="str">
        <f>IFERROR(__xludf.DUMMYFUNCTION("""COMPUTED_VALUE"""),"അസാധുവായ ഡോഗ്")</f>
        <v>അസാധുവായ ഡോഗ്</v>
      </c>
      <c r="K476" s="2" t="str">
        <f>IFERROR(__xludf.DUMMYFUNCTION("""COMPUTED_VALUE"""),"ਗਲਤ ਡੌਜ")</f>
        <v>ਗਲਤ ਡੌਜ</v>
      </c>
      <c r="L476" s="2" t="str">
        <f>IFERROR(__xludf.DUMMYFUNCTION("""COMPUTED_VALUE"""),"தவறான DOJ")</f>
        <v>தவறான DOJ</v>
      </c>
      <c r="M476" s="2" t="str">
        <f>IFERROR(__xludf.DUMMYFUNCTION("""COMPUTED_VALUE"""),"చెల్లని doj")</f>
        <v>చెల్లని doj</v>
      </c>
    </row>
    <row r="477">
      <c r="A477" s="2" t="str">
        <f>Master_en!A477</f>
        <v>saveProduct</v>
      </c>
      <c r="B477" s="2" t="str">
        <f>Master_en!B477</f>
        <v>Save Product </v>
      </c>
      <c r="C477" s="2" t="str">
        <f>IFERROR(__xludf.DUMMYFUNCTION("""COMPUTED_VALUE"""),"পণ্য সংরক্ষণ করুন")</f>
        <v>পণ্য সংরক্ষণ করুন</v>
      </c>
      <c r="D477" s="2" t="str">
        <f>IFERROR(__xludf.DUMMYFUNCTION("""COMPUTED_VALUE"""),"उत्पाद सहेजें")</f>
        <v>उत्पाद सहेजें</v>
      </c>
      <c r="E477" s="2" t="str">
        <f>IFERROR(__xludf.DUMMYFUNCTION("""COMPUTED_VALUE"""),"ಉತ್ಪನ್ನವನ್ನು ಉಳಿಸಿ")</f>
        <v>ಉತ್ಪನ್ನವನ್ನು ಉಳಿಸಿ</v>
      </c>
      <c r="F477" s="2" t="str">
        <f>IFERROR(__xludf.DUMMYFUNCTION("""COMPUTED_VALUE"""),"ଉତ୍ପାଦ ସଞ୍ଚୟ କରନ୍ତୁ |")</f>
        <v>ଉତ୍ପାଦ ସଞ୍ଚୟ କରନ୍ତୁ |</v>
      </c>
      <c r="G477" s="2" t="str">
        <f>IFERROR(__xludf.DUMMYFUNCTION("""COMPUTED_VALUE"""),"প্ৰডাক্ট সংৰক্ষণ কৰক")</f>
        <v>প্ৰডাক্ট সংৰক্ষণ কৰক</v>
      </c>
      <c r="H477" s="2" t="str">
        <f>IFERROR(__xludf.DUMMYFUNCTION("""COMPUTED_VALUE"""),"ઉત્પાદન સાચવો")</f>
        <v>ઉત્પાદન સાચવો</v>
      </c>
      <c r="I477" s="2" t="str">
        <f>IFERROR(__xludf.DUMMYFUNCTION("""COMPUTED_VALUE"""),"उत्पादन जतन करा")</f>
        <v>उत्पादन जतन करा</v>
      </c>
      <c r="J477" s="2" t="str">
        <f>IFERROR(__xludf.DUMMYFUNCTION("""COMPUTED_VALUE"""),"ഉൽപ്പന്നം സംരക്ഷിക്കുക")</f>
        <v>ഉൽപ്പന്നം സംരക്ഷിക്കുക</v>
      </c>
      <c r="K477" s="2" t="str">
        <f>IFERROR(__xludf.DUMMYFUNCTION("""COMPUTED_VALUE"""),"ਉਤਪਾਦ ਸੇਵ ਕਰੋ")</f>
        <v>ਉਤਪਾਦ ਸੇਵ ਕਰੋ</v>
      </c>
      <c r="L477" s="2" t="str">
        <f>IFERROR(__xludf.DUMMYFUNCTION("""COMPUTED_VALUE"""),"பொருளை சேமி")</f>
        <v>பொருளை சேமி</v>
      </c>
      <c r="M477" s="2" t="str">
        <f>IFERROR(__xludf.DUMMYFUNCTION("""COMPUTED_VALUE"""),"ఉత్పత్తిని సేవ్ చేయండి")</f>
        <v>ఉత్పత్తిని సేవ్ చేయండి</v>
      </c>
    </row>
    <row r="478">
      <c r="A478" s="2" t="str">
        <f>Master_en!A478</f>
        <v>pendingpayment</v>
      </c>
      <c r="B478" s="2" t="str">
        <f>Master_en!B478</f>
        <v>Pending Payment</v>
      </c>
      <c r="C478" s="2" t="str">
        <f>IFERROR(__xludf.DUMMYFUNCTION("""COMPUTED_VALUE"""),"অপেক্ষারত পেমেন্ট")</f>
        <v>অপেক্ষারত পেমেন্ট</v>
      </c>
      <c r="D478" s="2" t="str">
        <f>IFERROR(__xludf.DUMMYFUNCTION("""COMPUTED_VALUE"""),"लंबित भुगतान")</f>
        <v>लंबित भुगतान</v>
      </c>
      <c r="E478" s="2" t="str">
        <f>IFERROR(__xludf.DUMMYFUNCTION("""COMPUTED_VALUE"""),"ಪಾವತಿ ಬಾಕಿ ಉಳಿದಿದೆ")</f>
        <v>ಪಾವತಿ ಬಾಕಿ ಉಳಿದಿದೆ</v>
      </c>
      <c r="F478" s="2" t="str">
        <f>IFERROR(__xludf.DUMMYFUNCTION("""COMPUTED_VALUE"""),"ଦେୟ ବିଚାରାଧୀନ |")</f>
        <v>ଦେୟ ବିଚାରାଧୀନ |</v>
      </c>
      <c r="G478" s="2" t="str">
        <f>IFERROR(__xludf.DUMMYFUNCTION("""COMPUTED_VALUE"""),"পেণ্ডিং পেমেণ্ট")</f>
        <v>পেণ্ডিং পেমেণ্ট</v>
      </c>
      <c r="H478" s="2" t="str">
        <f>IFERROR(__xludf.DUMMYFUNCTION("""COMPUTED_VALUE"""),"ચુકવણી બાકી")</f>
        <v>ચુકવણી બાકી</v>
      </c>
      <c r="I478" s="2" t="str">
        <f>IFERROR(__xludf.DUMMYFUNCTION("""COMPUTED_VALUE"""),"प्रलंबित पेमेंट")</f>
        <v>प्रलंबित पेमेंट</v>
      </c>
      <c r="J478" s="2" t="str">
        <f>IFERROR(__xludf.DUMMYFUNCTION("""COMPUTED_VALUE"""),"പണമടയ്ക്കൽ തീർപ്പുകൽപ്പറയുന്നു")</f>
        <v>പണമടയ്ക്കൽ തീർപ്പുകൽപ്പറയുന്നു</v>
      </c>
      <c r="K478" s="2" t="str">
        <f>IFERROR(__xludf.DUMMYFUNCTION("""COMPUTED_VALUE"""),"ਬਕਾਇਆ ਭੁਗਤਾਨ")</f>
        <v>ਬਕਾਇਆ ਭੁਗਤਾਨ</v>
      </c>
      <c r="L478" s="2" t="str">
        <f>IFERROR(__xludf.DUMMYFUNCTION("""COMPUTED_VALUE"""),"கட்டணம் நிலுவையில்")</f>
        <v>கட்டணம் நிலுவையில்</v>
      </c>
      <c r="M478" s="2" t="str">
        <f>IFERROR(__xludf.DUMMYFUNCTION("""COMPUTED_VALUE"""),"చెల్లింపు పెండింగ్‌లో ఉంది")</f>
        <v>చెల్లింపు పెండింగ్‌లో ఉంది</v>
      </c>
    </row>
    <row r="479">
      <c r="A479" s="2" t="str">
        <f>Master_en!A479</f>
        <v>Date Of Delivery</v>
      </c>
      <c r="B479" s="2" t="str">
        <f>Master_en!B479</f>
        <v>Date Of Delivery</v>
      </c>
      <c r="C479" s="2" t="str">
        <f>IFERROR(__xludf.DUMMYFUNCTION("""COMPUTED_VALUE"""),"প্রসবের তারিখ")</f>
        <v>প্রসবের তারিখ</v>
      </c>
      <c r="D479" s="2" t="str">
        <f>IFERROR(__xludf.DUMMYFUNCTION("""COMPUTED_VALUE"""),"वितरण की तारीख")</f>
        <v>वितरण की तारीख</v>
      </c>
      <c r="E479" s="2" t="str">
        <f>IFERROR(__xludf.DUMMYFUNCTION("""COMPUTED_VALUE"""),"ವಿತರಣಾ ದಿನಾಂಕ")</f>
        <v>ವಿತರಣಾ ದಿನಾಂಕ</v>
      </c>
      <c r="F479" s="2" t="str">
        <f>IFERROR(__xludf.DUMMYFUNCTION("""COMPUTED_VALUE"""),"ବିତରଣର ତାରିଖ")</f>
        <v>ବିତରଣର ତାରିଖ</v>
      </c>
      <c r="G479" s="2" t="str">
        <f>IFERROR(__xludf.DUMMYFUNCTION("""COMPUTED_VALUE"""),"ডেলিভাৰীৰ তাৰিখ")</f>
        <v>ডেলিভাৰীৰ তাৰিখ</v>
      </c>
      <c r="H479" s="2" t="str">
        <f>IFERROR(__xludf.DUMMYFUNCTION("""COMPUTED_VALUE"""),"ડિલ્લાની તારીખ")</f>
        <v>ડિલ્લાની તારીખ</v>
      </c>
      <c r="I479" s="2" t="str">
        <f>IFERROR(__xludf.DUMMYFUNCTION("""COMPUTED_VALUE"""),"पोहोचवण्याची तारीख")</f>
        <v>पोहोचवण्याची तारीख</v>
      </c>
      <c r="J479" s="2" t="str">
        <f>IFERROR(__xludf.DUMMYFUNCTION("""COMPUTED_VALUE"""),"ഡെലിവറി തീയതി")</f>
        <v>ഡെലിവറി തീയതി</v>
      </c>
      <c r="K479" s="2" t="str">
        <f>IFERROR(__xludf.DUMMYFUNCTION("""COMPUTED_VALUE"""),"ਡਿਲਿਵਰੀ ਦੀ ਤਾਰੀਖ")</f>
        <v>ਡਿਲਿਵਰੀ ਦੀ ਤਾਰੀਖ</v>
      </c>
      <c r="L479" s="2" t="str">
        <f>IFERROR(__xludf.DUMMYFUNCTION("""COMPUTED_VALUE"""),"டெலிவரி தேதி")</f>
        <v>டெலிவரி தேதி</v>
      </c>
      <c r="M479" s="2" t="str">
        <f>IFERROR(__xludf.DUMMYFUNCTION("""COMPUTED_VALUE"""),"డెలివరీ తేదీ")</f>
        <v>డెలివరీ తేదీ</v>
      </c>
    </row>
    <row r="480">
      <c r="A480" s="2" t="str">
        <f>Master_en!A480</f>
        <v>productAddedSuccessfully</v>
      </c>
      <c r="B480" s="2" t="str">
        <f>Master_en!B480</f>
        <v>Product Added Successfully</v>
      </c>
      <c r="C480" s="2" t="str">
        <f>IFERROR(__xludf.DUMMYFUNCTION("""COMPUTED_VALUE"""),"পণ্য সফলভাবে যুক্ত")</f>
        <v>পণ্য সফলভাবে যুক্ত</v>
      </c>
      <c r="D480" s="2" t="str">
        <f>IFERROR(__xludf.DUMMYFUNCTION("""COMPUTED_VALUE"""),"उत्पाद सफलतापूर्वक जोड़ा गया")</f>
        <v>उत्पाद सफलतापूर्वक जोड़ा गया</v>
      </c>
      <c r="E480" s="2" t="str">
        <f>IFERROR(__xludf.DUMMYFUNCTION("""COMPUTED_VALUE"""),"ಉತ್ಪನ್ನವನ್ನು ಯಶಸ್ವಿಯಾಗಿ ಸೇರಿಸಲಾಗಿದೆ")</f>
        <v>ಉತ್ಪನ್ನವನ್ನು ಯಶಸ್ವಿಯಾಗಿ ಸೇರಿಸಲಾಗಿದೆ</v>
      </c>
      <c r="F480" s="2" t="str">
        <f>IFERROR(__xludf.DUMMYFUNCTION("""COMPUTED_VALUE"""),"ଉତ୍ପାଦ ସଫଳତାର ସହିତ ଯୋଡି ହେଲା |")</f>
        <v>ଉତ୍ପାଦ ସଫଳତାର ସହିତ ଯୋଡି ହେଲା |</v>
      </c>
      <c r="G480" s="2" t="str">
        <f>IFERROR(__xludf.DUMMYFUNCTION("""COMPUTED_VALUE"""),"সফলতাৰে প্ৰডাক্ট যোগ কৰা হৈছে")</f>
        <v>সফলতাৰে প্ৰডাক্ট যোগ কৰা হৈছে</v>
      </c>
      <c r="H480" s="2" t="str">
        <f>IFERROR(__xludf.DUMMYFUNCTION("""COMPUTED_VALUE"""),"ઉત્પાદન સફળતાપૂર્વક ઉમેર્યું")</f>
        <v>ઉત્પાદન સફળતાપૂર્વક ઉમેર્યું</v>
      </c>
      <c r="I480" s="2" t="str">
        <f>IFERROR(__xludf.DUMMYFUNCTION("""COMPUTED_VALUE"""),"उत्पादन यशस्वीरित्या जोडले")</f>
        <v>उत्पादन यशस्वीरित्या जोडले</v>
      </c>
      <c r="J480" s="2" t="str">
        <f>IFERROR(__xludf.DUMMYFUNCTION("""COMPUTED_VALUE"""),"ഉൽപ്പന്നം വിജയകരമായി ചേർത്തു")</f>
        <v>ഉൽപ്പന്നം വിജയകരമായി ചേർത്തു</v>
      </c>
      <c r="K480" s="2" t="str">
        <f>IFERROR(__xludf.DUMMYFUNCTION("""COMPUTED_VALUE"""),"ਉਤਪਾਦ ਨੂੰ ਸਫਲਤਾਪੂਰਵਕ ਸ਼ਾਮਲ ਕੀਤਾ ਗਿਆ")</f>
        <v>ਉਤਪਾਦ ਨੂੰ ਸਫਲਤਾਪੂਰਵਕ ਸ਼ਾਮਲ ਕੀਤਾ ਗਿਆ</v>
      </c>
      <c r="L480" s="2" t="str">
        <f>IFERROR(__xludf.DUMMYFUNCTION("""COMPUTED_VALUE"""),"பொருள் வெற்றிகரமாக சேர்க்கப்பட்டது")</f>
        <v>பொருள் வெற்றிகரமாக சேர்க்கப்பட்டது</v>
      </c>
      <c r="M480" s="2" t="str">
        <f>IFERROR(__xludf.DUMMYFUNCTION("""COMPUTED_VALUE"""),"ఉత్పత్తి విజయవంతంగా జోడించబడింది")</f>
        <v>ఉత్పత్తి విజయవంతంగా జోడించబడింది</v>
      </c>
    </row>
    <row r="481">
      <c r="A481" s="2" t="str">
        <f>Master_en!A481</f>
        <v>addPhoto</v>
      </c>
      <c r="B481" s="2" t="str">
        <f>Master_en!B481</f>
        <v>Add Photo</v>
      </c>
      <c r="C481" s="2" t="str">
        <f>IFERROR(__xludf.DUMMYFUNCTION("""COMPUTED_VALUE"""),"ঘফজ")</f>
        <v>ঘফজ</v>
      </c>
      <c r="D481" s="2" t="str">
        <f>IFERROR(__xludf.DUMMYFUNCTION("""COMPUTED_VALUE"""),"तस्वीर जोड़ो")</f>
        <v>तस्वीर जोड़ो</v>
      </c>
      <c r="E481" s="2" t="str">
        <f>IFERROR(__xludf.DUMMYFUNCTION("""COMPUTED_VALUE"""),"ಫೋಟೋ ಸೇರಿಸಿ")</f>
        <v>ಫೋಟೋ ಸೇರಿಸಿ</v>
      </c>
      <c r="F481" s="2" t="str">
        <f>IFERROR(__xludf.DUMMYFUNCTION("""COMPUTED_VALUE"""),"ଫଟୋ ଯୋଡନ୍ତୁ |")</f>
        <v>ଫଟୋ ଯୋଡନ୍ତୁ |</v>
      </c>
      <c r="G481" s="2" t="str">
        <f>IFERROR(__xludf.DUMMYFUNCTION("""COMPUTED_VALUE"""),"ফটো যোগ কৰক")</f>
        <v>ফটো যোগ কৰক</v>
      </c>
      <c r="H481" s="2" t="str">
        <f>IFERROR(__xludf.DUMMYFUNCTION("""COMPUTED_VALUE"""),"ફોટો ઉમેરો")</f>
        <v>ફોટો ઉમેરો</v>
      </c>
      <c r="I481" s="2" t="str">
        <f>IFERROR(__xludf.DUMMYFUNCTION("""COMPUTED_VALUE"""),"फोटो जोडा")</f>
        <v>फोटो जोडा</v>
      </c>
      <c r="J481" s="2" t="str">
        <f>IFERROR(__xludf.DUMMYFUNCTION("""COMPUTED_VALUE"""),"ഫോട്ടോ ചേർക്കുക")</f>
        <v>ഫോട്ടോ ചേർക്കുക</v>
      </c>
      <c r="K481" s="2" t="str">
        <f>IFERROR(__xludf.DUMMYFUNCTION("""COMPUTED_VALUE"""),"ਫੋਟੋ ਸ਼ਾਮਲ ਕਰੋ")</f>
        <v>ਫੋਟੋ ਸ਼ਾਮਲ ਕਰੋ</v>
      </c>
      <c r="L481" s="2" t="str">
        <f>IFERROR(__xludf.DUMMYFUNCTION("""COMPUTED_VALUE"""),"புகைப்படம் சேர்க்க")</f>
        <v>புகைப்படம் சேர்க்க</v>
      </c>
      <c r="M481" s="2" t="str">
        <f>IFERROR(__xludf.DUMMYFUNCTION("""COMPUTED_VALUE"""),"ఫోటో జోడించండి")</f>
        <v>ఫోటో జోడించండి</v>
      </c>
    </row>
    <row r="482">
      <c r="A482" s="2" t="str">
        <f>Master_en!A482</f>
        <v>productListedSuccessfully</v>
      </c>
      <c r="B482" s="2" t="str">
        <f>Master_en!B482</f>
        <v>Product Listed Successfully</v>
      </c>
      <c r="C482" s="2" t="str">
        <f>IFERROR(__xludf.DUMMYFUNCTION("""COMPUTED_VALUE"""),"পণ্য সফলভাবে তালিকাভুক্ত")</f>
        <v>পণ্য সফলভাবে তালিকাভুক্ত</v>
      </c>
      <c r="D482" s="2" t="str">
        <f>IFERROR(__xludf.DUMMYFUNCTION("""COMPUTED_VALUE"""),"उत्पाद सफलतापूर्वक सूचीबद्ध")</f>
        <v>उत्पाद सफलतापूर्वक सूचीबद्ध</v>
      </c>
      <c r="E482" s="2" t="str">
        <f>IFERROR(__xludf.DUMMYFUNCTION("""COMPUTED_VALUE"""),"ಉತ್ಪನ್ನವನ್ನು ಯಶಸ್ವಿಯಾಗಿ ಪಟ್ಟಿ ಮಾಡಲಾಗಿದೆ")</f>
        <v>ಉತ್ಪನ್ನವನ್ನು ಯಶಸ್ವಿಯಾಗಿ ಪಟ್ಟಿ ಮಾಡಲಾಗಿದೆ</v>
      </c>
      <c r="F482" s="2" t="str">
        <f>IFERROR(__xludf.DUMMYFUNCTION("""COMPUTED_VALUE"""),"ଉତ୍ପାଦ ସଫଳତାର ସହିତ ତାଲିକାଭୁକ୍ତ |")</f>
        <v>ଉତ୍ପାଦ ସଫଳତାର ସହିତ ତାଲିକାଭୁକ୍ତ |</v>
      </c>
      <c r="G482" s="2" t="str">
        <f>IFERROR(__xludf.DUMMYFUNCTION("""COMPUTED_VALUE"""),"সফলতাৰে তালিকাভুক্ত কৰা হৈছে")</f>
        <v>সফলতাৰে তালিকাভুক্ত কৰা হৈছে</v>
      </c>
      <c r="H482" s="2" t="str">
        <f>IFERROR(__xludf.DUMMYFUNCTION("""COMPUTED_VALUE"""),"સફળતાપૂર્વક સૂચિબદ્ધ ઉત્પાદન")</f>
        <v>સફળતાપૂર્વક સૂચિબદ્ધ ઉત્પાદન</v>
      </c>
      <c r="I482" s="2" t="str">
        <f>IFERROR(__xludf.DUMMYFUNCTION("""COMPUTED_VALUE"""),"उत्पादन यशस्वीरित्या सूचीबद्ध")</f>
        <v>उत्पादन यशस्वीरित्या सूचीबद्ध</v>
      </c>
      <c r="J482" s="2" t="str">
        <f>IFERROR(__xludf.DUMMYFUNCTION("""COMPUTED_VALUE"""),"ഉൽപ്പന്നം വിജയകരമായി പട്ടികപ്പെടുത്തി")</f>
        <v>ഉൽപ്പന്നം വിജയകരമായി പട്ടികപ്പെടുത്തി</v>
      </c>
      <c r="K482" s="2" t="str">
        <f>IFERROR(__xludf.DUMMYFUNCTION("""COMPUTED_VALUE"""),"ਉਤਪਾਦ ਸਫਲਤਾਪੂਰਕ ਸੂਚੀਬੱਧ")</f>
        <v>ਉਤਪਾਦ ਸਫਲਤਾਪੂਰਕ ਸੂਚੀਬੱਧ</v>
      </c>
      <c r="L482" s="2" t="str">
        <f>IFERROR(__xludf.DUMMYFUNCTION("""COMPUTED_VALUE"""),"தயாரிப்பு வெற்றிகரமாக பட்டியலிடப்பட்டுள்ளது")</f>
        <v>தயாரிப்பு வெற்றிகரமாக பட்டியலிடப்பட்டுள்ளது</v>
      </c>
      <c r="M482" s="2" t="str">
        <f>IFERROR(__xludf.DUMMYFUNCTION("""COMPUTED_VALUE"""),"ఉత్పత్తి విజయవంతంగా జాబితా చేయబడింది")</f>
        <v>ఉత్పత్తి విజయవంతంగా జాబితా చేయబడింది</v>
      </c>
    </row>
    <row r="483">
      <c r="A483" s="2" t="str">
        <f>Master_en!A483</f>
        <v>deletedSuccessfully!</v>
      </c>
      <c r="B483" s="2" t="str">
        <f>Master_en!B483</f>
        <v>Deleted Successfully!</v>
      </c>
      <c r="C483" s="2" t="str">
        <f>IFERROR(__xludf.DUMMYFUNCTION("""COMPUTED_VALUE"""),"সফলভাবে মুছে ফেলা!")</f>
        <v>সফলভাবে মুছে ফেলা!</v>
      </c>
      <c r="D483" s="2" t="str">
        <f>IFERROR(__xludf.DUMMYFUNCTION("""COMPUTED_VALUE"""),"सफलतापूर्वक मिटाया गया!")</f>
        <v>सफलतापूर्वक मिटाया गया!</v>
      </c>
      <c r="E483" s="2" t="str">
        <f>IFERROR(__xludf.DUMMYFUNCTION("""COMPUTED_VALUE"""),"ಯಶಸ್ವಿಯಾಗಿ ಅಳಿಸಲಾಗಿದೆ!")</f>
        <v>ಯಶಸ್ವಿಯಾಗಿ ಅಳಿಸಲಾಗಿದೆ!</v>
      </c>
      <c r="F483" s="2" t="str">
        <f>IFERROR(__xludf.DUMMYFUNCTION("""COMPUTED_VALUE"""),"ସଫଳତାର ସହିତ ବିଲୋପ ହେଲା!")</f>
        <v>ସଫଳତାର ସହିତ ବିଲୋପ ହେଲା!</v>
      </c>
      <c r="G483" s="2" t="str">
        <f>IFERROR(__xludf.DUMMYFUNCTION("""COMPUTED_VALUE"""),"সফলতাৰে মচি পেলোৱা হ'ল!")</f>
        <v>সফলতাৰে মচি পেলোৱা হ'ল!</v>
      </c>
      <c r="H483" s="2" t="str">
        <f>IFERROR(__xludf.DUMMYFUNCTION("""COMPUTED_VALUE"""),"સફળતાપૂર્વક કા deleted ી નાખ્યું!")</f>
        <v>સફળતાપૂર્વક કા deleted ી નાખ્યું!</v>
      </c>
      <c r="I483" s="2" t="str">
        <f>IFERROR(__xludf.DUMMYFUNCTION("""COMPUTED_VALUE"""),"उत्पादन यशस्वीरित्या सूचीबद्ध केले")</f>
        <v>उत्पादन यशस्वीरित्या सूचीबद्ध केले</v>
      </c>
      <c r="J483" s="2" t="str">
        <f>IFERROR(__xludf.DUMMYFUNCTION("""COMPUTED_VALUE"""),"വിജയകരമായി ഇല്ലാതാക്കി!")</f>
        <v>വിജയകരമായി ഇല്ലാതാക്കി!</v>
      </c>
      <c r="K483" s="2" t="str">
        <f>IFERROR(__xludf.DUMMYFUNCTION("""COMPUTED_VALUE"""),"ਸਫਲਤਾਪੂਰਕ ਮਿਟਾਏ ਗਏ!")</f>
        <v>ਸਫਲਤਾਪੂਰਕ ਮਿਟਾਏ ਗਏ!</v>
      </c>
      <c r="L483" s="2" t="str">
        <f>IFERROR(__xludf.DUMMYFUNCTION("""COMPUTED_VALUE"""),"வெற்றிகரமாக நீக்கப்பட்டது!")</f>
        <v>வெற்றிகரமாக நீக்கப்பட்டது!</v>
      </c>
      <c r="M483" s="2" t="str">
        <f>IFERROR(__xludf.DUMMYFUNCTION("""COMPUTED_VALUE"""),"విజయవంతంగా తొలగించబడింది!")</f>
        <v>విజయవంతంగా తొలగించబడింది!</v>
      </c>
    </row>
    <row r="484">
      <c r="A484" s="2" t="str">
        <f>Master_en!A484</f>
        <v>invalidfullname</v>
      </c>
      <c r="B484" s="2" t="str">
        <f>Master_en!B484</f>
        <v>Invalid Full Name</v>
      </c>
      <c r="C484" s="2" t="str">
        <f>IFERROR(__xludf.DUMMYFUNCTION("""COMPUTED_VALUE"""),"অবৈধ পুরো নাম")</f>
        <v>অবৈধ পুরো নাম</v>
      </c>
      <c r="D484" s="2" t="str">
        <f>IFERROR(__xludf.DUMMYFUNCTION("""COMPUTED_VALUE"""),"अमान्य पूरा नाम")</f>
        <v>अमान्य पूरा नाम</v>
      </c>
      <c r="E484" s="2" t="str">
        <f>IFERROR(__xludf.DUMMYFUNCTION("""COMPUTED_VALUE"""),"ಅಮಾನ್ಯ ಪೂರ್ಣ ಹೆಸರು")</f>
        <v>ಅಮಾನ್ಯ ಪೂರ್ಣ ಹೆಸರು</v>
      </c>
      <c r="F484" s="2" t="str">
        <f>IFERROR(__xludf.DUMMYFUNCTION("""COMPUTED_VALUE"""),"ଅବ val ଧ ପୂର୍ଣ୍ଣ ନାମ |")</f>
        <v>ଅବ val ଧ ପୂର୍ଣ୍ଣ ନାମ |</v>
      </c>
      <c r="G484" s="2" t="str">
        <f>IFERROR(__xludf.DUMMYFUNCTION("""COMPUTED_VALUE"""),"সম্পূৰ্ণ নাম অবৈধ")</f>
        <v>সম্পূৰ্ণ নাম অবৈধ</v>
      </c>
      <c r="H484" s="2" t="str">
        <f>IFERROR(__xludf.DUMMYFUNCTION("""COMPUTED_VALUE"""),"અમાન્ય પૂર્ણ નામ")</f>
        <v>અમાન્ય પૂર્ણ નામ</v>
      </c>
      <c r="I484" s="2" t="str">
        <f>IFERROR(__xludf.DUMMYFUNCTION("""COMPUTED_VALUE"""),"अवैध पूर्ण नाव")</f>
        <v>अवैध पूर्ण नाव</v>
      </c>
      <c r="J484" s="2" t="str">
        <f>IFERROR(__xludf.DUMMYFUNCTION("""COMPUTED_VALUE"""),"അസാധുവായ മുഴുവൻ പേര്")</f>
        <v>അസാധുവായ മുഴുവൻ പേര്</v>
      </c>
      <c r="K484" s="2" t="str">
        <f>IFERROR(__xludf.DUMMYFUNCTION("""COMPUTED_VALUE"""),"ਗਲਤ ਪੂਰਾ ਨਾਮ")</f>
        <v>ਗਲਤ ਪੂਰਾ ਨਾਮ</v>
      </c>
      <c r="L484" s="2" t="str">
        <f>IFERROR(__xludf.DUMMYFUNCTION("""COMPUTED_VALUE"""),"தவறான முழுப் பெயர்")</f>
        <v>தவறான முழுப் பெயர்</v>
      </c>
      <c r="M484" s="2" t="str">
        <f>IFERROR(__xludf.DUMMYFUNCTION("""COMPUTED_VALUE"""),"చెల్లని పూర్తి పేరు")</f>
        <v>చెల్లని పూర్తి పేరు</v>
      </c>
    </row>
    <row r="485">
      <c r="A485" s="2" t="str">
        <f>Master_en!A485</f>
        <v>pendingDetails</v>
      </c>
      <c r="B485" s="2" t="str">
        <f>Master_en!B485</f>
        <v>Pending Details</v>
      </c>
      <c r="C485" s="2" t="str">
        <f>IFERROR(__xludf.DUMMYFUNCTION("""COMPUTED_VALUE"""),"মুলতুবি বিশদ")</f>
        <v>মুলতুবি বিশদ</v>
      </c>
      <c r="D485" s="2" t="str">
        <f>IFERROR(__xludf.DUMMYFUNCTION("""COMPUTED_VALUE"""),"लंबित विवरण")</f>
        <v>लंबित विवरण</v>
      </c>
      <c r="E485" s="2" t="str">
        <f>IFERROR(__xludf.DUMMYFUNCTION("""COMPUTED_VALUE"""),"ವಿವರಗಳು ಬಾಕಿ ಉಳಿದಿವೆ")</f>
        <v>ವಿವರಗಳು ಬಾಕಿ ಉಳಿದಿವೆ</v>
      </c>
      <c r="F485" s="2" t="str">
        <f>IFERROR(__xludf.DUMMYFUNCTION("""COMPUTED_VALUE"""),"ସବିଶେଷ ବିବରଣୀ")</f>
        <v>ସବିଶେଷ ବିବରଣୀ</v>
      </c>
      <c r="G485" s="2" t="str">
        <f>IFERROR(__xludf.DUMMYFUNCTION("""COMPUTED_VALUE"""),"বাকী থকা বিৱৰণ")</f>
        <v>বাকী থকা বিৱৰণ</v>
      </c>
      <c r="H485" s="2" t="str">
        <f>IFERROR(__xludf.DUMMYFUNCTION("""COMPUTED_VALUE"""),"બાકી વિગતો")</f>
        <v>બાકી વિગતો</v>
      </c>
      <c r="I485" s="2" t="str">
        <f>IFERROR(__xludf.DUMMYFUNCTION("""COMPUTED_VALUE"""),"प्रलंबित तपशील")</f>
        <v>प्रलंबित तपशील</v>
      </c>
      <c r="J485" s="2" t="str">
        <f>IFERROR(__xludf.DUMMYFUNCTION("""COMPUTED_VALUE"""),"തീർപ്പാക്കാത്ത വിശദാംശങ്ങൾ")</f>
        <v>തീർപ്പാക്കാത്ത വിശദാംശങ്ങൾ</v>
      </c>
      <c r="K485" s="2" t="str">
        <f>IFERROR(__xludf.DUMMYFUNCTION("""COMPUTED_VALUE"""),"ਬਕਾਇਆ ਵੇਰਵਾ")</f>
        <v>ਬਕਾਇਆ ਵੇਰਵਾ</v>
      </c>
      <c r="L485" s="2" t="str">
        <f>IFERROR(__xludf.DUMMYFUNCTION("""COMPUTED_VALUE"""),"நிலுவையில் உள்ள விவரங்கள்")</f>
        <v>நிலுவையில் உள்ள விவரங்கள்</v>
      </c>
      <c r="M485" s="2" t="str">
        <f>IFERROR(__xludf.DUMMYFUNCTION("""COMPUTED_VALUE"""),"పెండింగ్ వివరాలు")</f>
        <v>పెండింగ్ వివరాలు</v>
      </c>
    </row>
    <row r="486">
      <c r="A486" s="2" t="str">
        <f>Master_en!A486</f>
        <v>yourproductisunderreview</v>
      </c>
      <c r="B486" s="2" t="str">
        <f>Master_en!B486</f>
        <v>Your product is Under Review</v>
      </c>
      <c r="C486" s="2" t="str">
        <f>IFERROR(__xludf.DUMMYFUNCTION("""COMPUTED_VALUE"""),"আপনার পণ্য পর্যালোচনা অধীনে আছে")</f>
        <v>আপনার পণ্য পর্যালোচনা অধীনে আছে</v>
      </c>
      <c r="D486" s="2" t="str">
        <f>IFERROR(__xludf.DUMMYFUNCTION("""COMPUTED_VALUE"""),"आपका उत्पाद समीक्षा के अधीन है")</f>
        <v>आपका उत्पाद समीक्षा के अधीन है</v>
      </c>
      <c r="E486" s="2" t="str">
        <f>IFERROR(__xludf.DUMMYFUNCTION("""COMPUTED_VALUE"""),"ನಿಮ್ಮ ಉತ್ಪನ್ನವು ಪರಿಶೀಲನೆಯಲ್ಲಿದೆ")</f>
        <v>ನಿಮ್ಮ ಉತ್ಪನ್ನವು ಪರಿಶೀಲನೆಯಲ್ಲಿದೆ</v>
      </c>
      <c r="F486" s="2" t="str">
        <f>IFERROR(__xludf.DUMMYFUNCTION("""COMPUTED_VALUE"""),"ତୁମର ଉତ୍ପାଦ ସମୀକ୍ଷା ଅଧୀନରେ ଅଛି |")</f>
        <v>ତୁମର ଉତ୍ପାଦ ସମୀକ୍ଷା ଅଧୀନରେ ଅଛି |</v>
      </c>
      <c r="G486" s="2" t="str">
        <f>IFERROR(__xludf.DUMMYFUNCTION("""COMPUTED_VALUE"""),"আপোনাৰ প্ৰডাক্টটো Under Review আছে")</f>
        <v>আপোনাৰ প্ৰডাক্টটো Under Review আছে</v>
      </c>
      <c r="H486" s="2" t="str">
        <f>IFERROR(__xludf.DUMMYFUNCTION("""COMPUTED_VALUE"""),"તમારું ઉત્પાદન સમીક્ષા હેઠળ છે")</f>
        <v>તમારું ઉત્પાદન સમીક્ષા હેઠળ છે</v>
      </c>
      <c r="I486" s="2" t="str">
        <f>IFERROR(__xludf.DUMMYFUNCTION("""COMPUTED_VALUE"""),"आपले उत्पादन पुनरावलोकन अंतर्गत आहे")</f>
        <v>आपले उत्पादन पुनरावलोकन अंतर्गत आहे</v>
      </c>
      <c r="J486" s="2" t="str">
        <f>IFERROR(__xludf.DUMMYFUNCTION("""COMPUTED_VALUE"""),"നിങ്ങളുടെ ഉൽപ്പന്നം അവലോകനത്തിലാണ്")</f>
        <v>നിങ്ങളുടെ ഉൽപ്പന്നം അവലോകനത്തിലാണ്</v>
      </c>
      <c r="K486" s="2" t="str">
        <f>IFERROR(__xludf.DUMMYFUNCTION("""COMPUTED_VALUE"""),"ਤੁਹਾਡਾ ਉਤਪਾਦ ਸਮੀਖਿਆ ਅਧੀਨ ਹੈ")</f>
        <v>ਤੁਹਾਡਾ ਉਤਪਾਦ ਸਮੀਖਿਆ ਅਧੀਨ ਹੈ</v>
      </c>
      <c r="L486" s="2" t="str">
        <f>IFERROR(__xludf.DUMMYFUNCTION("""COMPUTED_VALUE"""),"உங்கள் பொருள் மதிப்பாய்வில் உள்ளது")</f>
        <v>உங்கள் பொருள் மதிப்பாய்வில் உள்ளது</v>
      </c>
      <c r="M486" s="2" t="str">
        <f>IFERROR(__xludf.DUMMYFUNCTION("""COMPUTED_VALUE"""),"మీ ఉత్పత్తి సమీక్షలో ఉంది")</f>
        <v>మీ ఉత్పత్తి సమీక్షలో ఉంది</v>
      </c>
    </row>
    <row r="487">
      <c r="A487" s="2" t="str">
        <f>Master_en!A487</f>
        <v>willupdateyousoon</v>
      </c>
      <c r="B487" s="2" t="str">
        <f>Master_en!B487</f>
        <v>Will Update you soon </v>
      </c>
      <c r="C487" s="2" t="str">
        <f>IFERROR(__xludf.DUMMYFUNCTION("""COMPUTED_VALUE"""),"শীঘ্রই আপনাকে আপডেট করবে")</f>
        <v>শীঘ্রই আপনাকে আপডেট করবে</v>
      </c>
      <c r="D487" s="2" t="str">
        <f>IFERROR(__xludf.DUMMYFUNCTION("""COMPUTED_VALUE"""),"जल्द ही आपको अपडेट करेंगे")</f>
        <v>जल्द ही आपको अपडेट करेंगे</v>
      </c>
      <c r="E487" s="2" t="str">
        <f>IFERROR(__xludf.DUMMYFUNCTION("""COMPUTED_VALUE"""),"ಶೀಘ್ರದಲ್ಲೇ ನಿಮ್ಮನ್ನು ನವೀಕರಿಸುತ್ತದೆ")</f>
        <v>ಶೀಘ್ರದಲ್ಲೇ ನಿಮ್ಮನ್ನು ನವೀಕರಿಸುತ್ತದೆ</v>
      </c>
      <c r="F487" s="2" t="str">
        <f>IFERROR(__xludf.DUMMYFUNCTION("""COMPUTED_VALUE"""),"ତୁମକୁ ଶୀଘ୍ର ଅପଡେଟ୍ କରିବ |")</f>
        <v>ତୁମକୁ ଶୀଘ୍ର ଅପଡେଟ୍ କରିବ |</v>
      </c>
      <c r="G487" s="2" t="str">
        <f>IFERROR(__xludf.DUMMYFUNCTION("""COMPUTED_VALUE"""),"আপোনাক অতি সোনকালে Update কৰিম")</f>
        <v>আপোনাক অতি সোনকালে Update কৰিম</v>
      </c>
      <c r="H487" s="2" t="str">
        <f>IFERROR(__xludf.DUMMYFUNCTION("""COMPUTED_VALUE"""),"તમને ટૂંક સમયમાં અપડેટ કરશે")</f>
        <v>તમને ટૂંક સમયમાં અપડેટ કરશે</v>
      </c>
      <c r="I487" s="2" t="str">
        <f>IFERROR(__xludf.DUMMYFUNCTION("""COMPUTED_VALUE"""),"तुमचे उत्पादन पुनरावलोकनाखाली आहे")</f>
        <v>तुमचे उत्पादन पुनरावलोकनाखाली आहे</v>
      </c>
      <c r="J487" s="2" t="str">
        <f>IFERROR(__xludf.DUMMYFUNCTION("""COMPUTED_VALUE"""),"നിങ്ങളെ ഉടൻ അപ്ഡേറ്റ് ചെയ്യും")</f>
        <v>നിങ്ങളെ ഉടൻ അപ്ഡേറ്റ് ചെയ്യും</v>
      </c>
      <c r="K487" s="2" t="str">
        <f>IFERROR(__xludf.DUMMYFUNCTION("""COMPUTED_VALUE"""),"ਤੁਹਾਨੂੰ ਜਲਦੀ ਅਪਡੇਟ ਕਰੇਗਾ")</f>
        <v>ਤੁਹਾਨੂੰ ਜਲਦੀ ਅਪਡੇਟ ਕਰੇਗਾ</v>
      </c>
      <c r="L487" s="2" t="str">
        <f>IFERROR(__xludf.DUMMYFUNCTION("""COMPUTED_VALUE"""),"விரைவில் உங்களை வந்தடையும்")</f>
        <v>விரைவில் உங்களை வந்தடையும்</v>
      </c>
      <c r="M487" s="2" t="str">
        <f>IFERROR(__xludf.DUMMYFUNCTION("""COMPUTED_VALUE"""),"త్వరలో మిమ్మల్ని అప్‌డేట్ చేస్తుంది")</f>
        <v>త్వరలో మిమ్మల్ని అప్‌డేట్ చేస్తుంది</v>
      </c>
    </row>
    <row r="488">
      <c r="A488" s="2" t="str">
        <f>Master_en!A488</f>
        <v>ok</v>
      </c>
      <c r="B488" s="2" t="str">
        <f>Master_en!B488</f>
        <v>Ok</v>
      </c>
      <c r="C488" s="2" t="str">
        <f>IFERROR(__xludf.DUMMYFUNCTION("""COMPUTED_VALUE"""),"ঠিক আছে")</f>
        <v>ঠিক আছে</v>
      </c>
      <c r="D488" s="2" t="str">
        <f>IFERROR(__xludf.DUMMYFUNCTION("""COMPUTED_VALUE"""),"ठीक")</f>
        <v>ठीक</v>
      </c>
      <c r="E488" s="2" t="str">
        <f>IFERROR(__xludf.DUMMYFUNCTION("""COMPUTED_VALUE"""),"ಸರಿ")</f>
        <v>ಸರಿ</v>
      </c>
      <c r="F488" s="2" t="str">
        <f>IFERROR(__xludf.DUMMYFUNCTION("""COMPUTED_VALUE"""),"ଠିକ୍ ଅଛି")</f>
        <v>ଠିକ୍ ଅଛି</v>
      </c>
      <c r="G488" s="2" t="str">
        <f>IFERROR(__xludf.DUMMYFUNCTION("""COMPUTED_VALUE"""),"ঠিক আছে")</f>
        <v>ঠিক আছে</v>
      </c>
      <c r="H488" s="2" t="str">
        <f>IFERROR(__xludf.DUMMYFUNCTION("""COMPUTED_VALUE"""),"બરાબર")</f>
        <v>બરાબર</v>
      </c>
      <c r="I488" s="2" t="str">
        <f>IFERROR(__xludf.DUMMYFUNCTION("""COMPUTED_VALUE"""),"लवकरच तुम्हाला अपडेट करू")</f>
        <v>लवकरच तुम्हाला अपडेट करू</v>
      </c>
      <c r="J488" s="2" t="str">
        <f>IFERROR(__xludf.DUMMYFUNCTION("""COMPUTED_VALUE"""),"ശരി")</f>
        <v>ശരി</v>
      </c>
      <c r="K488" s="2" t="str">
        <f>IFERROR(__xludf.DUMMYFUNCTION("""COMPUTED_VALUE"""),"ਠੀਕ ਹੈ")</f>
        <v>ਠੀਕ ਹੈ</v>
      </c>
      <c r="L488" s="2" t="str">
        <f>IFERROR(__xludf.DUMMYFUNCTION("""COMPUTED_VALUE"""),"சரி")</f>
        <v>சரி</v>
      </c>
      <c r="M488" s="2" t="str">
        <f>IFERROR(__xludf.DUMMYFUNCTION("""COMPUTED_VALUE"""),"అలాగే")</f>
        <v>అలాగే</v>
      </c>
    </row>
    <row r="489">
      <c r="A489" s="2" t="str">
        <f>Master_en!A489</f>
        <v>gst18</v>
      </c>
      <c r="B489" s="2" t="str">
        <f>Master_en!B489</f>
        <v>GST (18%)</v>
      </c>
      <c r="C489" s="2" t="str">
        <f>IFERROR(__xludf.DUMMYFUNCTION("""COMPUTED_VALUE"""),"জিএসটি (18%)")</f>
        <v>জিএসটি (18%)</v>
      </c>
      <c r="D489" s="2" t="str">
        <f>IFERROR(__xludf.DUMMYFUNCTION("""COMPUTED_VALUE"""),"जीएसटी (18%)")</f>
        <v>जीएसटी (18%)</v>
      </c>
      <c r="E489" s="2" t="str">
        <f>IFERROR(__xludf.DUMMYFUNCTION("""COMPUTED_VALUE"""),"ಜಿಎಸ್ಟಿ (18%)")</f>
        <v>ಜಿಎಸ್ಟಿ (18%)</v>
      </c>
      <c r="F489" s="2" t="str">
        <f>IFERROR(__xludf.DUMMYFUNCTION("""COMPUTED_VALUE"""),"GST (18%)")</f>
        <v>GST (18%)</v>
      </c>
      <c r="G489" s="2" t="str">
        <f>IFERROR(__xludf.DUMMYFUNCTION("""COMPUTED_VALUE"""),"জি এছ টি (১৮%)")</f>
        <v>জি এছ টি (১৮%)</v>
      </c>
      <c r="H489" s="2" t="str">
        <f>IFERROR(__xludf.DUMMYFUNCTION("""COMPUTED_VALUE"""),"જીએસટી (18%)")</f>
        <v>જીએસટી (18%)</v>
      </c>
      <c r="I489" s="2" t="str">
        <f>IFERROR(__xludf.DUMMYFUNCTION("""COMPUTED_VALUE"""),"जीएसटी (18%)")</f>
        <v>जीएसटी (18%)</v>
      </c>
      <c r="J489" s="2" t="str">
        <f>IFERROR(__xludf.DUMMYFUNCTION("""COMPUTED_VALUE"""),"ജിഎസ്ടി (18%)")</f>
        <v>ജിഎസ്ടി (18%)</v>
      </c>
      <c r="K489" s="2" t="str">
        <f>IFERROR(__xludf.DUMMYFUNCTION("""COMPUTED_VALUE"""),"ਜੀਐਸਟੀ (18%)")</f>
        <v>ਜੀਐਸਟੀ (18%)</v>
      </c>
      <c r="L489" s="2" t="str">
        <f>IFERROR(__xludf.DUMMYFUNCTION("""COMPUTED_VALUE"""),"ஜிஎஸ்டி (18%)")</f>
        <v>ஜிஎஸ்டி (18%)</v>
      </c>
      <c r="M489" s="2" t="str">
        <f>IFERROR(__xludf.DUMMYFUNCTION("""COMPUTED_VALUE"""),"GST (18%)")</f>
        <v>GST (18%)</v>
      </c>
    </row>
    <row r="490">
      <c r="A490" s="2" t="str">
        <f>Master_en!A490</f>
        <v>pending</v>
      </c>
      <c r="B490" s="2" t="str">
        <f>Master_en!B490</f>
        <v>Pending </v>
      </c>
      <c r="C490" s="2" t="str">
        <f>IFERROR(__xludf.DUMMYFUNCTION("""COMPUTED_VALUE"""),"বিচারাধীন")</f>
        <v>বিচারাধীন</v>
      </c>
      <c r="D490" s="2" t="str">
        <f>IFERROR(__xludf.DUMMYFUNCTION("""COMPUTED_VALUE"""),"लंबित")</f>
        <v>लंबित</v>
      </c>
      <c r="E490" s="2" t="str">
        <f>IFERROR(__xludf.DUMMYFUNCTION("""COMPUTED_VALUE"""),"ಬಾಕಿ ಉಳಿದಿದೆ")</f>
        <v>ಬಾಕಿ ಉಳಿದಿದೆ</v>
      </c>
      <c r="F490" s="2" t="str">
        <f>IFERROR(__xludf.DUMMYFUNCTION("""COMPUTED_VALUE"""),"ବିଚାରାଧୀନ ଅଛି")</f>
        <v>ବିଚାରାଧୀନ ଅଛି</v>
      </c>
      <c r="G490" s="2" t="str">
        <f>IFERROR(__xludf.DUMMYFUNCTION("""COMPUTED_VALUE"""),"বাকী থকা")</f>
        <v>বাকী থকা</v>
      </c>
      <c r="H490" s="2" t="str">
        <f>IFERROR(__xludf.DUMMYFUNCTION("""COMPUTED_VALUE"""),"બાકી")</f>
        <v>બાકી</v>
      </c>
      <c r="I490" s="2" t="str">
        <f>IFERROR(__xludf.DUMMYFUNCTION("""COMPUTED_VALUE"""),"प्रलंबित")</f>
        <v>प्रलंबित</v>
      </c>
      <c r="J490" s="2" t="str">
        <f>IFERROR(__xludf.DUMMYFUNCTION("""COMPUTED_VALUE"""),"അതിനിടയില്")</f>
        <v>അതിനിടയില്</v>
      </c>
      <c r="K490" s="2" t="str">
        <f>IFERROR(__xludf.DUMMYFUNCTION("""COMPUTED_VALUE"""),"ਬਕਾਇਆ")</f>
        <v>ਬਕਾਇਆ</v>
      </c>
      <c r="L490" s="2" t="str">
        <f>IFERROR(__xludf.DUMMYFUNCTION("""COMPUTED_VALUE"""),"நிலுவையில் உள்ளது")</f>
        <v>நிலுவையில் உள்ளது</v>
      </c>
      <c r="M490" s="2" t="str">
        <f>IFERROR(__xludf.DUMMYFUNCTION("""COMPUTED_VALUE"""),"పెండింగ్‌లో ఉంది")</f>
        <v>పెండింగ్‌లో ఉంది</v>
      </c>
    </row>
    <row r="491">
      <c r="A491" s="2" t="str">
        <f>Master_en!A491</f>
        <v>selectyourpreference </v>
      </c>
      <c r="B491" s="2" t="str">
        <f>Master_en!B491</f>
        <v>Select Your Preference</v>
      </c>
      <c r="C491" s="2" t="str">
        <f>IFERROR(__xludf.DUMMYFUNCTION("""COMPUTED_VALUE"""),"আপনার পছন্দ নির্বাচন করুন")</f>
        <v>আপনার পছন্দ নির্বাচন করুন</v>
      </c>
      <c r="D491" s="2" t="str">
        <f>IFERROR(__xludf.DUMMYFUNCTION("""COMPUTED_VALUE"""),"अपनी पसंद चुनो")</f>
        <v>अपनी पसंद चुनो</v>
      </c>
      <c r="E491" s="2" t="str">
        <f>IFERROR(__xludf.DUMMYFUNCTION("""COMPUTED_VALUE"""),"ನಿಮ್ಮ ಆದ್ಯತೆಯನ್ನು ಆಯ್ಕೆಮಾಡಿ")</f>
        <v>ನಿಮ್ಮ ಆದ್ಯತೆಯನ್ನು ಆಯ್ಕೆಮಾಡಿ</v>
      </c>
      <c r="F491" s="2" t="str">
        <f>IFERROR(__xludf.DUMMYFUNCTION("""COMPUTED_VALUE"""),"ଆପଣଙ୍କର ପସନ୍ଦ ଚୟନ କରନ୍ତୁ |")</f>
        <v>ଆପଣଙ୍କର ପସନ୍ଦ ଚୟନ କରନ୍ତୁ |</v>
      </c>
      <c r="G491" s="2" t="str">
        <f>IFERROR(__xludf.DUMMYFUNCTION("""COMPUTED_VALUE"""),"আপোনাৰ পছন্দ নিৰ্ব্বাচন কৰক")</f>
        <v>আপোনাৰ পছন্দ নিৰ্ব্বাচন কৰক</v>
      </c>
      <c r="H491" s="2" t="str">
        <f>IFERROR(__xludf.DUMMYFUNCTION("""COMPUTED_VALUE"""),"તમારી પસંદગી પસંદ કરો")</f>
        <v>તમારી પસંદગી પસંદ કરો</v>
      </c>
      <c r="I491" s="2" t="str">
        <f>IFERROR(__xludf.DUMMYFUNCTION("""COMPUTED_VALUE"""),"आपले प्राधान्य निवडा")</f>
        <v>आपले प्राधान्य निवडा</v>
      </c>
      <c r="J491" s="2" t="str">
        <f>IFERROR(__xludf.DUMMYFUNCTION("""COMPUTED_VALUE"""),"നിങ്ങളുടെ മുൻഗണന തിരഞ്ഞെടുക്കുക")</f>
        <v>നിങ്ങളുടെ മുൻഗണന തിരഞ്ഞെടുക്കുക</v>
      </c>
      <c r="K491" s="2" t="str">
        <f>IFERROR(__xludf.DUMMYFUNCTION("""COMPUTED_VALUE"""),"ਆਪਣੀ ਪਸੰਦ ਦੀ ਚੋਣ ਕਰੋ")</f>
        <v>ਆਪਣੀ ਪਸੰਦ ਦੀ ਚੋਣ ਕਰੋ</v>
      </c>
      <c r="L491" s="2" t="str">
        <f>IFERROR(__xludf.DUMMYFUNCTION("""COMPUTED_VALUE"""),"உங்கள் விருப்பத்தைத் தேர்ந்தெடுக்கவும்")</f>
        <v>உங்கள் விருப்பத்தைத் தேர்ந்தெடுக்கவும்</v>
      </c>
      <c r="M491" s="2" t="str">
        <f>IFERROR(__xludf.DUMMYFUNCTION("""COMPUTED_VALUE"""),"మీ ప్రాధాన్యతను ఎంచుకోండి")</f>
        <v>మీ ప్రాధాన్యతను ఎంచుకోండి</v>
      </c>
    </row>
    <row r="492">
      <c r="A492" s="2" t="str">
        <f>Master_en!A492</f>
        <v>pricelist</v>
      </c>
      <c r="B492" s="2" t="str">
        <f>Master_en!B492</f>
        <v>Price List</v>
      </c>
      <c r="C492" s="2" t="str">
        <f>IFERROR(__xludf.DUMMYFUNCTION("""COMPUTED_VALUE"""),"মূল্য তালিকা")</f>
        <v>মূল্য তালিকা</v>
      </c>
      <c r="D492" s="2" t="str">
        <f>IFERROR(__xludf.DUMMYFUNCTION("""COMPUTED_VALUE"""),"मूल्य सूची")</f>
        <v>मूल्य सूची</v>
      </c>
      <c r="E492" s="2" t="str">
        <f>IFERROR(__xludf.DUMMYFUNCTION("""COMPUTED_VALUE"""),"ದರ ಪಟ್ಟಿ")</f>
        <v>ದರ ಪಟ್ಟಿ</v>
      </c>
      <c r="F492" s="2" t="str">
        <f>IFERROR(__xludf.DUMMYFUNCTION("""COMPUTED_VALUE"""),"ମୁଲ୍ୟ ସୂଚୀ")</f>
        <v>ମୁଲ୍ୟ ସୂଚୀ</v>
      </c>
      <c r="G492" s="2" t="str">
        <f>IFERROR(__xludf.DUMMYFUNCTION("""COMPUTED_VALUE"""),"মূল্য তালিকা")</f>
        <v>মূল্য তালিকা</v>
      </c>
      <c r="H492" s="2" t="str">
        <f>IFERROR(__xludf.DUMMYFUNCTION("""COMPUTED_VALUE"""),"ભાવ યાદી")</f>
        <v>ભાવ યાદી</v>
      </c>
      <c r="I492" s="2" t="str">
        <f>IFERROR(__xludf.DUMMYFUNCTION("""COMPUTED_VALUE"""),"किंमत सूची")</f>
        <v>किंमत सूची</v>
      </c>
      <c r="J492" s="2" t="str">
        <f>IFERROR(__xludf.DUMMYFUNCTION("""COMPUTED_VALUE"""),"വിലവിവരപട്ടിക")</f>
        <v>വിലവിവരപട്ടിക</v>
      </c>
      <c r="K492" s="2" t="str">
        <f>IFERROR(__xludf.DUMMYFUNCTION("""COMPUTED_VALUE"""),"ਕੀਮਤ ਸੂਚੀ")</f>
        <v>ਕੀਮਤ ਸੂਚੀ</v>
      </c>
      <c r="L492" s="2" t="str">
        <f>IFERROR(__xludf.DUMMYFUNCTION("""COMPUTED_VALUE"""),"விலைப்பட்டியல்")</f>
        <v>விலைப்பட்டியல்</v>
      </c>
      <c r="M492" s="2" t="str">
        <f>IFERROR(__xludf.DUMMYFUNCTION("""COMPUTED_VALUE"""),"కొనుగోలు ధర")</f>
        <v>కొనుగోలు ధర</v>
      </c>
    </row>
    <row r="493">
      <c r="A493" s="2" t="str">
        <f>Master_en!A493</f>
        <v>viewall</v>
      </c>
      <c r="B493" s="2" t="str">
        <f>Master_en!B493</f>
        <v>View All</v>
      </c>
      <c r="C493" s="2" t="str">
        <f>IFERROR(__xludf.DUMMYFUNCTION("""COMPUTED_VALUE"""),"সব দেখ")</f>
        <v>সব দেখ</v>
      </c>
      <c r="D493" s="2" t="str">
        <f>IFERROR(__xludf.DUMMYFUNCTION("""COMPUTED_VALUE"""),"सभी को देखें")</f>
        <v>सभी को देखें</v>
      </c>
      <c r="E493" s="2" t="str">
        <f>IFERROR(__xludf.DUMMYFUNCTION("""COMPUTED_VALUE"""),"ಎಲ್ಲಾ ವೀಕ್ಷಿಸಿ")</f>
        <v>ಎಲ್ಲಾ ವೀಕ್ಷಿಸಿ</v>
      </c>
      <c r="F493" s="2" t="str">
        <f>IFERROR(__xludf.DUMMYFUNCTION("""COMPUTED_VALUE"""),"ସମସ୍ତ ଦେଖନ୍ତୁ |")</f>
        <v>ସମସ୍ତ ଦେଖନ୍ତୁ |</v>
      </c>
      <c r="G493" s="2" t="str">
        <f>IFERROR(__xludf.DUMMYFUNCTION("""COMPUTED_VALUE"""),"সকলো চাওক")</f>
        <v>সকলো চাওক</v>
      </c>
      <c r="H493" s="2" t="str">
        <f>IFERROR(__xludf.DUMMYFUNCTION("""COMPUTED_VALUE"""),"બધુજ જુઓ")</f>
        <v>બધુજ જુઓ</v>
      </c>
      <c r="I493" s="2" t="str">
        <f>IFERROR(__xludf.DUMMYFUNCTION("""COMPUTED_VALUE"""),"सर्व पहा")</f>
        <v>सर्व पहा</v>
      </c>
      <c r="J493" s="2" t="str">
        <f>IFERROR(__xludf.DUMMYFUNCTION("""COMPUTED_VALUE"""),"എല്ലാം കാണുക")</f>
        <v>എല്ലാം കാണുക</v>
      </c>
      <c r="K493" s="2" t="str">
        <f>IFERROR(__xludf.DUMMYFUNCTION("""COMPUTED_VALUE"""),"ਸਭ ਵੇਖੋ")</f>
        <v>ਸਭ ਵੇਖੋ</v>
      </c>
      <c r="L493" s="2" t="str">
        <f>IFERROR(__xludf.DUMMYFUNCTION("""COMPUTED_VALUE"""),"அனைத்தையும் காட்டு")</f>
        <v>அனைத்தையும் காட்டு</v>
      </c>
      <c r="M493" s="2" t="str">
        <f>IFERROR(__xludf.DUMMYFUNCTION("""COMPUTED_VALUE"""),"అన్నీ చూడండి")</f>
        <v>అన్నీ చూడండి</v>
      </c>
    </row>
    <row r="494">
      <c r="A494" s="2" t="str">
        <f>Master_en!A494</f>
        <v>youhavegotthereward</v>
      </c>
      <c r="B494" s="2" t="str">
        <f>Master_en!B494</f>
        <v>You have got the Reward</v>
      </c>
      <c r="C494" s="2" t="str">
        <f>IFERROR(__xludf.DUMMYFUNCTION("""COMPUTED_VALUE"""),"আপনি পুরষ্কার পেয়েছেন")</f>
        <v>আপনি পুরষ্কার পেয়েছেন</v>
      </c>
      <c r="D494" s="2" t="str">
        <f>IFERROR(__xludf.DUMMYFUNCTION("""COMPUTED_VALUE"""),"आपको इनाम मिला है")</f>
        <v>आपको इनाम मिला है</v>
      </c>
      <c r="E494" s="2" t="str">
        <f>IFERROR(__xludf.DUMMYFUNCTION("""COMPUTED_VALUE"""),"ನಿಮಗೆ ಪ್ರತಿಫಲ ಸಿಕ್ಕಿದೆ")</f>
        <v>ನಿಮಗೆ ಪ್ರತಿಫಲ ಸಿಕ್ಕಿದೆ</v>
      </c>
      <c r="F494" s="2" t="str">
        <f>IFERROR(__xludf.DUMMYFUNCTION("""COMPUTED_VALUE"""),"ତୁମେ ପୁରସ୍କାର ପାଇଛ")</f>
        <v>ତୁମେ ପୁରସ୍କାର ପାଇଛ</v>
      </c>
      <c r="G494" s="2" t="str">
        <f>IFERROR(__xludf.DUMMYFUNCTION("""COMPUTED_VALUE"""),"আপুনি Reward পাইছে")</f>
        <v>আপুনি Reward পাইছে</v>
      </c>
      <c r="H494" s="2" t="str">
        <f>IFERROR(__xludf.DUMMYFUNCTION("""COMPUTED_VALUE"""),"તમને ઈનામ મળ્યું છે")</f>
        <v>તમને ઈનામ મળ્યું છે</v>
      </c>
      <c r="I494" s="2" t="str">
        <f>IFERROR(__xludf.DUMMYFUNCTION("""COMPUTED_VALUE"""),"तुला बक्षीस मिळाले आहे")</f>
        <v>तुला बक्षीस मिळाले आहे</v>
      </c>
      <c r="J494" s="2" t="str">
        <f>IFERROR(__xludf.DUMMYFUNCTION("""COMPUTED_VALUE"""),"നിങ്ങൾക്ക് പ്രതിഫലം ലഭിച്ചു")</f>
        <v>നിങ്ങൾക്ക് പ്രതിഫലം ലഭിച്ചു</v>
      </c>
      <c r="K494" s="2" t="str">
        <f>IFERROR(__xludf.DUMMYFUNCTION("""COMPUTED_VALUE"""),"ਤੁਹਾਨੂੰ ਇਨਾਮ ਮਿਲਿਆ ਹੈ")</f>
        <v>ਤੁਹਾਨੂੰ ਇਨਾਮ ਮਿਲਿਆ ਹੈ</v>
      </c>
      <c r="L494" s="2" t="str">
        <f>IFERROR(__xludf.DUMMYFUNCTION("""COMPUTED_VALUE"""),"உங்களுக்கு வெகுமதி கிடைத்துள்ளது")</f>
        <v>உங்களுக்கு வெகுமதி கிடைத்துள்ளது</v>
      </c>
      <c r="M494" s="2" t="str">
        <f>IFERROR(__xludf.DUMMYFUNCTION("""COMPUTED_VALUE"""),"మీకు బహుమతి వచ్చింది")</f>
        <v>మీకు బహుమతి వచ్చింది</v>
      </c>
    </row>
    <row r="495">
      <c r="A495" s="2" t="str">
        <f>Master_en!A495</f>
        <v>addDetail</v>
      </c>
      <c r="B495" s="2" t="str">
        <f>Master_en!B495</f>
        <v>Add Detail</v>
      </c>
      <c r="C495" s="2" t="str">
        <f>IFERROR(__xludf.DUMMYFUNCTION("""COMPUTED_VALUE"""),"বিশদ যুক্ত করুন")</f>
        <v>বিশদ যুক্ত করুন</v>
      </c>
      <c r="D495" s="2" t="str">
        <f>IFERROR(__xludf.DUMMYFUNCTION("""COMPUTED_VALUE"""),"विस्तार जोड़ें")</f>
        <v>विस्तार जोड़ें</v>
      </c>
      <c r="E495" s="2" t="str">
        <f>IFERROR(__xludf.DUMMYFUNCTION("""COMPUTED_VALUE"""),"ವಿವರವನ್ನು ಸೇರಿಸಿ")</f>
        <v>ವಿವರವನ್ನು ಸೇರಿಸಿ</v>
      </c>
      <c r="F495" s="2" t="str">
        <f>IFERROR(__xludf.DUMMYFUNCTION("""COMPUTED_VALUE"""),"ସବିଶେଷ ତଥ୍ୟ ଯୋଡନ୍ତୁ |")</f>
        <v>ସବିଶେଷ ତଥ୍ୟ ଯୋଡନ୍ତୁ |</v>
      </c>
      <c r="G495" s="2" t="str">
        <f>IFERROR(__xludf.DUMMYFUNCTION("""COMPUTED_VALUE"""),"বিৱৰণ যোগ কৰক")</f>
        <v>বিৱৰণ যোগ কৰক</v>
      </c>
      <c r="H495" s="2" t="str">
        <f>IFERROR(__xludf.DUMMYFUNCTION("""COMPUTED_VALUE"""),"વિગતવાર ઉમેરો")</f>
        <v>વિગતવાર ઉમેરો</v>
      </c>
      <c r="I495" s="2" t="str">
        <f>IFERROR(__xludf.DUMMYFUNCTION("""COMPUTED_VALUE"""),"तपशील जोडा")</f>
        <v>तपशील जोडा</v>
      </c>
      <c r="J495" s="2" t="str">
        <f>IFERROR(__xludf.DUMMYFUNCTION("""COMPUTED_VALUE"""),"വിശദാംശങ്ങൾ ചേർക്കുക")</f>
        <v>വിശദാംശങ്ങൾ ചേർക്കുക</v>
      </c>
      <c r="K495" s="2" t="str">
        <f>IFERROR(__xludf.DUMMYFUNCTION("""COMPUTED_VALUE"""),"ਵੇਰਵਾ ਸ਼ਾਮਲ ਕਰੋ")</f>
        <v>ਵੇਰਵਾ ਸ਼ਾਮਲ ਕਰੋ</v>
      </c>
      <c r="L495" s="2" t="str">
        <f>IFERROR(__xludf.DUMMYFUNCTION("""COMPUTED_VALUE"""),"விவரத்தைச் சேர்க்கவும்")</f>
        <v>விவரத்தைச் சேர்க்கவும்</v>
      </c>
      <c r="M495" s="2" t="str">
        <f>IFERROR(__xludf.DUMMYFUNCTION("""COMPUTED_VALUE"""),"వివరాలు జోడించండి")</f>
        <v>వివరాలు జోడించండి</v>
      </c>
    </row>
    <row r="496">
      <c r="A496" s="2" t="str">
        <f>Master_en!A496</f>
        <v>Preorderdiscount</v>
      </c>
      <c r="B496" s="2" t="str">
        <f>Master_en!B496</f>
        <v>Pre-Order Discount</v>
      </c>
      <c r="C496" s="2" t="str">
        <f>IFERROR(__xludf.DUMMYFUNCTION("""COMPUTED_VALUE"""),"প্রাক-অর্ডার ছাড়")</f>
        <v>প্রাক-অর্ডার ছাড়</v>
      </c>
      <c r="D496" s="2" t="str">
        <f>IFERROR(__xludf.DUMMYFUNCTION("""COMPUTED_VALUE"""),"पूर्व-आदेश छूट")</f>
        <v>पूर्व-आदेश छूट</v>
      </c>
      <c r="E496" s="2" t="str">
        <f>IFERROR(__xludf.DUMMYFUNCTION("""COMPUTED_VALUE"""),"ಪೂರ್ವ-ಆದೇಶ ರಿಯಾಯಿತಿ")</f>
        <v>ಪೂರ್ವ-ಆದೇಶ ರಿಯಾಯಿತಿ</v>
      </c>
      <c r="F496" s="2" t="str">
        <f>IFERROR(__xludf.DUMMYFUNCTION("""COMPUTED_VALUE"""),"ପୂର୍ବ-ଅର୍ଡର ରିହାତି |")</f>
        <v>ପୂର୍ବ-ଅର୍ଡର ରିହାତି |</v>
      </c>
      <c r="G496" s="2" t="str">
        <f>IFERROR(__xludf.DUMMYFUNCTION("""COMPUTED_VALUE"""),"প্ৰি অৰ্ডাৰ ৰেহাই")</f>
        <v>প্ৰি অৰ্ডাৰ ৰেহাই</v>
      </c>
      <c r="H496" s="2" t="str">
        <f>IFERROR(__xludf.DUMMYFUNCTION("""COMPUTED_VALUE"""),"પૂર્વ-હુકમ")</f>
        <v>પૂર્વ-હુકમ</v>
      </c>
      <c r="I496" s="2" t="str">
        <f>IFERROR(__xludf.DUMMYFUNCTION("""COMPUTED_VALUE"""),"पूर्व-ऑर्डर सवलत")</f>
        <v>पूर्व-ऑर्डर सवलत</v>
      </c>
      <c r="J496" s="2" t="str">
        <f>IFERROR(__xludf.DUMMYFUNCTION("""COMPUTED_VALUE"""),"പ്രീ-ഓർഡർ കിഴിവ്")</f>
        <v>പ്രീ-ഓർഡർ കിഴിവ്</v>
      </c>
      <c r="K496" s="2" t="str">
        <f>IFERROR(__xludf.DUMMYFUNCTION("""COMPUTED_VALUE"""),"ਪ੍ਰੀ-ਆਰਡਰ ਛੂਟ")</f>
        <v>ਪ੍ਰੀ-ਆਰਡਰ ਛੂਟ</v>
      </c>
      <c r="L496" s="2" t="str">
        <f>IFERROR(__xludf.DUMMYFUNCTION("""COMPUTED_VALUE"""),"முன்கூட்டிய ஆர்டர் தள்ளுபடி")</f>
        <v>முன்கூட்டிய ஆர்டர் தள்ளுபடி</v>
      </c>
      <c r="M496" s="2" t="str">
        <f>IFERROR(__xludf.DUMMYFUNCTION("""COMPUTED_VALUE"""),"ప్రీ-ఆర్డర్ డిస్కౌంట్")</f>
        <v>ప్రీ-ఆర్డర్ డిస్కౌంట్</v>
      </c>
    </row>
    <row r="497">
      <c r="A497" s="2" t="str">
        <f>Master_en!A497</f>
        <v>addmore</v>
      </c>
      <c r="B497" s="2" t="str">
        <f>Master_en!B497</f>
        <v>Add More</v>
      </c>
      <c r="C497" s="2" t="str">
        <f>IFERROR(__xludf.DUMMYFUNCTION("""COMPUTED_VALUE"""),"আরো যোগ করো")</f>
        <v>আরো যোগ করো</v>
      </c>
      <c r="D497" s="2" t="str">
        <f>IFERROR(__xludf.DUMMYFUNCTION("""COMPUTED_VALUE"""),"अधिक जोड़ें")</f>
        <v>अधिक जोड़ें</v>
      </c>
      <c r="E497" s="2" t="str">
        <f>IFERROR(__xludf.DUMMYFUNCTION("""COMPUTED_VALUE"""),"ಇನ್ನಷ್ಟು ಸೇರಿಸಿ")</f>
        <v>ಇನ್ನಷ್ಟು ಸೇರಿಸಿ</v>
      </c>
      <c r="F497" s="2" t="str">
        <f>IFERROR(__xludf.DUMMYFUNCTION("""COMPUTED_VALUE"""),"ଅଧିକ ଯୋଗ କରନ୍ତୁ")</f>
        <v>ଅଧିକ ଯୋଗ କରନ୍ତୁ</v>
      </c>
      <c r="G497" s="2" t="str">
        <f>IFERROR(__xludf.DUMMYFUNCTION("""COMPUTED_VALUE"""),"অধিক যোগ কৰক")</f>
        <v>অধিক যোগ কৰক</v>
      </c>
      <c r="H497" s="2" t="str">
        <f>IFERROR(__xludf.DUMMYFUNCTION("""COMPUTED_VALUE"""),"વધુ ઉમેરો")</f>
        <v>વધુ ઉમેરો</v>
      </c>
      <c r="I497" s="2" t="str">
        <f>IFERROR(__xludf.DUMMYFUNCTION("""COMPUTED_VALUE"""),"पूर्व ऑर्डर सवलत")</f>
        <v>पूर्व ऑर्डर सवलत</v>
      </c>
      <c r="J497" s="2" t="str">
        <f>IFERROR(__xludf.DUMMYFUNCTION("""COMPUTED_VALUE"""),"കൂടുതൽ ചേർക്കുക")</f>
        <v>കൂടുതൽ ചേർക്കുക</v>
      </c>
      <c r="K497" s="2" t="str">
        <f>IFERROR(__xludf.DUMMYFUNCTION("""COMPUTED_VALUE"""),"ਹੋਰ ਸ਼ਾਮਲ ਕਰੋ")</f>
        <v>ਹੋਰ ਸ਼ਾਮਲ ਕਰੋ</v>
      </c>
      <c r="L497" s="2" t="str">
        <f>IFERROR(__xludf.DUMMYFUNCTION("""COMPUTED_VALUE"""),"மேலும் சேர்க்கவும்")</f>
        <v>மேலும் சேர்க்கவும்</v>
      </c>
      <c r="M497" s="2" t="str">
        <f>IFERROR(__xludf.DUMMYFUNCTION("""COMPUTED_VALUE"""),"మరిన్ని జోడించండి")</f>
        <v>మరిన్ని జోడించండి</v>
      </c>
    </row>
    <row r="498">
      <c r="A498" s="2" t="str">
        <f>Master_en!A498</f>
        <v>masalas</v>
      </c>
      <c r="B498" s="2" t="str">
        <f>Master_en!B498</f>
        <v>Masalas</v>
      </c>
      <c r="C498" s="2" t="str">
        <f>IFERROR(__xludf.DUMMYFUNCTION("""COMPUTED_VALUE"""),"মশালাস")</f>
        <v>মশালাস</v>
      </c>
      <c r="D498" s="2" t="str">
        <f>IFERROR(__xludf.DUMMYFUNCTION("""COMPUTED_VALUE"""),"मसालों")</f>
        <v>मसालों</v>
      </c>
      <c r="E498" s="2" t="str">
        <f>IFERROR(__xludf.DUMMYFUNCTION("""COMPUTED_VALUE"""),"ಒಂದು ಬಗೆಯ ಇಳಿ")</f>
        <v>ಒಂದು ಬಗೆಯ ಇಳಿ</v>
      </c>
      <c r="F498" s="2" t="str">
        <f>IFERROR(__xludf.DUMMYFUNCTION("""COMPUTED_VALUE"""),"ମାସ୍ଲାସ୍ |")</f>
        <v>ମାସ୍ଲାସ୍ |</v>
      </c>
      <c r="G498" s="2" t="str">
        <f>IFERROR(__xludf.DUMMYFUNCTION("""COMPUTED_VALUE"""),"মছলা")</f>
        <v>মছলা</v>
      </c>
      <c r="H498" s="2" t="str">
        <f>IFERROR(__xludf.DUMMYFUNCTION("""COMPUTED_VALUE"""),"મસાલા")</f>
        <v>મસાલા</v>
      </c>
      <c r="I498" s="2" t="str">
        <f>IFERROR(__xludf.DUMMYFUNCTION("""COMPUTED_VALUE"""),"मसाले")</f>
        <v>मसाले</v>
      </c>
      <c r="J498" s="2" t="str">
        <f>IFERROR(__xludf.DUMMYFUNCTION("""COMPUTED_VALUE"""),"മസാലസ്")</f>
        <v>മസാലസ്</v>
      </c>
      <c r="K498" s="2" t="str">
        <f>IFERROR(__xludf.DUMMYFUNCTION("""COMPUTED_VALUE"""),"ਮਸਾਲੇ")</f>
        <v>ਮਸਾਲੇ</v>
      </c>
      <c r="L498" s="2" t="str">
        <f>IFERROR(__xludf.DUMMYFUNCTION("""COMPUTED_VALUE"""),"மசாலாஸ்")</f>
        <v>மசாலாஸ்</v>
      </c>
      <c r="M498" s="2" t="str">
        <f>IFERROR(__xludf.DUMMYFUNCTION("""COMPUTED_VALUE"""),"మసాలాస్")</f>
        <v>మసాలాస్</v>
      </c>
    </row>
    <row r="499">
      <c r="A499" s="2" t="str">
        <f>Master_en!A499</f>
        <v>oil</v>
      </c>
      <c r="B499" s="2" t="str">
        <f>Master_en!B499</f>
        <v>Oil</v>
      </c>
      <c r="C499" s="2" t="str">
        <f>IFERROR(__xludf.DUMMYFUNCTION("""COMPUTED_VALUE"""),"তেল")</f>
        <v>তেল</v>
      </c>
      <c r="D499" s="2" t="str">
        <f>IFERROR(__xludf.DUMMYFUNCTION("""COMPUTED_VALUE"""),"तेल")</f>
        <v>तेल</v>
      </c>
      <c r="E499" s="2" t="str">
        <f>IFERROR(__xludf.DUMMYFUNCTION("""COMPUTED_VALUE"""),"ತೈಲ")</f>
        <v>ತೈಲ</v>
      </c>
      <c r="F499" s="2" t="str">
        <f>IFERROR(__xludf.DUMMYFUNCTION("""COMPUTED_VALUE"""),"ତେଲ")</f>
        <v>ତେଲ</v>
      </c>
      <c r="G499" s="2" t="str">
        <f>IFERROR(__xludf.DUMMYFUNCTION("""COMPUTED_VALUE"""),"তেল")</f>
        <v>তেল</v>
      </c>
      <c r="H499" s="2" t="str">
        <f>IFERROR(__xludf.DUMMYFUNCTION("""COMPUTED_VALUE"""),"તેલ")</f>
        <v>તેલ</v>
      </c>
      <c r="I499" s="2" t="str">
        <f>IFERROR(__xludf.DUMMYFUNCTION("""COMPUTED_VALUE"""),"तेल")</f>
        <v>तेल</v>
      </c>
      <c r="J499" s="2" t="str">
        <f>IFERROR(__xludf.DUMMYFUNCTION("""COMPUTED_VALUE"""),"എണ്ണ")</f>
        <v>എണ്ണ</v>
      </c>
      <c r="K499" s="2" t="str">
        <f>IFERROR(__xludf.DUMMYFUNCTION("""COMPUTED_VALUE"""),"ਤੇਲ")</f>
        <v>ਤੇਲ</v>
      </c>
      <c r="L499" s="2" t="str">
        <f>IFERROR(__xludf.DUMMYFUNCTION("""COMPUTED_VALUE"""),"எண்ணெய்")</f>
        <v>எண்ணெய்</v>
      </c>
      <c r="M499" s="2" t="str">
        <f>IFERROR(__xludf.DUMMYFUNCTION("""COMPUTED_VALUE"""),"నూనె")</f>
        <v>నూనె</v>
      </c>
    </row>
    <row r="500">
      <c r="A500" s="2" t="str">
        <f>Master_en!A500</f>
        <v>staples </v>
      </c>
      <c r="B500" s="2" t="str">
        <f>Master_en!B500</f>
        <v>Staples</v>
      </c>
      <c r="C500" s="2" t="str">
        <f>IFERROR(__xludf.DUMMYFUNCTION("""COMPUTED_VALUE"""),"স্ট্যাপলস")</f>
        <v>স্ট্যাপলস</v>
      </c>
      <c r="D500" s="2" t="str">
        <f>IFERROR(__xludf.DUMMYFUNCTION("""COMPUTED_VALUE"""),"स्टेपल्स")</f>
        <v>स्टेपल्स</v>
      </c>
      <c r="E500" s="2" t="str">
        <f>IFERROR(__xludf.DUMMYFUNCTION("""COMPUTED_VALUE"""),"ಪತಂಗಗಳು")</f>
        <v>ಪತಂಗಗಳು</v>
      </c>
      <c r="F500" s="2" t="str">
        <f>IFERROR(__xludf.DUMMYFUNCTION("""COMPUTED_VALUE"""),"ଷ୍ଟାପଲ୍ସ")</f>
        <v>ଷ୍ଟାପଲ୍ସ</v>
      </c>
      <c r="G500" s="2" t="str">
        <f>IFERROR(__xludf.DUMMYFUNCTION("""COMPUTED_VALUE"""),"ষ্টেপলছ")</f>
        <v>ষ্টেপলছ</v>
      </c>
      <c r="H500" s="2" t="str">
        <f>IFERROR(__xludf.DUMMYFUNCTION("""COMPUTED_VALUE"""),"મુખ્ય ભાગ")</f>
        <v>મુખ્ય ભાગ</v>
      </c>
      <c r="I500" s="2" t="str">
        <f>IFERROR(__xludf.DUMMYFUNCTION("""COMPUTED_VALUE"""),"स्टेपल्स")</f>
        <v>स्टेपल्स</v>
      </c>
      <c r="J500" s="2" t="str">
        <f>IFERROR(__xludf.DUMMYFUNCTION("""COMPUTED_VALUE"""),"സ്റ്റേപ്പിൾസ്")</f>
        <v>സ്റ്റേപ്പിൾസ്</v>
      </c>
      <c r="K500" s="2" t="str">
        <f>IFERROR(__xludf.DUMMYFUNCTION("""COMPUTED_VALUE"""),"ਸਟੈਪਲਜ਼")</f>
        <v>ਸਟੈਪਲਜ਼</v>
      </c>
      <c r="L500" s="2" t="str">
        <f>IFERROR(__xludf.DUMMYFUNCTION("""COMPUTED_VALUE"""),"ஸ்டேபிள்ஸ்")</f>
        <v>ஸ்டேபிள்ஸ்</v>
      </c>
      <c r="M500" s="2" t="str">
        <f>IFERROR(__xludf.DUMMYFUNCTION("""COMPUTED_VALUE"""),"స్టేపుల్స్")</f>
        <v>స్టేపుల్స్</v>
      </c>
    </row>
    <row r="501">
      <c r="A501" s="2" t="str">
        <f>Master_en!A501</f>
        <v>Drinks &amp; Beverages </v>
      </c>
      <c r="B501" s="2" t="str">
        <f>Master_en!B501</f>
        <v>Drinks &amp; Beverages </v>
      </c>
      <c r="C501" s="2" t="str">
        <f>IFERROR(__xludf.DUMMYFUNCTION("""COMPUTED_VALUE"""),"পানীয় এবং পানীয়")</f>
        <v>পানীয় এবং পানীয়</v>
      </c>
      <c r="D501" s="2" t="str">
        <f>IFERROR(__xludf.DUMMYFUNCTION("""COMPUTED_VALUE"""),"पेय और पेय पदार्थ")</f>
        <v>पेय और पेय पदार्थ</v>
      </c>
      <c r="E501" s="2" t="str">
        <f>IFERROR(__xludf.DUMMYFUNCTION("""COMPUTED_VALUE"""),"ಪಾನೀಯಗಳು ಮತ್ತು ಪಾನೀಯಗಳು")</f>
        <v>ಪಾನೀಯಗಳು ಮತ್ತು ಪಾನೀಯಗಳು</v>
      </c>
      <c r="F501" s="2" t="str">
        <f>IFERROR(__xludf.DUMMYFUNCTION("""COMPUTED_VALUE"""),"ପାନୀୟ ଏବଂ ପାନୀୟ |")</f>
        <v>ପାନୀୟ ଏବଂ ପାନୀୟ |</v>
      </c>
      <c r="G501" s="2" t="str">
        <f>IFERROR(__xludf.DUMMYFUNCTION("""COMPUTED_VALUE"""),"পানীয় আৰু পানীয়")</f>
        <v>পানীয় আৰু পানীয়</v>
      </c>
      <c r="H501" s="2" t="str">
        <f>IFERROR(__xludf.DUMMYFUNCTION("""COMPUTED_VALUE"""),"પીણાં અને પીણાં")</f>
        <v>પીણાં અને પીણાં</v>
      </c>
      <c r="I501" s="2" t="str">
        <f>IFERROR(__xludf.DUMMYFUNCTION("""COMPUTED_VALUE"""),"पेय आणि पेये")</f>
        <v>पेय आणि पेये</v>
      </c>
      <c r="J501" s="2" t="str">
        <f>IFERROR(__xludf.DUMMYFUNCTION("""COMPUTED_VALUE"""),"പാനീയങ്ങളും പാനീയങ്ങളും")</f>
        <v>പാനീയങ്ങളും പാനീയങ്ങളും</v>
      </c>
      <c r="K501" s="2" t="str">
        <f>IFERROR(__xludf.DUMMYFUNCTION("""COMPUTED_VALUE"""),"ਪੀਣ ਅਤੇ ਪੀਣ ਵਾਲੇ ਪਦਾਰਥ")</f>
        <v>ਪੀਣ ਅਤੇ ਪੀਣ ਵਾਲੇ ਪਦਾਰਥ</v>
      </c>
      <c r="L501" s="2" t="str">
        <f>IFERROR(__xludf.DUMMYFUNCTION("""COMPUTED_VALUE"""),"ட்ரிங்க்ஸ் &amp; பெவெரேஜ்ஸ்")</f>
        <v>ட்ரிங்க்ஸ் &amp; பெவெரேஜ்ஸ்</v>
      </c>
      <c r="M501" s="2" t="str">
        <f>IFERROR(__xludf.DUMMYFUNCTION("""COMPUTED_VALUE"""),"పానీయాలు &amp; పానీయాలు")</f>
        <v>పానీయాలు &amp; పానీయాలు</v>
      </c>
    </row>
    <row r="502">
      <c r="A502" s="2" t="str">
        <f>Master_en!A502</f>
        <v>taptorecordyourcomplain</v>
      </c>
      <c r="B502" s="2" t="str">
        <f>Master_en!B502</f>
        <v>Tap to record your complain</v>
      </c>
      <c r="C502" s="2" t="str">
        <f>IFERROR(__xludf.DUMMYFUNCTION("""COMPUTED_VALUE"""),"আপনার অভিযোগ রেকর্ড করতে আলতো চাপুন")</f>
        <v>আপনার অভিযোগ রেকর্ড করতে আলতো চাপুন</v>
      </c>
      <c r="D502" s="2" t="str">
        <f>IFERROR(__xludf.DUMMYFUNCTION("""COMPUTED_VALUE"""),"अपनी शिकायत रिकॉर्ड करने के लिए टैप करें")</f>
        <v>अपनी शिकायत रिकॉर्ड करने के लिए टैप करें</v>
      </c>
      <c r="E502" s="2" t="str">
        <f>IFERROR(__xludf.DUMMYFUNCTION("""COMPUTED_VALUE"""),"ನಿಮ್ಮ ದೂರನ್ನು ರೆಕಾರ್ಡ್ ಮಾಡಲು ಟ್ಯಾಪ್ ಮಾಡಿ")</f>
        <v>ನಿಮ್ಮ ದೂರನ್ನು ರೆಕಾರ್ಡ್ ಮಾಡಲು ಟ್ಯಾಪ್ ಮಾಡಿ</v>
      </c>
      <c r="F502" s="2" t="str">
        <f>IFERROR(__xludf.DUMMYFUNCTION("""COMPUTED_VALUE"""),"ଆପଣଙ୍କର ଅଭିଯୋଗ ରେକର୍ଡ କରିବାକୁ ଟ୍ୟାପ୍ କରନ୍ତୁ |")</f>
        <v>ଆପଣଙ୍କର ଅଭିଯୋଗ ରେକର୍ଡ କରିବାକୁ ଟ୍ୟାପ୍ କରନ୍ତୁ |</v>
      </c>
      <c r="G502" s="2" t="str">
        <f>IFERROR(__xludf.DUMMYFUNCTION("""COMPUTED_VALUE"""),"আপোনাৰ অভিযোগ ৰেকৰ্ড কৰিবলৈ টেপ কৰক")</f>
        <v>আপোনাৰ অভিযোগ ৰেকৰ্ড কৰিবলৈ টেপ কৰক</v>
      </c>
      <c r="H502" s="2" t="str">
        <f>IFERROR(__xludf.DUMMYFUNCTION("""COMPUTED_VALUE"""),"તમારી ફરિયાદ રેકોર્ડ કરવા માટે ટેપ કરો")</f>
        <v>તમારી ફરિયાદ રેકોર્ડ કરવા માટે ટેપ કરો</v>
      </c>
      <c r="I502" s="2" t="str">
        <f>IFERROR(__xludf.DUMMYFUNCTION("""COMPUTED_VALUE"""),"आपली तक्रार रेकॉर्ड करण्यासाठी टॅप करा")</f>
        <v>आपली तक्रार रेकॉर्ड करण्यासाठी टॅप करा</v>
      </c>
      <c r="J502" s="2" t="str">
        <f>IFERROR(__xludf.DUMMYFUNCTION("""COMPUTED_VALUE"""),"നിങ്ങളുടെ പരാതി രേഖപ്പെടുത്താൻ ടാപ്പുചെയ്യുക")</f>
        <v>നിങ്ങളുടെ പരാതി രേഖപ്പെടുത്താൻ ടാപ്പുചെയ്യുക</v>
      </c>
      <c r="K502" s="2" t="str">
        <f>IFERROR(__xludf.DUMMYFUNCTION("""COMPUTED_VALUE"""),"ਆਪਣੀ ਸ਼ਿਕਾਇਤ ਦਰਜ ਕਰਨ ਲਈ ਟੈਪ ਕਰੋ")</f>
        <v>ਆਪਣੀ ਸ਼ਿਕਾਇਤ ਦਰਜ ਕਰਨ ਲਈ ਟੈਪ ਕਰੋ</v>
      </c>
      <c r="L502" s="2" t="str">
        <f>IFERROR(__xludf.DUMMYFUNCTION("""COMPUTED_VALUE"""),"உங்கள் புகாரை பதிவு செய்ய தட்டவும்")</f>
        <v>உங்கள் புகாரை பதிவு செய்ய தட்டவும்</v>
      </c>
      <c r="M502" s="2" t="str">
        <f>IFERROR(__xludf.DUMMYFUNCTION("""COMPUTED_VALUE"""),"మీ ఫిర్యాదును రికార్డ్ చేయడానికి నొక్కండి")</f>
        <v>మీ ఫిర్యాదును రికార్డ్ చేయడానికి నొక్కండి</v>
      </c>
    </row>
    <row r="503">
      <c r="A503" s="2" t="str">
        <f>Master_en!A503</f>
        <v>rerecord</v>
      </c>
      <c r="B503" s="2" t="str">
        <f>Master_en!B503</f>
        <v>Re-record</v>
      </c>
      <c r="C503" s="2" t="str">
        <f>IFERROR(__xludf.DUMMYFUNCTION("""COMPUTED_VALUE"""),"পুনরায় রেকর্ড")</f>
        <v>পুনরায় রেকর্ড</v>
      </c>
      <c r="D503" s="2" t="str">
        <f>IFERROR(__xludf.DUMMYFUNCTION("""COMPUTED_VALUE"""),"पुन: रिकॉर्ड")</f>
        <v>पुन: रिकॉर्ड</v>
      </c>
      <c r="E503" s="2" t="str">
        <f>IFERROR(__xludf.DUMMYFUNCTION("""COMPUTED_VALUE"""),"ಮರುಪಾವತಿ")</f>
        <v>ಮರುಪಾವತಿ</v>
      </c>
      <c r="F503" s="2" t="str">
        <f>IFERROR(__xludf.DUMMYFUNCTION("""COMPUTED_VALUE"""),"ପୁନ-ରେକର୍ଡ")</f>
        <v>ପୁନ-ରେକର୍ଡ</v>
      </c>
      <c r="G503" s="2" t="str">
        <f>IFERROR(__xludf.DUMMYFUNCTION("""COMPUTED_VALUE"""),"পুনৰ ৰেকৰ্ড কৰক")</f>
        <v>পুনৰ ৰেকৰ্ড কৰক</v>
      </c>
      <c r="H503" s="2" t="str">
        <f>IFERROR(__xludf.DUMMYFUNCTION("""COMPUTED_VALUE"""),"ફરીથી રેકોર્ડ")</f>
        <v>ફરીથી રેકોર્ડ</v>
      </c>
      <c r="I503" s="2" t="str">
        <f>IFERROR(__xludf.DUMMYFUNCTION("""COMPUTED_VALUE"""),"पुन्हा रेकॉर्ड")</f>
        <v>पुन्हा रेकॉर्ड</v>
      </c>
      <c r="J503" s="2" t="str">
        <f>IFERROR(__xludf.DUMMYFUNCTION("""COMPUTED_VALUE"""),"വീണ്ടും റെക്കോർഡുചെയ്യുക")</f>
        <v>വീണ്ടും റെക്കോർഡുചെയ്യുക</v>
      </c>
      <c r="K503" s="2" t="str">
        <f>IFERROR(__xludf.DUMMYFUNCTION("""COMPUTED_VALUE"""),"ਦੁਬਾਰਾ ਰਿਕਾਰਡ")</f>
        <v>ਦੁਬਾਰਾ ਰਿਕਾਰਡ</v>
      </c>
      <c r="L503" s="2" t="str">
        <f>IFERROR(__xludf.DUMMYFUNCTION("""COMPUTED_VALUE"""),"மறு பதிவு")</f>
        <v>மறு பதிவு</v>
      </c>
      <c r="M503" s="2" t="str">
        <f>IFERROR(__xludf.DUMMYFUNCTION("""COMPUTED_VALUE"""),"తిరిగి రికార్డ్")</f>
        <v>తిరిగి రికార్డ్</v>
      </c>
    </row>
    <row r="504">
      <c r="A504" s="2" t="str">
        <f>Master_en!A504</f>
        <v>Successful</v>
      </c>
      <c r="B504" s="2" t="str">
        <f>Master_en!B504</f>
        <v>Successful</v>
      </c>
      <c r="C504" s="2" t="str">
        <f>IFERROR(__xludf.DUMMYFUNCTION("""COMPUTED_VALUE"""),"সফল")</f>
        <v>সফল</v>
      </c>
      <c r="D504" s="2" t="str">
        <f>IFERROR(__xludf.DUMMYFUNCTION("""COMPUTED_VALUE"""),"सफल")</f>
        <v>सफल</v>
      </c>
      <c r="E504" s="2" t="str">
        <f>IFERROR(__xludf.DUMMYFUNCTION("""COMPUTED_VALUE"""),"ಯಶಸ್ವಿ")</f>
        <v>ಯಶಸ್ವಿ</v>
      </c>
      <c r="F504" s="2" t="str">
        <f>IFERROR(__xludf.DUMMYFUNCTION("""COMPUTED_VALUE"""),"ସଫଳ")</f>
        <v>ସଫଳ</v>
      </c>
      <c r="G504" s="2" t="str">
        <f>IFERROR(__xludf.DUMMYFUNCTION("""COMPUTED_VALUE"""),"সফল")</f>
        <v>সফল</v>
      </c>
      <c r="H504" s="2" t="str">
        <f>IFERROR(__xludf.DUMMYFUNCTION("""COMPUTED_VALUE"""),"સફળ")</f>
        <v>સફળ</v>
      </c>
      <c r="I504" s="2" t="str">
        <f>IFERROR(__xludf.DUMMYFUNCTION("""COMPUTED_VALUE"""),"पुन्हा रेकॉर्ड करा")</f>
        <v>पुन्हा रेकॉर्ड करा</v>
      </c>
      <c r="J504" s="2" t="str">
        <f>IFERROR(__xludf.DUMMYFUNCTION("""COMPUTED_VALUE"""),"വിജയകരമായ")</f>
        <v>വിജയകരമായ</v>
      </c>
      <c r="K504" s="2" t="str">
        <f>IFERROR(__xludf.DUMMYFUNCTION("""COMPUTED_VALUE"""),"ਸਫਲ")</f>
        <v>ਸਫਲ</v>
      </c>
      <c r="L504" s="2" t="str">
        <f>IFERROR(__xludf.DUMMYFUNCTION("""COMPUTED_VALUE"""),"வெற்றி")</f>
        <v>வெற்றி</v>
      </c>
      <c r="M504" s="2" t="str">
        <f>IFERROR(__xludf.DUMMYFUNCTION("""COMPUTED_VALUE"""),"విజయవంతమైంది")</f>
        <v>విజయవంతమైంది</v>
      </c>
    </row>
    <row r="505">
      <c r="A505" s="2" t="str">
        <f>Master_en!A505</f>
        <v>areyousure.youwanttowithdrawcomplaint</v>
      </c>
      <c r="B505" s="2" t="str">
        <f>Master_en!B505</f>
        <v>Are you sure you want to withdraw complaint?</v>
      </c>
      <c r="C505" s="2" t="str">
        <f>IFERROR(__xludf.DUMMYFUNCTION("""COMPUTED_VALUE"""),"আপনি কি অভিযোগ প্রত্যাহার করতে চান?")</f>
        <v>আপনি কি অভিযোগ প্রত্যাহার করতে চান?</v>
      </c>
      <c r="D505" s="2" t="str">
        <f>IFERROR(__xludf.DUMMYFUNCTION("""COMPUTED_VALUE"""),"क्या आप सुनिश्चित हैं कि आप शिकायत वापस लेना चाहते हैं?")</f>
        <v>क्या आप सुनिश्चित हैं कि आप शिकायत वापस लेना चाहते हैं?</v>
      </c>
      <c r="E505" s="2" t="str">
        <f>IFERROR(__xludf.DUMMYFUNCTION("""COMPUTED_VALUE"""),"ನೀವು ದೂರನ್ನು ಹಿಂತೆಗೆದುಕೊಳ್ಳಲು ಬಯಸುತ್ತೀರಾ?")</f>
        <v>ನೀವು ದೂರನ್ನು ಹಿಂತೆಗೆದುಕೊಳ್ಳಲು ಬಯಸುತ್ತೀರಾ?</v>
      </c>
      <c r="F505" s="2" t="str">
        <f>IFERROR(__xludf.DUMMYFUNCTION("""COMPUTED_VALUE"""),"ଆପଣ ନିଶ୍ଚିତ କି ଆପଣ ଅଭିଯୋଗ ପ୍ରତ୍ୟାହାର କରିବାକୁ ଚାହୁଁଛନ୍ତି?")</f>
        <v>ଆପଣ ନିଶ୍ଚିତ କି ଆପଣ ଅଭିଯୋଗ ପ୍ରତ୍ୟାହାର କରିବାକୁ ଚାହୁଁଛନ୍ତି?</v>
      </c>
      <c r="G505" s="2" t="str">
        <f>IFERROR(__xludf.DUMMYFUNCTION("""COMPUTED_VALUE"""),"আপুনি নিশ্চিত নেকি। আপুনি অভিযোগ প্ৰত্যাহাৰ কৰিব বিচাৰেনে?")</f>
        <v>আপুনি নিশ্চিত নেকি। আপুনি অভিযোগ প্ৰত্যাহাৰ কৰিব বিচাৰেনে?</v>
      </c>
      <c r="H505" s="2" t="str">
        <f>IFERROR(__xludf.DUMMYFUNCTION("""COMPUTED_VALUE"""),"શું તમને ખાતરી છે કે તમે ફરિયાદ પાછી ખેંચી લેવા માંગો છો?")</f>
        <v>શું તમને ખાતરી છે કે તમે ફરિયાદ પાછી ખેંચી લેવા માંગો છો?</v>
      </c>
      <c r="I505" s="2" t="str">
        <f>IFERROR(__xludf.DUMMYFUNCTION("""COMPUTED_VALUE"""),"आपणास खात्री आहे की आपण तक्रार मागे घेऊ इच्छिता?")</f>
        <v>आपणास खात्री आहे की आपण तक्रार मागे घेऊ इच्छिता?</v>
      </c>
      <c r="J505" s="2" t="str">
        <f>IFERROR(__xludf.DUMMYFUNCTION("""COMPUTED_VALUE"""),"പരാതി പിൻവലിക്കണമെന്ന് നിങ്ങൾക്ക് ഉറപ്പാണോ?")</f>
        <v>പരാതി പിൻവലിക്കണമെന്ന് നിങ്ങൾക്ക് ഉറപ്പാണോ?</v>
      </c>
      <c r="K505" s="2" t="str">
        <f>IFERROR(__xludf.DUMMYFUNCTION("""COMPUTED_VALUE"""),"ਕੀ ਤੁਸੀਂ ਯਕੀਨਨ ਸ਼ਿਕਾਇਤ ਵਾਪਸ ਲੈਣਾ ਚਾਹੁੰਦੇ ਹੋ?")</f>
        <v>ਕੀ ਤੁਸੀਂ ਯਕੀਨਨ ਸ਼ਿਕਾਇਤ ਵਾਪਸ ਲੈਣਾ ਚਾਹੁੰਦੇ ਹੋ?</v>
      </c>
      <c r="L505" s="2" t="str">
        <f>IFERROR(__xludf.DUMMYFUNCTION("""COMPUTED_VALUE"""),"நீங்கள் நிச்சயமாக புகாரை திரும்பப் பெற விரும்புகிறீர்களா?")</f>
        <v>நீங்கள் நிச்சயமாக புகாரை திரும்பப் பெற விரும்புகிறீர்களா?</v>
      </c>
      <c r="M505" s="2" t="str">
        <f>IFERROR(__xludf.DUMMYFUNCTION("""COMPUTED_VALUE"""),"మీరు ఖచ్చితంగా ఫిర్యాదును ఉపసంహరించుకోవాలనుకుంటున్నారా?")</f>
        <v>మీరు ఖచ్చితంగా ఫిర్యాదును ఉపసంహరించుకోవాలనుకుంటున్నారా?</v>
      </c>
    </row>
    <row r="506">
      <c r="A506" s="2" t="str">
        <f>Master_en!A506</f>
        <v>Status</v>
      </c>
      <c r="B506" s="2" t="str">
        <f>Master_en!B506</f>
        <v>Status </v>
      </c>
      <c r="C506" s="2" t="str">
        <f>IFERROR(__xludf.DUMMYFUNCTION("""COMPUTED_VALUE"""),"স্থিতি")</f>
        <v>স্থিতি</v>
      </c>
      <c r="D506" s="2" t="str">
        <f>IFERROR(__xludf.DUMMYFUNCTION("""COMPUTED_VALUE"""),"दर्जा")</f>
        <v>दर्जा</v>
      </c>
      <c r="E506" s="2" t="str">
        <f>IFERROR(__xludf.DUMMYFUNCTION("""COMPUTED_VALUE"""),"ಸ್ಥಾನಮಾನ")</f>
        <v>ಸ್ಥಾನಮಾನ</v>
      </c>
      <c r="F506" s="2" t="str">
        <f>IFERROR(__xludf.DUMMYFUNCTION("""COMPUTED_VALUE"""),"ସ୍ଥିତି")</f>
        <v>ସ୍ଥିତି</v>
      </c>
      <c r="G506" s="2" t="str">
        <f>IFERROR(__xludf.DUMMYFUNCTION("""COMPUTED_VALUE"""),"স্থিতি")</f>
        <v>স্থিতি</v>
      </c>
      <c r="H506" s="2" t="str">
        <f>IFERROR(__xludf.DUMMYFUNCTION("""COMPUTED_VALUE"""),"દરજ્જો")</f>
        <v>દરજ્જો</v>
      </c>
      <c r="I506" s="2" t="str">
        <f>IFERROR(__xludf.DUMMYFUNCTION("""COMPUTED_VALUE"""),"तुम्हाला खात्री आहे. आपण तक्रार मागे घेऊ इच्छिता?")</f>
        <v>तुम्हाला खात्री आहे. आपण तक्रार मागे घेऊ इच्छिता?</v>
      </c>
      <c r="J506" s="2" t="str">
        <f>IFERROR(__xludf.DUMMYFUNCTION("""COMPUTED_VALUE"""),"പദവി")</f>
        <v>പദവി</v>
      </c>
      <c r="K506" s="2" t="str">
        <f>IFERROR(__xludf.DUMMYFUNCTION("""COMPUTED_VALUE"""),"ਸਥਿਤੀ")</f>
        <v>ਸਥਿਤੀ</v>
      </c>
      <c r="L506" s="2" t="str">
        <f>IFERROR(__xludf.DUMMYFUNCTION("""COMPUTED_VALUE"""),"நிலை")</f>
        <v>நிலை</v>
      </c>
      <c r="M506" s="2" t="str">
        <f>IFERROR(__xludf.DUMMYFUNCTION("""COMPUTED_VALUE"""),"స్థితి")</f>
        <v>స్థితి</v>
      </c>
    </row>
    <row r="507">
      <c r="A507" s="2" t="str">
        <f>Master_en!A507</f>
        <v>reopen</v>
      </c>
      <c r="B507" s="2" t="str">
        <f>Master_en!B507</f>
        <v>Reopen</v>
      </c>
      <c r="C507" s="2" t="str">
        <f>IFERROR(__xludf.DUMMYFUNCTION("""COMPUTED_VALUE"""),"পুনরায় খুলুন")</f>
        <v>পুনরায় খুলুন</v>
      </c>
      <c r="D507" s="2" t="str">
        <f>IFERROR(__xludf.DUMMYFUNCTION("""COMPUTED_VALUE"""),"फिर से खोलना")</f>
        <v>फिर से खोलना</v>
      </c>
      <c r="E507" s="2" t="str">
        <f>IFERROR(__xludf.DUMMYFUNCTION("""COMPUTED_VALUE"""),"ಪುನಃ ತೆರೆಯಿಸು")</f>
        <v>ಪುನಃ ತೆರೆಯಿಸು</v>
      </c>
      <c r="F507" s="2" t="str">
        <f>IFERROR(__xludf.DUMMYFUNCTION("""COMPUTED_VALUE"""),"ଖୋଲିବା")</f>
        <v>ଖୋଲିବା</v>
      </c>
      <c r="G507" s="2" t="str">
        <f>IFERROR(__xludf.DUMMYFUNCTION("""COMPUTED_VALUE"""),"পুনৰ খোলক")</f>
        <v>পুনৰ খোলক</v>
      </c>
      <c r="H507" s="2" t="str">
        <f>IFERROR(__xludf.DUMMYFUNCTION("""COMPUTED_VALUE"""),"ફરીથી ખોલવું")</f>
        <v>ફરીથી ખોલવું</v>
      </c>
      <c r="I507" s="2" t="str">
        <f>IFERROR(__xludf.DUMMYFUNCTION("""COMPUTED_VALUE"""),"पुन्हा उघडा")</f>
        <v>पुन्हा उघडा</v>
      </c>
      <c r="J507" s="2" t="str">
        <f>IFERROR(__xludf.DUMMYFUNCTION("""COMPUTED_VALUE"""),"വീണ്ടുംപിക്കുക")</f>
        <v>വീണ്ടുംപിക്കുക</v>
      </c>
      <c r="K507" s="2" t="str">
        <f>IFERROR(__xludf.DUMMYFUNCTION("""COMPUTED_VALUE"""),"ਦੁਬਾਰਾ ਖੋਲ੍ਹੋ")</f>
        <v>ਦੁਬਾਰਾ ਖੋਲ੍ਹੋ</v>
      </c>
      <c r="L507" s="2" t="str">
        <f>IFERROR(__xludf.DUMMYFUNCTION("""COMPUTED_VALUE"""),"மீண்டும் திறக்கவும்")</f>
        <v>மீண்டும் திறக்கவும்</v>
      </c>
      <c r="M507" s="2" t="str">
        <f>IFERROR(__xludf.DUMMYFUNCTION("""COMPUTED_VALUE"""),"తిరిగి తెరవండి")</f>
        <v>తిరిగి తెరవండి</v>
      </c>
    </row>
    <row r="508">
      <c r="A508" s="2" t="str">
        <f>Master_en!A508</f>
        <v>otpsenttoregisteredmobilenumber</v>
      </c>
      <c r="B508" s="2" t="str">
        <f>Master_en!B508</f>
        <v>OTP sent to registered mobile number</v>
      </c>
      <c r="C508" s="2" t="str">
        <f>IFERROR(__xludf.DUMMYFUNCTION("""COMPUTED_VALUE"""),"ওটিপি নিবন্ধিত মোবাইল নম্বর পাঠিয়েছে")</f>
        <v>ওটিপি নিবন্ধিত মোবাইল নম্বর পাঠিয়েছে</v>
      </c>
      <c r="D508" s="2" t="str">
        <f>IFERROR(__xludf.DUMMYFUNCTION("""COMPUTED_VALUE"""),"OTP पंजीकृत मोबाइल नंबर पर भेजा गया")</f>
        <v>OTP पंजीकृत मोबाइल नंबर पर भेजा गया</v>
      </c>
      <c r="E508" s="2" t="str">
        <f>IFERROR(__xludf.DUMMYFUNCTION("""COMPUTED_VALUE"""),"ನೋಂದಾಯಿತ ಮೊಬೈಲ್ ಸಂಖ್ಯೆಗೆ ಒಟಿಪಿ ಕಳುಹಿಸಲಾಗಿದೆ")</f>
        <v>ನೋಂದಾಯಿತ ಮೊಬೈಲ್ ಸಂಖ್ಯೆಗೆ ಒಟಿಪಿ ಕಳುಹಿಸಲಾಗಿದೆ</v>
      </c>
      <c r="F508" s="2" t="str">
        <f>IFERROR(__xludf.DUMMYFUNCTION("""COMPUTED_VALUE"""),"ପଞ୍ଜୀକୃତ ମୋବାଇଲ୍ ନମ୍ବରକୁ OTP ପଠାଯାଇଛି |")</f>
        <v>ପଞ୍ଜୀକୃତ ମୋବାଇଲ୍ ନମ୍ବରକୁ OTP ପଠାଯାଇଛି |</v>
      </c>
      <c r="G508" s="2" t="str">
        <f>IFERROR(__xludf.DUMMYFUNCTION("""COMPUTED_VALUE"""),"পঞ্জীয়নভুক্ত মোবাইল নম্বৰত প্ৰেৰণ কৰা অ'টিপি")</f>
        <v>পঞ্জীয়নভুক্ত মোবাইল নম্বৰত প্ৰেৰণ কৰা অ'টিপি</v>
      </c>
      <c r="H508" s="2" t="str">
        <f>IFERROR(__xludf.DUMMYFUNCTION("""COMPUTED_VALUE"""),"ઓટીપી રજિસ્ટર્ડ મોબાઇલ નંબર પર મોકલ્યો")</f>
        <v>ઓટીપી રજિસ્ટર્ડ મોબાઇલ નંબર પર મોકલ્યો</v>
      </c>
      <c r="I508" s="2" t="str">
        <f>IFERROR(__xludf.DUMMYFUNCTION("""COMPUTED_VALUE"""),"ओटीपीने नोंदणीकृत मोबाइल नंबरवर पाठविले")</f>
        <v>ओटीपीने नोंदणीकृत मोबाइल नंबरवर पाठविले</v>
      </c>
      <c r="J508" s="2" t="str">
        <f>IFERROR(__xludf.DUMMYFUNCTION("""COMPUTED_VALUE"""),"രജിസ്റ്റർ ചെയ്ത മൊബൈൽ നമ്പറിലേക്ക് OTP അയച്ചു")</f>
        <v>രജിസ്റ്റർ ചെയ്ത മൊബൈൽ നമ്പറിലേക്ക് OTP അയച്ചു</v>
      </c>
      <c r="K508" s="2" t="str">
        <f>IFERROR(__xludf.DUMMYFUNCTION("""COMPUTED_VALUE"""),"ਓਟੀਪੀ ਨੇ ਰਜਿਸਟਰਡ ਮੋਬਾਈਲ ਨੰਬਰ ਤੇ ਭੇਜਿਆ")</f>
        <v>ਓਟੀਪੀ ਨੇ ਰਜਿਸਟਰਡ ਮੋਬਾਈਲ ਨੰਬਰ ਤੇ ਭੇਜਿਆ</v>
      </c>
      <c r="L508" s="2" t="str">
        <f>IFERROR(__xludf.DUMMYFUNCTION("""COMPUTED_VALUE"""),"பதிவுசெய்யப்பட்ட மொபைல் எண்ணுக்கு OTP அனுப்பப்பட்டது")</f>
        <v>பதிவுசெய்யப்பட்ட மொபைல் எண்ணுக்கு OTP அனுப்பப்பட்டது</v>
      </c>
      <c r="M508" s="2" t="str">
        <f>IFERROR(__xludf.DUMMYFUNCTION("""COMPUTED_VALUE"""),"OTP రిజిస్టర్డ్ మొబైల్ నంబర్‌కు పంపబడింది")</f>
        <v>OTP రిజిస్టర్డ్ మొబైల్ నంబర్‌కు పంపబడింది</v>
      </c>
    </row>
    <row r="509">
      <c r="A509" s="2" t="str">
        <f>Master_en!A509</f>
        <v>doyouhaveGSTINnumber?</v>
      </c>
      <c r="B509" s="2" t="str">
        <f>Master_en!B509</f>
        <v>Do You Have GSTIN Number?</v>
      </c>
      <c r="C509" s="2" t="str">
        <f>IFERROR(__xludf.DUMMYFUNCTION("""COMPUTED_VALUE"""),"আপনার কি জিএসটিন নম্বর আছে?")</f>
        <v>আপনার কি জিএসটিন নম্বর আছে?</v>
      </c>
      <c r="D509" s="2" t="str">
        <f>IFERROR(__xludf.DUMMYFUNCTION("""COMPUTED_VALUE"""),"क्या आपके पास जीएसटी आई एननंबर है?
")</f>
        <v>क्या आपके पास जीएसटी आई एननंबर है?
</v>
      </c>
      <c r="E509" s="2" t="str">
        <f>IFERROR(__xludf.DUMMYFUNCTION("""COMPUTED_VALUE"""),"ನೀವು ಜಿಎಸ್ಟಿಐಎನ್ ಸಂಖ್ಯೆಯನ್ನು ಹೊಂದಿದ್ದೀರಾ?")</f>
        <v>ನೀವು ಜಿಎಸ್ಟಿಐಎನ್ ಸಂಖ್ಯೆಯನ್ನು ಹೊಂದಿದ್ದೀರಾ?</v>
      </c>
      <c r="F509" s="2" t="str">
        <f>IFERROR(__xludf.DUMMYFUNCTION("""COMPUTED_VALUE"""),"ଆପଣଙ୍କର gstonin ନମ୍ବର ଅଛି କି?")</f>
        <v>ଆପଣଙ୍କର gstonin ନମ୍ବର ଅଛି କି?</v>
      </c>
      <c r="G509" s="2" t="str">
        <f>IFERROR(__xludf.DUMMYFUNCTION("""COMPUTED_VALUE"""),"আপোনাৰ GSTIN নম্বৰ আছে নেকি?")</f>
        <v>আপোনাৰ GSTIN নম্বৰ আছে নেকি?</v>
      </c>
      <c r="H509" s="2" t="str">
        <f>IFERROR(__xludf.DUMMYFUNCTION("""COMPUTED_VALUE"""),"શું તમારી પાસે જીસ્ટિન નંબર છે?")</f>
        <v>શું તમારી પાસે જીસ્ટિન નંબર છે?</v>
      </c>
      <c r="I509" s="2" t="str">
        <f>IFERROR(__xludf.DUMMYFUNCTION("""COMPUTED_VALUE"""),"नोंदणीकृत मोबाईल क्रमांकावर OTP पाठवला आहे")</f>
        <v>नोंदणीकृत मोबाईल क्रमांकावर OTP पाठवला आहे</v>
      </c>
      <c r="J509" s="2" t="str">
        <f>IFERROR(__xludf.DUMMYFUNCTION("""COMPUTED_VALUE"""),"നിങ്ങൾക്ക് ജിസ്റ്റിൻ നമ്പർ ഉണ്ടോ?")</f>
        <v>നിങ്ങൾക്ക് ജിസ്റ്റിൻ നമ്പർ ഉണ്ടോ?</v>
      </c>
      <c r="K509" s="2" t="str">
        <f>IFERROR(__xludf.DUMMYFUNCTION("""COMPUTED_VALUE"""),"ਕੀ ਤੁਹਾਡੇ ਕੋਲ ਜੀਐਸਟੀਐਨ ਨੰਬਰ ਹੈ?")</f>
        <v>ਕੀ ਤੁਹਾਡੇ ਕੋਲ ਜੀਐਸਟੀਐਨ ਨੰਬਰ ਹੈ?</v>
      </c>
      <c r="L509" s="2" t="str">
        <f>IFERROR(__xludf.DUMMYFUNCTION("""COMPUTED_VALUE"""),"உங்களிடம் GSTIN எண் இருக்கிறதா?")</f>
        <v>உங்களிடம் GSTIN எண் இருக்கிறதா?</v>
      </c>
      <c r="M509" s="2" t="str">
        <f>IFERROR(__xludf.DUMMYFUNCTION("""COMPUTED_VALUE"""),"మీకు GSTIN సంఖ్య ఉందా?")</f>
        <v>మీకు GSTIN సంఖ్య ఉందా?</v>
      </c>
    </row>
    <row r="510">
      <c r="A510" s="2" t="str">
        <f>Master_en!A510</f>
        <v>PickedUp</v>
      </c>
      <c r="B510" s="2" t="str">
        <f>Master_en!B510</f>
        <v>Picked Up</v>
      </c>
      <c r="C510" s="2" t="str">
        <f>IFERROR(__xludf.DUMMYFUNCTION("""COMPUTED_VALUE"""),"বাছাই")</f>
        <v>বাছাই</v>
      </c>
      <c r="D510" s="2" t="str">
        <f>IFERROR(__xludf.DUMMYFUNCTION("""COMPUTED_VALUE"""),"क्या आपके पास जीएसटीआईएन नंबर है?")</f>
        <v>क्या आपके पास जीएसटीआईएन नंबर है?</v>
      </c>
      <c r="E510" s="2" t="str">
        <f>IFERROR(__xludf.DUMMYFUNCTION("""COMPUTED_VALUE"""),"ತೆಗೆದುಕೊಂಡೆ")</f>
        <v>ತೆಗೆದುಕೊಂಡೆ</v>
      </c>
      <c r="F510" s="2" t="str">
        <f>IFERROR(__xludf.DUMMYFUNCTION("""COMPUTED_VALUE"""),"ଉଠେଇବା")</f>
        <v>ଉଠେଇବା</v>
      </c>
      <c r="G510" s="2" t="str">
        <f>IFERROR(__xludf.DUMMYFUNCTION("""COMPUTED_VALUE"""),"বুটলি লৈছিল")</f>
        <v>বুটলি লৈছিল</v>
      </c>
      <c r="H510" s="2" t="str">
        <f>IFERROR(__xludf.DUMMYFUNCTION("""COMPUTED_VALUE"""),"ને પસંદ")</f>
        <v>ને પસંદ</v>
      </c>
      <c r="I510" s="2" t="str">
        <f>IFERROR(__xludf.DUMMYFUNCTION("""COMPUTED_VALUE"""),"उचलले")</f>
        <v>उचलले</v>
      </c>
      <c r="J510" s="2" t="str">
        <f>IFERROR(__xludf.DUMMYFUNCTION("""COMPUTED_VALUE"""),"മെച്ചപ്പെട്ടു")</f>
        <v>മെച്ചപ്പെട്ടു</v>
      </c>
      <c r="K510" s="2" t="str">
        <f>IFERROR(__xludf.DUMMYFUNCTION("""COMPUTED_VALUE"""),"ਚੁੱਕ ਲਿਆ")</f>
        <v>ਚੁੱਕ ਲਿਆ</v>
      </c>
      <c r="L510" s="2" t="str">
        <f>IFERROR(__xludf.DUMMYFUNCTION("""COMPUTED_VALUE"""),"உங்களிடம் ஜி௭ஸ்டி௭ன் எண் இருக்கிறதா?")</f>
        <v>உங்களிடம் ஜி௭ஸ்டி௭ன் எண் இருக்கிறதா?</v>
      </c>
      <c r="M510" s="2" t="str">
        <f>IFERROR(__xludf.DUMMYFUNCTION("""COMPUTED_VALUE"""),"తీయబడింది")</f>
        <v>తీయబడింది</v>
      </c>
    </row>
    <row r="511">
      <c r="A511" s="2" t="str">
        <f>Master_en!A511</f>
        <v>mini.PricePerOrder</v>
      </c>
      <c r="B511" s="2" t="str">
        <f>Master_en!B511</f>
        <v>Mini. price per order</v>
      </c>
      <c r="C511" s="2" t="str">
        <f>IFERROR(__xludf.DUMMYFUNCTION("""COMPUTED_VALUE"""),"মিনি অর্ডার প্রতি মূল্য")</f>
        <v>মিনি অর্ডার প্রতি মূল্য</v>
      </c>
      <c r="D511" s="2" t="str">
        <f>IFERROR(__xludf.DUMMYFUNCTION("""COMPUTED_VALUE"""),"छोटा। प्रति आदेश कीमत")</f>
        <v>छोटा। प्रति आदेश कीमत</v>
      </c>
      <c r="E511" s="2" t="str">
        <f>IFERROR(__xludf.DUMMYFUNCTION("""COMPUTED_VALUE"""),"ಮಿನಿ. ಪ್ರತಿ ಆದೇಶಕ್ಕೆ ಬೆಲೆ")</f>
        <v>ಮಿನಿ. ಪ್ರತಿ ಆದೇಶಕ್ಕೆ ಬೆಲೆ</v>
      </c>
      <c r="F511" s="2" t="str">
        <f>IFERROR(__xludf.DUMMYFUNCTION("""COMPUTED_VALUE"""),"ମିନି କ୍ରମର ମୂଲ୍ୟ")</f>
        <v>ମିନି କ୍ରମର ମୂଲ୍ୟ</v>
      </c>
      <c r="G511" s="2" t="str">
        <f>IFERROR(__xludf.DUMMYFUNCTION("""COMPUTED_VALUE"""),"মিনি। প্ৰতিটো অৰ্ডাৰৰ মূল্য")</f>
        <v>মিনি। প্ৰতিটো অৰ্ডাৰৰ মূল্য</v>
      </c>
      <c r="H511" s="2" t="str">
        <f>IFERROR(__xludf.DUMMYFUNCTION("""COMPUTED_VALUE"""),"મીની. હુકમ દીઠ ભાવ")</f>
        <v>મીની. હુકમ દીઠ ભાવ</v>
      </c>
      <c r="I511" s="2" t="str">
        <f>IFERROR(__xludf.DUMMYFUNCTION("""COMPUTED_VALUE"""),"मिनी. प्रति ऑर्डर किंमत")</f>
        <v>मिनी. प्रति ऑर्डर किंमत</v>
      </c>
      <c r="J511" s="2" t="str">
        <f>IFERROR(__xludf.DUMMYFUNCTION("""COMPUTED_VALUE"""),"മിനി. ഓരോ ഓർഡറിനും വില")</f>
        <v>മിനി. ഓരോ ഓർഡറിനും വില</v>
      </c>
      <c r="K511" s="2" t="str">
        <f>IFERROR(__xludf.DUMMYFUNCTION("""COMPUTED_VALUE"""),"ਮਿਨੀ. ਪ੍ਰਤੀ ਆਰਡਰ")</f>
        <v>ਮਿਨੀ. ਪ੍ਰਤੀ ਆਰਡਰ</v>
      </c>
      <c r="L511" s="2" t="str">
        <f>IFERROR(__xludf.DUMMYFUNCTION("""COMPUTED_VALUE"""),"மினி. ஒரு ஆர்டருக்கு விலை")</f>
        <v>மினி. ஒரு ஆர்டருக்கு விலை</v>
      </c>
      <c r="M511" s="2" t="str">
        <f>IFERROR(__xludf.DUMMYFUNCTION("""COMPUTED_VALUE"""),"మినీ. ప్రతి ఆర్డర్‌కు ధర")</f>
        <v>మినీ. ప్రతి ఆర్డర్‌కు ధర</v>
      </c>
    </row>
    <row r="512">
      <c r="A512" s="2" t="str">
        <f>Master_en!A512</f>
        <v>passbookphotoisrequired</v>
      </c>
      <c r="B512" s="2" t="str">
        <f>Master_en!B512</f>
        <v>Passbook Photo is required.</v>
      </c>
      <c r="C512" s="2" t="str">
        <f>IFERROR(__xludf.DUMMYFUNCTION("""COMPUTED_VALUE"""),"পাসবুক ফটো প্রয়োজন।")</f>
        <v>পাসবুক ফটো প্রয়োজন।</v>
      </c>
      <c r="D512" s="2" t="str">
        <f>IFERROR(__xludf.DUMMYFUNCTION("""COMPUTED_VALUE"""),"पासबुक फोटो की आवश्यकता है।")</f>
        <v>पासबुक फोटो की आवश्यकता है।</v>
      </c>
      <c r="E512" s="2" t="str">
        <f>IFERROR(__xludf.DUMMYFUNCTION("""COMPUTED_VALUE"""),"ಪಾಸ್ಬುಕ್ ಫೋಟೋ ಅಗತ್ಯವಿದೆ.")</f>
        <v>ಪಾಸ್ಬುಕ್ ಫೋಟೋ ಅಗತ್ಯವಿದೆ.</v>
      </c>
      <c r="F512" s="2" t="str">
        <f>IFERROR(__xludf.DUMMYFUNCTION("""COMPUTED_VALUE"""),"ପାସ୍ ବୁକ୍ ଫଟୋ ଆବଶ୍ୟକ |")</f>
        <v>ପାସ୍ ବୁକ୍ ଫଟୋ ଆବଶ୍ୟକ |</v>
      </c>
      <c r="G512" s="2" t="str">
        <f>IFERROR(__xludf.DUMMYFUNCTION("""COMPUTED_VALUE"""),"পাছবুক ফটোৰ প্ৰয়োজন।")</f>
        <v>পাছবুক ফটোৰ প্ৰয়োজন।</v>
      </c>
      <c r="H512" s="2" t="str">
        <f>IFERROR(__xludf.DUMMYFUNCTION("""COMPUTED_VALUE"""),"પાસબુક ફોટો જરૂરી છે.")</f>
        <v>પાસબુક ફોટો જરૂરી છે.</v>
      </c>
      <c r="I512" s="2" t="str">
        <f>IFERROR(__xludf.DUMMYFUNCTION("""COMPUTED_VALUE"""),"प्रति ऑर्डर किमान किंमत")</f>
        <v>प्रति ऑर्डर किमान किंमत</v>
      </c>
      <c r="J512" s="2" t="str">
        <f>IFERROR(__xludf.DUMMYFUNCTION("""COMPUTED_VALUE"""),"പാസ്ബുക്ക് ഫോട്ടോ ആവശ്യമാണ്.")</f>
        <v>പാസ്ബുക്ക് ഫോട്ടോ ആവശ്യമാണ്.</v>
      </c>
      <c r="K512" s="2" t="str">
        <f>IFERROR(__xludf.DUMMYFUNCTION("""COMPUTED_VALUE"""),"ਪਾਸਬੁੱਕ ਫੋਟੋ ਦੀ ਲੋੜ ਹੈ.")</f>
        <v>ਪਾਸਬੁੱਕ ਫੋਟੋ ਦੀ ਲੋੜ ਹੈ.</v>
      </c>
      <c r="L512" s="2" t="str">
        <f>IFERROR(__xludf.DUMMYFUNCTION("""COMPUTED_VALUE"""),"பாஸ் புக் புகைப்படம் தேவை.")</f>
        <v>பாஸ் புக் புகைப்படம் தேவை.</v>
      </c>
      <c r="M512" s="2" t="str">
        <f>IFERROR(__xludf.DUMMYFUNCTION("""COMPUTED_VALUE"""),"పాస్‌బుక్ ఫోటో అవసరం.")</f>
        <v>పాస్‌బుక్ ఫోటో అవసరం.</v>
      </c>
    </row>
    <row r="513">
      <c r="A513" s="2" t="str">
        <f>Master_en!A513</f>
        <v>beneficiarynameisrequired</v>
      </c>
      <c r="B513" s="2" t="str">
        <f>Master_en!B513</f>
        <v>Beneficiary Name is required.</v>
      </c>
      <c r="C513" s="2" t="str">
        <f>IFERROR(__xludf.DUMMYFUNCTION("""COMPUTED_VALUE"""),"সুবিধাভোগীর নাম প্রয়োজন।")</f>
        <v>সুবিধাভোগীর নাম প্রয়োজন।</v>
      </c>
      <c r="D513" s="2" t="str">
        <f>IFERROR(__xludf.DUMMYFUNCTION("""COMPUTED_VALUE"""),"लाभार्थी नाम की आवश्यकता है।")</f>
        <v>लाभार्थी नाम की आवश्यकता है।</v>
      </c>
      <c r="E513" s="2" t="str">
        <f>IFERROR(__xludf.DUMMYFUNCTION("""COMPUTED_VALUE"""),"ಫಲಾನುಭವಿಗಳ ಹೆಸರು ಅಗತ್ಯವಿದೆ.")</f>
        <v>ಫಲಾನುಭವಿಗಳ ಹೆಸರು ಅಗತ್ಯವಿದೆ.</v>
      </c>
      <c r="F513" s="2" t="str">
        <f>IFERROR(__xludf.DUMMYFUNCTION("""COMPUTED_VALUE"""),"ହିତାଧିକାରୀ ନାମ ଆବଶ୍ୟକ |")</f>
        <v>ହିତାଧିକାରୀ ନାମ ଆବଶ୍ୟକ |</v>
      </c>
      <c r="G513" s="2" t="str">
        <f>IFERROR(__xludf.DUMMYFUNCTION("""COMPUTED_VALUE"""),"হিতাধিকাৰীৰ নাম প্ৰয়োজনীয়।")</f>
        <v>হিতাধিকাৰীৰ নাম প্ৰয়োজনীয়।</v>
      </c>
      <c r="H513" s="2" t="str">
        <f>IFERROR(__xludf.DUMMYFUNCTION("""COMPUTED_VALUE"""),"લાભાર્થીનું નામ જરૂરી છે.")</f>
        <v>લાભાર્થીનું નામ જરૂરી છે.</v>
      </c>
      <c r="I513" s="2" t="str">
        <f>IFERROR(__xludf.DUMMYFUNCTION("""COMPUTED_VALUE"""),"लाभार्थीचे नाव आवश्यक आहे.")</f>
        <v>लाभार्थीचे नाव आवश्यक आहे.</v>
      </c>
      <c r="J513" s="2" t="str">
        <f>IFERROR(__xludf.DUMMYFUNCTION("""COMPUTED_VALUE"""),"ഗുണഭോക്താവിന്റെ പേര് ആവശ്യമാണ്.")</f>
        <v>ഗുണഭോക്താവിന്റെ പേര് ആവശ്യമാണ്.</v>
      </c>
      <c r="K513" s="2" t="str">
        <f>IFERROR(__xludf.DUMMYFUNCTION("""COMPUTED_VALUE"""),"ਲਾਭਪਾਤਰੀ ਨਾਮ ਲੋੜੀਂਦਾ ਹੈ.")</f>
        <v>ਲਾਭਪਾਤਰੀ ਨਾਮ ਲੋੜੀਂਦਾ ਹੈ.</v>
      </c>
      <c r="L513" s="2" t="str">
        <f>IFERROR(__xludf.DUMMYFUNCTION("""COMPUTED_VALUE"""),"பயனாளியின் பெயர் தேவை.")</f>
        <v>பயனாளியின் பெயர் தேவை.</v>
      </c>
      <c r="M513" s="2" t="str">
        <f>IFERROR(__xludf.DUMMYFUNCTION("""COMPUTED_VALUE"""),"లబ్ధిదారుల పేరు అవసరం.")</f>
        <v>లబ్ధిదారుల పేరు అవసరం.</v>
      </c>
    </row>
    <row r="514">
      <c r="A514" s="2" t="str">
        <f>Master_en!A514</f>
        <v>banknameisrequired</v>
      </c>
      <c r="B514" s="2" t="str">
        <f>Master_en!B514</f>
        <v>Bank Name is required.</v>
      </c>
      <c r="C514" s="2" t="str">
        <f>IFERROR(__xludf.DUMMYFUNCTION("""COMPUTED_VALUE"""),"ব্যাঙ্কের নাম প্রয়োজন।")</f>
        <v>ব্যাঙ্কের নাম প্রয়োজন।</v>
      </c>
      <c r="D514" s="2" t="str">
        <f>IFERROR(__xludf.DUMMYFUNCTION("""COMPUTED_VALUE"""),"बैंक का नाम आवश्यक है।")</f>
        <v>बैंक का नाम आवश्यक है।</v>
      </c>
      <c r="E514" s="2" t="str">
        <f>IFERROR(__xludf.DUMMYFUNCTION("""COMPUTED_VALUE"""),"ಬ್ಯಾಂಕ್ ಹೆಸರು ಅಗತ್ಯವಿದೆ.")</f>
        <v>ಬ್ಯಾಂಕ್ ಹೆಸರು ಅಗತ್ಯವಿದೆ.</v>
      </c>
      <c r="F514" s="2" t="str">
        <f>IFERROR(__xludf.DUMMYFUNCTION("""COMPUTED_VALUE"""),"ବ୍ୟାଙ୍କ ନାମ ଆବଶ୍ୟକ |")</f>
        <v>ବ୍ୟାଙ୍କ ନାମ ଆବଶ୍ୟକ |</v>
      </c>
      <c r="G514" s="2" t="str">
        <f>IFERROR(__xludf.DUMMYFUNCTION("""COMPUTED_VALUE"""),"Bank Name ৰ প্ৰয়োজন।")</f>
        <v>Bank Name ৰ প্ৰয়োজন।</v>
      </c>
      <c r="H514" s="2" t="str">
        <f>IFERROR(__xludf.DUMMYFUNCTION("""COMPUTED_VALUE"""),"બેંકનું નામ જરૂરી છે.")</f>
        <v>બેંકનું નામ જરૂરી છે.</v>
      </c>
      <c r="I514" s="2" t="str">
        <f>IFERROR(__xludf.DUMMYFUNCTION("""COMPUTED_VALUE"""),"बँक नाव आवश्यक आहे.")</f>
        <v>बँक नाव आवश्यक आहे.</v>
      </c>
      <c r="J514" s="2" t="str">
        <f>IFERROR(__xludf.DUMMYFUNCTION("""COMPUTED_VALUE"""),"ബാങ്ക് നാമം ആവശ്യമാണ്.")</f>
        <v>ബാങ്ക് നാമം ആവശ്യമാണ്.</v>
      </c>
      <c r="K514" s="2" t="str">
        <f>IFERROR(__xludf.DUMMYFUNCTION("""COMPUTED_VALUE"""),"ਬੈਂਕ ਦਾ ਨਾਮ ਲੋੜੀਂਦਾ ਹੈ.")</f>
        <v>ਬੈਂਕ ਦਾ ਨਾਮ ਲੋੜੀਂਦਾ ਹੈ.</v>
      </c>
      <c r="L514" s="2" t="str">
        <f>IFERROR(__xludf.DUMMYFUNCTION("""COMPUTED_VALUE"""),"வங்கி பெயர் தேவை.")</f>
        <v>வங்கி பெயர் தேவை.</v>
      </c>
      <c r="M514" s="2" t="str">
        <f>IFERROR(__xludf.DUMMYFUNCTION("""COMPUTED_VALUE"""),"బ్యాంక్ పేరు అవసరం.")</f>
        <v>బ్యాంక్ పేరు అవసరం.</v>
      </c>
    </row>
    <row r="515">
      <c r="A515" s="2" t="str">
        <f>Master_en!A515</f>
        <v>accountnumberisrequired</v>
      </c>
      <c r="B515" s="2" t="str">
        <f>Master_en!B515</f>
        <v>Account Number is required.</v>
      </c>
      <c r="C515" s="2" t="str">
        <f>IFERROR(__xludf.DUMMYFUNCTION("""COMPUTED_VALUE"""),"অ্যাকাউন্ট নম্বর প্রয়োজন।")</f>
        <v>অ্যাকাউন্ট নম্বর প্রয়োজন।</v>
      </c>
      <c r="D515" s="2" t="str">
        <f>IFERROR(__xludf.DUMMYFUNCTION("""COMPUTED_VALUE"""),"खाता संख्या आवश्यक है।")</f>
        <v>खाता संख्या आवश्यक है।</v>
      </c>
      <c r="E515" s="2" t="str">
        <f>IFERROR(__xludf.DUMMYFUNCTION("""COMPUTED_VALUE"""),"ಖಾತೆ ಸಂಖ್ಯೆ ಅಗತ್ಯವಿದೆ.")</f>
        <v>ಖಾತೆ ಸಂಖ್ಯೆ ಅಗತ್ಯವಿದೆ.</v>
      </c>
      <c r="F515" s="2" t="str">
        <f>IFERROR(__xludf.DUMMYFUNCTION("""COMPUTED_VALUE"""),"ଆକାଉଣ୍ଟ୍ ନମ୍ବର ଆବଶ୍ୟକ |")</f>
        <v>ଆକାଉଣ୍ଟ୍ ନମ୍ବର ଆବଶ୍ୟକ |</v>
      </c>
      <c r="G515" s="2" t="str">
        <f>IFERROR(__xludf.DUMMYFUNCTION("""COMPUTED_VALUE"""),"একাউণ্ট নম্বৰৰ প্ৰয়োজন।")</f>
        <v>একাউণ্ট নম্বৰৰ প্ৰয়োজন।</v>
      </c>
      <c r="H515" s="2" t="str">
        <f>IFERROR(__xludf.DUMMYFUNCTION("""COMPUTED_VALUE"""),"એકાઉન્ટ નંબર આવશ્યક છે.")</f>
        <v>એકાઉન્ટ નંબર આવશ્યક છે.</v>
      </c>
      <c r="I515" s="2" t="str">
        <f>IFERROR(__xludf.DUMMYFUNCTION("""COMPUTED_VALUE"""),"खाते क्रमांक आवश्यक आहे.")</f>
        <v>खाते क्रमांक आवश्यक आहे.</v>
      </c>
      <c r="J515" s="2" t="str">
        <f>IFERROR(__xludf.DUMMYFUNCTION("""COMPUTED_VALUE"""),"അക്കൗണ്ട് നമ്പർ ആവശ്യമാണ്.")</f>
        <v>അക്കൗണ്ട് നമ്പർ ആവശ്യമാണ്.</v>
      </c>
      <c r="K515" s="2" t="str">
        <f>IFERROR(__xludf.DUMMYFUNCTION("""COMPUTED_VALUE"""),"ਖਾਤਾ ਨੰਬਰ ਲੋੜੀਂਦਾ ਹੈ.")</f>
        <v>ਖਾਤਾ ਨੰਬਰ ਲੋੜੀਂਦਾ ਹੈ.</v>
      </c>
      <c r="L515" s="2" t="str">
        <f>IFERROR(__xludf.DUMMYFUNCTION("""COMPUTED_VALUE"""),"கணக்கு எண் தேவை.")</f>
        <v>கணக்கு எண் தேவை.</v>
      </c>
      <c r="M515" s="2" t="str">
        <f>IFERROR(__xludf.DUMMYFUNCTION("""COMPUTED_VALUE"""),"ఖాతా సంఖ్య అవసరం.")</f>
        <v>ఖాతా సంఖ్య అవసరం.</v>
      </c>
    </row>
    <row r="516">
      <c r="A516" s="2" t="str">
        <f>Master_en!A516</f>
        <v>re-enteraccountnumberisrequired</v>
      </c>
      <c r="B516" s="2" t="str">
        <f>Master_en!B516</f>
        <v>Re-enter Account Number is required.</v>
      </c>
      <c r="C516" s="2" t="str">
        <f>IFERROR(__xludf.DUMMYFUNCTION("""COMPUTED_VALUE"""),"পুনরায় প্রবেশের অ্যাকাউন্ট নম্বর প্রয়োজন।")</f>
        <v>পুনরায় প্রবেশের অ্যাকাউন্ট নম্বর প্রয়োজন।</v>
      </c>
      <c r="D516" s="2" t="str">
        <f>IFERROR(__xludf.DUMMYFUNCTION("""COMPUTED_VALUE"""),"री-एंटर अकाउंट नंबर की आवश्यकता है।")</f>
        <v>री-एंटर अकाउंट नंबर की आवश्यकता है।</v>
      </c>
      <c r="E516" s="2" t="str">
        <f>IFERROR(__xludf.DUMMYFUNCTION("""COMPUTED_VALUE"""),"ಮರು ನಮೂದಿಸುವ ಖಾತೆ ಸಂಖ್ಯೆ ಅಗತ್ಯವಿದೆ.")</f>
        <v>ಮರು ನಮೂದಿಸುವ ಖಾತೆ ಸಂಖ್ಯೆ ಅಗತ್ಯವಿದೆ.</v>
      </c>
      <c r="F516" s="2" t="str">
        <f>IFERROR(__xludf.DUMMYFUNCTION("""COMPUTED_VALUE"""),"ଆକାଉଣ୍ଟ୍ ନମ୍ବର ପୁନ - ପ୍ରବେଶ ଆବଶ୍ୟକ |")</f>
        <v>ଆକାଉଣ୍ଟ୍ ନମ୍ବର ପୁନ - ପ୍ରବେଶ ଆବଶ୍ୟକ |</v>
      </c>
      <c r="G516" s="2" t="str">
        <f>IFERROR(__xludf.DUMMYFUNCTION("""COMPUTED_VALUE"""),"একাউণ্ট নম্বৰ পুনৰ প্ৰৱেশ কৰিব লাগিব।")</f>
        <v>একাউণ্ট নম্বৰ পুনৰ প্ৰৱেশ কৰিব লাগিব।</v>
      </c>
      <c r="H516" s="2" t="str">
        <f>IFERROR(__xludf.DUMMYFUNCTION("""COMPUTED_VALUE"""),"ફરીથી દાખલ એકાઉન્ટ નંબર આવશ્યક છે.")</f>
        <v>ફરીથી દાખલ એકાઉન્ટ નંબર આવશ્યક છે.</v>
      </c>
      <c r="I516" s="2" t="str">
        <f>IFERROR(__xludf.DUMMYFUNCTION("""COMPUTED_VALUE"""),"खाते क्रमांक पुन्हा सुरू करणे आवश्यक आहे.")</f>
        <v>खाते क्रमांक पुन्हा सुरू करणे आवश्यक आहे.</v>
      </c>
      <c r="J516" s="2" t="str">
        <f>IFERROR(__xludf.DUMMYFUNCTION("""COMPUTED_VALUE"""),"അക്കൗണ്ട് നമ്പർ വീണ്ടും നൽകുക.")</f>
        <v>അക്കൗണ്ട് നമ്പർ വീണ്ടും നൽകുക.</v>
      </c>
      <c r="K516" s="2" t="str">
        <f>IFERROR(__xludf.DUMMYFUNCTION("""COMPUTED_VALUE"""),"ਖਾਤਾ ਨੰਬਰ ਦੁਬਾਰਾ ਦਰਜ ਕਰੋ.")</f>
        <v>ਖਾਤਾ ਨੰਬਰ ਦੁਬਾਰਾ ਦਰਜ ਕਰੋ.</v>
      </c>
      <c r="L516" s="2" t="str">
        <f>IFERROR(__xludf.DUMMYFUNCTION("""COMPUTED_VALUE"""),"கணக்கு எண்ணை மீண்டும் உள்ளிட வேண்டும்.")</f>
        <v>கணக்கு எண்ணை மீண்டும் உள்ளிட வேண்டும்.</v>
      </c>
      <c r="M516" s="2" t="str">
        <f>IFERROR(__xludf.DUMMYFUNCTION("""COMPUTED_VALUE"""),"ఖాతా సంఖ్యను తిరిగి నమోదు చేయండి.")</f>
        <v>ఖాతా సంఖ్యను తిరిగి నమోదు చేయండి.</v>
      </c>
    </row>
    <row r="517">
      <c r="A517" s="2" t="str">
        <f>Master_en!A517</f>
        <v>accountnumberandre-accountnumberfieldsshouldmatch</v>
      </c>
      <c r="B517" s="2" t="str">
        <f>Master_en!B517</f>
        <v>Account number and Re-account number fields should match</v>
      </c>
      <c r="C517" s="2" t="str">
        <f>IFERROR(__xludf.DUMMYFUNCTION("""COMPUTED_VALUE"""),"অ্যাকাউন্ট নম্বর এবং পুনরায় অ্যাকাউন্ট নম্বর ক্ষেত্রগুলি মেলে")</f>
        <v>অ্যাকাউন্ট নম্বর এবং পুনরায় অ্যাকাউন্ট নম্বর ক্ষেত্রগুলি মেলে</v>
      </c>
      <c r="D517" s="2" t="str">
        <f>IFERROR(__xludf.DUMMYFUNCTION("""COMPUTED_VALUE"""),"खाता संख्या और री-एसाउंट नंबर फ़ील्ड से मेल खाना चाहिए")</f>
        <v>खाता संख्या और री-एसाउंट नंबर फ़ील्ड से मेल खाना चाहिए</v>
      </c>
      <c r="E517" s="2" t="str">
        <f>IFERROR(__xludf.DUMMYFUNCTION("""COMPUTED_VALUE"""),"ಖಾತೆ ಸಂಖ್ಯೆ ಮತ್ತು ಮರು-ಖಾತೆ ಸಂಖ್ಯೆ ಕ್ಷೇತ್ರಗಳು ಹೊಂದಿಕೆಯಾಗಬೇಕು")</f>
        <v>ಖಾತೆ ಸಂಖ್ಯೆ ಮತ್ತು ಮರು-ಖಾತೆ ಸಂಖ್ಯೆ ಕ್ಷೇತ್ರಗಳು ಹೊಂದಿಕೆಯಾಗಬೇಕು</v>
      </c>
      <c r="F517" s="2" t="str">
        <f>IFERROR(__xludf.DUMMYFUNCTION("""COMPUTED_VALUE"""),"ଆକାଉଣ୍ଟ୍ ନମ୍ବର ଏବଂ ପୁନ-ଆକାଉଣ୍ଟ ନମ୍ବର ଫିଲ୍ଡ ସହିତ ମେଳ ହେବା ଉଚିତ୍ |")</f>
        <v>ଆକାଉଣ୍ଟ୍ ନମ୍ବର ଏବଂ ପୁନ-ଆକାଉଣ୍ଟ ନମ୍ବର ଫିଲ୍ଡ ସହିତ ମେଳ ହେବା ଉଚିତ୍ |</v>
      </c>
      <c r="G517" s="2" t="str">
        <f>IFERROR(__xludf.DUMMYFUNCTION("""COMPUTED_VALUE"""),"একাউণ্ট নম্বৰ আৰু পুনৰ একাউণ্ট নম্বৰ ক্ষেত্ৰসমূহ মিল থাকিব লাগে")</f>
        <v>একাউণ্ট নম্বৰ আৰু পুনৰ একাউণ্ট নম্বৰ ক্ষেত্ৰসমূহ মিল থাকিব লাগে</v>
      </c>
      <c r="H517" s="2" t="str">
        <f>IFERROR(__xludf.DUMMYFUNCTION("""COMPUTED_VALUE"""),"એકાઉન્ટ નંબર અને ફરીથી એકાઉન્ટ નંબર ફીલ્ડ્સ મેળ ખાતા હોવા જોઈએ")</f>
        <v>એકાઉન્ટ નંબર અને ફરીથી એકાઉન્ટ નંબર ફીલ્ડ્સ મેળ ખાતા હોવા જોઈએ</v>
      </c>
      <c r="I517" s="2" t="str">
        <f>IFERROR(__xludf.DUMMYFUNCTION("""COMPUTED_VALUE"""),"खाते क्रमांक आणि पुन्हा खाते क्रमांक फील्ड जुळले पाहिजेत")</f>
        <v>खाते क्रमांक आणि पुन्हा खाते क्रमांक फील्ड जुळले पाहिजेत</v>
      </c>
      <c r="J517" s="2" t="str">
        <f>IFERROR(__xludf.DUMMYFUNCTION("""COMPUTED_VALUE"""),"അക്കൗണ്ട് നമ്പറും റീ-അക്കൗണ്ട് നമ്പറുകളും പൊരുത്തപ്പെടണം")</f>
        <v>അക്കൗണ്ട് നമ്പറും റീ-അക്കൗണ്ട് നമ്പറുകളും പൊരുത്തപ്പെടണം</v>
      </c>
      <c r="K517" s="2" t="str">
        <f>IFERROR(__xludf.DUMMYFUNCTION("""COMPUTED_VALUE"""),"ਖਾਤਾ ਨੰਬਰ ਅਤੇ ਮੁੜ-ਖਾਤਾ ਨੰਬਰ ਖੇਤਰ ਮਿਲਣਾ ਚਾਹੀਦਾ ਹੈ")</f>
        <v>ਖਾਤਾ ਨੰਬਰ ਅਤੇ ਮੁੜ-ਖਾਤਾ ਨੰਬਰ ਖੇਤਰ ਮਿਲਣਾ ਚਾਹੀਦਾ ਹੈ</v>
      </c>
      <c r="L517" s="2" t="str">
        <f>IFERROR(__xludf.DUMMYFUNCTION("""COMPUTED_VALUE"""),"கணக்கு எண் மற்றும் மறு கணக்கு எண் புலங்கள் பொருந்த வேண்டும்")</f>
        <v>கணக்கு எண் மற்றும் மறு கணக்கு எண் புலங்கள் பொருந்த வேண்டும்</v>
      </c>
      <c r="M517" s="2" t="str">
        <f>IFERROR(__xludf.DUMMYFUNCTION("""COMPUTED_VALUE"""),"ఖాతా సంఖ్య మరియు రీ-అకౌంట్ నంబర్ ఫీల్డ్‌లు సరిపోలాలి")</f>
        <v>ఖాతా సంఖ్య మరియు రీ-అకౌంట్ నంబర్ ఫీల్డ్‌లు సరిపోలాలి</v>
      </c>
    </row>
    <row r="518">
      <c r="A518" s="2" t="str">
        <f>Master_en!A518</f>
        <v>selectimagesource</v>
      </c>
      <c r="B518" s="2" t="str">
        <f>Master_en!B518</f>
        <v>Select Image Source</v>
      </c>
      <c r="C518" s="2" t="str">
        <f>IFERROR(__xludf.DUMMYFUNCTION("""COMPUTED_VALUE"""),"চিত্র উত্স নির্বাচন করুন")</f>
        <v>চিত্র উত্স নির্বাচন করুন</v>
      </c>
      <c r="D518" s="2" t="str">
        <f>IFERROR(__xludf.DUMMYFUNCTION("""COMPUTED_VALUE"""),"छवि स्रोत का चयन करें")</f>
        <v>छवि स्रोत का चयन करें</v>
      </c>
      <c r="E518" s="2" t="str">
        <f>IFERROR(__xludf.DUMMYFUNCTION("""COMPUTED_VALUE"""),"ಚಿತ್ರ ಮೂಲವನ್ನು ಆಯ್ಕೆಮಾಡಿ")</f>
        <v>ಚಿತ್ರ ಮೂಲವನ್ನು ಆಯ್ಕೆಮಾಡಿ</v>
      </c>
      <c r="F518" s="2" t="str">
        <f>IFERROR(__xludf.DUMMYFUNCTION("""COMPUTED_VALUE"""),"ପ୍ରତିଛବି ଉତ୍ସ ଚୟନ କରନ୍ତୁ |")</f>
        <v>ପ୍ରତିଛବି ଉତ୍ସ ଚୟନ କରନ୍ତୁ |</v>
      </c>
      <c r="G518" s="2" t="str">
        <f>IFERROR(__xludf.DUMMYFUNCTION("""COMPUTED_VALUE"""),"ছবিৰ উৎস নিৰ্ব্বাচন কৰক")</f>
        <v>ছবিৰ উৎস নিৰ্ব্বাচন কৰক</v>
      </c>
      <c r="H518" s="2" t="str">
        <f>IFERROR(__xludf.DUMMYFUNCTION("""COMPUTED_VALUE"""),"છબી સ્રોત પસંદ કરો")</f>
        <v>છબી સ્રોત પસંદ કરો</v>
      </c>
      <c r="I518" s="2" t="str">
        <f>IFERROR(__xludf.DUMMYFUNCTION("""COMPUTED_VALUE"""),"प्रतिमा स्त्रोत निवडा")</f>
        <v>प्रतिमा स्त्रोत निवडा</v>
      </c>
      <c r="J518" s="2" t="str">
        <f>IFERROR(__xludf.DUMMYFUNCTION("""COMPUTED_VALUE"""),"ഇമേജ് ഉറവിടം തിരഞ്ഞെടുക്കുക")</f>
        <v>ഇമേജ് ഉറവിടം തിരഞ്ഞെടുക്കുക</v>
      </c>
      <c r="K518" s="2" t="str">
        <f>IFERROR(__xludf.DUMMYFUNCTION("""COMPUTED_VALUE"""),"ਚਿੱਤਰ ਸਰੋਤ ਦੀ ਚੋਣ ਕਰੋ")</f>
        <v>ਚਿੱਤਰ ਸਰੋਤ ਦੀ ਚੋਣ ਕਰੋ</v>
      </c>
      <c r="L518" s="2" t="str">
        <f>IFERROR(__xludf.DUMMYFUNCTION("""COMPUTED_VALUE"""),"பட மூலத்தைத் தேர்ந்தெடுக்கவும்")</f>
        <v>பட மூலத்தைத் தேர்ந்தெடுக்கவும்</v>
      </c>
      <c r="M518" s="2" t="str">
        <f>IFERROR(__xludf.DUMMYFUNCTION("""COMPUTED_VALUE"""),"చిత్ర మూలాన్ని ఎంచుకోండి")</f>
        <v>చిత్ర మూలాన్ని ఎంచుకోండి</v>
      </c>
    </row>
    <row r="519">
      <c r="A519" s="2" t="str">
        <f>Master_en!A519</f>
        <v>loadfromgallery</v>
      </c>
      <c r="B519" s="2" t="str">
        <f>Master_en!B519</f>
        <v>Load From Gallery</v>
      </c>
      <c r="C519" s="2" t="str">
        <f>IFERROR(__xludf.DUMMYFUNCTION("""COMPUTED_VALUE"""),"গ্যালারী থেকে লোড")</f>
        <v>গ্যালারী থেকে লোড</v>
      </c>
      <c r="D519" s="2" t="str">
        <f>IFERROR(__xludf.DUMMYFUNCTION("""COMPUTED_VALUE"""),"गैलरी से लोड")</f>
        <v>गैलरी से लोड</v>
      </c>
      <c r="E519" s="2" t="str">
        <f>IFERROR(__xludf.DUMMYFUNCTION("""COMPUTED_VALUE"""),"ಗ್ಯಾಲರಿಯಿಂದ ಲೋಡ್ ಮಾಡಿ")</f>
        <v>ಗ್ಯಾಲರಿಯಿಂದ ಲೋಡ್ ಮಾಡಿ</v>
      </c>
      <c r="F519" s="2" t="str">
        <f>IFERROR(__xludf.DUMMYFUNCTION("""COMPUTED_VALUE"""),"ଗ୍ୟାଲେରୀରୁ ଲୋଡ୍ |")</f>
        <v>ଗ୍ୟାଲେରୀରୁ ଲୋଡ୍ |</v>
      </c>
      <c r="G519" s="2" t="str">
        <f>IFERROR(__xludf.DUMMYFUNCTION("""COMPUTED_VALUE"""),"গেলেৰীৰ পৰা লোড কৰক")</f>
        <v>গেলেৰীৰ পৰা লোড কৰক</v>
      </c>
      <c r="H519" s="2" t="str">
        <f>IFERROR(__xludf.DUMMYFUNCTION("""COMPUTED_VALUE"""),"ગેલેરીથી લોડ")</f>
        <v>ગેલેરીથી લોડ</v>
      </c>
      <c r="I519" s="2" t="str">
        <f>IFERROR(__xludf.DUMMYFUNCTION("""COMPUTED_VALUE"""),"गॅलरीमधून लोड")</f>
        <v>गॅलरीमधून लोड</v>
      </c>
      <c r="J519" s="2" t="str">
        <f>IFERROR(__xludf.DUMMYFUNCTION("""COMPUTED_VALUE"""),"ഗാലറിയിൽ നിന്ന് ലോഡുചെയ്യുക")</f>
        <v>ഗാലറിയിൽ നിന്ന് ലോഡുചെയ്യുക</v>
      </c>
      <c r="K519" s="2" t="str">
        <f>IFERROR(__xludf.DUMMYFUNCTION("""COMPUTED_VALUE"""),"ਗੈਲਰੀ ਤੋਂ ਲੋਡ ਕਰੋ")</f>
        <v>ਗੈਲਰੀ ਤੋਂ ਲੋਡ ਕਰੋ</v>
      </c>
      <c r="L519" s="2" t="str">
        <f>IFERROR(__xludf.DUMMYFUNCTION("""COMPUTED_VALUE"""),"கேலரியில் இருந்து ஏற்றவும்")</f>
        <v>கேலரியில் இருந்து ஏற்றவும்</v>
      </c>
      <c r="M519" s="2" t="str">
        <f>IFERROR(__xludf.DUMMYFUNCTION("""COMPUTED_VALUE"""),"గ్యాలరీ నుండి లోడ్ చేయండి")</f>
        <v>గ్యాలరీ నుండి లోడ్ చేయండి</v>
      </c>
    </row>
    <row r="520">
      <c r="A520" s="2" t="str">
        <f>Master_en!A520</f>
        <v>usecamera</v>
      </c>
      <c r="B520" s="2" t="str">
        <f>Master_en!B520</f>
        <v>Use Camera</v>
      </c>
      <c r="C520" s="2" t="str">
        <f>IFERROR(__xludf.DUMMYFUNCTION("""COMPUTED_VALUE"""),"ক্যামেরা ব্যবহার করুন")</f>
        <v>ক্যামেরা ব্যবহার করুন</v>
      </c>
      <c r="D520" s="2" t="str">
        <f>IFERROR(__xludf.DUMMYFUNCTION("""COMPUTED_VALUE"""),"कैमरा का उपयोग करें")</f>
        <v>कैमरा का उपयोग करें</v>
      </c>
      <c r="E520" s="2" t="str">
        <f>IFERROR(__xludf.DUMMYFUNCTION("""COMPUTED_VALUE"""),"ಕ್ಯಾಮೆರಾ ಬಳಸಿ")</f>
        <v>ಕ್ಯಾಮೆರಾ ಬಳಸಿ</v>
      </c>
      <c r="F520" s="2" t="str">
        <f>IFERROR(__xludf.DUMMYFUNCTION("""COMPUTED_VALUE"""),"କ୍ୟାମେରା ବ୍ୟବହାର କରନ୍ତୁ |")</f>
        <v>କ୍ୟାମେରା ବ୍ୟବହାର କରନ୍ତୁ |</v>
      </c>
      <c r="G520" s="2" t="str">
        <f>IFERROR(__xludf.DUMMYFUNCTION("""COMPUTED_VALUE"""),"কেমেৰা ব্যৱহাৰ কৰক")</f>
        <v>কেমেৰা ব্যৱহাৰ কৰক</v>
      </c>
      <c r="H520" s="2" t="str">
        <f>IFERROR(__xludf.DUMMYFUNCTION("""COMPUTED_VALUE"""),"ક camera મેરો ઉપયોગ કરો")</f>
        <v>ક camera મેરો ઉપયોગ કરો</v>
      </c>
      <c r="I520" s="2" t="str">
        <f>IFERROR(__xludf.DUMMYFUNCTION("""COMPUTED_VALUE"""),"कॅमेरा वापरा")</f>
        <v>कॅमेरा वापरा</v>
      </c>
      <c r="J520" s="2" t="str">
        <f>IFERROR(__xludf.DUMMYFUNCTION("""COMPUTED_VALUE"""),"ക്യാമറ ഉപയോഗിക്കുക")</f>
        <v>ക്യാമറ ഉപയോഗിക്കുക</v>
      </c>
      <c r="K520" s="2" t="str">
        <f>IFERROR(__xludf.DUMMYFUNCTION("""COMPUTED_VALUE"""),"ਕੈਮਰਾ ਵਰਤੋ")</f>
        <v>ਕੈਮਰਾ ਵਰਤੋ</v>
      </c>
      <c r="L520" s="2" t="str">
        <f>IFERROR(__xludf.DUMMYFUNCTION("""COMPUTED_VALUE"""),"கேமராவைப் பயன்படுத்துங்கள்")</f>
        <v>கேமராவைப் பயன்படுத்துங்கள்</v>
      </c>
      <c r="M520" s="2" t="str">
        <f>IFERROR(__xludf.DUMMYFUNCTION("""COMPUTED_VALUE"""),"కెమెరాను ఉపయోగించండి")</f>
        <v>కెమెరాను ఉపయోగించండి</v>
      </c>
    </row>
    <row r="521">
      <c r="A521" s="2" t="str">
        <f>Master_en!A521</f>
        <v>ItemwillBeRemovedFromtheCart</v>
      </c>
      <c r="B521" s="2" t="str">
        <f>Master_en!B521</f>
        <v>Item will Be Removed From the Cart</v>
      </c>
      <c r="C521" s="2" t="str">
        <f>IFERROR(__xludf.DUMMYFUNCTION("""COMPUTED_VALUE"""),"আইটেমটি কার্ট থেকে সরানো হবে")</f>
        <v>আইটেমটি কার্ট থেকে সরানো হবে</v>
      </c>
      <c r="D521" s="2" t="str">
        <f>IFERROR(__xludf.DUMMYFUNCTION("""COMPUTED_VALUE"""),"आइटम को गाड़ी से हटा दिया जाएगा")</f>
        <v>आइटम को गाड़ी से हटा दिया जाएगा</v>
      </c>
      <c r="E521" s="2" t="str">
        <f>IFERROR(__xludf.DUMMYFUNCTION("""COMPUTED_VALUE"""),"ಕಾರ್ಟ್‌ನಿಂದ ಐಟಂ ಅನ್ನು ತೆಗೆದುಹಾಕಲಾಗುತ್ತದೆ")</f>
        <v>ಕಾರ್ಟ್‌ನಿಂದ ಐಟಂ ಅನ್ನು ತೆಗೆದುಹಾಕಲಾಗುತ್ತದೆ</v>
      </c>
      <c r="F521" s="2" t="str">
        <f>IFERROR(__xludf.DUMMYFUNCTION("""COMPUTED_VALUE"""),"ଆଇଟମ୍ କାର୍ଟରୁ ଅପସାରିତ ହେବ |")</f>
        <v>ଆଇଟମ୍ କାର୍ଟରୁ ଅପସାରିତ ହେବ |</v>
      </c>
      <c r="G521" s="2" t="str">
        <f>IFERROR(__xludf.DUMMYFUNCTION("""COMPUTED_VALUE"""),"আইটেম কাৰ্টৰ পৰা আঁতৰোৱা হ'ব")</f>
        <v>আইটেম কাৰ্টৰ পৰা আঁতৰোৱা হ'ব</v>
      </c>
      <c r="H521" s="2" t="str">
        <f>IFERROR(__xludf.DUMMYFUNCTION("""COMPUTED_VALUE"""),"વસ્તુ કાર્ટમાંથી દૂર કરવામાં આવશે")</f>
        <v>વસ્તુ કાર્ટમાંથી દૂર કરવામાં આવશે</v>
      </c>
      <c r="I521" s="2" t="str">
        <f>IFERROR(__xludf.DUMMYFUNCTION("""COMPUTED_VALUE"""),"कार्टमधून आयटम काढला जाईल")</f>
        <v>कार्टमधून आयटम काढला जाईल</v>
      </c>
      <c r="J521" s="2" t="str">
        <f>IFERROR(__xludf.DUMMYFUNCTION("""COMPUTED_VALUE"""),"ഇനം കാർട്ടിൽ നിന്ന് നീക്കംചെയ്യും")</f>
        <v>ഇനം കാർട്ടിൽ നിന്ന് നീക്കംചെയ്യും</v>
      </c>
      <c r="K521" s="2" t="str">
        <f>IFERROR(__xludf.DUMMYFUNCTION("""COMPUTED_VALUE"""),"ਆਈਟਮ ਨੂੰ ਕਾਰਟ ਤੋਂ ਹਟਾ ਦਿੱਤਾ ਜਾਵੇਗਾ")</f>
        <v>ਆਈਟਮ ਨੂੰ ਕਾਰਟ ਤੋਂ ਹਟਾ ਦਿੱਤਾ ਜਾਵੇਗਾ</v>
      </c>
      <c r="L521" s="2" t="str">
        <f>IFERROR(__xludf.DUMMYFUNCTION("""COMPUTED_VALUE"""),"கார்டில் இருந்து பொருள் அகற்றப்படும்")</f>
        <v>கார்டில் இருந்து பொருள் அகற்றப்படும்</v>
      </c>
      <c r="M521" s="2" t="str">
        <f>IFERROR(__xludf.DUMMYFUNCTION("""COMPUTED_VALUE"""),"అంశం బండి నుండి తొలగించబడుతుంది")</f>
        <v>అంశం బండి నుండి తొలగించబడుతుంది</v>
      </c>
    </row>
    <row r="522">
      <c r="A522" s="2" t="str">
        <f>Master_en!A522</f>
        <v>rewards</v>
      </c>
      <c r="B522" s="2" t="str">
        <f>Master_en!B522</f>
        <v>Rewards</v>
      </c>
      <c r="C522" s="2" t="str">
        <f>IFERROR(__xludf.DUMMYFUNCTION("""COMPUTED_VALUE"""),"পুরস্কার")</f>
        <v>পুরস্কার</v>
      </c>
      <c r="D522" s="2" t="str">
        <f>IFERROR(__xludf.DUMMYFUNCTION("""COMPUTED_VALUE"""),"पुरस्कार")</f>
        <v>पुरस्कार</v>
      </c>
      <c r="E522" s="2" t="str">
        <f>IFERROR(__xludf.DUMMYFUNCTION("""COMPUTED_VALUE"""),"ಪ್ರತಿಫಲಗಳು")</f>
        <v>ಪ್ರತಿಫಲಗಳು</v>
      </c>
      <c r="F522" s="2" t="str">
        <f>IFERROR(__xludf.DUMMYFUNCTION("""COMPUTED_VALUE"""),"ପୁରସ୍କାର")</f>
        <v>ପୁରସ୍କାର</v>
      </c>
      <c r="G522" s="2" t="str">
        <f>IFERROR(__xludf.DUMMYFUNCTION("""COMPUTED_VALUE"""),"পুৰস্কাৰ")</f>
        <v>পুৰস্কাৰ</v>
      </c>
      <c r="H522" s="2" t="str">
        <f>IFERROR(__xludf.DUMMYFUNCTION("""COMPUTED_VALUE"""),"પુરસ્કારો")</f>
        <v>પુરસ્કારો</v>
      </c>
      <c r="I522" s="2" t="str">
        <f>IFERROR(__xludf.DUMMYFUNCTION("""COMPUTED_VALUE"""),"बक्षिसे")</f>
        <v>बक्षिसे</v>
      </c>
      <c r="J522" s="2" t="str">
        <f>IFERROR(__xludf.DUMMYFUNCTION("""COMPUTED_VALUE"""),"ജലദോഷങ്ങൾ")</f>
        <v>ജലദോഷങ്ങൾ</v>
      </c>
      <c r="K522" s="2" t="str">
        <f>IFERROR(__xludf.DUMMYFUNCTION("""COMPUTED_VALUE"""),"ਇਨਾਮ")</f>
        <v>ਇਨਾਮ</v>
      </c>
      <c r="L522" s="2" t="str">
        <f>IFERROR(__xludf.DUMMYFUNCTION("""COMPUTED_VALUE"""),"வெகுமதிகள்")</f>
        <v>வெகுமதிகள்</v>
      </c>
      <c r="M522" s="2" t="str">
        <f>IFERROR(__xludf.DUMMYFUNCTION("""COMPUTED_VALUE"""),"బహుమతులు")</f>
        <v>బహుమతులు</v>
      </c>
    </row>
    <row r="523">
      <c r="A523" s="2" t="str">
        <f>Master_en!A523</f>
        <v>tropicalfruit7</v>
      </c>
      <c r="B523" s="2" t="str">
        <f>Master_en!B523</f>
        <v>Tropical Fruit (7)</v>
      </c>
      <c r="C523" s="2" t="str">
        <f>IFERROR(__xludf.DUMMYFUNCTION("""COMPUTED_VALUE"""),"গ্রীষ্মমন্ডলীয় ফল (7)")</f>
        <v>গ্রীষ্মমন্ডলীয় ফল (7)</v>
      </c>
      <c r="D523" s="2" t="str">
        <f>IFERROR(__xludf.DUMMYFUNCTION("""COMPUTED_VALUE"""),"उष्णकटिबंधीय फल (7)")</f>
        <v>उष्णकटिबंधीय फल (7)</v>
      </c>
      <c r="E523" s="2" t="str">
        <f>IFERROR(__xludf.DUMMYFUNCTION("""COMPUTED_VALUE"""),"ಉಷ್ಣವಲಯದ ಹಣ್ಣು (7)")</f>
        <v>ಉಷ್ಣವಲಯದ ಹಣ್ಣು (7)</v>
      </c>
      <c r="F523" s="2" t="str">
        <f>IFERROR(__xludf.DUMMYFUNCTION("""COMPUTED_VALUE"""),"ଟ୍ରପିକାଲ୍ ଫଳ (7)")</f>
        <v>ଟ୍ରପିକାଲ୍ ଫଳ (7)</v>
      </c>
      <c r="G523" s="2" t="str">
        <f>IFERROR(__xludf.DUMMYFUNCTION("""COMPUTED_VALUE"""),"গ্রীষ্মমণ্ডলীয় ফল (7)")</f>
        <v>গ্রীষ্মমণ্ডলীয় ফল (7)</v>
      </c>
      <c r="H523" s="2" t="str">
        <f>IFERROR(__xludf.DUMMYFUNCTION("""COMPUTED_VALUE"""),"ઉષ્ણકટિબંધીય ફળ (7)")</f>
        <v>ઉષ્ણકટિબંધીય ફળ (7)</v>
      </c>
      <c r="I523" s="2" t="str">
        <f>IFERROR(__xludf.DUMMYFUNCTION("""COMPUTED_VALUE"""),"उष्णकटिबंधीय फळ (7)")</f>
        <v>उष्णकटिबंधीय फळ (7)</v>
      </c>
      <c r="J523" s="2" t="str">
        <f>IFERROR(__xludf.DUMMYFUNCTION("""COMPUTED_VALUE"""),"ഉഷ്ണമേഖലാ ഫലം (7)")</f>
        <v>ഉഷ്ണമേഖലാ ഫലം (7)</v>
      </c>
      <c r="K523" s="2" t="str">
        <f>IFERROR(__xludf.DUMMYFUNCTION("""COMPUTED_VALUE"""),"ਖੰਡੀ ਫਲ (7)")</f>
        <v>ਖੰਡੀ ਫਲ (7)</v>
      </c>
      <c r="L523" s="2" t="str">
        <f>IFERROR(__xludf.DUMMYFUNCTION("""COMPUTED_VALUE"""),"வெப்பமண்டல பழம் (7)")</f>
        <v>வெப்பமண்டல பழம் (7)</v>
      </c>
      <c r="M523" s="2" t="str">
        <f>IFERROR(__xludf.DUMMYFUNCTION("""COMPUTED_VALUE"""),"ఉష్ణమండల పండు (7)")</f>
        <v>ఉష్ణమండల పండు (7)</v>
      </c>
    </row>
    <row r="524">
      <c r="A524" s="2" t="str">
        <f>Master_en!A524</f>
        <v>deliverySlot</v>
      </c>
      <c r="B524" s="2" t="str">
        <f>Master_en!B524</f>
        <v>Delivery Slot</v>
      </c>
      <c r="C524" s="2" t="str">
        <f>IFERROR(__xludf.DUMMYFUNCTION("""COMPUTED_VALUE"""),"বিতরণ স্লট")</f>
        <v>বিতরণ স্লট</v>
      </c>
      <c r="D524" s="2" t="str">
        <f>IFERROR(__xludf.DUMMYFUNCTION("""COMPUTED_VALUE"""),"वितरण स्लॉट")</f>
        <v>वितरण स्लॉट</v>
      </c>
      <c r="E524" s="2" t="str">
        <f>IFERROR(__xludf.DUMMYFUNCTION("""COMPUTED_VALUE"""),"ವಿತರಣಾ ಸ್ಲಾಟ್")</f>
        <v>ವಿತರಣಾ ಸ್ಲಾಟ್</v>
      </c>
      <c r="F524" s="2" t="str">
        <f>IFERROR(__xludf.DUMMYFUNCTION("""COMPUTED_VALUE"""),"ବିତରଣ ସ୍ଲଟ୍ |")</f>
        <v>ବିତରଣ ସ୍ଲଟ୍ |</v>
      </c>
      <c r="G524" s="2" t="str">
        <f>IFERROR(__xludf.DUMMYFUNCTION("""COMPUTED_VALUE"""),"ডেলিভাৰী স্লট")</f>
        <v>ডেলিভাৰী স্লট</v>
      </c>
      <c r="H524" s="2" t="str">
        <f>IFERROR(__xludf.DUMMYFUNCTION("""COMPUTED_VALUE"""),"ડિલિવરી સ્લોટ")</f>
        <v>ડિલિવરી સ્લોટ</v>
      </c>
      <c r="I524" s="2" t="str">
        <f>IFERROR(__xludf.DUMMYFUNCTION("""COMPUTED_VALUE"""),"वितरण स्लॉट")</f>
        <v>वितरण स्लॉट</v>
      </c>
      <c r="J524" s="2" t="str">
        <f>IFERROR(__xludf.DUMMYFUNCTION("""COMPUTED_VALUE"""),"ഡെലിവറി സ്ലോട്ട്")</f>
        <v>ഡെലിവറി സ്ലോട്ട്</v>
      </c>
      <c r="K524" s="2" t="str">
        <f>IFERROR(__xludf.DUMMYFUNCTION("""COMPUTED_VALUE"""),"ਡਿਲਿਵਰੀ ਸਲਾਟ")</f>
        <v>ਡਿਲਿਵਰੀ ਸਲਾਟ</v>
      </c>
      <c r="L524" s="2" t="str">
        <f>IFERROR(__xludf.DUMMYFUNCTION("""COMPUTED_VALUE"""),"டெலிவரி ஸ்லாட்")</f>
        <v>டெலிவரி ஸ்லாட்</v>
      </c>
      <c r="M524" s="2" t="str">
        <f>IFERROR(__xludf.DUMMYFUNCTION("""COMPUTED_VALUE"""),"డెలివరీ స్లాట్")</f>
        <v>డెలివరీ స్లాట్</v>
      </c>
    </row>
    <row r="525">
      <c r="A525" s="2" t="str">
        <f>Master_en!A525</f>
        <v>tropicalfruit</v>
      </c>
      <c r="B525" s="2" t="str">
        <f>Master_en!B525</f>
        <v>Tropical Fruit</v>
      </c>
      <c r="C525" s="2" t="str">
        <f>IFERROR(__xludf.DUMMYFUNCTION("""COMPUTED_VALUE"""),"গ্রীষ্মমন্ডলীয় ফল")</f>
        <v>গ্রীষ্মমন্ডলীয় ফল</v>
      </c>
      <c r="D525" s="2" t="str">
        <f>IFERROR(__xludf.DUMMYFUNCTION("""COMPUTED_VALUE"""),"ऊष्णकटिबंधी फल")</f>
        <v>ऊष्णकटिबंधी फल</v>
      </c>
      <c r="E525" s="2" t="str">
        <f>IFERROR(__xludf.DUMMYFUNCTION("""COMPUTED_VALUE"""),"ಉಷ್ಣವಲಯದ ಹಣ್ಣು")</f>
        <v>ಉಷ್ಣವಲಯದ ಹಣ್ಣು</v>
      </c>
      <c r="F525" s="2" t="str">
        <f>IFERROR(__xludf.DUMMYFUNCTION("""COMPUTED_VALUE"""),"ଟ୍ରପିକାଲ୍ ଫଳ |")</f>
        <v>ଟ୍ରପିକାଲ୍ ଫଳ |</v>
      </c>
      <c r="G525" s="2" t="str">
        <f>IFERROR(__xludf.DUMMYFUNCTION("""COMPUTED_VALUE"""),"গ্রীষ্মমণ্ডলীয় ফল")</f>
        <v>গ্রীষ্মমণ্ডলীয় ফল</v>
      </c>
      <c r="H525" s="2" t="str">
        <f>IFERROR(__xludf.DUMMYFUNCTION("""COMPUTED_VALUE"""),"ઉષ્ણકટિબંધીય ફળ")</f>
        <v>ઉષ્ણકટિબંધીય ફળ</v>
      </c>
      <c r="I525" s="2" t="str">
        <f>IFERROR(__xludf.DUMMYFUNCTION("""COMPUTED_VALUE"""),"उष्णकटिबंधीय फळ")</f>
        <v>उष्णकटिबंधीय फळ</v>
      </c>
      <c r="J525" s="2" t="str">
        <f>IFERROR(__xludf.DUMMYFUNCTION("""COMPUTED_VALUE"""),"ഉഷ്ണമേഖലാ ഫലം")</f>
        <v>ഉഷ്ണമേഖലാ ഫലം</v>
      </c>
      <c r="K525" s="2" t="str">
        <f>IFERROR(__xludf.DUMMYFUNCTION("""COMPUTED_VALUE"""),"ਖੰਡੀ ਫਲ")</f>
        <v>ਖੰਡੀ ਫਲ</v>
      </c>
      <c r="L525" s="2" t="str">
        <f>IFERROR(__xludf.DUMMYFUNCTION("""COMPUTED_VALUE"""),"வெப்பமண்டல பழம்")</f>
        <v>வெப்பமண்டல பழம்</v>
      </c>
      <c r="M525" s="2" t="str">
        <f>IFERROR(__xludf.DUMMYFUNCTION("""COMPUTED_VALUE"""),"ఉష్ణమండల పండు")</f>
        <v>ఉష్ణమండల పండు</v>
      </c>
    </row>
    <row r="526">
      <c r="A526" s="2" t="str">
        <f>Master_en!A526</f>
        <v>viewedit</v>
      </c>
      <c r="B526" s="2" t="str">
        <f>Master_en!B526</f>
        <v>View/Edit</v>
      </c>
      <c r="C526" s="2" t="str">
        <f>IFERROR(__xludf.DUMMYFUNCTION("""COMPUTED_VALUE"""),"দেখুন/সম্পাদনা করুন")</f>
        <v>দেখুন/সম্পাদনা করুন</v>
      </c>
      <c r="D526" s="2" t="str">
        <f>IFERROR(__xludf.DUMMYFUNCTION("""COMPUTED_VALUE"""),"देखें सुधारें")</f>
        <v>देखें सुधारें</v>
      </c>
      <c r="E526" s="2" t="str">
        <f>IFERROR(__xludf.DUMMYFUNCTION("""COMPUTED_VALUE"""),"ವೀಕ್ಷಿಸಿ/ಸಂಪಾದಿಸಿ")</f>
        <v>ವೀಕ್ಷಿಸಿ/ಸಂಪಾದಿಸಿ</v>
      </c>
      <c r="F526" s="2" t="str">
        <f>IFERROR(__xludf.DUMMYFUNCTION("""COMPUTED_VALUE"""),"ଦର୍ଶନ / ସଂପାଦନ କରନ୍ତୁ |")</f>
        <v>ଦର୍ଶନ / ସଂପାଦନ କରନ୍ତୁ |</v>
      </c>
      <c r="G526" s="2" t="str">
        <f>IFERROR(__xludf.DUMMYFUNCTION("""COMPUTED_VALUE"""),"চাওক/সম্পাদনা কৰক")</f>
        <v>চাওক/সম্পাদনা কৰক</v>
      </c>
      <c r="H526" s="2" t="str">
        <f>IFERROR(__xludf.DUMMYFUNCTION("""COMPUTED_VALUE"""),"જુઓ/સંપાદિત કરો")</f>
        <v>જુઓ/સંપાદિત કરો</v>
      </c>
      <c r="I526" s="2" t="str">
        <f>IFERROR(__xludf.DUMMYFUNCTION("""COMPUTED_VALUE"""),"पहा/संपादित करा")</f>
        <v>पहा/संपादित करा</v>
      </c>
      <c r="J526" s="2" t="str">
        <f>IFERROR(__xludf.DUMMYFUNCTION("""COMPUTED_VALUE"""),"കാണുക / എഡിറ്റുചെയ്യുക")</f>
        <v>കാണുക / എഡിറ്റുചെയ്യുക</v>
      </c>
      <c r="K526" s="2" t="str">
        <f>IFERROR(__xludf.DUMMYFUNCTION("""COMPUTED_VALUE"""),"ਵੇਖੋ / ਸੋਧੋ")</f>
        <v>ਵੇਖੋ / ਸੋਧੋ</v>
      </c>
      <c r="L526" s="2" t="str">
        <f>IFERROR(__xludf.DUMMYFUNCTION("""COMPUTED_VALUE"""),"பார்க்க/திருத்து")</f>
        <v>பார்க்க/திருத்து</v>
      </c>
      <c r="M526" s="2" t="str">
        <f>IFERROR(__xludf.DUMMYFUNCTION("""COMPUTED_VALUE"""),"చూడండి/సవరించండి")</f>
        <v>చూడండి/సవరించండి</v>
      </c>
    </row>
    <row r="527">
      <c r="A527" s="2" t="str">
        <f>Master_en!A527</f>
        <v>Km</v>
      </c>
      <c r="B527" s="2" t="str">
        <f>Master_en!B527</f>
        <v>Km</v>
      </c>
      <c r="C527" s="2" t="str">
        <f>IFERROR(__xludf.DUMMYFUNCTION("""COMPUTED_VALUE"""),"কিমি")</f>
        <v>কিমি</v>
      </c>
      <c r="D527" s="2" t="str">
        <f>IFERROR(__xludf.DUMMYFUNCTION("""COMPUTED_VALUE"""),"किमी")</f>
        <v>किमी</v>
      </c>
      <c r="E527" s="2" t="str">
        <f>IFERROR(__xludf.DUMMYFUNCTION("""COMPUTED_VALUE"""),"ಕಿಮೀ")</f>
        <v>ಕಿಮೀ</v>
      </c>
      <c r="F527" s="2" t="str">
        <f>IFERROR(__xludf.DUMMYFUNCTION("""COMPUTED_VALUE"""),"କିଲୋମିଟର")</f>
        <v>କିଲୋମିଟର</v>
      </c>
      <c r="G527" s="2" t="str">
        <f>IFERROR(__xludf.DUMMYFUNCTION("""COMPUTED_VALUE"""),"কি.মি")</f>
        <v>কি.মি</v>
      </c>
      <c r="H527" s="2" t="str">
        <f>IFERROR(__xludf.DUMMYFUNCTION("""COMPUTED_VALUE"""),"કિ.મી.")</f>
        <v>કિ.મી.</v>
      </c>
      <c r="I527" s="2" t="str">
        <f>IFERROR(__xludf.DUMMYFUNCTION("""COMPUTED_VALUE"""),"किमी")</f>
        <v>किमी</v>
      </c>
      <c r="J527" s="2" t="str">
        <f>IFERROR(__xludf.DUMMYFUNCTION("""COMPUTED_VALUE"""),"കെഎം")</f>
        <v>കെഎം</v>
      </c>
      <c r="K527" s="2" t="str">
        <f>IFERROR(__xludf.DUMMYFUNCTION("""COMPUTED_VALUE"""),"ਕਿਮੀ")</f>
        <v>ਕਿਮੀ</v>
      </c>
      <c r="L527" s="2" t="str">
        <f>IFERROR(__xludf.DUMMYFUNCTION("""COMPUTED_VALUE"""),"கி.மீ.")</f>
        <v>கி.மீ.</v>
      </c>
      <c r="M527" s="2" t="str">
        <f>IFERROR(__xludf.DUMMYFUNCTION("""COMPUTED_VALUE"""),"Km")</f>
        <v>Km</v>
      </c>
    </row>
    <row r="528">
      <c r="A528" s="2" t="str">
        <f>Master_en!A528</f>
        <v>totalrewardsearned</v>
      </c>
      <c r="B528" s="2" t="str">
        <f>Master_en!B528</f>
        <v>Total Rewards Earned</v>
      </c>
      <c r="C528" s="2" t="str">
        <f>IFERROR(__xludf.DUMMYFUNCTION("""COMPUTED_VALUE"""),"মোট পুরষ্কার অর্জন")</f>
        <v>মোট পুরষ্কার অর্জন</v>
      </c>
      <c r="D528" s="2" t="str">
        <f>IFERROR(__xludf.DUMMYFUNCTION("""COMPUTED_VALUE"""),"कुल पुरस्कार अर्जित")</f>
        <v>कुल पुरस्कार अर्जित</v>
      </c>
      <c r="E528" s="2" t="str">
        <f>IFERROR(__xludf.DUMMYFUNCTION("""COMPUTED_VALUE"""),"ಒಟ್ಟು ಪ್ರತಿಫಲಗಳನ್ನು ಗಳಿಸಲಾಗಿದೆ")</f>
        <v>ಒಟ್ಟು ಪ್ರತಿಫಲಗಳನ್ನು ಗಳಿಸಲಾಗಿದೆ</v>
      </c>
      <c r="F528" s="2" t="str">
        <f>IFERROR(__xludf.DUMMYFUNCTION("""COMPUTED_VALUE"""),"ସମୁଦାୟ ପୁରସ୍କାର ଅର୍ଜିତ |")</f>
        <v>ସମୁଦାୟ ପୁରସ୍କାର ଅର୍ଜିତ |</v>
      </c>
      <c r="G528" s="2" t="str">
        <f>IFERROR(__xludf.DUMMYFUNCTION("""COMPUTED_VALUE"""),"উপাৰ্জিত মুঠ পুৰস্কাৰ")</f>
        <v>উপাৰ্জিত মুঠ পুৰস্কাৰ</v>
      </c>
      <c r="H528" s="2" t="str">
        <f>IFERROR(__xludf.DUMMYFUNCTION("""COMPUTED_VALUE"""),"કુલ પુરસ્કારો પ્રાપ્ત થયા")</f>
        <v>કુલ પુરસ્કારો પ્રાપ્ત થયા</v>
      </c>
      <c r="I528" s="2" t="str">
        <f>IFERROR(__xludf.DUMMYFUNCTION("""COMPUTED_VALUE"""),"एकूण बक्षिसे मिळविली")</f>
        <v>एकूण बक्षिसे मिळविली</v>
      </c>
      <c r="J528" s="2" t="str">
        <f>IFERROR(__xludf.DUMMYFUNCTION("""COMPUTED_VALUE"""),"ആകെ റിവാർഡ്")</f>
        <v>ആകെ റിവാർഡ്</v>
      </c>
      <c r="K528" s="2" t="str">
        <f>IFERROR(__xludf.DUMMYFUNCTION("""COMPUTED_VALUE"""),"ਕਮੀਆਂ ਦੀ ਕਮਾਈ")</f>
        <v>ਕਮੀਆਂ ਦੀ ਕਮਾਈ</v>
      </c>
      <c r="L528" s="2" t="str">
        <f>IFERROR(__xludf.DUMMYFUNCTION("""COMPUTED_VALUE"""),"சம்பாதித்த மொத்த வெகுமதிகள்")</f>
        <v>சம்பாதித்த மொத்த வெகுமதிகள்</v>
      </c>
      <c r="M528" s="2" t="str">
        <f>IFERROR(__xludf.DUMMYFUNCTION("""COMPUTED_VALUE"""),"సంపాదించిన మొత్తం రివార్డులు")</f>
        <v>సంపాదించిన మొత్తం రివార్డులు</v>
      </c>
    </row>
    <row r="529">
      <c r="A529" s="2" t="str">
        <f>Master_en!A529</f>
        <v>useGps</v>
      </c>
      <c r="B529" s="2" t="str">
        <f>Master_en!B529</f>
        <v>use gps</v>
      </c>
      <c r="C529" s="2" t="str">
        <f>IFERROR(__xludf.DUMMYFUNCTION("""COMPUTED_VALUE"""),"জিপিএস ব্যবহার করুন")</f>
        <v>জিপিএস ব্যবহার করুন</v>
      </c>
      <c r="D529" s="2" t="str">
        <f>IFERROR(__xludf.DUMMYFUNCTION("""COMPUTED_VALUE"""),"जीपीएस का उपयोग करें")</f>
        <v>जीपीएस का उपयोग करें</v>
      </c>
      <c r="E529" s="2" t="str">
        <f>IFERROR(__xludf.DUMMYFUNCTION("""COMPUTED_VALUE"""),"ಜಿಪಿಎಸ್ ಬಳಸಿ")</f>
        <v>ಜಿಪಿಎಸ್ ಬಳಸಿ</v>
      </c>
      <c r="F529" s="2" t="str">
        <f>IFERROR(__xludf.DUMMYFUNCTION("""COMPUTED_VALUE"""),"ଜିପିଏସ୍ ବ୍ୟବହାର କରନ୍ତୁ |")</f>
        <v>ଜିପିଏସ୍ ବ୍ୟବହାର କରନ୍ତୁ |</v>
      </c>
      <c r="G529" s="2" t="str">
        <f>IFERROR(__xludf.DUMMYFUNCTION("""COMPUTED_VALUE"""),"gps ব্যৱহাৰ কৰক")</f>
        <v>gps ব্যৱহাৰ কৰক</v>
      </c>
      <c r="H529" s="2" t="str">
        <f>IFERROR(__xludf.DUMMYFUNCTION("""COMPUTED_VALUE"""),"જીપીએસનો ઉપયોગ કરો")</f>
        <v>જીપીએસનો ઉપયોગ કરો</v>
      </c>
      <c r="I529" s="2" t="str">
        <f>IFERROR(__xludf.DUMMYFUNCTION("""COMPUTED_VALUE"""),"जीपीएस वापरा")</f>
        <v>जीपीएस वापरा</v>
      </c>
      <c r="J529" s="2" t="str">
        <f>IFERROR(__xludf.DUMMYFUNCTION("""COMPUTED_VALUE"""),"ജിപിഎസ് ഉപയോഗിക്കുക")</f>
        <v>ജിപിഎസ് ഉപയോഗിക്കുക</v>
      </c>
      <c r="K529" s="2" t="str">
        <f>IFERROR(__xludf.DUMMYFUNCTION("""COMPUTED_VALUE"""),"ਜੀਪੀਐਸ ਦੀ ਵਰਤੋਂ ਕਰੋ")</f>
        <v>ਜੀਪੀਐਸ ਦੀ ਵਰਤੋਂ ਕਰੋ</v>
      </c>
      <c r="L529" s="2" t="str">
        <f>IFERROR(__xludf.DUMMYFUNCTION("""COMPUTED_VALUE"""),"ஜிபிஎஸ் பயன்படுத்தவும்")</f>
        <v>ஜிபிஎஸ் பயன்படுத்தவும்</v>
      </c>
      <c r="M529" s="2" t="str">
        <f>IFERROR(__xludf.DUMMYFUNCTION("""COMPUTED_VALUE"""),"GPS ఉపయోగించండి")</f>
        <v>GPS ఉపయోగించండి</v>
      </c>
    </row>
    <row r="530">
      <c r="A530" s="2" t="str">
        <f>Master_en!A530</f>
        <v>onOrdersMore</v>
      </c>
      <c r="B530" s="2" t="str">
        <f>Master_en!B530</f>
        <v>on Orders more</v>
      </c>
      <c r="C530" s="2" t="str">
        <f>IFERROR(__xludf.DUMMYFUNCTION("""COMPUTED_VALUE"""),"আরও অর্ডার উপর")</f>
        <v>আরও অর্ডার উপর</v>
      </c>
      <c r="D530" s="2" t="str">
        <f>IFERROR(__xludf.DUMMYFUNCTION("""COMPUTED_VALUE"""),"आदेशों पर अधिक")</f>
        <v>आदेशों पर अधिक</v>
      </c>
      <c r="E530" s="2" t="str">
        <f>IFERROR(__xludf.DUMMYFUNCTION("""COMPUTED_VALUE"""),"ಆದೇಶಗಳ ಮೇರೆಗೆ")</f>
        <v>ಆದೇಶಗಳ ಮೇರೆಗೆ</v>
      </c>
      <c r="F530" s="2" t="str">
        <f>IFERROR(__xludf.DUMMYFUNCTION("""COMPUTED_VALUE"""),"ଅଧିକ ଅର୍ଡର ଉପରେ |")</f>
        <v>ଅଧିକ ଅର୍ଡର ଉପରେ |</v>
      </c>
      <c r="G530" s="2" t="str">
        <f>IFERROR(__xludf.DUMMYFUNCTION("""COMPUTED_VALUE"""),"অৰ্ডাৰ অধিক")</f>
        <v>অৰ্ডাৰ অধিক</v>
      </c>
      <c r="H530" s="2" t="str">
        <f>IFERROR(__xludf.DUMMYFUNCTION("""COMPUTED_VALUE"""),"વધુ ઓર્ડર પર")</f>
        <v>વધુ ઓર્ડર પર</v>
      </c>
      <c r="I530" s="2" t="str">
        <f>IFERROR(__xludf.DUMMYFUNCTION("""COMPUTED_VALUE"""),"अधिक ऑर्डरवर")</f>
        <v>अधिक ऑर्डरवर</v>
      </c>
      <c r="J530" s="2" t="str">
        <f>IFERROR(__xludf.DUMMYFUNCTION("""COMPUTED_VALUE"""),"കൂടുതൽ ഓർഡറുകളിൽ")</f>
        <v>കൂടുതൽ ഓർഡറുകളിൽ</v>
      </c>
      <c r="K530" s="2" t="str">
        <f>IFERROR(__xludf.DUMMYFUNCTION("""COMPUTED_VALUE"""),"ਆਰਡਰ ਹੋਰ 'ਤੇ")</f>
        <v>ਆਰਡਰ ਹੋਰ 'ਤੇ</v>
      </c>
      <c r="L530" s="2" t="str">
        <f>IFERROR(__xludf.DUMMYFUNCTION("""COMPUTED_VALUE"""),"மேலும் ஆர்டர்களில்")</f>
        <v>மேலும் ஆர்டர்களில்</v>
      </c>
      <c r="M530" s="2" t="str">
        <f>IFERROR(__xludf.DUMMYFUNCTION("""COMPUTED_VALUE"""),"ఆర్డర్‌లపై మరింత")</f>
        <v>ఆర్డర్‌లపై మరింత</v>
      </c>
    </row>
    <row r="531">
      <c r="A531" s="2" t="str">
        <f>Master_en!A531</f>
        <v>than</v>
      </c>
      <c r="B531" s="2" t="str">
        <f>Master_en!B531</f>
        <v>than</v>
      </c>
      <c r="C531" s="2" t="str">
        <f>IFERROR(__xludf.DUMMYFUNCTION("""COMPUTED_VALUE"""),"এর চেয়েও")</f>
        <v>এর চেয়েও</v>
      </c>
      <c r="D531" s="2" t="str">
        <f>IFERROR(__xludf.DUMMYFUNCTION("""COMPUTED_VALUE"""),"बजाय")</f>
        <v>बजाय</v>
      </c>
      <c r="E531" s="2" t="str">
        <f>IFERROR(__xludf.DUMMYFUNCTION("""COMPUTED_VALUE"""),"ಅದಕ್ಕಿಂತ ಹೆಚ್ಚಾಗಿ")</f>
        <v>ಅದಕ್ಕಿಂತ ಹೆಚ್ಚಾಗಿ</v>
      </c>
      <c r="F531" s="2" t="str">
        <f>IFERROR(__xludf.DUMMYFUNCTION("""COMPUTED_VALUE"""),"ଅପେକ୍ଷା")</f>
        <v>ଅପେକ୍ଷା</v>
      </c>
      <c r="G531" s="6" t="str">
        <f>IFERROR(__xludf.DUMMYFUNCTION("""COMPUTED_VALUE"""),"than")</f>
        <v>than</v>
      </c>
      <c r="H531" s="2" t="str">
        <f>IFERROR(__xludf.DUMMYFUNCTION("""COMPUTED_VALUE"""),"કરતાં")</f>
        <v>કરતાં</v>
      </c>
      <c r="I531" s="2" t="str">
        <f>IFERROR(__xludf.DUMMYFUNCTION("""COMPUTED_VALUE"""),"पेक्षा पेक्षा")</f>
        <v>पेक्षा पेक्षा</v>
      </c>
      <c r="J531" s="2" t="str">
        <f>IFERROR(__xludf.DUMMYFUNCTION("""COMPUTED_VALUE"""),"... ക്കാളും")</f>
        <v>... ക്കാളും</v>
      </c>
      <c r="K531" s="2" t="str">
        <f>IFERROR(__xludf.DUMMYFUNCTION("""COMPUTED_VALUE"""),"ਨਾਲੋਂ")</f>
        <v>ਨਾਲੋਂ</v>
      </c>
      <c r="L531" s="2" t="str">
        <f>IFERROR(__xludf.DUMMYFUNCTION("""COMPUTED_VALUE"""),"விட")</f>
        <v>விட</v>
      </c>
      <c r="M531" s="2" t="str">
        <f>IFERROR(__xludf.DUMMYFUNCTION("""COMPUTED_VALUE"""),"కంటే")</f>
        <v>కంటే</v>
      </c>
    </row>
    <row r="532">
      <c r="A532" s="2" t="str">
        <f>Master_en!A532</f>
        <v>enableFreeShipping</v>
      </c>
      <c r="B532" s="2" t="str">
        <f>Master_en!B532</f>
        <v>Enable free Shipping</v>
      </c>
      <c r="C532" s="2" t="str">
        <f>IFERROR(__xludf.DUMMYFUNCTION("""COMPUTED_VALUE"""),"বিনামূল্যে শিপিং সক্ষম করুন")</f>
        <v>বিনামূল্যে শিপিং সক্ষম করুন</v>
      </c>
      <c r="D532" s="2" t="str">
        <f>IFERROR(__xludf.DUMMYFUNCTION("""COMPUTED_VALUE"""),"मुफ्त शिपिंग सक्षम करें")</f>
        <v>मुफ्त शिपिंग सक्षम करें</v>
      </c>
      <c r="E532" s="2" t="str">
        <f>IFERROR(__xludf.DUMMYFUNCTION("""COMPUTED_VALUE"""),"ಉಚಿತ ಸಾಗಾಟವನ್ನು ಸಕ್ರಿಯಗೊಳಿಸಿ")</f>
        <v>ಉಚಿತ ಸಾಗಾಟವನ್ನು ಸಕ್ರಿಯಗೊಳಿಸಿ</v>
      </c>
      <c r="F532" s="2" t="str">
        <f>IFERROR(__xludf.DUMMYFUNCTION("""COMPUTED_VALUE"""),"ମାଗଣା ସିପିଂ ସକ୍ଷମ କରନ୍ତୁ |")</f>
        <v>ମାଗଣା ସିପିଂ ସକ୍ଷମ କରନ୍ତୁ |</v>
      </c>
      <c r="G532" s="2" t="str">
        <f>IFERROR(__xludf.DUMMYFUNCTION("""COMPUTED_VALUE"""),"বিনামূলীয়া শিপিং সক্ষম কৰক")</f>
        <v>বিনামূলীয়া শিপিং সক্ষম কৰক</v>
      </c>
      <c r="H532" s="2" t="str">
        <f>IFERROR(__xludf.DUMMYFUNCTION("""COMPUTED_VALUE"""),"મફત શિપિંગને સક્ષમ કરો")</f>
        <v>મફત શિપિંગને સક્ષમ કરો</v>
      </c>
      <c r="I532" s="2" t="str">
        <f>IFERROR(__xludf.DUMMYFUNCTION("""COMPUTED_VALUE"""),"पेक्षा")</f>
        <v>पेक्षा</v>
      </c>
      <c r="J532" s="2" t="str">
        <f>IFERROR(__xludf.DUMMYFUNCTION("""COMPUTED_VALUE"""),"സ sh ജന്യ ഷിപ്പിംഗ് പ്രവർത്തനക്ഷമമാക്കുക")</f>
        <v>സ sh ജന്യ ഷിപ്പിംഗ് പ്രവർത്തനക്ഷമമാക്കുക</v>
      </c>
      <c r="K532" s="2" t="str">
        <f>IFERROR(__xludf.DUMMYFUNCTION("""COMPUTED_VALUE"""),"ਮੁਫਤ ਸ਼ਿਪਿੰਗ ਨੂੰ ਸਮਰੱਥ ਕਰੋ")</f>
        <v>ਮੁਫਤ ਸ਼ਿਪਿੰਗ ਨੂੰ ਸਮਰੱਥ ਕਰੋ</v>
      </c>
      <c r="L532" s="2" t="str">
        <f>IFERROR(__xludf.DUMMYFUNCTION("""COMPUTED_VALUE"""),"இலவச ஷிப்பிங்கை இயக்கவும்")</f>
        <v>இலவச ஷிப்பிங்கை இயக்கவும்</v>
      </c>
      <c r="M532" s="2" t="str">
        <f>IFERROR(__xludf.DUMMYFUNCTION("""COMPUTED_VALUE"""),"ఉచిత షిప్పింగ్‌ను ప్రారంభించండి")</f>
        <v>ఉచిత షిప్పింగ్‌ను ప్రారంభించండి</v>
      </c>
    </row>
    <row r="533">
      <c r="A533" s="2" t="str">
        <f>Master_en!A533</f>
        <v>OTPResentSuccessful</v>
      </c>
      <c r="B533" s="2" t="str">
        <f>Master_en!B533</f>
        <v>OTP Resent Successful</v>
      </c>
      <c r="C533" s="2" t="str">
        <f>IFERROR(__xludf.DUMMYFUNCTION("""COMPUTED_VALUE"""),"ওটিপি সফল বিরক্তি")</f>
        <v>ওটিপি সফল বিরক্তি</v>
      </c>
      <c r="D533" s="2" t="str">
        <f>IFERROR(__xludf.DUMMYFUNCTION("""COMPUTED_VALUE"""),"ओटीपी नाराजगी सफल")</f>
        <v>ओटीपी नाराजगी सफल</v>
      </c>
      <c r="E533" s="2" t="str">
        <f>IFERROR(__xludf.DUMMYFUNCTION("""COMPUTED_VALUE"""),"ಒಟಿಪಿ ಯಶಸ್ವಿಯಾಗಿ ಅಸಮಾಧಾನ")</f>
        <v>ಒಟಿಪಿ ಯಶಸ್ವಿಯಾಗಿ ಅಸಮಾಧಾನ</v>
      </c>
      <c r="F533" s="2" t="str">
        <f>IFERROR(__xludf.DUMMYFUNCTION("""COMPUTED_VALUE"""),"OTP ରେଜେଣ୍ଟ ସଫଳ |")</f>
        <v>OTP ରେଜେଣ୍ଟ ସଫଳ |</v>
      </c>
      <c r="G533" s="2" t="str">
        <f>IFERROR(__xludf.DUMMYFUNCTION("""COMPUTED_VALUE"""),"OTP Resent সফল")</f>
        <v>OTP Resent সফল</v>
      </c>
      <c r="H533" s="2" t="str">
        <f>IFERROR(__xludf.DUMMYFUNCTION("""COMPUTED_VALUE"""),"ઓટીપી રોષ સફળ")</f>
        <v>ઓટીપી રોષ સફળ</v>
      </c>
      <c r="I533" s="2" t="str">
        <f>IFERROR(__xludf.DUMMYFUNCTION("""COMPUTED_VALUE"""),"ओटीपी यशस्वीपणे राग")</f>
        <v>ओटीपी यशस्वीपणे राग</v>
      </c>
      <c r="J533" s="2" t="str">
        <f>IFERROR(__xludf.DUMMYFUNCTION("""COMPUTED_VALUE"""),"OTP വിജയകരമായി നീരസപ്പെടുന്നു")</f>
        <v>OTP വിജയകരമായി നീരസപ്പെടുന്നു</v>
      </c>
      <c r="K533" s="2" t="str">
        <f>IFERROR(__xludf.DUMMYFUNCTION("""COMPUTED_VALUE"""),"ਓਟੀਪੀ ਨਾਰਾਜ਼ ਸਫਲ")</f>
        <v>ਓਟੀਪੀ ਨਾਰਾਜ਼ ਸਫਲ</v>
      </c>
      <c r="L533" s="2" t="str">
        <f>IFERROR(__xludf.DUMMYFUNCTION("""COMPUTED_VALUE"""),"OTP மீண்டும் வெற்றிகரமாக அனுப்பப்பட்டது")</f>
        <v>OTP மீண்டும் வெற்றிகரமாக அனுப்பப்பட்டது</v>
      </c>
      <c r="M533" s="2" t="str">
        <f>IFERROR(__xludf.DUMMYFUNCTION("""COMPUTED_VALUE"""),"OTP విజయవంతమైంది")</f>
        <v>OTP విజయవంతమైంది</v>
      </c>
    </row>
    <row r="534">
      <c r="A534" s="2" t="str">
        <f>Master_en!A534</f>
        <v>didyourecivethepayment</v>
      </c>
      <c r="B534" s="2" t="str">
        <f>Master_en!B534</f>
        <v>did you receive the payment</v>
      </c>
      <c r="C534" s="2" t="str">
        <f>IFERROR(__xludf.DUMMYFUNCTION("""COMPUTED_VALUE"""),"আপনি কি পেমেন্ট পেয়েছেন?")</f>
        <v>আপনি কি পেমেন্ট পেয়েছেন?</v>
      </c>
      <c r="D534" s="2" t="str">
        <f>IFERROR(__xludf.DUMMYFUNCTION("""COMPUTED_VALUE"""),"क्या आपको भुगतान प्राप्त हुआ")</f>
        <v>क्या आपको भुगतान प्राप्त हुआ</v>
      </c>
      <c r="E534" s="2" t="str">
        <f>IFERROR(__xludf.DUMMYFUNCTION("""COMPUTED_VALUE"""),"ನೀವು ಪಾವತಿಯನ್ನು ಸ್ವೀಕರಿಸಿದ್ದೀರಾ")</f>
        <v>ನೀವು ಪಾವತಿಯನ್ನು ಸ್ವೀಕರಿಸಿದ್ದೀರಾ</v>
      </c>
      <c r="F534" s="2" t="str">
        <f>IFERROR(__xludf.DUMMYFUNCTION("""COMPUTED_VALUE"""),"ଆପଣ ଦେୟ ଗ୍ରହଣ କରିଛନ୍ତି କି?")</f>
        <v>ଆପଣ ଦେୟ ଗ୍ରହଣ କରିଛନ୍ତି କି?</v>
      </c>
      <c r="G534" s="2" t="str">
        <f>IFERROR(__xludf.DUMMYFUNCTION("""COMPUTED_VALUE"""),"আপুনি পেমেণ্টটো পাইছিল নেকি?")</f>
        <v>আপুনি পেমেণ্টটো পাইছিল নেকি?</v>
      </c>
      <c r="H534" s="2" t="str">
        <f>IFERROR(__xludf.DUMMYFUNCTION("""COMPUTED_VALUE"""),"તમે ચુકવણી પ્રાપ્ત કરી?")</f>
        <v>તમે ચુકવણી પ્રાપ્ત કરી?</v>
      </c>
      <c r="I534" s="2" t="str">
        <f>IFERROR(__xludf.DUMMYFUNCTION("""COMPUTED_VALUE"""),"तुम्हाला देय मिळाले का?")</f>
        <v>तुम्हाला देय मिळाले का?</v>
      </c>
      <c r="J534" s="2" t="str">
        <f>IFERROR(__xludf.DUMMYFUNCTION("""COMPUTED_VALUE"""),"നിങ്ങൾക്ക് പേയ്മെന്റ് ലഭിച്ചോ?")</f>
        <v>നിങ്ങൾക്ക് പേയ്മെന്റ് ലഭിച്ചോ?</v>
      </c>
      <c r="K534" s="2" t="str">
        <f>IFERROR(__xludf.DUMMYFUNCTION("""COMPUTED_VALUE"""),"ਕੀ ਤੁਹਾਨੂੰ ਭੁਗਤਾਨ ਮਿਲਿਆ ਹੈ?")</f>
        <v>ਕੀ ਤੁਹਾਨੂੰ ਭੁਗਤਾਨ ਮਿਲਿਆ ਹੈ?</v>
      </c>
      <c r="L534" s="2" t="str">
        <f>IFERROR(__xludf.DUMMYFUNCTION("""COMPUTED_VALUE"""),"நீங்கள் கட்டணம் பெற்றீர்களா?")</f>
        <v>நீங்கள் கட்டணம் பெற்றீர்களா?</v>
      </c>
      <c r="M534" s="2" t="str">
        <f>IFERROR(__xludf.DUMMYFUNCTION("""COMPUTED_VALUE"""),"మీరు చెల్లింపు అందుకున్నారా?")</f>
        <v>మీరు చెల్లింపు అందుకున్నారా?</v>
      </c>
    </row>
    <row r="535">
      <c r="A535" s="2" t="str">
        <f>Master_en!A535</f>
        <v>InvoiceNumberGSTINNumber </v>
      </c>
      <c r="B535" s="2" t="str">
        <f>Master_en!B535</f>
        <v>Invoice Number GSTIN Number</v>
      </c>
      <c r="C535" s="2" t="str">
        <f>IFERROR(__xludf.DUMMYFUNCTION("""COMPUTED_VALUE"""),"চালান নম্বর জিএসটিন নম্বর")</f>
        <v>চালান নম্বর জিএসটিন নম্বর</v>
      </c>
      <c r="D535" s="2" t="str">
        <f>IFERROR(__xludf.DUMMYFUNCTION("""COMPUTED_VALUE"""),"चालान संख्या जीएसटी आई एनसंख्या")</f>
        <v>चालान संख्या जीएसटी आई एनसंख्या</v>
      </c>
      <c r="E535" s="2" t="str">
        <f>IFERROR(__xludf.DUMMYFUNCTION("""COMPUTED_VALUE"""),"ಸರಕುಪಟ್ಟಿ ಸಂಖ್ಯೆ ಜಿಎಸ್ಟಿಐಎನ್ ಸಂಖ್ಯೆ")</f>
        <v>ಸರಕುಪಟ್ಟಿ ಸಂಖ್ಯೆ ಜಿಎಸ್ಟಿಐಎನ್ ಸಂಖ್ಯೆ</v>
      </c>
      <c r="F535" s="2" t="str">
        <f>IFERROR(__xludf.DUMMYFUNCTION("""COMPUTED_VALUE"""),"ଇନଭଏସ୍ ନମ୍ବର ଜିଏସିନ୍ ନମ୍ବର |")</f>
        <v>ଇନଭଏସ୍ ନମ୍ବର ଜିଏସିନ୍ ନମ୍ବର |</v>
      </c>
      <c r="G535" s="2" t="str">
        <f>IFERROR(__xludf.DUMMYFUNCTION("""COMPUTED_VALUE"""),"চালান নম্বৰ GSTIN নম্বৰ")</f>
        <v>চালান নম্বৰ GSTIN নম্বৰ</v>
      </c>
      <c r="H535" s="2" t="str">
        <f>IFERROR(__xludf.DUMMYFUNCTION("""COMPUTED_VALUE"""),"ભરતિયું નંબર જીસ્ટિન નંબર")</f>
        <v>ભરતિયું નંબર જીસ્ટિન નંબર</v>
      </c>
      <c r="I535" s="2" t="str">
        <f>IFERROR(__xludf.DUMMYFUNCTION("""COMPUTED_VALUE"""),"बीजक क्रमांक जीएसटीआयएन क्रमांक")</f>
        <v>बीजक क्रमांक जीएसटीआयएन क्रमांक</v>
      </c>
      <c r="J535" s="2" t="str">
        <f>IFERROR(__xludf.DUMMYFUNCTION("""COMPUTED_VALUE"""),"ഇൻവോയ്സ് നമ്പർ ജിസ്റ്റിൻ നമ്പർ")</f>
        <v>ഇൻവോയ്സ് നമ്പർ ജിസ്റ്റിൻ നമ്പർ</v>
      </c>
      <c r="K535" s="2" t="str">
        <f>IFERROR(__xludf.DUMMYFUNCTION("""COMPUTED_VALUE"""),"ਇਨਵੌਇਸ ਨੰਬਰ gstin ਨੰਬਰ")</f>
        <v>ਇਨਵੌਇਸ ਨੰਬਰ gstin ਨੰਬਰ</v>
      </c>
      <c r="L535" s="2" t="str">
        <f>IFERROR(__xludf.DUMMYFUNCTION("""COMPUTED_VALUE"""),"விலைப்பட்டியல் எண் GSTIN எண்")</f>
        <v>விலைப்பட்டியல் எண் GSTIN எண்</v>
      </c>
      <c r="M535" s="2" t="str">
        <f>IFERROR(__xludf.DUMMYFUNCTION("""COMPUTED_VALUE"""),"ఇన్వాయిస్ సంఖ్య GSTIN సంఖ్య")</f>
        <v>ఇన్వాయిస్ సంఖ్య GSTIN సంఖ్య</v>
      </c>
    </row>
    <row r="536">
      <c r="A536" s="2" t="str">
        <f>Master_en!A536</f>
        <v>enterMobilenumber</v>
      </c>
      <c r="B536" s="2" t="str">
        <f>Master_en!B536</f>
        <v>Enter Mobile Number</v>
      </c>
      <c r="C536" s="2" t="str">
        <f>IFERROR(__xludf.DUMMYFUNCTION("""COMPUTED_VALUE"""),"মোবাইল নম্বর লিখুন")</f>
        <v>মোবাইল নম্বর লিখুন</v>
      </c>
      <c r="D536" s="2" t="str">
        <f>IFERROR(__xludf.DUMMYFUNCTION("""COMPUTED_VALUE"""),"मोबाइल नंबर दर्ज करें")</f>
        <v>मोबाइल नंबर दर्ज करें</v>
      </c>
      <c r="E536" s="2" t="str">
        <f>IFERROR(__xludf.DUMMYFUNCTION("""COMPUTED_VALUE"""),"ಮೊಬೈಲ್ ಸಂಖ್ಯೆಯನ್ನು ನಮೂದಿಸಿ")</f>
        <v>ಮೊಬೈಲ್ ಸಂಖ್ಯೆಯನ್ನು ನಮೂದಿಸಿ</v>
      </c>
      <c r="F536" s="2" t="str">
        <f>IFERROR(__xludf.DUMMYFUNCTION("""COMPUTED_VALUE"""),"ମୋବାଇଲ୍ ନମ୍ବର ପ୍ରବେଶ କରନ୍ତୁ |")</f>
        <v>ମୋବାଇଲ୍ ନମ୍ବର ପ୍ରବେଶ କରନ୍ତୁ |</v>
      </c>
      <c r="G536" s="2" t="str">
        <f>IFERROR(__xludf.DUMMYFUNCTION("""COMPUTED_VALUE"""),"মোবাইল নম্বৰ দিয়ক")</f>
        <v>মোবাইল নম্বৰ দিয়ক</v>
      </c>
      <c r="H536" s="2" t="str">
        <f>IFERROR(__xludf.DUMMYFUNCTION("""COMPUTED_VALUE"""),"મોબાઇલ નંબર દાખલ કરો")</f>
        <v>મોબાઇલ નંબર દાખલ કરો</v>
      </c>
      <c r="I536" s="2" t="str">
        <f>IFERROR(__xludf.DUMMYFUNCTION("""COMPUTED_VALUE"""),"मोबाइल नंबर प्रविष्ट करा")</f>
        <v>मोबाइल नंबर प्रविष्ट करा</v>
      </c>
      <c r="J536" s="2" t="str">
        <f>IFERROR(__xludf.DUMMYFUNCTION("""COMPUTED_VALUE"""),"മൊബൈൽ നമ്പർ നൽകുക")</f>
        <v>മൊബൈൽ നമ്പർ നൽകുക</v>
      </c>
      <c r="K536" s="2" t="str">
        <f>IFERROR(__xludf.DUMMYFUNCTION("""COMPUTED_VALUE"""),"ਮੋਬਾਈਲ ਨੰਬਰ ਦਰਜ ਕਰੋ")</f>
        <v>ਮੋਬਾਈਲ ਨੰਬਰ ਦਰਜ ਕਰੋ</v>
      </c>
      <c r="L536" s="2" t="str">
        <f>IFERROR(__xludf.DUMMYFUNCTION("""COMPUTED_VALUE"""),"மொபைல் எண்ணை உள்ளிடவும்")</f>
        <v>மொபைல் எண்ணை உள்ளிடவும்</v>
      </c>
      <c r="M536" s="2" t="str">
        <f>IFERROR(__xludf.DUMMYFUNCTION("""COMPUTED_VALUE"""),"మొబైల్ నంబర్‌ను నమోదు చేయండి")</f>
        <v>మొబైల్ నంబర్‌ను నమోదు చేయండి</v>
      </c>
    </row>
    <row r="537">
      <c r="A537" s="2" t="str">
        <f>Master_en!A537</f>
        <v>numberFor</v>
      </c>
      <c r="B537" s="2" t="str">
        <f>Master_en!B537</f>
        <v>Number for</v>
      </c>
      <c r="C537" s="2" t="str">
        <f>IFERROR(__xludf.DUMMYFUNCTION("""COMPUTED_VALUE"""),"জন্য নম্বর")</f>
        <v>জন্য নম্বর</v>
      </c>
      <c r="D537" s="2" t="str">
        <f>IFERROR(__xludf.DUMMYFUNCTION("""COMPUTED_VALUE"""),"के लिए संख्या")</f>
        <v>के लिए संख्या</v>
      </c>
      <c r="E537" s="2" t="str">
        <f>IFERROR(__xludf.DUMMYFUNCTION("""COMPUTED_VALUE"""),"ಸಂಖ್ಯೆ")</f>
        <v>ಸಂಖ್ಯೆ</v>
      </c>
      <c r="F537" s="2" t="str">
        <f>IFERROR(__xludf.DUMMYFUNCTION("""COMPUTED_VALUE"""),"ସଂଖ୍ୟା ପାଇଁ ସଂଖ୍ୟା")</f>
        <v>ସଂଖ୍ୟା ପାଇଁ ସଂଖ୍ୟା</v>
      </c>
      <c r="G537" s="2" t="str">
        <f>IFERROR(__xludf.DUMMYFUNCTION("""COMPUTED_VALUE"""),"নম্বৰৰ বাবে")</f>
        <v>নম্বৰৰ বাবে</v>
      </c>
      <c r="H537" s="2" t="str">
        <f>IFERROR(__xludf.DUMMYFUNCTION("""COMPUTED_VALUE"""),"ના માટે")</f>
        <v>ના માટે</v>
      </c>
      <c r="I537" s="2" t="str">
        <f>IFERROR(__xludf.DUMMYFUNCTION("""COMPUTED_VALUE"""),"मोबाईल नंबर प्रविष्ट करा")</f>
        <v>मोबाईल नंबर प्रविष्ट करा</v>
      </c>
      <c r="J537" s="2" t="str">
        <f>IFERROR(__xludf.DUMMYFUNCTION("""COMPUTED_VALUE"""),"ഇതിനുള്ള നമ്പർ")</f>
        <v>ഇതിനുള്ള നമ്പർ</v>
      </c>
      <c r="K537" s="2" t="str">
        <f>IFERROR(__xludf.DUMMYFUNCTION("""COMPUTED_VALUE"""),"ਲਈ ਨੰਬਰ")</f>
        <v>ਲਈ ਨੰਬਰ</v>
      </c>
      <c r="L537" s="2" t="str">
        <f>IFERROR(__xludf.DUMMYFUNCTION("""COMPUTED_VALUE"""),"எண்")</f>
        <v>எண்</v>
      </c>
      <c r="M537" s="2" t="str">
        <f>IFERROR(__xludf.DUMMYFUNCTION("""COMPUTED_VALUE"""),"సంఖ్య")</f>
        <v>సంఖ్య</v>
      </c>
    </row>
    <row r="538">
      <c r="A538" s="2" t="str">
        <f>Master_en!A538</f>
        <v>otpVerification</v>
      </c>
      <c r="B538" s="2" t="str">
        <f>Master_en!B538</f>
        <v>OTP Verification</v>
      </c>
      <c r="C538" s="2" t="str">
        <f>IFERROR(__xludf.DUMMYFUNCTION("""COMPUTED_VALUE"""),"ওটিপি যাচাইকরণ")</f>
        <v>ওটিপি যাচাইকরণ</v>
      </c>
      <c r="D538" s="2" t="str">
        <f>IFERROR(__xludf.DUMMYFUNCTION("""COMPUTED_VALUE"""),"ओटीपी सत्यापन")</f>
        <v>ओटीपी सत्यापन</v>
      </c>
      <c r="E538" s="2" t="str">
        <f>IFERROR(__xludf.DUMMYFUNCTION("""COMPUTED_VALUE"""),"ದೂರವಾಣಿ ಸಂಖೆಯನ್ನು ನಮೂದಿಸಿ")</f>
        <v>ದೂರವಾಣಿ ಸಂಖೆಯನ್ನು ನಮೂದಿಸಿ</v>
      </c>
      <c r="F538" s="2" t="str">
        <f>IFERROR(__xludf.DUMMYFUNCTION("""COMPUTED_VALUE"""),"OTP ଯାଞ୍ଚ |")</f>
        <v>OTP ଯାଞ୍ଚ |</v>
      </c>
      <c r="G538" s="2" t="str">
        <f>IFERROR(__xludf.DUMMYFUNCTION("""COMPUTED_VALUE"""),"অ'টিপি পৰীক্ষণ")</f>
        <v>অ'টিপি পৰীক্ষণ</v>
      </c>
      <c r="H538" s="2" t="str">
        <f>IFERROR(__xludf.DUMMYFUNCTION("""COMPUTED_VALUE"""),"ઓટીપી ચકાસણી")</f>
        <v>ઓટીપી ચકાસણી</v>
      </c>
      <c r="I538" s="2" t="str">
        <f>IFERROR(__xludf.DUMMYFUNCTION("""COMPUTED_VALUE"""),"ओटीपी सत्यापन")</f>
        <v>ओटीपी सत्यापन</v>
      </c>
      <c r="J538" s="2" t="str">
        <f>IFERROR(__xludf.DUMMYFUNCTION("""COMPUTED_VALUE"""),"OTP സ്ഥിരീകരണം")</f>
        <v>OTP സ്ഥിരീകരണം</v>
      </c>
      <c r="K538" s="2" t="str">
        <f>IFERROR(__xludf.DUMMYFUNCTION("""COMPUTED_VALUE"""),"ਓਟੀਪੀ ਤਸਦੀਕ")</f>
        <v>ਓਟੀਪੀ ਤਸਦੀਕ</v>
      </c>
      <c r="L538" s="2" t="str">
        <f>IFERROR(__xludf.DUMMYFUNCTION("""COMPUTED_VALUE"""),"OTP சரிபார்ப்பு")</f>
        <v>OTP சரிபார்ப்பு</v>
      </c>
      <c r="M538" s="2" t="str">
        <f>IFERROR(__xludf.DUMMYFUNCTION("""COMPUTED_VALUE"""),"OTP ధృవీకరణ")</f>
        <v>OTP ధృవీకరణ</v>
      </c>
    </row>
    <row r="539">
      <c r="A539" s="2" t="str">
        <f>Master_en!A539</f>
        <v>terms&amp;Conditions</v>
      </c>
      <c r="B539" s="2" t="str">
        <f>Master_en!B539</f>
        <v>Terms &amp; Conditions</v>
      </c>
      <c r="C539" s="2" t="str">
        <f>IFERROR(__xludf.DUMMYFUNCTION("""COMPUTED_VALUE"""),"শর্তাবলী")</f>
        <v>শর্তাবলী</v>
      </c>
      <c r="D539" s="2" t="str">
        <f>IFERROR(__xludf.DUMMYFUNCTION("""COMPUTED_VALUE"""),"नियम एवं शर्तें")</f>
        <v>नियम एवं शर्तें</v>
      </c>
      <c r="E539" s="2" t="str">
        <f>IFERROR(__xludf.DUMMYFUNCTION("""COMPUTED_VALUE"""),"ನಿಯಮ ಮತ್ತು ಶರತ್ತುಗಳು")</f>
        <v>ನಿಯಮ ಮತ್ತು ಶರತ್ತುಗಳು</v>
      </c>
      <c r="F539" s="2" t="str">
        <f>IFERROR(__xludf.DUMMYFUNCTION("""COMPUTED_VALUE"""),"ସର୍ତ୍ତାବଳୀ ଏବଂ ସର୍ତ୍ତଗୁଡିକ")</f>
        <v>ସର୍ତ୍ତାବଳୀ ଏବଂ ସର୍ତ୍ତଗୁଡିକ</v>
      </c>
      <c r="G539" s="2" t="str">
        <f>IFERROR(__xludf.DUMMYFUNCTION("""COMPUTED_VALUE"""),"চৰ্তাৱলী")</f>
        <v>চৰ্তাৱলী</v>
      </c>
      <c r="H539" s="2" t="str">
        <f>IFERROR(__xludf.DUMMYFUNCTION("""COMPUTED_VALUE"""),"શરતો અને નિયમો")</f>
        <v>શરતો અને નિયમો</v>
      </c>
      <c r="I539" s="2" t="str">
        <f>IFERROR(__xludf.DUMMYFUNCTION("""COMPUTED_VALUE"""),"ओटीपी पडताळणी")</f>
        <v>ओटीपी पडताळणी</v>
      </c>
      <c r="J539" s="2" t="str">
        <f>IFERROR(__xludf.DUMMYFUNCTION("""COMPUTED_VALUE"""),"നിബന്ധനകളും വ്യവസ്ഥകളും")</f>
        <v>നിബന്ധനകളും വ്യവസ്ഥകളും</v>
      </c>
      <c r="K539" s="2" t="str">
        <f>IFERROR(__xludf.DUMMYFUNCTION("""COMPUTED_VALUE"""),"ਨਿਯਮ ਅਤੇ ਸ਼ਰਤਾਂ")</f>
        <v>ਨਿਯਮ ਅਤੇ ਸ਼ਰਤਾਂ</v>
      </c>
      <c r="L539" s="2" t="str">
        <f>IFERROR(__xludf.DUMMYFUNCTION("""COMPUTED_VALUE"""),"விதிமுறைகளும் நிபந்தனைகளும்")</f>
        <v>விதிமுறைகளும் நிபந்தனைகளும்</v>
      </c>
      <c r="M539" s="2" t="str">
        <f>IFERROR(__xludf.DUMMYFUNCTION("""COMPUTED_VALUE"""),"నిబంధనలు &amp; షరతులు")</f>
        <v>నిబంధనలు &amp; షరతులు</v>
      </c>
    </row>
    <row r="540">
      <c r="A540" s="2" t="str">
        <f>Master_en!A540</f>
        <v>andPrivacyPolicy</v>
      </c>
      <c r="B540" s="2" t="str">
        <f>Master_en!B540</f>
        <v>and Privacy Policy</v>
      </c>
      <c r="C540" s="2" t="str">
        <f>IFERROR(__xludf.DUMMYFUNCTION("""COMPUTED_VALUE"""),"এবং গোপনীয়তা নীতি")</f>
        <v>এবং গোপনীয়তা নীতি</v>
      </c>
      <c r="D540" s="2" t="str">
        <f>IFERROR(__xludf.DUMMYFUNCTION("""COMPUTED_VALUE"""),"और गोपनीयता नीति")</f>
        <v>और गोपनीयता नीति</v>
      </c>
      <c r="E540" s="2" t="str">
        <f>IFERROR(__xludf.DUMMYFUNCTION("""COMPUTED_VALUE"""),"ಮತ್ತು ಗೌಪ್ಯತೆ ನೀತಿ")</f>
        <v>ಮತ್ತು ಗೌಪ್ಯತೆ ನೀತಿ</v>
      </c>
      <c r="F540" s="2" t="str">
        <f>IFERROR(__xludf.DUMMYFUNCTION("""COMPUTED_VALUE"""),"ଏବଂ ଗୋପନୀୟତା ନୀତି |")</f>
        <v>ଏବଂ ଗୋପନୀୟତା ନୀତି |</v>
      </c>
      <c r="G540" s="2" t="str">
        <f>IFERROR(__xludf.DUMMYFUNCTION("""COMPUTED_VALUE"""),"আৰু গোপনীয়তা নীতি")</f>
        <v>আৰু গোপনীয়তা নীতি</v>
      </c>
      <c r="H540" s="2" t="str">
        <f>IFERROR(__xludf.DUMMYFUNCTION("""COMPUTED_VALUE"""),"ગોપનીયતા નીતિ")</f>
        <v>ગોપનીયતા નીતિ</v>
      </c>
      <c r="I540" s="2" t="str">
        <f>IFERROR(__xludf.DUMMYFUNCTION("""COMPUTED_VALUE"""),"आणि गोपनीयता धोरण")</f>
        <v>आणि गोपनीयता धोरण</v>
      </c>
      <c r="J540" s="2" t="str">
        <f>IFERROR(__xludf.DUMMYFUNCTION("""COMPUTED_VALUE"""),"സ്വകാര്യതാ നയവും")</f>
        <v>സ്വകാര്യതാ നയവും</v>
      </c>
      <c r="K540" s="2" t="str">
        <f>IFERROR(__xludf.DUMMYFUNCTION("""COMPUTED_VALUE"""),"ਅਤੇ ਗੋਪਨੀਯਤਾ ਨੀਤੀ")</f>
        <v>ਅਤੇ ਗੋਪਨੀਯਤਾ ਨੀਤੀ</v>
      </c>
      <c r="L540" s="2" t="str">
        <f>IFERROR(__xludf.DUMMYFUNCTION("""COMPUTED_VALUE"""),"மற்றும் தனியுரிமைக் கொள்கை")</f>
        <v>மற்றும் தனியுரிமைக் கொள்கை</v>
      </c>
      <c r="M540" s="2" t="str">
        <f>IFERROR(__xludf.DUMMYFUNCTION("""COMPUTED_VALUE"""),"మరియు గోప్యతా విధానం")</f>
        <v>మరియు గోప్యతా విధానం</v>
      </c>
    </row>
    <row r="541">
      <c r="A541" s="2" t="str">
        <f>Master_en!A541</f>
        <v>pleaseEnterThe</v>
      </c>
      <c r="B541" s="2" t="str">
        <f>Master_en!B541</f>
        <v>Please enter the</v>
      </c>
      <c r="C541" s="2" t="str">
        <f>IFERROR(__xludf.DUMMYFUNCTION("""COMPUTED_VALUE"""),"দয়া করে প্রবেশ করুন")</f>
        <v>দয়া করে প্রবেশ করুন</v>
      </c>
      <c r="D541" s="2" t="str">
        <f>IFERROR(__xludf.DUMMYFUNCTION("""COMPUTED_VALUE"""),"कृपया दर्ज करें")</f>
        <v>कृपया दर्ज करें</v>
      </c>
      <c r="E541" s="2" t="str">
        <f>IFERROR(__xludf.DUMMYFUNCTION("""COMPUTED_VALUE"""),"ದಯವಿಟ್ಟು ನಮೂದಿಸಿ")</f>
        <v>ದಯವಿಟ್ಟು ನಮೂದಿಸಿ</v>
      </c>
      <c r="F541" s="2" t="str">
        <f>IFERROR(__xludf.DUMMYFUNCTION("""COMPUTED_VALUE"""),"ଦୟାକରି ପ୍ରବେଶ କରନ୍ତୁ |")</f>
        <v>ଦୟାକରି ପ୍ରବେଶ କରନ୍ତୁ |</v>
      </c>
      <c r="G541" s="2" t="str">
        <f>IFERROR(__xludf.DUMMYFUNCTION("""COMPUTED_VALUE"""),"অনুগ্ৰহ কৰি প্ৰৱেশ কৰক")</f>
        <v>অনুগ্ৰহ কৰি প্ৰৱেশ কৰক</v>
      </c>
      <c r="H541" s="2" t="str">
        <f>IFERROR(__xludf.DUMMYFUNCTION("""COMPUTED_VALUE"""),"કૃપા કરીને દાખલ કરો")</f>
        <v>કૃપા કરીને દાખલ કરો</v>
      </c>
      <c r="I541" s="2" t="str">
        <f>IFERROR(__xludf.DUMMYFUNCTION("""COMPUTED_VALUE"""),"कृपया प्रविष्ट करा")</f>
        <v>कृपया प्रविष्ट करा</v>
      </c>
      <c r="J541" s="2" t="str">
        <f>IFERROR(__xludf.DUMMYFUNCTION("""COMPUTED_VALUE"""),"ദയവായി നൽകുക")</f>
        <v>ദയവായി നൽകുക</v>
      </c>
      <c r="K541" s="2" t="str">
        <f>IFERROR(__xludf.DUMMYFUNCTION("""COMPUTED_VALUE"""),"ਕਿਰਪਾ ਕਰਕੇ ਦਾਖਲ ਕਰੋ")</f>
        <v>ਕਿਰਪਾ ਕਰਕੇ ਦਾਖਲ ਕਰੋ</v>
      </c>
      <c r="L541" s="2" t="str">
        <f>IFERROR(__xludf.DUMMYFUNCTION("""COMPUTED_VALUE"""),"தயவுசெய்து உள்ளிடவும்")</f>
        <v>தயவுசெய்து உள்ளிடவும்</v>
      </c>
      <c r="M541" s="2" t="str">
        <f>IFERROR(__xludf.DUMMYFUNCTION("""COMPUTED_VALUE"""),"దయచేసి నమోదు చేయండి")</f>
        <v>దయచేసి నమోదు చేయండి</v>
      </c>
    </row>
    <row r="542">
      <c r="A542" s="2" t="str">
        <f>Master_en!A542</f>
        <v>ReadyForPickup</v>
      </c>
      <c r="B542" s="2" t="str">
        <f>Master_en!B542</f>
        <v>Ready For Pickup</v>
      </c>
      <c r="C542" s="2" t="str">
        <f>IFERROR(__xludf.DUMMYFUNCTION("""COMPUTED_VALUE"""),"উঠানোর জন্য প্রস্তুত")</f>
        <v>উঠানোর জন্য প্রস্তুত</v>
      </c>
      <c r="D542" s="2" t="str">
        <f>IFERROR(__xludf.DUMMYFUNCTION("""COMPUTED_VALUE"""),"पिक अप के लिए तैयार")</f>
        <v>पिक अप के लिए तैयार</v>
      </c>
      <c r="E542" s="2" t="str">
        <f>IFERROR(__xludf.DUMMYFUNCTION("""COMPUTED_VALUE"""),"ಪಿಕಪ್ ಮಾಡಲು ಸಿದ್ಧವಾಗಿದೆ")</f>
        <v>ಪಿಕಪ್ ಮಾಡಲು ಸಿದ್ಧವಾಗಿದೆ</v>
      </c>
      <c r="F542" s="2" t="str">
        <f>IFERROR(__xludf.DUMMYFUNCTION("""COMPUTED_VALUE"""),"ପିକଅପ୍ ପାଇଁ ପ୍ରସ୍ତୁତ |")</f>
        <v>ପିକଅପ୍ ପାଇଁ ପ୍ରସ୍ତୁତ |</v>
      </c>
      <c r="G542" s="2" t="str">
        <f>IFERROR(__xludf.DUMMYFUNCTION("""COMPUTED_VALUE"""),"পিকআপৰ বাবে ৰেডি")</f>
        <v>পিকআপৰ বাবে ৰেডি</v>
      </c>
      <c r="H542" s="2" t="str">
        <f>IFERROR(__xludf.DUMMYFUNCTION("""COMPUTED_VALUE"""),"પિકઅપ માટે તૈયાર")</f>
        <v>પિકઅપ માટે તૈયાર</v>
      </c>
      <c r="I542" s="2" t="str">
        <f>IFERROR(__xludf.DUMMYFUNCTION("""COMPUTED_VALUE"""),"पिकअपसाठी सज्ज")</f>
        <v>पिकअपसाठी सज्ज</v>
      </c>
      <c r="J542" s="2" t="str">
        <f>IFERROR(__xludf.DUMMYFUNCTION("""COMPUTED_VALUE"""),"പിക്കപ്പിനായി തയ്യാറാണ്")</f>
        <v>പിക്കപ്പിനായി തയ്യാറാണ്</v>
      </c>
      <c r="K542" s="2" t="str">
        <f>IFERROR(__xludf.DUMMYFUNCTION("""COMPUTED_VALUE"""),"ਪਿਕਅਪ ਲਈ ਤਿਆਰ")</f>
        <v>ਪਿਕਅਪ ਲਈ ਤਿਆਰ</v>
      </c>
      <c r="L542" s="2" t="str">
        <f>IFERROR(__xludf.DUMMYFUNCTION("""COMPUTED_VALUE"""),"பிக்கப்புக்கு தயாராக உள்ளது")</f>
        <v>பிக்கப்புக்கு தயாராக உள்ளது</v>
      </c>
      <c r="M542" s="2" t="str">
        <f>IFERROR(__xludf.DUMMYFUNCTION("""COMPUTED_VALUE"""),"పికప్ కోసం సిద్ధంగా ఉంది")</f>
        <v>పికప్ కోసం సిద్ధంగా ఉంది</v>
      </c>
    </row>
    <row r="543">
      <c r="A543" s="2" t="str">
        <f>Master_en!A543</f>
        <v>otpsentto</v>
      </c>
      <c r="B543" s="2" t="str">
        <f>Master_en!B543</f>
        <v>OTP Sent to</v>
      </c>
      <c r="C543" s="2" t="str">
        <f>IFERROR(__xludf.DUMMYFUNCTION("""COMPUTED_VALUE"""),"ওটিপি প্রেরণ")</f>
        <v>ওটিপি প্রেরণ</v>
      </c>
      <c r="D543" s="2" t="str">
        <f>IFERROR(__xludf.DUMMYFUNCTION("""COMPUTED_VALUE"""),"ओटीपी को भेजा गया")</f>
        <v>ओटीपी को भेजा गया</v>
      </c>
      <c r="E543" s="2" t="str">
        <f>IFERROR(__xludf.DUMMYFUNCTION("""COMPUTED_VALUE"""),"ಒಟಿಪಿ ಕಳುಹಿಸಲಾಗಿದೆ")</f>
        <v>ಒಟಿಪಿ ಕಳುಹಿಸಲಾಗಿದೆ</v>
      </c>
      <c r="F543" s="2" t="str">
        <f>IFERROR(__xludf.DUMMYFUNCTION("""COMPUTED_VALUE"""),"OTP ପଠାଯାଇଛି |")</f>
        <v>OTP ପଠାଯାଇଛି |</v>
      </c>
      <c r="G543" s="2" t="str">
        <f>IFERROR(__xludf.DUMMYFUNCTION("""COMPUTED_VALUE"""),"OTP লৈ প্ৰেৰণ কৰা হৈছে")</f>
        <v>OTP লৈ প্ৰেৰণ কৰা হৈছে</v>
      </c>
      <c r="H543" s="2" t="str">
        <f>IFERROR(__xludf.DUMMYFUNCTION("""COMPUTED_VALUE"""),"ઓટીપીને મોકલ્યો")</f>
        <v>ઓટીપીને મોકલ્યો</v>
      </c>
      <c r="I543" s="2" t="str">
        <f>IFERROR(__xludf.DUMMYFUNCTION("""COMPUTED_VALUE"""),"ओटीपी पाठविले")</f>
        <v>ओटीपी पाठविले</v>
      </c>
      <c r="J543" s="2" t="str">
        <f>IFERROR(__xludf.DUMMYFUNCTION("""COMPUTED_VALUE"""),"OTP അയച്ചു")</f>
        <v>OTP അയച്ചു</v>
      </c>
      <c r="K543" s="2" t="str">
        <f>IFERROR(__xludf.DUMMYFUNCTION("""COMPUTED_VALUE"""),"ਓਟੀਪੀ ਭੇਜਿਆ ਗਿਆ")</f>
        <v>ਓਟੀਪੀ ਭੇਜਿਆ ਗਿਆ</v>
      </c>
      <c r="L543" s="2" t="str">
        <f>IFERROR(__xludf.DUMMYFUNCTION("""COMPUTED_VALUE"""),"OTP அனுப்பப்பட்டது")</f>
        <v>OTP அனுப்பப்பட்டது</v>
      </c>
      <c r="M543" s="2" t="str">
        <f>IFERROR(__xludf.DUMMYFUNCTION("""COMPUTED_VALUE"""),"OTP పంపబడింది")</f>
        <v>OTP పంపబడింది</v>
      </c>
    </row>
    <row r="544">
      <c r="A544" s="2" t="str">
        <f>Master_en!A544</f>
        <v>didntreceivetheotp?</v>
      </c>
      <c r="B544" s="2" t="str">
        <f>Master_en!B544</f>
        <v>Didnt receive the OTP?</v>
      </c>
      <c r="C544" s="2" t="str">
        <f>IFERROR(__xludf.DUMMYFUNCTION("""COMPUTED_VALUE"""),"ওটিপি পাননি?")</f>
        <v>ওটিপি পাননি?</v>
      </c>
      <c r="D544" s="2" t="str">
        <f>IFERROR(__xludf.DUMMYFUNCTION("""COMPUTED_VALUE"""),"ओटीपी भेजा गया")</f>
        <v>ओटीपी भेजा गया</v>
      </c>
      <c r="E544" s="2" t="str">
        <f>IFERROR(__xludf.DUMMYFUNCTION("""COMPUTED_VALUE"""),"ಒಟಿಪಿ ಸ್ವೀಕರಿಸಲಿಲ್ಲವೇ?")</f>
        <v>ಒಟಿಪಿ ಸ್ವೀಕರಿಸಲಿಲ್ಲವೇ?</v>
      </c>
      <c r="F544" s="2" t="str">
        <f>IFERROR(__xludf.DUMMYFUNCTION("""COMPUTED_VALUE"""),"OTP ଗ୍ରହଣ କଲା କି?")</f>
        <v>OTP ଗ୍ରହଣ କଲା କି?</v>
      </c>
      <c r="G544" s="2" t="str">
        <f>IFERROR(__xludf.DUMMYFUNCTION("""COMPUTED_VALUE"""),"অ’টিপি লাভ কৰা নাছিল নেকি?")</f>
        <v>অ’টিপি লাভ কৰা নাছিল নেকি?</v>
      </c>
      <c r="H544" s="2" t="str">
        <f>IFERROR(__xludf.DUMMYFUNCTION("""COMPUTED_VALUE"""),"ઓટીપી પ્રાપ્ત કરી નથી?")</f>
        <v>ઓટીપી પ્રાપ્ત કરી નથી?</v>
      </c>
      <c r="I544" s="2" t="str">
        <f>IFERROR(__xludf.DUMMYFUNCTION("""COMPUTED_VALUE"""),"ओटीपी प्राप्त झाला नाही?")</f>
        <v>ओटीपी प्राप्त झाला नाही?</v>
      </c>
      <c r="J544" s="2" t="str">
        <f>IFERROR(__xludf.DUMMYFUNCTION("""COMPUTED_VALUE"""),"OTP സ്വീകരിച്ചില്ലേ?")</f>
        <v>OTP സ്വീകരിച്ചില്ലേ?</v>
      </c>
      <c r="K544" s="2" t="str">
        <f>IFERROR(__xludf.DUMMYFUNCTION("""COMPUTED_VALUE"""),"ਓਟੀਪੀ ਪ੍ਰਾਪਤ ਨਹੀਂ ਕੀਤਾ?")</f>
        <v>ਓਟੀਪੀ ਪ੍ਰਾਪਤ ਨਹੀਂ ਕੀਤਾ?</v>
      </c>
      <c r="L544" s="2" t="str">
        <f>IFERROR(__xludf.DUMMYFUNCTION("""COMPUTED_VALUE"""),"OTP ஐப் பெறவில்லையா?")</f>
        <v>OTP ஐப் பெறவில்லையா?</v>
      </c>
      <c r="M544" s="2" t="str">
        <f>IFERROR(__xludf.DUMMYFUNCTION("""COMPUTED_VALUE"""),"OTP ను స్వీకరించలేదా?")</f>
        <v>OTP ను స్వీకరించలేదా?</v>
      </c>
    </row>
    <row r="545">
      <c r="A545" s="2" t="str">
        <f>Master_en!A545</f>
        <v>currentaddress</v>
      </c>
      <c r="B545" s="2" t="str">
        <f>Master_en!B545</f>
        <v>Current Address</v>
      </c>
      <c r="C545" s="2" t="str">
        <f>IFERROR(__xludf.DUMMYFUNCTION("""COMPUTED_VALUE"""),"বর্তমান ঠিকানা")</f>
        <v>বর্তমান ঠিকানা</v>
      </c>
      <c r="D545" s="2" t="str">
        <f>IFERROR(__xludf.DUMMYFUNCTION("""COMPUTED_VALUE"""),"वर्त्तमान पता")</f>
        <v>वर्त्तमान पता</v>
      </c>
      <c r="E545" s="2" t="str">
        <f>IFERROR(__xludf.DUMMYFUNCTION("""COMPUTED_VALUE"""),"ಒಟಿಪಿ ಸ್ವೀಕರಿಸಲಿಲ್ಲವೇ?")</f>
        <v>ಒಟಿಪಿ ಸ್ವೀಕರಿಸಲಿಲ್ಲವೇ?</v>
      </c>
      <c r="F545" s="2" t="str">
        <f>IFERROR(__xludf.DUMMYFUNCTION("""COMPUTED_VALUE"""),"ସାମ୍ପ୍ରତିକ ଠିକଣା")</f>
        <v>ସାମ୍ପ୍ରତିକ ଠିକଣା</v>
      </c>
      <c r="G545" s="2" t="str">
        <f>IFERROR(__xludf.DUMMYFUNCTION("""COMPUTED_VALUE"""),"বৰ্তমানৰ ঠিকনা")</f>
        <v>বৰ্তমানৰ ঠিকনা</v>
      </c>
      <c r="H545" s="2" t="str">
        <f>IFERROR(__xludf.DUMMYFUNCTION("""COMPUTED_VALUE"""),"વર્તમાન સરનામુ")</f>
        <v>વર્તમાન સરનામુ</v>
      </c>
      <c r="I545" s="2" t="str">
        <f>IFERROR(__xludf.DUMMYFUNCTION("""COMPUTED_VALUE"""),"प्राप्त झालेला नाही")</f>
        <v>प्राप्त झालेला नाही</v>
      </c>
      <c r="J545" s="2" t="str">
        <f>IFERROR(__xludf.DUMMYFUNCTION("""COMPUTED_VALUE"""),"നിലവിലെ വിലാസം")</f>
        <v>നിലവിലെ വിലാസം</v>
      </c>
      <c r="K545" s="2" t="str">
        <f>IFERROR(__xludf.DUMMYFUNCTION("""COMPUTED_VALUE"""),"ਮੌਜੂਦਾ ਪਤਾ")</f>
        <v>ਮੌਜੂਦਾ ਪਤਾ</v>
      </c>
      <c r="L545" s="2" t="str">
        <f>IFERROR(__xludf.DUMMYFUNCTION("""COMPUTED_VALUE"""),"தற்போதைய முகவரி")</f>
        <v>தற்போதைய முகவரி</v>
      </c>
      <c r="M545" s="2" t="str">
        <f>IFERROR(__xludf.DUMMYFUNCTION("""COMPUTED_VALUE"""),"ప్రస్తుత చిరునామా")</f>
        <v>ప్రస్తుత చిరునామా</v>
      </c>
    </row>
    <row r="546">
      <c r="A546" s="2" t="str">
        <f>Master_en!A546</f>
        <v>yourShop</v>
      </c>
      <c r="B546" s="2" t="str">
        <f>Master_en!B546</f>
        <v>Your Shop</v>
      </c>
      <c r="C546" s="2" t="str">
        <f>IFERROR(__xludf.DUMMYFUNCTION("""COMPUTED_VALUE"""),"আপনার দোকান")</f>
        <v>আপনার দোকান</v>
      </c>
      <c r="D546" s="2" t="str">
        <f>IFERROR(__xludf.DUMMYFUNCTION("""COMPUTED_VALUE"""),"आपकी दुकान")</f>
        <v>आपकी दुकान</v>
      </c>
      <c r="E546" s="2" t="str">
        <f>IFERROR(__xludf.DUMMYFUNCTION("""COMPUTED_VALUE"""),"ನಿಮ್ಮ ಅಂಗಡಿ")</f>
        <v>ನಿಮ್ಮ ಅಂಗಡಿ</v>
      </c>
      <c r="F546" s="2" t="str">
        <f>IFERROR(__xludf.DUMMYFUNCTION("""COMPUTED_VALUE"""),"ତୁମ ଦୋକାନ")</f>
        <v>ତୁମ ଦୋକାନ</v>
      </c>
      <c r="G546" s="2" t="str">
        <f>IFERROR(__xludf.DUMMYFUNCTION("""COMPUTED_VALUE"""),"আপোনাৰ দোকান")</f>
        <v>আপোনাৰ দোকান</v>
      </c>
      <c r="H546" s="2" t="str">
        <f>IFERROR(__xludf.DUMMYFUNCTION("""COMPUTED_VALUE"""),"તમારી દુકાન")</f>
        <v>તમારી દુકાન</v>
      </c>
      <c r="I546" s="2" t="str">
        <f>IFERROR(__xludf.DUMMYFUNCTION("""COMPUTED_VALUE"""),"आपले दुकान")</f>
        <v>आपले दुकान</v>
      </c>
      <c r="J546" s="2" t="str">
        <f>IFERROR(__xludf.DUMMYFUNCTION("""COMPUTED_VALUE"""),"നിങ്ങളുടെ കട")</f>
        <v>നിങ്ങളുടെ കട</v>
      </c>
      <c r="K546" s="2" t="str">
        <f>IFERROR(__xludf.DUMMYFUNCTION("""COMPUTED_VALUE"""),"ਤੁਹਾਡੀ ਦੁਕਾਨ")</f>
        <v>ਤੁਹਾਡੀ ਦੁਕਾਨ</v>
      </c>
      <c r="L546" s="2" t="str">
        <f>IFERROR(__xludf.DUMMYFUNCTION("""COMPUTED_VALUE"""),"உங்கள் கடை")</f>
        <v>உங்கள் கடை</v>
      </c>
      <c r="M546" s="2" t="str">
        <f>IFERROR(__xludf.DUMMYFUNCTION("""COMPUTED_VALUE"""),"మీ దుకాణం")</f>
        <v>మీ దుకాణం</v>
      </c>
    </row>
    <row r="547">
      <c r="A547" s="2" t="str">
        <f>Master_en!A547</f>
        <v>workingHours</v>
      </c>
      <c r="B547" s="2" t="str">
        <f>Master_en!B547</f>
        <v>Working hours</v>
      </c>
      <c r="C547" s="2" t="str">
        <f>IFERROR(__xludf.DUMMYFUNCTION("""COMPUTED_VALUE"""),"কর্মঘন্টা")</f>
        <v>কর্মঘন্টা</v>
      </c>
      <c r="D547" s="2" t="str">
        <f>IFERROR(__xludf.DUMMYFUNCTION("""COMPUTED_VALUE"""),"कार्य के घंटे")</f>
        <v>कार्य के घंटे</v>
      </c>
      <c r="E547" s="2" t="str">
        <f>IFERROR(__xludf.DUMMYFUNCTION("""COMPUTED_VALUE"""),"ಕೆಲಸದ ಸಮಯ")</f>
        <v>ಕೆಲಸದ ಸಮಯ</v>
      </c>
      <c r="F547" s="2" t="str">
        <f>IFERROR(__xludf.DUMMYFUNCTION("""COMPUTED_VALUE"""),"କାର୍ଯ୍ୟ ସମୟ")</f>
        <v>କାର୍ଯ୍ୟ ସମୟ</v>
      </c>
      <c r="G547" s="2" t="str">
        <f>IFERROR(__xludf.DUMMYFUNCTION("""COMPUTED_VALUE"""),"কৰ্মৰ সময়")</f>
        <v>কৰ্মৰ সময়</v>
      </c>
      <c r="H547" s="2" t="str">
        <f>IFERROR(__xludf.DUMMYFUNCTION("""COMPUTED_VALUE"""),"કામ નાં કલાકો")</f>
        <v>કામ નાં કલાકો</v>
      </c>
      <c r="I547" s="2" t="str">
        <f>IFERROR(__xludf.DUMMYFUNCTION("""COMPUTED_VALUE"""),"तुमचे दुकान")</f>
        <v>तुमचे दुकान</v>
      </c>
      <c r="J547" s="2" t="str">
        <f>IFERROR(__xludf.DUMMYFUNCTION("""COMPUTED_VALUE"""),"ജോലിചെയ്യുന്ന സമയം")</f>
        <v>ജോലിചെയ്യുന്ന സമയം</v>
      </c>
      <c r="K547" s="2" t="str">
        <f>IFERROR(__xludf.DUMMYFUNCTION("""COMPUTED_VALUE"""),"ਕੰਮ ਦੇ ਘੰਟੇ")</f>
        <v>ਕੰਮ ਦੇ ਘੰਟੇ</v>
      </c>
      <c r="L547" s="2" t="str">
        <f>IFERROR(__xludf.DUMMYFUNCTION("""COMPUTED_VALUE"""),"வேலை நேரம்")</f>
        <v>வேலை நேரம்</v>
      </c>
      <c r="M547" s="2" t="str">
        <f>IFERROR(__xludf.DUMMYFUNCTION("""COMPUTED_VALUE"""),"పని గంటలు")</f>
        <v>పని గంటలు</v>
      </c>
    </row>
    <row r="548">
      <c r="A548" s="2" t="str">
        <f>Master_en!A548</f>
        <v>nameAsPerPancard</v>
      </c>
      <c r="B548" s="2" t="str">
        <f>Master_en!B548</f>
        <v>Name as per PAN card</v>
      </c>
      <c r="C548" s="2" t="str">
        <f>IFERROR(__xludf.DUMMYFUNCTION("""COMPUTED_VALUE"""),"প্যান কার্ড অনুসারে নাম")</f>
        <v>প্যান কার্ড অনুসারে নাম</v>
      </c>
      <c r="D548" s="2" t="str">
        <f>IFERROR(__xludf.DUMMYFUNCTION("""COMPUTED_VALUE"""),"पैन कार्ड के अनुसार नाम")</f>
        <v>पैन कार्ड के अनुसार नाम</v>
      </c>
      <c r="E548" s="2" t="str">
        <f>IFERROR(__xludf.DUMMYFUNCTION("""COMPUTED_VALUE"""),"ಪ್ಯಾನ್ ಕಾರ್ಡ್ ಪ್ರಕಾರ ಹೆಸರು")</f>
        <v>ಪ್ಯಾನ್ ಕಾರ್ಡ್ ಪ್ರಕಾರ ಹೆಸರು</v>
      </c>
      <c r="F548" s="2" t="str">
        <f>IFERROR(__xludf.DUMMYFUNCTION("""COMPUTED_VALUE"""),"ପାନ୍ କାର୍ଡ ଅନୁଯାୟୀ ନାମ |")</f>
        <v>ପାନ୍ କାର୍ଡ ଅନୁଯାୟୀ ନାମ |</v>
      </c>
      <c r="G548" s="2" t="str">
        <f>IFERROR(__xludf.DUMMYFUNCTION("""COMPUTED_VALUE"""),"পেন কাৰ্ডৰ মতে নাম")</f>
        <v>পেন কাৰ্ডৰ মতে নাম</v>
      </c>
      <c r="H548" s="2" t="str">
        <f>IFERROR(__xludf.DUMMYFUNCTION("""COMPUTED_VALUE"""),"પાન કાર્ડ મુજબ નામ")</f>
        <v>પાન કાર્ડ મુજબ નામ</v>
      </c>
      <c r="I548" s="2" t="str">
        <f>IFERROR(__xludf.DUMMYFUNCTION("""COMPUTED_VALUE"""),"पॅन कार्डनुसार नाव")</f>
        <v>पॅन कार्डनुसार नाव</v>
      </c>
      <c r="J548" s="2" t="str">
        <f>IFERROR(__xludf.DUMMYFUNCTION("""COMPUTED_VALUE"""),"പാൻ കാർഡ് അനുസരിച്ച് പേര്")</f>
        <v>പാൻ കാർഡ് അനുസരിച്ച് പേര്</v>
      </c>
      <c r="K548" s="2" t="str">
        <f>IFERROR(__xludf.DUMMYFUNCTION("""COMPUTED_VALUE"""),"ਪੈਨ ਕਾਰਡ ਦੇ ਅਨੁਸਾਰ ਨਾਮ")</f>
        <v>ਪੈਨ ਕਾਰਡ ਦੇ ਅਨੁਸਾਰ ਨਾਮ</v>
      </c>
      <c r="L548" s="2" t="str">
        <f>IFERROR(__xludf.DUMMYFUNCTION("""COMPUTED_VALUE"""),"பான் கார்டின் படி பெயர்")</f>
        <v>பான் கார்டின் படி பெயர்</v>
      </c>
      <c r="M548" s="2" t="str">
        <f>IFERROR(__xludf.DUMMYFUNCTION("""COMPUTED_VALUE"""),"పాన్ కార్డు ప్రకారం పేరు")</f>
        <v>పాన్ కార్డు ప్రకారం పేరు</v>
      </c>
    </row>
    <row r="549">
      <c r="A549" s="2" t="str">
        <f>Master_en!A549</f>
        <v>PanCard</v>
      </c>
      <c r="B549" s="2" t="str">
        <f>Master_en!B549</f>
        <v>PAN Card</v>
      </c>
      <c r="C549" s="2" t="str">
        <f>IFERROR(__xludf.DUMMYFUNCTION("""COMPUTED_VALUE"""),"প্যান কার্ড")</f>
        <v>প্যান কার্ড</v>
      </c>
      <c r="D549" s="2" t="str">
        <f>IFERROR(__xludf.DUMMYFUNCTION("""COMPUTED_VALUE"""),"पैन कार्ड")</f>
        <v>पैन कार्ड</v>
      </c>
      <c r="E549" s="2" t="str">
        <f>IFERROR(__xludf.DUMMYFUNCTION("""COMPUTED_VALUE"""),"ಗುಂಡಿ ಚೀಟಿ")</f>
        <v>ಗುಂಡಿ ಚೀಟಿ</v>
      </c>
      <c r="F549" s="2" t="str">
        <f>IFERROR(__xludf.DUMMYFUNCTION("""COMPUTED_VALUE"""),"ପାନ୍ କାର୍ଡ |")</f>
        <v>ପାନ୍ କାର୍ଡ |</v>
      </c>
      <c r="G549" s="2" t="str">
        <f>IFERROR(__xludf.DUMMYFUNCTION("""COMPUTED_VALUE"""),"পেন কাৰ্ড")</f>
        <v>পেন কাৰ্ড</v>
      </c>
      <c r="H549" s="2" t="str">
        <f>IFERROR(__xludf.DUMMYFUNCTION("""COMPUTED_VALUE"""),"પાન કાર્ડ")</f>
        <v>પાન કાર્ડ</v>
      </c>
      <c r="I549" s="2" t="str">
        <f>IFERROR(__xludf.DUMMYFUNCTION("""COMPUTED_VALUE"""),"पॅन कार्ड")</f>
        <v>पॅन कार्ड</v>
      </c>
      <c r="J549" s="2" t="str">
        <f>IFERROR(__xludf.DUMMYFUNCTION("""COMPUTED_VALUE"""),"പാൻ കാർഡ്")</f>
        <v>പാൻ കാർഡ്</v>
      </c>
      <c r="K549" s="2" t="str">
        <f>IFERROR(__xludf.DUMMYFUNCTION("""COMPUTED_VALUE"""),"ਪੈਨ ਕਾਰਡ")</f>
        <v>ਪੈਨ ਕਾਰਡ</v>
      </c>
      <c r="L549" s="2" t="str">
        <f>IFERROR(__xludf.DUMMYFUNCTION("""COMPUTED_VALUE"""),"பான் கார்டு")</f>
        <v>பான் கார்டு</v>
      </c>
      <c r="M549" s="2" t="str">
        <f>IFERROR(__xludf.DUMMYFUNCTION("""COMPUTED_VALUE"""),"పాన్ కార్డ్")</f>
        <v>పాన్ కార్డ్</v>
      </c>
    </row>
    <row r="550">
      <c r="A550" s="2" t="str">
        <f>Master_en!A550</f>
        <v>re-enter</v>
      </c>
      <c r="B550" s="2" t="str">
        <f>Master_en!B550</f>
        <v>Re-enter</v>
      </c>
      <c r="C550" s="2" t="str">
        <f>IFERROR(__xludf.DUMMYFUNCTION("""COMPUTED_VALUE"""),"পুনরায় প্রবেশ")</f>
        <v>পুনরায় প্রবেশ</v>
      </c>
      <c r="D550" s="2" t="str">
        <f>IFERROR(__xludf.DUMMYFUNCTION("""COMPUTED_VALUE"""),"पुन: दर्ज")</f>
        <v>पुन: दर्ज</v>
      </c>
      <c r="E550" s="2" t="str">
        <f>IFERROR(__xludf.DUMMYFUNCTION("""COMPUTED_VALUE"""),"ಮತ್ತೆ ಪ್ರವೇಶಿಸು")</f>
        <v>ಮತ್ತೆ ಪ್ರವೇಶಿಸು</v>
      </c>
      <c r="F550" s="2" t="str">
        <f>IFERROR(__xludf.DUMMYFUNCTION("""COMPUTED_VALUE"""),"ପୁନ enter- ପ୍ରବେଶ କର |")</f>
        <v>ପୁନ enter- ପ୍ରବେଶ କର |</v>
      </c>
      <c r="G550" s="2" t="str">
        <f>IFERROR(__xludf.DUMMYFUNCTION("""COMPUTED_VALUE"""),"পুনৰ প্ৰৱেশ কৰক")</f>
        <v>পুনৰ প্ৰৱেশ কৰক</v>
      </c>
      <c r="H550" s="2" t="str">
        <f>IFERROR(__xludf.DUMMYFUNCTION("""COMPUTED_VALUE"""),"ફરી પ્રવેશ કરવો")</f>
        <v>ફરી પ્રવેશ કરવો</v>
      </c>
      <c r="I550" s="2" t="str">
        <f>IFERROR(__xludf.DUMMYFUNCTION("""COMPUTED_VALUE"""),"पुन्हा प्रवेश")</f>
        <v>पुन्हा प्रवेश</v>
      </c>
      <c r="J550" s="2" t="str">
        <f>IFERROR(__xludf.DUMMYFUNCTION("""COMPUTED_VALUE"""),"വീണ്ടും നൽകുക")</f>
        <v>വീണ്ടും നൽകുക</v>
      </c>
      <c r="K550" s="2" t="str">
        <f>IFERROR(__xludf.DUMMYFUNCTION("""COMPUTED_VALUE"""),"ਦੁਬਾਰਾ ਦਾਖਲ ਕਰੋ")</f>
        <v>ਦੁਬਾਰਾ ਦਾਖਲ ਕਰੋ</v>
      </c>
      <c r="L550" s="2" t="str">
        <f>IFERROR(__xludf.DUMMYFUNCTION("""COMPUTED_VALUE"""),"மீண்டும் உள்ளிடவும்")</f>
        <v>மீண்டும் உள்ளிடவும்</v>
      </c>
      <c r="M550" s="2" t="str">
        <f>IFERROR(__xludf.DUMMYFUNCTION("""COMPUTED_VALUE"""),"రీ-ఎంటర్")</f>
        <v>రీ-ఎంటర్</v>
      </c>
    </row>
    <row r="551">
      <c r="A551" s="2" t="str">
        <f>Master_en!A551</f>
        <v>LocationPermission</v>
      </c>
      <c r="B551" s="2" t="str">
        <f>Master_en!B551</f>
        <v>Location Permission</v>
      </c>
      <c r="C551" s="2" t="str">
        <f>IFERROR(__xludf.DUMMYFUNCTION("""COMPUTED_VALUE"""),"অবস্থান অনুমতি")</f>
        <v>অবস্থান অনুমতি</v>
      </c>
      <c r="D551" s="2" t="str">
        <f>IFERROR(__xludf.DUMMYFUNCTION("""COMPUTED_VALUE"""),"स्थान अनुमति")</f>
        <v>स्थान अनुमति</v>
      </c>
      <c r="E551" s="2" t="str">
        <f>IFERROR(__xludf.DUMMYFUNCTION("""COMPUTED_VALUE"""),"ಗುರುತಿನ ಚೀಟಿ")</f>
        <v>ಗುರುತಿನ ಚೀಟಿ</v>
      </c>
      <c r="F551" s="2" t="str">
        <f>IFERROR(__xludf.DUMMYFUNCTION("""COMPUTED_VALUE"""),"ସ୍ଥାନ")</f>
        <v>ସ୍ଥାନ</v>
      </c>
      <c r="G551" s="2" t="str">
        <f>IFERROR(__xludf.DUMMYFUNCTION("""COMPUTED_VALUE"""),"স্থানৰ অনুমতি")</f>
        <v>স্থানৰ অনুমতি</v>
      </c>
      <c r="H551" s="2" t="str">
        <f>IFERROR(__xludf.DUMMYFUNCTION("""COMPUTED_VALUE"""),"સ્થાન પરવાનગી")</f>
        <v>સ્થાન પરવાનગી</v>
      </c>
      <c r="I551" s="2" t="str">
        <f>IFERROR(__xludf.DUMMYFUNCTION("""COMPUTED_VALUE"""),"पुन्हा प्रविष्ट करा")</f>
        <v>पुन्हा प्रविष्ट करा</v>
      </c>
      <c r="J551" s="2" t="str">
        <f>IFERROR(__xludf.DUMMYFUNCTION("""COMPUTED_VALUE"""),"ലൊക്കേഷൻ അനുമതി")</f>
        <v>ലൊക്കേഷൻ അനുമതി</v>
      </c>
      <c r="K551" s="2" t="str">
        <f>IFERROR(__xludf.DUMMYFUNCTION("""COMPUTED_VALUE"""),"ਸਥਾਨ ਦੀ ਇਜ਼ਾਜ਼ਤ")</f>
        <v>ਸਥਾਨ ਦੀ ਇਜ਼ਾਜ਼ਤ</v>
      </c>
      <c r="L551" s="2" t="str">
        <f>IFERROR(__xludf.DUMMYFUNCTION("""COMPUTED_VALUE"""),"இருப்பிட அனுமதி")</f>
        <v>இருப்பிட அனுமதி</v>
      </c>
      <c r="M551" s="2" t="str">
        <f>IFERROR(__xludf.DUMMYFUNCTION("""COMPUTED_VALUE"""),"స్థాన అనుమతి")</f>
        <v>స్థాన అనుమతి</v>
      </c>
    </row>
    <row r="552">
      <c r="A552" s="2" t="str">
        <f>Master_en!A552</f>
        <v>notdelivery</v>
      </c>
      <c r="B552" s="2" t="str">
        <f>Master_en!B552</f>
        <v>Not Delivery </v>
      </c>
      <c r="C552" s="2" t="str">
        <f>IFERROR(__xludf.DUMMYFUNCTION("""COMPUTED_VALUE"""),"বিতরণ না")</f>
        <v>বিতরণ না</v>
      </c>
      <c r="D552" s="2" t="str">
        <f>IFERROR(__xludf.DUMMYFUNCTION("""COMPUTED_VALUE"""),"प्रसव नहीं")</f>
        <v>प्रसव नहीं</v>
      </c>
      <c r="E552" s="2" t="str">
        <f>IFERROR(__xludf.DUMMYFUNCTION("""COMPUTED_VALUE"""),"ವಿತರಣೆ ಅಲ್ಲ")</f>
        <v>ವಿತರಣೆ ಅಲ್ಲ</v>
      </c>
      <c r="F552" s="2" t="str">
        <f>IFERROR(__xludf.DUMMYFUNCTION("""COMPUTED_VALUE"""),"ବିତରଣ ନୁହେଁ |")</f>
        <v>ବିତରଣ ନୁହେଁ |</v>
      </c>
      <c r="G552" s="2" t="str">
        <f>IFERROR(__xludf.DUMMYFUNCTION("""COMPUTED_VALUE"""),"ডেলিভাৰী নহয়")</f>
        <v>ডেলিভাৰী নহয়</v>
      </c>
      <c r="H552" s="2" t="str">
        <f>IFERROR(__xludf.DUMMYFUNCTION("""COMPUTED_VALUE"""),"ડિલિવરી")</f>
        <v>ડિલિવરી</v>
      </c>
      <c r="I552" s="2" t="str">
        <f>IFERROR(__xludf.DUMMYFUNCTION("""COMPUTED_VALUE"""),"वितरण नाही")</f>
        <v>वितरण नाही</v>
      </c>
      <c r="J552" s="2" t="str">
        <f>IFERROR(__xludf.DUMMYFUNCTION("""COMPUTED_VALUE"""),"ഡെലിവറി അല്ല")</f>
        <v>ഡെലിവറി അല്ല</v>
      </c>
      <c r="K552" s="2" t="str">
        <f>IFERROR(__xludf.DUMMYFUNCTION("""COMPUTED_VALUE"""),"ਡਿਲਿਵਰੀ ਨਹੀਂ")</f>
        <v>ਡਿਲਿਵਰੀ ਨਹੀਂ</v>
      </c>
      <c r="L552" s="2" t="str">
        <f>IFERROR(__xludf.DUMMYFUNCTION("""COMPUTED_VALUE"""),"டெலிவரி அல்ல")</f>
        <v>டெலிவரி அல்ல</v>
      </c>
      <c r="M552" s="2" t="str">
        <f>IFERROR(__xludf.DUMMYFUNCTION("""COMPUTED_VALUE"""),"డెలివరీ కాదు")</f>
        <v>డెలివరీ కాదు</v>
      </c>
    </row>
    <row r="553">
      <c r="A553" s="2" t="str">
        <f>Master_en!A553</f>
        <v>wholesaler</v>
      </c>
      <c r="B553" s="2" t="str">
        <f>Master_en!B553</f>
        <v>Wholesaler</v>
      </c>
      <c r="C553" s="2" t="str">
        <f>IFERROR(__xludf.DUMMYFUNCTION("""COMPUTED_VALUE"""),"পাইকার")</f>
        <v>পাইকার</v>
      </c>
      <c r="D553" s="2" t="str">
        <f>IFERROR(__xludf.DUMMYFUNCTION("""COMPUTED_VALUE"""),"वितरित नहीं कर रहा है")</f>
        <v>वितरित नहीं कर रहा है</v>
      </c>
      <c r="E553" s="2" t="str">
        <f>IFERROR(__xludf.DUMMYFUNCTION("""COMPUTED_VALUE"""),"ಸಗಟು ವ್ಯಾಪಾರಿ")</f>
        <v>ಸಗಟು ವ್ಯಾಪಾರಿ</v>
      </c>
      <c r="F553" s="2" t="str">
        <f>IFERROR(__xludf.DUMMYFUNCTION("""COMPUTED_VALUE"""),"Hoolsalealer")</f>
        <v>Hoolsalealer</v>
      </c>
      <c r="G553" s="2" t="str">
        <f>IFERROR(__xludf.DUMMYFUNCTION("""COMPUTED_VALUE"""),"পাইকাৰী বিক্ৰেতা")</f>
        <v>পাইকাৰী বিক্ৰেতা</v>
      </c>
      <c r="H553" s="2" t="str">
        <f>IFERROR(__xludf.DUMMYFUNCTION("""COMPUTED_VALUE"""),"જથ્થાબંધ વેપારી")</f>
        <v>જથ્થાબંધ વેપારી</v>
      </c>
      <c r="I553" s="2" t="str">
        <f>IFERROR(__xludf.DUMMYFUNCTION("""COMPUTED_VALUE"""),"घाऊक विक्रेता")</f>
        <v>घाऊक विक्रेता</v>
      </c>
      <c r="J553" s="2" t="str">
        <f>IFERROR(__xludf.DUMMYFUNCTION("""COMPUTED_VALUE"""),"മൊത്തവാതാവ്")</f>
        <v>മൊത്തവാതാവ്</v>
      </c>
      <c r="K553" s="2" t="str">
        <f>IFERROR(__xludf.DUMMYFUNCTION("""COMPUTED_VALUE"""),"ਖਾਲੀ ਕਰਨ ਵਾਲਾ")</f>
        <v>ਖਾਲੀ ਕਰਨ ਵਾਲਾ</v>
      </c>
      <c r="L553" s="2" t="str">
        <f>IFERROR(__xludf.DUMMYFUNCTION("""COMPUTED_VALUE"""),"மொத்த விற்பனையாளர்")</f>
        <v>மொத்த விற்பனையாளர்</v>
      </c>
      <c r="M553" s="2" t="str">
        <f>IFERROR(__xludf.DUMMYFUNCTION("""COMPUTED_VALUE"""),"టోకు వ్యాపారి")</f>
        <v>టోకు వ్యాపారి</v>
      </c>
    </row>
    <row r="554">
      <c r="A554" s="2" t="str">
        <f>Master_en!A554</f>
        <v>toDelete?</v>
      </c>
      <c r="B554" s="2" t="str">
        <f>Master_en!B554</f>
        <v>to delete?</v>
      </c>
      <c r="C554" s="2" t="str">
        <f>IFERROR(__xludf.DUMMYFUNCTION("""COMPUTED_VALUE"""),"বাদ?")</f>
        <v>বাদ?</v>
      </c>
      <c r="D554" s="2" t="str">
        <f>IFERROR(__xludf.DUMMYFUNCTION("""COMPUTED_VALUE"""),"हटाना?")</f>
        <v>हटाना?</v>
      </c>
      <c r="E554" s="2" t="str">
        <f>IFERROR(__xludf.DUMMYFUNCTION("""COMPUTED_VALUE"""),"ಅಳಿಸಲು?")</f>
        <v>ಅಳಿಸಲು?</v>
      </c>
      <c r="F554" s="2" t="str">
        <f>IFERROR(__xludf.DUMMYFUNCTION("""COMPUTED_VALUE"""),"ବିଲୋପ କରିବାକୁ?")</f>
        <v>ବିଲୋପ କରିବାକୁ?</v>
      </c>
      <c r="G554" s="2" t="str">
        <f>IFERROR(__xludf.DUMMYFUNCTION("""COMPUTED_VALUE"""),"মচি পেলাবলৈ?")</f>
        <v>মচি পেলাবলৈ?</v>
      </c>
      <c r="H554" s="2" t="str">
        <f>IFERROR(__xludf.DUMMYFUNCTION("""COMPUTED_VALUE"""),"કા delete ી નાખવા માટે?")</f>
        <v>કા delete ી નાખવા માટે?</v>
      </c>
      <c r="I554" s="2" t="str">
        <f>IFERROR(__xludf.DUMMYFUNCTION("""COMPUTED_VALUE"""),"हटविण्यासाठी?")</f>
        <v>हटविण्यासाठी?</v>
      </c>
      <c r="J554" s="2" t="str">
        <f>IFERROR(__xludf.DUMMYFUNCTION("""COMPUTED_VALUE"""),"ഇല്ലാതാക്കാൻ?")</f>
        <v>ഇല്ലാതാക്കാൻ?</v>
      </c>
      <c r="K554" s="2" t="str">
        <f>IFERROR(__xludf.DUMMYFUNCTION("""COMPUTED_VALUE"""),"ਨੂੰ ਹਟਾਉਣ ਲਈ?")</f>
        <v>ਨੂੰ ਹਟਾਉਣ ਲਈ?</v>
      </c>
      <c r="L554" s="2" t="str">
        <f>IFERROR(__xludf.DUMMYFUNCTION("""COMPUTED_VALUE"""),"நீக்க?")</f>
        <v>நீக்க?</v>
      </c>
      <c r="M554" s="2" t="str">
        <f>IFERROR(__xludf.DUMMYFUNCTION("""COMPUTED_VALUE"""),"తొలగించడానికి?")</f>
        <v>తొలగించడానికి?</v>
      </c>
    </row>
    <row r="555">
      <c r="A555" s="2" t="str">
        <f>Master_en!A555</f>
        <v>youCannotDelete</v>
      </c>
      <c r="B555" s="2" t="str">
        <f>Master_en!B555</f>
        <v>You Cannot Delete</v>
      </c>
      <c r="C555" s="2" t="str">
        <f>IFERROR(__xludf.DUMMYFUNCTION("""COMPUTED_VALUE"""),"আপনি মুছতে পারবেন না")</f>
        <v>আপনি মুছতে পারবেন না</v>
      </c>
      <c r="D555" s="2" t="str">
        <f>IFERROR(__xludf.DUMMYFUNCTION("""COMPUTED_VALUE"""),"आप हटा नहीं सकते")</f>
        <v>आप हटा नहीं सकते</v>
      </c>
      <c r="E555" s="2" t="str">
        <f>IFERROR(__xludf.DUMMYFUNCTION("""COMPUTED_VALUE"""),"ನೀವು ಅಳಿಸಲು ಸಾಧ್ಯವಿಲ್ಲ")</f>
        <v>ನೀವು ಅಳಿಸಲು ಸಾಧ್ಯವಿಲ್ಲ</v>
      </c>
      <c r="F555" s="2" t="str">
        <f>IFERROR(__xludf.DUMMYFUNCTION("""COMPUTED_VALUE"""),"ଆପଣ ବିଲୋପ କରିପାରିବେ ନାହିଁ |")</f>
        <v>ଆପଣ ବିଲୋପ କରିପାରିବେ ନାହିଁ |</v>
      </c>
      <c r="G555" s="2" t="str">
        <f>IFERROR(__xludf.DUMMYFUNCTION("""COMPUTED_VALUE"""),"আপুনি মচি পেলাব নোৱাৰে")</f>
        <v>আপুনি মচি পেলাব নোৱাৰে</v>
      </c>
      <c r="H555" s="2" t="str">
        <f>IFERROR(__xludf.DUMMYFUNCTION("""COMPUTED_VALUE"""),"તમે કા delete ી શકતા નથી")</f>
        <v>તમે કા delete ી શકતા નથી</v>
      </c>
      <c r="I555" s="2" t="str">
        <f>IFERROR(__xludf.DUMMYFUNCTION("""COMPUTED_VALUE"""),"आपण हटवू शकत नाही")</f>
        <v>आपण हटवू शकत नाही</v>
      </c>
      <c r="J555" s="2" t="str">
        <f>IFERROR(__xludf.DUMMYFUNCTION("""COMPUTED_VALUE"""),"നിങ്ങൾക്ക് ഇല്ലാതാക്കാൻ കഴിയില്ല")</f>
        <v>നിങ്ങൾക്ക് ഇല്ലാതാക്കാൻ കഴിയില്ല</v>
      </c>
      <c r="K555" s="2" t="str">
        <f>IFERROR(__xludf.DUMMYFUNCTION("""COMPUTED_VALUE"""),"ਤੁਸੀਂ ਮਿਟਾ ਨਹੀਂ ਸਕਦੇ")</f>
        <v>ਤੁਸੀਂ ਮਿਟਾ ਨਹੀਂ ਸਕਦੇ</v>
      </c>
      <c r="L555" s="2" t="str">
        <f>IFERROR(__xludf.DUMMYFUNCTION("""COMPUTED_VALUE"""),"நீங்கள் நீக்க முடியாது")</f>
        <v>நீங்கள் நீக்க முடியாது</v>
      </c>
      <c r="M555" s="2" t="str">
        <f>IFERROR(__xludf.DUMMYFUNCTION("""COMPUTED_VALUE"""),"మీరు తొలగించలేరు")</f>
        <v>మీరు తొలగించలేరు</v>
      </c>
    </row>
    <row r="556">
      <c r="A556" s="2" t="str">
        <f>Master_en!A556</f>
        <v>activeUser!</v>
      </c>
      <c r="B556" s="2" t="str">
        <f>Master_en!B556</f>
        <v>Active User!</v>
      </c>
      <c r="C556" s="2" t="str">
        <f>IFERROR(__xludf.DUMMYFUNCTION("""COMPUTED_VALUE"""),"সক্রিয় ব্যবহারকারী!")</f>
        <v>সক্রিয় ব্যবহারকারী!</v>
      </c>
      <c r="D556" s="2" t="str">
        <f>IFERROR(__xludf.DUMMYFUNCTION("""COMPUTED_VALUE"""),"सक्रिय उपयोगकर्ता!")</f>
        <v>सक्रिय उपयोगकर्ता!</v>
      </c>
      <c r="E556" s="2" t="str">
        <f>IFERROR(__xludf.DUMMYFUNCTION("""COMPUTED_VALUE"""),"ಸಕ್ರಿಯ ಬಳಕೆದಾರ!")</f>
        <v>ಸಕ್ರಿಯ ಬಳಕೆದಾರ!</v>
      </c>
      <c r="F556" s="2" t="str">
        <f>IFERROR(__xludf.DUMMYFUNCTION("""COMPUTED_VALUE"""),"ସକ୍ରିୟ ଉପଭୋକ୍ତା!")</f>
        <v>ସକ୍ରିୟ ଉପଭୋକ୍ତା!</v>
      </c>
      <c r="G556" s="2" t="str">
        <f>IFERROR(__xludf.DUMMYFUNCTION("""COMPUTED_VALUE"""),"সক্ৰিয় ব্যৱহাৰকাৰী!")</f>
        <v>সক্ৰিয় ব্যৱহাৰকাৰী!</v>
      </c>
      <c r="H556" s="2" t="str">
        <f>IFERROR(__xludf.DUMMYFUNCTION("""COMPUTED_VALUE"""),"સક્રિય વપરાશકર્તા!")</f>
        <v>સક્રિય વપરાશકર્તા!</v>
      </c>
      <c r="I556" s="2" t="str">
        <f>IFERROR(__xludf.DUMMYFUNCTION("""COMPUTED_VALUE"""),"सक्रिय वापरकर्ता!")</f>
        <v>सक्रिय वापरकर्ता!</v>
      </c>
      <c r="J556" s="2" t="str">
        <f>IFERROR(__xludf.DUMMYFUNCTION("""COMPUTED_VALUE"""),"സജീവ ഉപയോക്താവ്!")</f>
        <v>സജീവ ഉപയോക്താവ്!</v>
      </c>
      <c r="K556" s="2" t="str">
        <f>IFERROR(__xludf.DUMMYFUNCTION("""COMPUTED_VALUE"""),"ਕਿਰਿਆਸ਼ੀਲ ਉਪਭੋਗਤਾ!")</f>
        <v>ਕਿਰਿਆਸ਼ੀਲ ਉਪਭੋਗਤਾ!</v>
      </c>
      <c r="L556" s="2" t="str">
        <f>IFERROR(__xludf.DUMMYFUNCTION("""COMPUTED_VALUE"""),"செயலில் உள்ள பயனர்!")</f>
        <v>செயலில் உள்ள பயனர்!</v>
      </c>
      <c r="M556" s="2" t="str">
        <f>IFERROR(__xludf.DUMMYFUNCTION("""COMPUTED_VALUE"""),"క్రియాశీల వినియోగదారు!")</f>
        <v>క్రియాశీల వినియోగదారు!</v>
      </c>
    </row>
    <row r="557">
      <c r="A557" s="2" t="str">
        <f>Master_en!A557</f>
        <v>selectCategory</v>
      </c>
      <c r="B557" s="2" t="str">
        <f>Master_en!B557</f>
        <v>Select Category</v>
      </c>
      <c r="C557" s="2" t="str">
        <f>IFERROR(__xludf.DUMMYFUNCTION("""COMPUTED_VALUE"""),"বিভাগ নির্বাচন করুন")</f>
        <v>বিভাগ নির্বাচন করুন</v>
      </c>
      <c r="D557" s="2" t="str">
        <f>IFERROR(__xludf.DUMMYFUNCTION("""COMPUTED_VALUE"""),"श्रेणी चुनना")</f>
        <v>श्रेणी चुनना</v>
      </c>
      <c r="E557" s="2" t="str">
        <f>IFERROR(__xludf.DUMMYFUNCTION("""COMPUTED_VALUE"""),"ವರ್ಗವನ್ನು ಆಯ್ಕೆಮಾಡಿ")</f>
        <v>ವರ್ಗವನ್ನು ಆಯ್ಕೆಮಾಡಿ</v>
      </c>
      <c r="F557" s="2" t="str">
        <f>IFERROR(__xludf.DUMMYFUNCTION("""COMPUTED_VALUE"""),"ବର୍ଗ ଚୟନ କରନ୍ତୁ |")</f>
        <v>ବର୍ଗ ଚୟନ କରନ୍ତୁ |</v>
      </c>
      <c r="G557" s="2" t="str">
        <f>IFERROR(__xludf.DUMMYFUNCTION("""COMPUTED_VALUE"""),"শ্ৰেণী নিৰ্ব্বাচন কৰক")</f>
        <v>শ্ৰেণী নিৰ্ব্বাচন কৰক</v>
      </c>
      <c r="H557" s="2" t="str">
        <f>IFERROR(__xludf.DUMMYFUNCTION("""COMPUTED_VALUE"""),"કેટેગરી પસંદ કરો")</f>
        <v>કેટેગરી પસંદ કરો</v>
      </c>
      <c r="I557" s="2" t="str">
        <f>IFERROR(__xludf.DUMMYFUNCTION("""COMPUTED_VALUE"""),"श्रेणी निवडा")</f>
        <v>श्रेणी निवडा</v>
      </c>
      <c r="J557" s="2" t="str">
        <f>IFERROR(__xludf.DUMMYFUNCTION("""COMPUTED_VALUE"""),"ഇനം തിരഞ്ഞെടുക്കുക")</f>
        <v>ഇനം തിരഞ്ഞെടുക്കുക</v>
      </c>
      <c r="K557" s="2" t="str">
        <f>IFERROR(__xludf.DUMMYFUNCTION("""COMPUTED_VALUE"""),"ਸ਼੍ਰੇਣੀ ਚੁਣੋ")</f>
        <v>ਸ਼੍ਰੇਣੀ ਚੁਣੋ</v>
      </c>
      <c r="L557" s="2" t="str">
        <f>IFERROR(__xludf.DUMMYFUNCTION("""COMPUTED_VALUE"""),"பிரிவை தேர்வு செய்க")</f>
        <v>பிரிவை தேர்வு செய்க</v>
      </c>
      <c r="M557" s="2" t="str">
        <f>IFERROR(__xludf.DUMMYFUNCTION("""COMPUTED_VALUE"""),"వర్గం ఎంచుకోండి")</f>
        <v>వర్గం ఎంచుకోండి</v>
      </c>
    </row>
    <row r="558">
      <c r="A558" s="2" t="str">
        <f>Master_en!A558</f>
        <v>toAddProduct</v>
      </c>
      <c r="B558" s="2" t="str">
        <f>Master_en!B558</f>
        <v>To Add Product</v>
      </c>
      <c r="C558" s="2" t="str">
        <f>IFERROR(__xludf.DUMMYFUNCTION("""COMPUTED_VALUE"""),"পণ্য যোগ করতে")</f>
        <v>পণ্য যোগ করতে</v>
      </c>
      <c r="D558" s="2" t="str">
        <f>IFERROR(__xludf.DUMMYFUNCTION("""COMPUTED_VALUE"""),"उत्पाद जोड़ने के लिए")</f>
        <v>उत्पाद जोड़ने के लिए</v>
      </c>
      <c r="E558" s="2" t="str">
        <f>IFERROR(__xludf.DUMMYFUNCTION("""COMPUTED_VALUE"""),"ಉತ್ಪನ್ನವನ್ನು ಸೇರಿಸಲು")</f>
        <v>ಉತ್ಪನ್ನವನ್ನು ಸೇರಿಸಲು</v>
      </c>
      <c r="F558" s="2" t="str">
        <f>IFERROR(__xludf.DUMMYFUNCTION("""COMPUTED_VALUE"""),"ଉତ୍ପାଦ ଯୋଡିବାକୁ |")</f>
        <v>ଉତ୍ପାଦ ଯୋଡିବାକୁ |</v>
      </c>
      <c r="G558" s="2" t="str">
        <f>IFERROR(__xludf.DUMMYFUNCTION("""COMPUTED_VALUE"""),"পণ্য যোগ কৰিবলৈ")</f>
        <v>পণ্য যোগ কৰিবলৈ</v>
      </c>
      <c r="H558" s="2" t="str">
        <f>IFERROR(__xludf.DUMMYFUNCTION("""COMPUTED_VALUE"""),"ઉત્પાદન ઉમેરવા માટે")</f>
        <v>ઉત્પાદન ઉમેરવા માટે</v>
      </c>
      <c r="I558" s="2" t="str">
        <f>IFERROR(__xludf.DUMMYFUNCTION("""COMPUTED_VALUE"""),"उत्पादन जोडण्यासाठी")</f>
        <v>उत्पादन जोडण्यासाठी</v>
      </c>
      <c r="J558" s="2" t="str">
        <f>IFERROR(__xludf.DUMMYFUNCTION("""COMPUTED_VALUE"""),"ഉൽപ്പന്നം ചേർക്കാൻ")</f>
        <v>ഉൽപ്പന്നം ചേർക്കാൻ</v>
      </c>
      <c r="K558" s="2" t="str">
        <f>IFERROR(__xludf.DUMMYFUNCTION("""COMPUTED_VALUE"""),"ਉਤਪਾਦ ਸ਼ਾਮਲ ਕਰਨ ਲਈ")</f>
        <v>ਉਤਪਾਦ ਸ਼ਾਮਲ ਕਰਨ ਲਈ</v>
      </c>
      <c r="L558" s="2" t="str">
        <f>IFERROR(__xludf.DUMMYFUNCTION("""COMPUTED_VALUE"""),"தயாரிப்பு சேர்க்க")</f>
        <v>தயாரிப்பு சேர்க்க</v>
      </c>
      <c r="M558" s="2" t="str">
        <f>IFERROR(__xludf.DUMMYFUNCTION("""COMPUTED_VALUE"""),"ఉత్పత్తిని జోడించడానికి")</f>
        <v>ఉత్పత్తిని జోడించడానికి</v>
      </c>
    </row>
    <row r="559">
      <c r="A559" s="2" t="str">
        <f>Master_en!A559</f>
        <v>mini.qtyperOrder</v>
      </c>
      <c r="B559" s="2" t="str">
        <f>Master_en!B559</f>
        <v>MIni. qty per Order </v>
      </c>
      <c r="C559" s="2" t="str">
        <f>IFERROR(__xludf.DUMMYFUNCTION("""COMPUTED_VALUE"""),"মিনি অর্ডার প্রতি কিটি")</f>
        <v>মিনি অর্ডার প্রতি কিটি</v>
      </c>
      <c r="D559" s="2" t="str">
        <f>IFERROR(__xludf.DUMMYFUNCTION("""COMPUTED_VALUE"""),"छोटा। प्रति आदेश qty")</f>
        <v>छोटा। प्रति आदेश qty</v>
      </c>
      <c r="E559" s="2" t="str">
        <f>IFERROR(__xludf.DUMMYFUNCTION("""COMPUTED_VALUE"""),"ಮಿನಿ. ಪ್ರತಿ ಆದೇಶಕ್ಕೆ qty")</f>
        <v>ಮಿನಿ. ಪ್ರತಿ ಆದೇಶಕ್ಕೆ qty</v>
      </c>
      <c r="F559" s="2" t="str">
        <f>IFERROR(__xludf.DUMMYFUNCTION("""COMPUTED_VALUE"""),"ମିନି qty କ୍ରମ")</f>
        <v>ମିନି qty କ୍ରମ</v>
      </c>
      <c r="G559" s="2" t="str">
        <f>IFERROR(__xludf.DUMMYFUNCTION("""COMPUTED_VALUE"""),"MIni. প্ৰতি অৰ্ডাৰত qty")</f>
        <v>MIni. প্ৰতি অৰ্ডাৰত qty</v>
      </c>
      <c r="H559" s="2" t="str">
        <f>IFERROR(__xludf.DUMMYFUNCTION("""COMPUTED_VALUE"""),"મીની. ઓર્ડર દીઠ QTY")</f>
        <v>મીની. ઓર્ડર દીઠ QTY</v>
      </c>
      <c r="I559" s="2" t="str">
        <f>IFERROR(__xludf.DUMMYFUNCTION("""COMPUTED_VALUE"""),"मिनी. प्रति ऑर्डर qty")</f>
        <v>मिनी. प्रति ऑर्डर qty</v>
      </c>
      <c r="J559" s="2" t="str">
        <f>IFERROR(__xludf.DUMMYFUNCTION("""COMPUTED_VALUE"""),"മിനി. ഓരോ ഓർഡറിനും qty")</f>
        <v>മിനി. ഓരോ ഓർഡറിനും qty</v>
      </c>
      <c r="K559" s="2" t="str">
        <f>IFERROR(__xludf.DUMMYFUNCTION("""COMPUTED_VALUE"""),"ਮਿਨੀ. ਕਿ quy% ਪ੍ਰਤੀ ਆਰਡਰ")</f>
        <v>ਮਿਨੀ. ਕਿ quy% ਪ੍ਰਤੀ ਆਰਡਰ</v>
      </c>
      <c r="L559" s="2" t="str">
        <f>IFERROR(__xludf.DUMMYFUNCTION("""COMPUTED_VALUE"""),"மினி. ஒரு ஆர்டருக்கு qty")</f>
        <v>மினி. ஒரு ஆர்டருக்கு qty</v>
      </c>
      <c r="M559" s="2" t="str">
        <f>IFERROR(__xludf.DUMMYFUNCTION("""COMPUTED_VALUE"""),"మినీ. QTY ప్రతి ఆర్డర్‌కు")</f>
        <v>మినీ. QTY ప్రతి ఆర్డర్‌కు</v>
      </c>
    </row>
    <row r="560">
      <c r="A560" s="2" t="str">
        <f>Master_en!A560</f>
        <v>SaveAddress</v>
      </c>
      <c r="B560" s="2" t="str">
        <f>Master_en!B560</f>
        <v>Save Address</v>
      </c>
      <c r="C560" s="2" t="str">
        <f>IFERROR(__xludf.DUMMYFUNCTION("""COMPUTED_VALUE"""),"ঠিকানা সংরক্ষণ করুন")</f>
        <v>ঠিকানা সংরক্ষণ করুন</v>
      </c>
      <c r="D560" s="2" t="str">
        <f>IFERROR(__xludf.DUMMYFUNCTION("""COMPUTED_VALUE"""),"सहेजें पता")</f>
        <v>सहेजें पता</v>
      </c>
      <c r="E560" s="2" t="str">
        <f>IFERROR(__xludf.DUMMYFUNCTION("""COMPUTED_VALUE"""),"ವಿಳಾಸವನ್ನು ಉಳಿಸಿ")</f>
        <v>ವಿಳಾಸವನ್ನು ಉಳಿಸಿ</v>
      </c>
      <c r="F560" s="2" t="str">
        <f>IFERROR(__xludf.DUMMYFUNCTION("""COMPUTED_VALUE"""),"ଠିକଣା ସଞ୍ଚୟ କରନ୍ତୁ |")</f>
        <v>ଠିକଣା ସଞ୍ଚୟ କରନ୍ତୁ |</v>
      </c>
      <c r="G560" s="2" t="str">
        <f>IFERROR(__xludf.DUMMYFUNCTION("""COMPUTED_VALUE"""),"ঠিকনা সংৰক্ষণ কৰক")</f>
        <v>ঠিকনা সংৰক্ষণ কৰক</v>
      </c>
      <c r="H560" s="2" t="str">
        <f>IFERROR(__xludf.DUMMYFUNCTION("""COMPUTED_VALUE"""),"સરનામું સાચવો")</f>
        <v>સરનામું સાચવો</v>
      </c>
      <c r="I560" s="2" t="str">
        <f>IFERROR(__xludf.DUMMYFUNCTION("""COMPUTED_VALUE"""),"प्रति ऑर्डर किमान प्रमाण")</f>
        <v>प्रति ऑर्डर किमान प्रमाण</v>
      </c>
      <c r="J560" s="2" t="str">
        <f>IFERROR(__xludf.DUMMYFUNCTION("""COMPUTED_VALUE"""),"വിലാസം സംരക്ഷിക്കുക")</f>
        <v>വിലാസം സംരക്ഷിക്കുക</v>
      </c>
      <c r="K560" s="2" t="str">
        <f>IFERROR(__xludf.DUMMYFUNCTION("""COMPUTED_VALUE"""),"ਪਤਾ ਸੇਵ ਕਰੋ")</f>
        <v>ਪਤਾ ਸੇਵ ਕਰੋ</v>
      </c>
      <c r="L560" s="2" t="str">
        <f>IFERROR(__xludf.DUMMYFUNCTION("""COMPUTED_VALUE"""),"முகவரியைச் சேமிக்கவும்")</f>
        <v>முகவரியைச் சேமிக்கவும்</v>
      </c>
      <c r="M560" s="2" t="str">
        <f>IFERROR(__xludf.DUMMYFUNCTION("""COMPUTED_VALUE"""),"చిరునామాను సేవ్ చేయండి")</f>
        <v>చిరునామాను సేవ్ చేయండి</v>
      </c>
    </row>
    <row r="561">
      <c r="A561" s="2" t="str">
        <f>Master_en!A561</f>
        <v>PleaseSaveYourAddresss</v>
      </c>
      <c r="B561" s="2" t="str">
        <f>Master_en!B561</f>
        <v>Please Save Your Address</v>
      </c>
      <c r="C561" s="2" t="str">
        <f>IFERROR(__xludf.DUMMYFUNCTION("""COMPUTED_VALUE"""),"আপনার ঠিকানা সংরক্ষণ করুন")</f>
        <v>আপনার ঠিকানা সংরক্ষণ করুন</v>
      </c>
      <c r="D561" s="2" t="str">
        <f>IFERROR(__xludf.DUMMYFUNCTION("""COMPUTED_VALUE"""),"कृपया अपना पता सहेजें")</f>
        <v>कृपया अपना पता सहेजें</v>
      </c>
      <c r="E561" s="2" t="str">
        <f>IFERROR(__xludf.DUMMYFUNCTION("""COMPUTED_VALUE"""),"ದಯವಿಟ್ಟು ನಿಮ್ಮ ವಿಳಾಸವನ್ನು ಉಳಿಸಿ")</f>
        <v>ದಯವಿಟ್ಟು ನಿಮ್ಮ ವಿಳಾಸವನ್ನು ಉಳಿಸಿ</v>
      </c>
      <c r="F561" s="2" t="str">
        <f>IFERROR(__xludf.DUMMYFUNCTION("""COMPUTED_VALUE"""),"ଦୟାକରି ଆପଣଙ୍କର ଠିକଣା ସଞ୍ଚୟ କରନ୍ତୁ |")</f>
        <v>ଦୟାକରି ଆପଣଙ୍କର ଠିକଣା ସଞ୍ଚୟ କରନ୍ତୁ |</v>
      </c>
      <c r="G561" s="2" t="str">
        <f>IFERROR(__xludf.DUMMYFUNCTION("""COMPUTED_VALUE"""),"অনুগ্ৰহ কৰি আপোনাৰ ঠিকনাসমূহ সংৰক্ষণ কৰক")</f>
        <v>অনুগ্ৰহ কৰি আপোনাৰ ঠিকনাসমূহ সংৰক্ষণ কৰক</v>
      </c>
      <c r="H561" s="2" t="str">
        <f>IFERROR(__xludf.DUMMYFUNCTION("""COMPUTED_VALUE"""),"કૃપા કરીને તમારું સરનામું સાચવો")</f>
        <v>કૃપા કરીને તમારું સરનામું સાચવો</v>
      </c>
      <c r="I561" s="2" t="str">
        <f>IFERROR(__xludf.DUMMYFUNCTION("""COMPUTED_VALUE"""),"कृपया आपला पत्ता जतन करा")</f>
        <v>कृपया आपला पत्ता जतन करा</v>
      </c>
      <c r="J561" s="2" t="str">
        <f>IFERROR(__xludf.DUMMYFUNCTION("""COMPUTED_VALUE"""),"നിങ്ങളുടെ വിലാസം സംരക്ഷിക്കുക")</f>
        <v>നിങ്ങളുടെ വിലാസം സംരക്ഷിക്കുക</v>
      </c>
      <c r="K561" s="2" t="str">
        <f>IFERROR(__xludf.DUMMYFUNCTION("""COMPUTED_VALUE"""),"ਕਿਰਪਾ ਕਰਕੇ ਆਪਣਾ ਪਤਾ ਸੁਰੱਖਿਅਤ ਕਰੋ")</f>
        <v>ਕਿਰਪਾ ਕਰਕੇ ਆਪਣਾ ਪਤਾ ਸੁਰੱਖਿਅਤ ਕਰੋ</v>
      </c>
      <c r="L561" s="2" t="str">
        <f>IFERROR(__xludf.DUMMYFUNCTION("""COMPUTED_VALUE"""),"உங்கள் முகவரியைச் சேமிக்கவும்")</f>
        <v>உங்கள் முகவரியைச் சேமிக்கவும்</v>
      </c>
      <c r="M561" s="2" t="str">
        <f>IFERROR(__xludf.DUMMYFUNCTION("""COMPUTED_VALUE"""),"దయచేసి మీ చిరునామాను సేవ్ చేయండి")</f>
        <v>దయచేసి మీ చిరునామాను సేవ్ చేయండి</v>
      </c>
    </row>
    <row r="562">
      <c r="A562" s="2" t="str">
        <f>Master_en!A562</f>
        <v>yourUnsaved</v>
      </c>
      <c r="B562" s="2" t="str">
        <f>Master_en!B562</f>
        <v>Your unsaved</v>
      </c>
      <c r="C562" s="2" t="str">
        <f>IFERROR(__xludf.DUMMYFUNCTION("""COMPUTED_VALUE"""),"আপনার সংরক্ষিত")</f>
        <v>আপনার সংরক্ষিত</v>
      </c>
      <c r="D562" s="2" t="str">
        <f>IFERROR(__xludf.DUMMYFUNCTION("""COMPUTED_VALUE"""),"आपका अनसुना")</f>
        <v>आपका अनसुना</v>
      </c>
      <c r="E562" s="2" t="str">
        <f>IFERROR(__xludf.DUMMYFUNCTION("""COMPUTED_VALUE"""),"ನಿಮ್ಮ ಉಳಿಸದ")</f>
        <v>ನಿಮ್ಮ ಉಳಿಸದ</v>
      </c>
      <c r="F562" s="2" t="str">
        <f>IFERROR(__xludf.DUMMYFUNCTION("""COMPUTED_VALUE"""),"ତୁମର ବିବ୍ରତ")</f>
        <v>ତୁମର ବିବ୍ରତ</v>
      </c>
      <c r="G562" s="2" t="str">
        <f>IFERROR(__xludf.DUMMYFUNCTION("""COMPUTED_VALUE"""),"আপোনাৰ অসংৰক্ষিত")</f>
        <v>আপোনাৰ অসংৰক্ষিত</v>
      </c>
      <c r="H562" s="2" t="str">
        <f>IFERROR(__xludf.DUMMYFUNCTION("""COMPUTED_VALUE"""),"તમારા વણસાચ")</f>
        <v>તમારા વણસાચ</v>
      </c>
      <c r="I562" s="2" t="str">
        <f>IFERROR(__xludf.DUMMYFUNCTION("""COMPUTED_VALUE"""),"आपले जतन केलेले")</f>
        <v>आपले जतन केलेले</v>
      </c>
      <c r="J562" s="2" t="str">
        <f>IFERROR(__xludf.DUMMYFUNCTION("""COMPUTED_VALUE"""),"നിങ്ങൾ സംരക്ഷിക്കാത്തത്")</f>
        <v>നിങ്ങൾ സംരക്ഷിക്കാത്തത്</v>
      </c>
      <c r="K562" s="2" t="str">
        <f>IFERROR(__xludf.DUMMYFUNCTION("""COMPUTED_VALUE"""),"ਤੁਹਾਡੀ ਅਸੁਰੱਖਿਅਤ")</f>
        <v>ਤੁਹਾਡੀ ਅਸੁਰੱਖਿਅਤ</v>
      </c>
      <c r="L562" s="2" t="str">
        <f>IFERROR(__xludf.DUMMYFUNCTION("""COMPUTED_VALUE"""),"உங்களுடையது சேமிக்கப்படவில்லை")</f>
        <v>உங்களுடையது சேமிக்கப்படவில்லை</v>
      </c>
      <c r="M562" s="2" t="str">
        <f>IFERROR(__xludf.DUMMYFUNCTION("""COMPUTED_VALUE"""),"మీ సేవ్ చేయలేదు")</f>
        <v>మీ సేవ్ చేయలేదు</v>
      </c>
    </row>
    <row r="563">
      <c r="A563" s="2" t="str">
        <f>Master_en!A563</f>
        <v>detailsWill</v>
      </c>
      <c r="B563" s="2" t="str">
        <f>Master_en!B563</f>
        <v>details will</v>
      </c>
      <c r="C563" s="2" t="str">
        <f>IFERROR(__xludf.DUMMYFUNCTION("""COMPUTED_VALUE"""),"বিশদ হবে")</f>
        <v>বিশদ হবে</v>
      </c>
      <c r="D563" s="2" t="str">
        <f>IFERROR(__xludf.DUMMYFUNCTION("""COMPUTED_VALUE"""),"विवरण होगा")</f>
        <v>विवरण होगा</v>
      </c>
      <c r="E563" s="2" t="str">
        <f>IFERROR(__xludf.DUMMYFUNCTION("""COMPUTED_VALUE"""),"ವಿವರಗಳು ತಿನ್ನುವೆ")</f>
        <v>ವಿವರಗಳು ತಿನ್ನುವೆ</v>
      </c>
      <c r="F563" s="2" t="str">
        <f>IFERROR(__xludf.DUMMYFUNCTION("""COMPUTED_VALUE"""),"ବିବରଣୀ ହେବ")</f>
        <v>ବିବରଣୀ ହେବ</v>
      </c>
      <c r="G563" s="2" t="str">
        <f>IFERROR(__xludf.DUMMYFUNCTION("""COMPUTED_VALUE"""),"বিৱৰণ হ'ব")</f>
        <v>বিৱৰণ হ'ব</v>
      </c>
      <c r="H563" s="2" t="str">
        <f>IFERROR(__xludf.DUMMYFUNCTION("""COMPUTED_VALUE"""),"વિગતો હશે")</f>
        <v>વિગતો હશે</v>
      </c>
      <c r="I563" s="2" t="str">
        <f>IFERROR(__xludf.DUMMYFUNCTION("""COMPUTED_VALUE"""),"तुमचे जतन न केलेले")</f>
        <v>तुमचे जतन न केलेले</v>
      </c>
      <c r="J563" s="2" t="str">
        <f>IFERROR(__xludf.DUMMYFUNCTION("""COMPUTED_VALUE"""),"വിശദാംശങ്ങൾ ചെയ്യും")</f>
        <v>വിശദാംശങ്ങൾ ചെയ്യും</v>
      </c>
      <c r="K563" s="2" t="str">
        <f>IFERROR(__xludf.DUMMYFUNCTION("""COMPUTED_VALUE"""),"ਵੇਰਵਾ ਕਰੇਗਾ")</f>
        <v>ਵੇਰਵਾ ਕਰੇਗਾ</v>
      </c>
      <c r="L563" s="2" t="str">
        <f>IFERROR(__xludf.DUMMYFUNCTION("""COMPUTED_VALUE"""),"விவரங்கள்")</f>
        <v>விவரங்கள்</v>
      </c>
      <c r="M563" s="2" t="str">
        <f>IFERROR(__xludf.DUMMYFUNCTION("""COMPUTED_VALUE"""),"వివరాలు రెడీ")</f>
        <v>వివరాలు రెడీ</v>
      </c>
    </row>
    <row r="564">
      <c r="A564" s="2" t="str">
        <f>Master_en!A564</f>
        <v>beLost</v>
      </c>
      <c r="B564" s="2" t="str">
        <f>Master_en!B564</f>
        <v>be lost.</v>
      </c>
      <c r="C564" s="2" t="str">
        <f>IFERROR(__xludf.DUMMYFUNCTION("""COMPUTED_VALUE"""),"ঘুচা.")</f>
        <v>ঘুচা.</v>
      </c>
      <c r="D564" s="2" t="str">
        <f>IFERROR(__xludf.DUMMYFUNCTION("""COMPUTED_VALUE"""),"दफा हो जाओ।")</f>
        <v>दफा हो जाओ।</v>
      </c>
      <c r="E564" s="2" t="str">
        <f>IFERROR(__xludf.DUMMYFUNCTION("""COMPUTED_VALUE"""),"ಕಳೆದುಹೋಗುತ್ತದೆ.")</f>
        <v>ಕಳೆದುಹೋಗುತ್ತದೆ.</v>
      </c>
      <c r="F564" s="2" t="str">
        <f>IFERROR(__xludf.DUMMYFUNCTION("""COMPUTED_VALUE"""),"ହଜିଯାଅ")</f>
        <v>ହଜିଯାଅ</v>
      </c>
      <c r="G564" s="2" t="str">
        <f>IFERROR(__xludf.DUMMYFUNCTION("""COMPUTED_VALUE"""),"হেৰাই যাব।")</f>
        <v>হেৰাই যাব।</v>
      </c>
      <c r="H564" s="2" t="str">
        <f>IFERROR(__xludf.DUMMYFUNCTION("""COMPUTED_VALUE"""),"ખોવાઈ જાય છે.")</f>
        <v>ખોવાઈ જાય છે.</v>
      </c>
      <c r="I564" s="2" t="str">
        <f>IFERROR(__xludf.DUMMYFUNCTION("""COMPUTED_VALUE"""),"तपशील जातील")</f>
        <v>तपशील जातील</v>
      </c>
      <c r="J564" s="2" t="str">
        <f>IFERROR(__xludf.DUMMYFUNCTION("""COMPUTED_VALUE"""),"നഷ്ടപ്പെടും.")</f>
        <v>നഷ്ടപ്പെടും.</v>
      </c>
      <c r="K564" s="2" t="str">
        <f>IFERROR(__xludf.DUMMYFUNCTION("""COMPUTED_VALUE"""),"ਗੁੰਮ ਜਾਓ.")</f>
        <v>ਗੁੰਮ ਜਾਓ.</v>
      </c>
      <c r="L564" s="2" t="str">
        <f>IFERROR(__xludf.DUMMYFUNCTION("""COMPUTED_VALUE"""),"தொலைந்து போ.")</f>
        <v>தொலைந்து போ.</v>
      </c>
      <c r="M564" s="2" t="str">
        <f>IFERROR(__xludf.DUMMYFUNCTION("""COMPUTED_VALUE"""),"కోల్పోతారు.")</f>
        <v>కోల్పోతారు.</v>
      </c>
    </row>
    <row r="565">
      <c r="A565" s="2" t="str">
        <f>Master_en!A565</f>
        <v>saveChanges</v>
      </c>
      <c r="B565" s="2" t="str">
        <f>Master_en!B565</f>
        <v>Save changes</v>
      </c>
      <c r="C565" s="2" t="str">
        <f>IFERROR(__xludf.DUMMYFUNCTION("""COMPUTED_VALUE"""),"পরিবর্তনগুলোর সংরক্ষন")</f>
        <v>পরিবর্তনগুলোর সংরক্ষন</v>
      </c>
      <c r="D565" s="2" t="str">
        <f>IFERROR(__xludf.DUMMYFUNCTION("""COMPUTED_VALUE"""),"परिवर्तनों को सुरक्षित करें")</f>
        <v>परिवर्तनों को सुरक्षित करें</v>
      </c>
      <c r="E565" s="2" t="str">
        <f>IFERROR(__xludf.DUMMYFUNCTION("""COMPUTED_VALUE"""),"ಆಧಾರಗಳ ಹಿನ್ನೆಲೆ")</f>
        <v>ಆಧಾರಗಳ ಹಿನ್ನೆಲೆ</v>
      </c>
      <c r="F565" s="2" t="str">
        <f>IFERROR(__xludf.DUMMYFUNCTION("""COMPUTED_VALUE"""),"ପରିବର୍ତ୍ତନଗୁଡିକ ସଞ୍ଚୟ କରନ୍ତୁ |")</f>
        <v>ପରିବର୍ତ୍ତନଗୁଡିକ ସଞ୍ଚୟ କରନ୍ତୁ |</v>
      </c>
      <c r="G565" s="2" t="str">
        <f>IFERROR(__xludf.DUMMYFUNCTION("""COMPUTED_VALUE"""),"পৰিবৰ্তনসমূহ সংৰক্ষণ কৰক")</f>
        <v>পৰিবৰ্তনসমূহ সংৰক্ষণ কৰক</v>
      </c>
      <c r="H565" s="2" t="str">
        <f>IFERROR(__xludf.DUMMYFUNCTION("""COMPUTED_VALUE"""),"ફેરફારો સંગ્રહ")</f>
        <v>ફેરફારો સંગ્રહ</v>
      </c>
      <c r="I565" s="2" t="str">
        <f>IFERROR(__xludf.DUMMYFUNCTION("""COMPUTED_VALUE"""),"बदल जतन करा")</f>
        <v>बदल जतन करा</v>
      </c>
      <c r="J565" s="2" t="str">
        <f>IFERROR(__xludf.DUMMYFUNCTION("""COMPUTED_VALUE"""),"മാറ്റങ്ങൾ സൂക്ഷിക്കുക")</f>
        <v>മാറ്റങ്ങൾ സൂക്ഷിക്കുക</v>
      </c>
      <c r="K565" s="2" t="str">
        <f>IFERROR(__xludf.DUMMYFUNCTION("""COMPUTED_VALUE"""),"ਕੀਤੇ ਗਏ ਬਦਲਾਅ ਸੁਰੱਖਿਅਤ ਕਰੋ")</f>
        <v>ਕੀਤੇ ਗਏ ਬਦਲਾਅ ਸੁਰੱਖਿਅਤ ਕਰੋ</v>
      </c>
      <c r="L565" s="2" t="str">
        <f>IFERROR(__xludf.DUMMYFUNCTION("""COMPUTED_VALUE"""),"மாற்றங்களை சேமியுங்கள்")</f>
        <v>மாற்றங்களை சேமியுங்கள்</v>
      </c>
      <c r="M565" s="2" t="str">
        <f>IFERROR(__xludf.DUMMYFUNCTION("""COMPUTED_VALUE"""),"మార్పులను ఊంచు")</f>
        <v>మార్పులను ఊంచు</v>
      </c>
    </row>
    <row r="566">
      <c r="A566" s="2" t="str">
        <f>Master_en!A566</f>
        <v>beforeClosing</v>
      </c>
      <c r="B566" s="2" t="str">
        <f>Master_en!B566</f>
        <v>before closing</v>
      </c>
      <c r="C566" s="2" t="str">
        <f>IFERROR(__xludf.DUMMYFUNCTION("""COMPUTED_VALUE"""),"বন্ধ হওয়ার আগে")</f>
        <v>বন্ধ হওয়ার আগে</v>
      </c>
      <c r="D566" s="2" t="str">
        <f>IFERROR(__xludf.DUMMYFUNCTION("""COMPUTED_VALUE"""),"बंद होने से पहले")</f>
        <v>बंद होने से पहले</v>
      </c>
      <c r="E566" s="2" t="str">
        <f>IFERROR(__xludf.DUMMYFUNCTION("""COMPUTED_VALUE"""),"ಕಳೆದುಹೋಗಬಹುದು")</f>
        <v>ಕಳೆದುಹೋಗಬಹುದು</v>
      </c>
      <c r="F566" s="2" t="str">
        <f>IFERROR(__xludf.DUMMYFUNCTION("""COMPUTED_VALUE"""),"ବନ୍ଦ କରିବା ପୂର୍ବରୁ")</f>
        <v>ବନ୍ଦ କରିବା ପୂର୍ବରୁ</v>
      </c>
      <c r="G566" s="2" t="str">
        <f>IFERROR(__xludf.DUMMYFUNCTION("""COMPUTED_VALUE"""),"বন্ধ কৰাৰ আগতে")</f>
        <v>বন্ধ কৰাৰ আগতে</v>
      </c>
      <c r="H566" s="2" t="str">
        <f>IFERROR(__xludf.DUMMYFUNCTION("""COMPUTED_VALUE"""),"બંધ કરતા પહેલા")</f>
        <v>બંધ કરતા પહેલા</v>
      </c>
      <c r="I566" s="2" t="str">
        <f>IFERROR(__xludf.DUMMYFUNCTION("""COMPUTED_VALUE"""),"बंद करण्यापूर्वी")</f>
        <v>बंद करण्यापूर्वी</v>
      </c>
      <c r="J566" s="2" t="str">
        <f>IFERROR(__xludf.DUMMYFUNCTION("""COMPUTED_VALUE"""),"അടയ്ക്കുന്നതിന് മുമ്പ്")</f>
        <v>അടയ്ക്കുന്നതിന് മുമ്പ്</v>
      </c>
      <c r="K566" s="2" t="str">
        <f>IFERROR(__xludf.DUMMYFUNCTION("""COMPUTED_VALUE"""),"ਬੰਦ ਕਰਨ ਤੋਂ ਪਹਿਲਾਂ")</f>
        <v>ਬੰਦ ਕਰਨ ਤੋਂ ਪਹਿਲਾਂ</v>
      </c>
      <c r="L566" s="2" t="str">
        <f>IFERROR(__xludf.DUMMYFUNCTION("""COMPUTED_VALUE"""),"மூடுவதற்கு முன்")</f>
        <v>மூடுவதற்கு முன்</v>
      </c>
      <c r="M566" s="2" t="str">
        <f>IFERROR(__xludf.DUMMYFUNCTION("""COMPUTED_VALUE"""),"మూసివేసే ముందు")</f>
        <v>మూసివేసే ముందు</v>
      </c>
    </row>
    <row r="567">
      <c r="A567" s="2" t="str">
        <f>Master_en!A567</f>
        <v>wouldYouLike</v>
      </c>
      <c r="B567" s="2" t="str">
        <f>Master_en!B567</f>
        <v>Would you like</v>
      </c>
      <c r="C567" s="2" t="str">
        <f>IFERROR(__xludf.DUMMYFUNCTION("""COMPUTED_VALUE"""),"আপনি কি")</f>
        <v>আপনি কি</v>
      </c>
      <c r="D567" s="2" t="str">
        <f>IFERROR(__xludf.DUMMYFUNCTION("""COMPUTED_VALUE"""),"क्या आप एक चाहेंगे")</f>
        <v>क्या आप एक चाहेंगे</v>
      </c>
      <c r="E567" s="2" t="str">
        <f>IFERROR(__xludf.DUMMYFUNCTION("""COMPUTED_VALUE"""),"ನೀವು ಬಯಸುವಿರಾ")</f>
        <v>ನೀವು ಬಯಸುವಿರಾ</v>
      </c>
      <c r="F567" s="2" t="str">
        <f>IFERROR(__xludf.DUMMYFUNCTION("""COMPUTED_VALUE"""),"ଆପଣ ପସନ୍ଦ କରିବେକି")</f>
        <v>ଆପଣ ପସନ୍ଦ କରିବେକି</v>
      </c>
      <c r="G567" s="2" t="str">
        <f>IFERROR(__xludf.DUMMYFUNCTION("""COMPUTED_VALUE"""),"আপুনি বিচাৰিবনে")</f>
        <v>আপুনি বিচাৰিবনে</v>
      </c>
      <c r="H567" s="2" t="str">
        <f>IFERROR(__xludf.DUMMYFUNCTION("""COMPUTED_VALUE"""),"તમને ગમશે")</f>
        <v>તમને ગમશે</v>
      </c>
      <c r="I567" s="2" t="str">
        <f>IFERROR(__xludf.DUMMYFUNCTION("""COMPUTED_VALUE"""),"तुला आवडेल का")</f>
        <v>तुला आवडेल का</v>
      </c>
      <c r="J567" s="2" t="str">
        <f>IFERROR(__xludf.DUMMYFUNCTION("""COMPUTED_VALUE"""),"നിനക്ക് വേണം")</f>
        <v>നിനക്ക് വേണം</v>
      </c>
      <c r="K567" s="2" t="str">
        <f>IFERROR(__xludf.DUMMYFUNCTION("""COMPUTED_VALUE"""),"ਕੀ ਤੁਸੀਂ ਪਸੰਦ ਕਰੋਗੇ")</f>
        <v>ਕੀ ਤੁਸੀਂ ਪਸੰਦ ਕਰੋਗੇ</v>
      </c>
      <c r="L567" s="2" t="str">
        <f>IFERROR(__xludf.DUMMYFUNCTION("""COMPUTED_VALUE"""),"நீங்கள் விரும்புகிறீர்களா?")</f>
        <v>நீங்கள் விரும்புகிறீர்களா?</v>
      </c>
      <c r="M567" s="2" t="str">
        <f>IFERROR(__xludf.DUMMYFUNCTION("""COMPUTED_VALUE"""),"మీరు కావాలనుకుంటున్నారా")</f>
        <v>మీరు కావాలనుకుంటున్నారా</v>
      </c>
    </row>
    <row r="568">
      <c r="A568" s="2" t="str">
        <f>Master_en!A568</f>
        <v>toMoveTo</v>
      </c>
      <c r="B568" s="2" t="str">
        <f>Master_en!B568</f>
        <v>to move to</v>
      </c>
      <c r="C568" s="2" t="str">
        <f>IFERROR(__xludf.DUMMYFUNCTION("""COMPUTED_VALUE"""),"সরাতে")</f>
        <v>সরাতে</v>
      </c>
      <c r="D568" s="2" t="str">
        <f>IFERROR(__xludf.DUMMYFUNCTION("""COMPUTED_VALUE"""),"को स्थानांतरित करने के लिए")</f>
        <v>को स्थानांतरित करने के लिए</v>
      </c>
      <c r="E568" s="2" t="str">
        <f>IFERROR(__xludf.DUMMYFUNCTION("""COMPUTED_VALUE"""),"ಗೆ ಹೋಗಲು")</f>
        <v>ಗೆ ಹೋಗಲು</v>
      </c>
      <c r="F568" s="2" t="str">
        <f>IFERROR(__xludf.DUMMYFUNCTION("""COMPUTED_VALUE"""),"କୁ ଯିବା ପାଇଁ")</f>
        <v>କୁ ଯିବା ପାଇଁ</v>
      </c>
      <c r="G568" s="2" t="str">
        <f>IFERROR(__xludf.DUMMYFUNCTION("""COMPUTED_VALUE"""),"to move to")</f>
        <v>to move to</v>
      </c>
      <c r="H568" s="2" t="str">
        <f>IFERROR(__xludf.DUMMYFUNCTION("""COMPUTED_VALUE"""),"આગળ વધવું")</f>
        <v>આગળ વધવું</v>
      </c>
      <c r="I568" s="2" t="str">
        <f>IFERROR(__xludf.DUMMYFUNCTION("""COMPUTED_VALUE"""),"तुम्हाला आवडेल का")</f>
        <v>तुम्हाला आवडेल का</v>
      </c>
      <c r="J568" s="2" t="str">
        <f>IFERROR(__xludf.DUMMYFUNCTION("""COMPUTED_VALUE"""),"നീങ്ങാൻ")</f>
        <v>നീങ്ങാൻ</v>
      </c>
      <c r="K568" s="2" t="str">
        <f>IFERROR(__xludf.DUMMYFUNCTION("""COMPUTED_VALUE"""),"ਕਰਨ ਲਈ")</f>
        <v>ਕਰਨ ਲਈ</v>
      </c>
      <c r="L568" s="2" t="str">
        <f>IFERROR(__xludf.DUMMYFUNCTION("""COMPUTED_VALUE"""),"செல்ல")</f>
        <v>செல்ல</v>
      </c>
      <c r="M568" s="2" t="str">
        <f>IFERROR(__xludf.DUMMYFUNCTION("""COMPUTED_VALUE"""),"వెళ్ళడానికి")</f>
        <v>వెళ్ళడానికి</v>
      </c>
    </row>
    <row r="569">
      <c r="A569" s="2" t="str">
        <f>Master_en!A569</f>
        <v>Locationisneededfortheapptoworkproperly,kindlygotosettingsandprovidelocationpermissiontoapp.</v>
      </c>
      <c r="B569" s="2" t="str">
        <f>Master_en!B569</f>
        <v>Location is needed for the app to work properly, kindly go to settings and provide location permission to app.</v>
      </c>
      <c r="C569" s="2" t="str">
        <f>IFERROR(__xludf.DUMMYFUNCTION("""COMPUTED_VALUE"""),"অ্যাপ্লিকেশনটি সঠিকভাবে কাজ করার জন্য অবস্থান প্রয়োজন, দয়া করে সেটিংসে যান এবং অ্যাপটিতে অবস্থানের অনুমতি সরবরাহ করুন।")</f>
        <v>অ্যাপ্লিকেশনটি সঠিকভাবে কাজ করার জন্য অবস্থান প্রয়োজন, দয়া করে সেটিংসে যান এবং অ্যাপটিতে অবস্থানের অনুমতি সরবরাহ করুন।</v>
      </c>
      <c r="D569" s="2" t="str">
        <f>IFERROR(__xludf.DUMMYFUNCTION("""COMPUTED_VALUE"""),"ऐप को ठीक से काम करने के लिए स्थान की आवश्यकता होती है, कृपया सेटिंग्स पर जाएं और ऐप को स्थान की अनुमति प्रदान करें।")</f>
        <v>ऐप को ठीक से काम करने के लिए स्थान की आवश्यकता होती है, कृपया सेटिंग्स पर जाएं और ऐप को स्थान की अनुमति प्रदान करें।</v>
      </c>
      <c r="E569" s="2" t="str">
        <f>IFERROR(__xludf.DUMMYFUNCTION("""COMPUTED_VALUE"""),"ಅಪ್ಲಿಕೇಶನ್ ಸರಿಯಾಗಿ ಕಾರ್ಯನಿರ್ವಹಿಸಲು, ದಯೆಯಿಂದ ಸೆಟ್ಟಿಂಗ್‌ಗಳಿಗೆ ಹೋಗಿ ಮತ್ತು ಅಪ್ಲಿಕೇಶನ್‌ಗೆ ಸ್ಥಳ ಅನುಮತಿಯನ್ನು ಒದಗಿಸಲು ಸ್ಥಳದ ಅಗತ್ಯವಿದೆ.")</f>
        <v>ಅಪ್ಲಿಕೇಶನ್ ಸರಿಯಾಗಿ ಕಾರ್ಯನಿರ್ವಹಿಸಲು, ದಯೆಯಿಂದ ಸೆಟ್ಟಿಂಗ್‌ಗಳಿಗೆ ಹೋಗಿ ಮತ್ತು ಅಪ್ಲಿಕೇಶನ್‌ಗೆ ಸ್ಥಳ ಅನುಮತಿಯನ್ನು ಒದಗಿಸಲು ಸ್ಥಳದ ಅಗತ್ಯವಿದೆ.</v>
      </c>
      <c r="F569" s="2" t="str">
        <f>IFERROR(__xludf.DUMMYFUNCTION("""COMPUTED_VALUE"""),"ଆପ୍ ସଠିକ୍ ଭାବରେ କାର୍ଯ୍ୟ କରିବାକୁ ସ୍ଥାନ ଆବଶ୍ୟକ, ଦୟାକରି ଆପରୁ ସ୍ଥାନ ଅନୁମତି ପ୍ରଦାନ କରନ୍ତୁ ଏବଂ ବ୍ୟବହାର ଅନୁମତି ପ୍ରଦାନ କରନ୍ତୁ |")</f>
        <v>ଆପ୍ ସଠିକ୍ ଭାବରେ କାର୍ଯ୍ୟ କରିବାକୁ ସ୍ଥାନ ଆବଶ୍ୟକ, ଦୟାକରି ଆପରୁ ସ୍ଥାନ ଅନୁମତି ପ୍ରଦାନ କରନ୍ତୁ ଏବଂ ବ୍ୟବହାର ଅନୁମତି ପ୍ରଦାନ କରନ୍ତୁ |</v>
      </c>
      <c r="G569" s="2" t="str">
        <f>IFERROR(__xludf.DUMMYFUNCTION("""COMPUTED_VALUE"""),"এপটোৱে সঠিকভাৱে কাম কৰিবলৈ স্থানৰ প্ৰয়োজন, অনুগ্ৰহ কৰি ছেটিংছলৈ যাওক আৰু এপটোক স্থানৰ অনুমতি দিয়ক।")</f>
        <v>এপটোৱে সঠিকভাৱে কাম কৰিবলৈ স্থানৰ প্ৰয়োজন, অনুগ্ৰহ কৰি ছেটিংছলৈ যাওক আৰু এপটোক স্থানৰ অনুমতি দিয়ক।</v>
      </c>
      <c r="H569" s="2" t="str">
        <f>IFERROR(__xludf.DUMMYFUNCTION("""COMPUTED_VALUE"""),"એપ્લિકેશનને યોગ્ય રીતે કાર્ય કરવા માટે, માયાળુ સેટિંગ્સ પર જાઓ અને એપ્લિકેશનને સ્થાન પરવાનગી પ્રદાન કરવા માટે સ્થાનની જરૂર છે.")</f>
        <v>એપ્લિકેશનને યોગ્ય રીતે કાર્ય કરવા માટે, માયાળુ સેટિંગ્સ પર જાઓ અને એપ્લિકેશનને સ્થાન પરવાનગી પ્રદાન કરવા માટે સ્થાનની જરૂર છે.</v>
      </c>
      <c r="I569" s="2" t="str">
        <f>IFERROR(__xludf.DUMMYFUNCTION("""COMPUTED_VALUE"""),"येथे जाण्यासाठी")</f>
        <v>येथे जाण्यासाठी</v>
      </c>
      <c r="J569" s="2" t="str">
        <f>IFERROR(__xludf.DUMMYFUNCTION("""COMPUTED_VALUE"""),"അപ്ലിക്കേഷന് ശരിയായി പ്രവർത്തിക്കുന്നതിന്, ക്രമീകരണങ്ങളിലേക്ക് പോയി അപ്ലിക്കേഷനിലേക്ക് ലൊക്കേഷൻ അനുമതി നൽകുക.")</f>
        <v>അപ്ലിക്കേഷന് ശരിയായി പ്രവർത്തിക്കുന്നതിന്, ക്രമീകരണങ്ങളിലേക്ക് പോയി അപ്ലിക്കേഷനിലേക്ക് ലൊക്കേഷൻ അനുമതി നൽകുക.</v>
      </c>
      <c r="K569" s="2" t="str">
        <f>IFERROR(__xludf.DUMMYFUNCTION("""COMPUTED_VALUE"""),"ਐਪ ਨੂੰ ਸਹੀ ਤਰ੍ਹਾਂ ਕੰਮ ਕਰਨ ਲਈ ਐਪ ਲਈ ਸਥਾਨ ਦੀ ਜ਼ਰੂਰਤ ਹੈ, ਕਿਰਪਾ ਕਰਕੇ ਸੈਟਿੰਗਾਂ ਤੇ ਜਾਓ ਅਤੇ ਐਪ ਨੂੰ ਸਥਾਨ ਦੀ ਇਜਾਜ਼ਤ ਪ੍ਰਦਾਨ ਕਰੋ.")</f>
        <v>ਐਪ ਨੂੰ ਸਹੀ ਤਰ੍ਹਾਂ ਕੰਮ ਕਰਨ ਲਈ ਐਪ ਲਈ ਸਥਾਨ ਦੀ ਜ਼ਰੂਰਤ ਹੈ, ਕਿਰਪਾ ਕਰਕੇ ਸੈਟਿੰਗਾਂ ਤੇ ਜਾਓ ਅਤੇ ਐਪ ਨੂੰ ਸਥਾਨ ਦੀ ਇਜਾਜ਼ਤ ਪ੍ਰਦਾਨ ਕਰੋ.</v>
      </c>
      <c r="L569" s="2" t="str">
        <f>IFERROR(__xludf.DUMMYFUNCTION("""COMPUTED_VALUE"""),"ஆப்ஸ் சரியாக வேலை செய்வதற்கு இருப்பிடம் தேவை, தயவுசெய்து அமைப்புகளுக்குச் சென்று பயன்பாட்டிற்கு இருப்பிட அனுமதியை வழங்கவும்.")</f>
        <v>ஆப்ஸ் சரியாக வேலை செய்வதற்கு இருப்பிடம் தேவை, தயவுசெய்து அமைப்புகளுக்குச் சென்று பயன்பாட்டிற்கு இருப்பிட அனுமதியை வழங்கவும்.</v>
      </c>
      <c r="M569" s="2" t="str">
        <f>IFERROR(__xludf.DUMMYFUNCTION("""COMPUTED_VALUE"""),"అనువర్తనం సరిగ్గా పనిచేయడానికి స్థానం అవసరం, దయచేసి సెట్టింగ్‌లకు వెళ్లి అనువర్తనానికి స్థాన అనుమతిని అందించండి.")</f>
        <v>అనువర్తనం సరిగ్గా పనిచేయడానికి స్థానం అవసరం, దయచేసి సెట్టింగ్‌లకు వెళ్లి అనువర్తనానికి స్థాన అనుమతిని అందించండి.</v>
      </c>
    </row>
    <row r="570">
      <c r="A570" s="2" t="str">
        <f>Master_en!A570</f>
        <v>areYouSure</v>
      </c>
      <c r="B570" s="2" t="str">
        <f>Master_en!B570</f>
        <v>Are you sure ?</v>
      </c>
      <c r="C570" s="2" t="str">
        <f>IFERROR(__xludf.DUMMYFUNCTION("""COMPUTED_VALUE"""),"তুমি কি নিশ্চিত ?")</f>
        <v>তুমি কি নিশ্চিত ?</v>
      </c>
      <c r="D570" s="2" t="str">
        <f>IFERROR(__xludf.DUMMYFUNCTION("""COMPUTED_VALUE"""),"क्या आपको यकीन है ?")</f>
        <v>क्या आपको यकीन है ?</v>
      </c>
      <c r="E570" s="2" t="str">
        <f>IFERROR(__xludf.DUMMYFUNCTION("""COMPUTED_VALUE"""),"ನೀವು ಖಚಿತವಾಗಿರುವಿರಾ ?")</f>
        <v>ನೀವು ಖಚಿತವಾಗಿರುವಿರಾ ?</v>
      </c>
      <c r="F570" s="2" t="str">
        <f>IFERROR(__xludf.DUMMYFUNCTION("""COMPUTED_VALUE"""),"ତମେ ନିଶ୍ଚିତ କି ?")</f>
        <v>ତମେ ନିଶ୍ଚିତ କି ?</v>
      </c>
      <c r="G570" s="2" t="str">
        <f>IFERROR(__xludf.DUMMYFUNCTION("""COMPUTED_VALUE"""),"আপুনি নিশ্চিত নেকি ?")</f>
        <v>আপুনি নিশ্চিত নেকি ?</v>
      </c>
      <c r="H570" s="2" t="str">
        <f>IFERROR(__xludf.DUMMYFUNCTION("""COMPUTED_VALUE"""),"તમને ખાતરી છે?")</f>
        <v>તમને ખાતરી છે?</v>
      </c>
      <c r="I570" s="2" t="str">
        <f>IFERROR(__xludf.DUMMYFUNCTION("""COMPUTED_VALUE"""),"तुला खात्री आहे ?")</f>
        <v>तुला खात्री आहे ?</v>
      </c>
      <c r="J570" s="2" t="str">
        <f>IFERROR(__xludf.DUMMYFUNCTION("""COMPUTED_VALUE"""),"നിങ്ങൾക്ക് ഉറപ്പാണോ ?")</f>
        <v>നിങ്ങൾക്ക് ഉറപ്പാണോ ?</v>
      </c>
      <c r="K570" s="2" t="str">
        <f>IFERROR(__xludf.DUMMYFUNCTION("""COMPUTED_VALUE"""),"ਤੁਹਾਨੂੰ ਪੂਰਾ ਵਿਸ਼ਵਾਸ ਹੈ ?")</f>
        <v>ਤੁਹਾਨੂੰ ਪੂਰਾ ਵਿਸ਼ਵਾਸ ਹੈ ?</v>
      </c>
      <c r="L570" s="2" t="str">
        <f>IFERROR(__xludf.DUMMYFUNCTION("""COMPUTED_VALUE"""),"நீ சொல்வது உறுதியா ?")</f>
        <v>நீ சொல்வது உறுதியா ?</v>
      </c>
      <c r="M570" s="2" t="str">
        <f>IFERROR(__xludf.DUMMYFUNCTION("""COMPUTED_VALUE"""),"మీరు చెప్పేది నిజమా ?")</f>
        <v>మీరు చెప్పేది నిజమా ?</v>
      </c>
    </row>
    <row r="571">
      <c r="A571" s="2" t="str">
        <f>Master_en!A571</f>
        <v>doYouWant</v>
      </c>
      <c r="B571" s="2" t="str">
        <f>Master_en!B571</f>
        <v>Do you want</v>
      </c>
      <c r="C571" s="2" t="str">
        <f>IFERROR(__xludf.DUMMYFUNCTION("""COMPUTED_VALUE"""),"তুমি কি চাও")</f>
        <v>তুমি কি চাও</v>
      </c>
      <c r="D571" s="2" t="str">
        <f>IFERROR(__xludf.DUMMYFUNCTION("""COMPUTED_VALUE"""),"क्या तुम चाहते हो")</f>
        <v>क्या तुम चाहते हो</v>
      </c>
      <c r="E571" s="2" t="str">
        <f>IFERROR(__xludf.DUMMYFUNCTION("""COMPUTED_VALUE"""),"ನಿನಗೆ ಬೇಕಾ")</f>
        <v>ನಿನಗೆ ಬೇಕಾ</v>
      </c>
      <c r="F571" s="2" t="str">
        <f>IFERROR(__xludf.DUMMYFUNCTION("""COMPUTED_VALUE"""),"ଆପଣଙ୍କୁ ଦରକାର କି")</f>
        <v>ଆପଣଙ୍କୁ ଦରକାର କି</v>
      </c>
      <c r="G571" s="2" t="str">
        <f>IFERROR(__xludf.DUMMYFUNCTION("""COMPUTED_VALUE"""),"বিচাৰে নেকি")</f>
        <v>বিচাৰে নেকি</v>
      </c>
      <c r="H571" s="2" t="str">
        <f>IFERROR(__xludf.DUMMYFUNCTION("""COMPUTED_VALUE"""),"તમે માંગો છો")</f>
        <v>તમે માંગો છો</v>
      </c>
      <c r="I571" s="2" t="str">
        <f>IFERROR(__xludf.DUMMYFUNCTION("""COMPUTED_VALUE"""),"तुम्हाला खात्री आहे?")</f>
        <v>तुम्हाला खात्री आहे?</v>
      </c>
      <c r="J571" s="2" t="str">
        <f>IFERROR(__xludf.DUMMYFUNCTION("""COMPUTED_VALUE"""),"നിനക്കാവശ്യമുണ്ടോ")</f>
        <v>നിനക്കാവശ്യമുണ്ടോ</v>
      </c>
      <c r="K571" s="2" t="str">
        <f>IFERROR(__xludf.DUMMYFUNCTION("""COMPUTED_VALUE"""),"ਤੁਹਾਨੂੰ ਚਾਹੁੰਦਾ ਹੈ")</f>
        <v>ਤੁਹਾਨੂੰ ਚਾਹੁੰਦਾ ਹੈ</v>
      </c>
      <c r="L571" s="2" t="str">
        <f>IFERROR(__xludf.DUMMYFUNCTION("""COMPUTED_VALUE"""),"உங்களுக்கு வேண்டுமா?")</f>
        <v>உங்களுக்கு வேண்டுமா?</v>
      </c>
      <c r="M571" s="2" t="str">
        <f>IFERROR(__xludf.DUMMYFUNCTION("""COMPUTED_VALUE"""),"మీకు కావాలా")</f>
        <v>మీకు కావాలా</v>
      </c>
    </row>
    <row r="572">
      <c r="A572" s="2" t="str">
        <f>Master_en!A572</f>
        <v>max.qtyperorder</v>
      </c>
      <c r="B572" s="2" t="str">
        <f>Master_en!B572</f>
        <v>Max. qty per Order </v>
      </c>
      <c r="C572" s="2" t="str">
        <f>IFERROR(__xludf.DUMMYFUNCTION("""COMPUTED_VALUE"""),"সর্বোচ্চ অর্ডার প্রতি কিটি")</f>
        <v>সর্বোচ্চ অর্ডার প্রতি কিটি</v>
      </c>
      <c r="D572" s="2" t="str">
        <f>IFERROR(__xludf.DUMMYFUNCTION("""COMPUTED_VALUE"""),"अधिकतम। प्रति आदेश qty")</f>
        <v>अधिकतम। प्रति आदेश qty</v>
      </c>
      <c r="E572" s="2" t="str">
        <f>IFERROR(__xludf.DUMMYFUNCTION("""COMPUTED_VALUE"""),"ಗರಿಷ್ಠ. ಪ್ರತಿ ಆದೇಶಕ್ಕೆ qty")</f>
        <v>ಗರಿಷ್ಠ. ಪ್ರತಿ ಆದೇಶಕ್ಕೆ qty</v>
      </c>
      <c r="F572" s="2" t="str">
        <f>IFERROR(__xludf.DUMMYFUNCTION("""COMPUTED_VALUE"""),"ସର୍ବାଧିକ qty କ୍ରମ")</f>
        <v>ସର୍ବାଧିକ qty କ୍ରମ</v>
      </c>
      <c r="G572" s="2" t="str">
        <f>IFERROR(__xludf.DUMMYFUNCTION("""COMPUTED_VALUE"""),"সৰ্বোচ্চ। প্ৰতি অৰ্ডাৰত qty")</f>
        <v>সৰ্বোচ্চ। প্ৰতি অৰ্ডাৰত qty</v>
      </c>
      <c r="H572" s="2" t="str">
        <f>IFERROR(__xludf.DUMMYFUNCTION("""COMPUTED_VALUE"""),"મહત્તમ. ઓર્ડર દીઠ QTY")</f>
        <v>મહત્તમ. ઓર્ડર દીઠ QTY</v>
      </c>
      <c r="I572" s="2" t="str">
        <f>IFERROR(__xludf.DUMMYFUNCTION("""COMPUTED_VALUE"""),"तुम्हाला पाहिजे आहे का?")</f>
        <v>तुम्हाला पाहिजे आहे का?</v>
      </c>
      <c r="J572" s="2" t="str">
        <f>IFERROR(__xludf.DUMMYFUNCTION("""COMPUTED_VALUE"""),"പരമാവധി. ഓരോ ഓർഡറിനും qty")</f>
        <v>പരമാവധി. ഓരോ ഓർഡറിനും qty</v>
      </c>
      <c r="K572" s="2" t="str">
        <f>IFERROR(__xludf.DUMMYFUNCTION("""COMPUTED_VALUE"""),"ਅਧਿਕਤਮ ਕਿ quy% ਪ੍ਰਤੀ ਆਰਡਰ")</f>
        <v>ਅਧਿਕਤਮ ਕਿ quy% ਪ੍ਰਤੀ ਆਰਡਰ</v>
      </c>
      <c r="L572" s="2" t="str">
        <f>IFERROR(__xludf.DUMMYFUNCTION("""COMPUTED_VALUE"""),"அதிகபட்சம். ஒரு ஆர்டருக்கு qty")</f>
        <v>அதிகபட்சம். ஒரு ஆர்டருக்கு qty</v>
      </c>
      <c r="M572" s="2" t="str">
        <f>IFERROR(__xludf.DUMMYFUNCTION("""COMPUTED_VALUE"""),"గరిష్టంగా. QTY ప్రతి ఆర్డర్‌కు")</f>
        <v>గరిష్టంగా. QTY ప్రతి ఆర్డర్‌కు</v>
      </c>
    </row>
    <row r="573">
      <c r="A573" s="2" t="str">
        <f>Master_en!A573</f>
        <v>rambutanIs</v>
      </c>
      <c r="B573" s="2" t="str">
        <f>Master_en!B573</f>
        <v>Rambutan is</v>
      </c>
      <c r="C573" s="2" t="str">
        <f>IFERROR(__xludf.DUMMYFUNCTION("""COMPUTED_VALUE"""),"রামবুটান হয়")</f>
        <v>রামবুটান হয়</v>
      </c>
      <c r="D573" s="2" t="str">
        <f>IFERROR(__xludf.DUMMYFUNCTION("""COMPUTED_VALUE"""),"रामबुटन है")</f>
        <v>रामबुटन है</v>
      </c>
      <c r="E573" s="2" t="str">
        <f>IFERROR(__xludf.DUMMYFUNCTION("""COMPUTED_VALUE"""),"ನಿಮಗೇ ಬೇಕಾ")</f>
        <v>ನಿಮಗೇ ಬೇಕಾ</v>
      </c>
      <c r="F573" s="2" t="str">
        <f>IFERROR(__xludf.DUMMYFUNCTION("""COMPUTED_VALUE"""),"ରାମବାଟାନ୍ ହେଉଛି |")</f>
        <v>ରାମବାଟାନ୍ ହେଉଛି |</v>
      </c>
      <c r="G573" s="2" t="str">
        <f>IFERROR(__xludf.DUMMYFUNCTION("""COMPUTED_VALUE"""),"ৰামবুটান হৈছে")</f>
        <v>ৰামবুটান হৈছে</v>
      </c>
      <c r="H573" s="2" t="str">
        <f>IFERROR(__xludf.DUMMYFUNCTION("""COMPUTED_VALUE"""),"રેમ્બુટાન છે")</f>
        <v>રેમ્બુટાન છે</v>
      </c>
      <c r="I573" s="2" t="str">
        <f>IFERROR(__xludf.DUMMYFUNCTION("""COMPUTED_VALUE"""),"प्रति ऑर्डर कमाल  प्रमाण")</f>
        <v>प्रति ऑर्डर कमाल  प्रमाण</v>
      </c>
      <c r="J573" s="2" t="str">
        <f>IFERROR(__xludf.DUMMYFUNCTION("""COMPUTED_VALUE"""),"റാംബട്ടൻ")</f>
        <v>റാംബട്ടൻ</v>
      </c>
      <c r="K573" s="2" t="str">
        <f>IFERROR(__xludf.DUMMYFUNCTION("""COMPUTED_VALUE"""),"ਰਾਮਟਾਨ ਹੈ")</f>
        <v>ਰਾਮਟਾਨ ਹੈ</v>
      </c>
      <c r="L573" s="2" t="str">
        <f>IFERROR(__xludf.DUMMYFUNCTION("""COMPUTED_VALUE"""),"ரம்பூட்டன்")</f>
        <v>ரம்பூட்டன்</v>
      </c>
      <c r="M573" s="2" t="str">
        <f>IFERROR(__xludf.DUMMYFUNCTION("""COMPUTED_VALUE"""),"రాంబుటాన్")</f>
        <v>రాంబుటాన్</v>
      </c>
    </row>
    <row r="574">
      <c r="A574" s="2" t="str">
        <f>Master_en!A574</f>
        <v>movedTo</v>
      </c>
      <c r="B574" s="2" t="str">
        <f>Master_en!B574</f>
        <v>Moved To</v>
      </c>
      <c r="C574" s="2" t="str">
        <f>IFERROR(__xludf.DUMMYFUNCTION("""COMPUTED_VALUE"""),"সরানো")</f>
        <v>সরানো</v>
      </c>
      <c r="D574" s="2" t="str">
        <f>IFERROR(__xludf.DUMMYFUNCTION("""COMPUTED_VALUE"""),"पर जाया गया")</f>
        <v>पर जाया गया</v>
      </c>
      <c r="E574" s="2" t="str">
        <f>IFERROR(__xludf.DUMMYFUNCTION("""COMPUTED_VALUE"""),"ಗರಿಷ್ಟ ಪ್ರಮಾಣ")</f>
        <v>ಗರಿಷ್ಟ ಪ್ರಮಾಣ</v>
      </c>
      <c r="F574" s="2" t="str">
        <f>IFERROR(__xludf.DUMMYFUNCTION("""COMPUTED_VALUE"""),"କୁ ଘୁଞ୍ଚିଗଲା |")</f>
        <v>କୁ ଘୁଞ୍ଚିଗଲା |</v>
      </c>
      <c r="G574" s="2" t="str">
        <f>IFERROR(__xludf.DUMMYFUNCTION("""COMPUTED_VALUE"""),"স্থানান্তৰিত হ'ল")</f>
        <v>স্থানান্তৰিত হ'ল</v>
      </c>
      <c r="H574" s="2" t="str">
        <f>IFERROR(__xludf.DUMMYFUNCTION("""COMPUTED_VALUE"""),"પરત")</f>
        <v>પરત</v>
      </c>
      <c r="I574" s="2" t="str">
        <f>IFERROR(__xludf.DUMMYFUNCTION("""COMPUTED_VALUE"""),"कडे हलवले; स्थलांतरित केले")</f>
        <v>कडे हलवले; स्थलांतरित केले</v>
      </c>
      <c r="J574" s="2" t="str">
        <f>IFERROR(__xludf.DUMMYFUNCTION("""COMPUTED_VALUE"""),"നീക്കി")</f>
        <v>നീക്കി</v>
      </c>
      <c r="K574" s="2" t="str">
        <f>IFERROR(__xludf.DUMMYFUNCTION("""COMPUTED_VALUE"""),"ਚਲੇ ਗਏ")</f>
        <v>ਚਲੇ ਗਏ</v>
      </c>
      <c r="L574" s="2" t="str">
        <f>IFERROR(__xludf.DUMMYFUNCTION("""COMPUTED_VALUE"""),"நகர்த்தப்பட்டது")</f>
        <v>நகர்த்தப்பட்டது</v>
      </c>
      <c r="M574" s="2" t="str">
        <f>IFERROR(__xludf.DUMMYFUNCTION("""COMPUTED_VALUE"""),"తరలించటం జరిగినది")</f>
        <v>తరలించటం జరిగినది</v>
      </c>
    </row>
    <row r="575">
      <c r="A575" s="2" t="str">
        <f>Master_en!A575</f>
        <v>BPLID</v>
      </c>
      <c r="B575" s="2" t="str">
        <f>Master_en!B575</f>
        <v>BPL ID</v>
      </c>
      <c r="C575" s="2" t="str">
        <f>IFERROR(__xludf.DUMMYFUNCTION("""COMPUTED_VALUE"""),"বিপিএল আইডি")</f>
        <v>বিপিএল আইডি</v>
      </c>
      <c r="D575" s="2" t="str">
        <f>IFERROR(__xludf.DUMMYFUNCTION("""COMPUTED_VALUE"""),"बीपीएल आईडी")</f>
        <v>बीपीएल आईडी</v>
      </c>
      <c r="E575" s="2" t="str">
        <f>IFERROR(__xludf.DUMMYFUNCTION("""COMPUTED_VALUE"""),"ಬಿಪಿಎಲ್ ಐಡಿ")</f>
        <v>ಬಿಪಿಎಲ್ ಐಡಿ</v>
      </c>
      <c r="F575" s="2" t="str">
        <f>IFERROR(__xludf.DUMMYFUNCTION("""COMPUTED_VALUE"""),"BPL ID")</f>
        <v>BPL ID</v>
      </c>
      <c r="G575" s="2" t="str">
        <f>IFERROR(__xludf.DUMMYFUNCTION("""COMPUTED_VALUE"""),"বিপিএল আইডি")</f>
        <v>বিপিএল আইডি</v>
      </c>
      <c r="H575" s="2" t="str">
        <f>IFERROR(__xludf.DUMMYFUNCTION("""COMPUTED_VALUE"""),"બીપીએલ આઈડી")</f>
        <v>બીપીએલ આઈડી</v>
      </c>
      <c r="I575" s="2" t="str">
        <f>IFERROR(__xludf.DUMMYFUNCTION("""COMPUTED_VALUE"""),"कडे हलवले")</f>
        <v>कडे हलवले</v>
      </c>
      <c r="J575" s="2" t="str">
        <f>IFERROR(__xludf.DUMMYFUNCTION("""COMPUTED_VALUE"""),"ബിപിഎൽ ഐഡി")</f>
        <v>ബിപിഎൽ ഐഡി</v>
      </c>
      <c r="K575" s="2" t="str">
        <f>IFERROR(__xludf.DUMMYFUNCTION("""COMPUTED_VALUE"""),"ਬੀਪੀਐਲ ਆਈਡੀ")</f>
        <v>ਬੀਪੀਐਲ ਆਈਡੀ</v>
      </c>
      <c r="L575" s="2" t="str">
        <f>IFERROR(__xludf.DUMMYFUNCTION("""COMPUTED_VALUE"""),"பிபிஎல் ஐடி")</f>
        <v>பிபிஎல் ஐடி</v>
      </c>
      <c r="M575" s="2" t="str">
        <f>IFERROR(__xludf.DUMMYFUNCTION("""COMPUTED_VALUE"""),"BPL ID")</f>
        <v>BPL ID</v>
      </c>
    </row>
    <row r="576">
      <c r="A576" s="2" t="str">
        <f>Master_en!A576</f>
        <v>Searchbyfruitscategory</v>
      </c>
      <c r="B576" s="2" t="str">
        <f>Master_en!B576</f>
        <v>Search By Category </v>
      </c>
      <c r="C576" s="2" t="str">
        <f>IFERROR(__xludf.DUMMYFUNCTION("""COMPUTED_VALUE"""),"বিভাগ দ্বারা অনুসন্ধান")</f>
        <v>বিভাগ দ্বারা অনুসন্ধান</v>
      </c>
      <c r="D576" s="2" t="str">
        <f>IFERROR(__xludf.DUMMYFUNCTION("""COMPUTED_VALUE"""),"श्रेणी द्वारा खोजें")</f>
        <v>श्रेणी द्वारा खोजें</v>
      </c>
      <c r="E576" s="2" t="str">
        <f>IFERROR(__xludf.DUMMYFUNCTION("""COMPUTED_VALUE"""),"ವರ್ಗದ ಪ್ರಕಾರ ಹುಡುಕಿ")</f>
        <v>ವರ್ಗದ ಪ್ರಕಾರ ಹುಡುಕಿ</v>
      </c>
      <c r="F576" s="2" t="str">
        <f>IFERROR(__xludf.DUMMYFUNCTION("""COMPUTED_VALUE"""),"ବର୍ଗ ଅନୁଯାୟୀ ସନ୍ଧାନ କରନ୍ତୁ |")</f>
        <v>ବର୍ଗ ଅନୁଯାୟୀ ସନ୍ଧାନ କରନ୍ତୁ |</v>
      </c>
      <c r="G576" s="2" t="str">
        <f>IFERROR(__xludf.DUMMYFUNCTION("""COMPUTED_VALUE"""),"শ্ৰেণী অনুসৰি সন্ধান কৰক")</f>
        <v>শ্ৰেণী অনুসৰি সন্ধান কৰক</v>
      </c>
      <c r="H576" s="2" t="str">
        <f>IFERROR(__xludf.DUMMYFUNCTION("""COMPUTED_VALUE"""),"કેટેગરી દ્વારા શોધો")</f>
        <v>કેટેગરી દ્વારા શોધો</v>
      </c>
      <c r="I576" s="2" t="str">
        <f>IFERROR(__xludf.DUMMYFUNCTION("""COMPUTED_VALUE"""),"श्रेणीनुसार शोध")</f>
        <v>श्रेणीनुसार शोध</v>
      </c>
      <c r="J576" s="2" t="str">
        <f>IFERROR(__xludf.DUMMYFUNCTION("""COMPUTED_VALUE"""),"വിഭാഗം പ്രകാരം തിരയുക")</f>
        <v>വിഭാഗം പ്രകാരം തിരയുക</v>
      </c>
      <c r="K576" s="2" t="str">
        <f>IFERROR(__xludf.DUMMYFUNCTION("""COMPUTED_VALUE"""),"ਸ਼੍ਰੇਣੀ ਦੁਆਰਾ ਖੋਜ ਕਰੋ")</f>
        <v>ਸ਼੍ਰੇਣੀ ਦੁਆਰਾ ਖੋਜ ਕਰੋ</v>
      </c>
      <c r="L576" s="2" t="str">
        <f>IFERROR(__xludf.DUMMYFUNCTION("""COMPUTED_VALUE"""),"வகை அடிப்படையில் தேடுங்கள்")</f>
        <v>வகை அடிப்படையில் தேடுங்கள்</v>
      </c>
      <c r="M576" s="2" t="str">
        <f>IFERROR(__xludf.DUMMYFUNCTION("""COMPUTED_VALUE"""),"వర్గం వారీగా శోధించండి")</f>
        <v>వర్గం వారీగా శోధించండి</v>
      </c>
    </row>
    <row r="577">
      <c r="A577" s="2" t="str">
        <f>Master_en!A577</f>
        <v>TypeSomethingHere</v>
      </c>
      <c r="B577" s="2" t="str">
        <f>Master_en!B577</f>
        <v>Type Something Here</v>
      </c>
      <c r="C577" s="2" t="str">
        <f>IFERROR(__xludf.DUMMYFUNCTION("""COMPUTED_VALUE"""),"এখানে কিছু টাইপ করুন")</f>
        <v>এখানে কিছু টাইপ করুন</v>
      </c>
      <c r="D577" s="2" t="str">
        <f>IFERROR(__xludf.DUMMYFUNCTION("""COMPUTED_VALUE"""),"यहाँ कुछ टाइप करें")</f>
        <v>यहाँ कुछ टाइप करें</v>
      </c>
      <c r="E577" s="2" t="str">
        <f>IFERROR(__xludf.DUMMYFUNCTION("""COMPUTED_VALUE"""),"ಏನನ್ನಾದರೂ ಇಲ್ಲಿ ಟೈಪ್ ಮಾಡಿ")</f>
        <v>ಏನನ್ನಾದರೂ ಇಲ್ಲಿ ಟೈಪ್ ಮಾಡಿ</v>
      </c>
      <c r="F577" s="2" t="str">
        <f>IFERROR(__xludf.DUMMYFUNCTION("""COMPUTED_VALUE"""),"ଏଠାରେ କିଛି ଟାଇପ୍ କରନ୍ତୁ |")</f>
        <v>ଏଠାରେ କିଛି ଟାଇପ୍ କରନ୍ତୁ |</v>
      </c>
      <c r="G577" s="2" t="str">
        <f>IFERROR(__xludf.DUMMYFUNCTION("""COMPUTED_VALUE"""),"ইয়াত কিবা এটা টাইপ কৰক")</f>
        <v>ইয়াত কিবা এটা টাইপ কৰক</v>
      </c>
      <c r="H577" s="2" t="str">
        <f>IFERROR(__xludf.DUMMYFUNCTION("""COMPUTED_VALUE"""),"અહીં કંઈક લખો")</f>
        <v>અહીં કંઈક લખો</v>
      </c>
      <c r="I577" s="2" t="str">
        <f>IFERROR(__xludf.DUMMYFUNCTION("""COMPUTED_VALUE"""),"येथे काहीतरी टाइप करा")</f>
        <v>येथे काहीतरी टाइप करा</v>
      </c>
      <c r="J577" s="2" t="str">
        <f>IFERROR(__xludf.DUMMYFUNCTION("""COMPUTED_VALUE"""),"ഇവിടെ എന്തെങ്കിലും ടൈപ്പ് ചെയ്യുക")</f>
        <v>ഇവിടെ എന്തെങ്കിലും ടൈപ്പ് ചെയ്യുക</v>
      </c>
      <c r="K577" s="2" t="str">
        <f>IFERROR(__xludf.DUMMYFUNCTION("""COMPUTED_VALUE"""),"ਇੱਥੇ ਕੁਝ ਟਾਈਪ ਕਰੋ")</f>
        <v>ਇੱਥੇ ਕੁਝ ਟਾਈਪ ਕਰੋ</v>
      </c>
      <c r="L577" s="2" t="str">
        <f>IFERROR(__xludf.DUMMYFUNCTION("""COMPUTED_VALUE"""),"இங்கே ஏதாவது தட்டச்சு செய்க")</f>
        <v>இங்கே ஏதாவது தட்டச்சு செய்க</v>
      </c>
      <c r="M577" s="2" t="str">
        <f>IFERROR(__xludf.DUMMYFUNCTION("""COMPUTED_VALUE"""),"ఇక్కడ ఏదో టైప్ చేయండి")</f>
        <v>ఇక్కడ ఏదో టైప్ చేయండి</v>
      </c>
    </row>
    <row r="578">
      <c r="A578" s="2" t="str">
        <f>Master_en!A578</f>
        <v>imSelling</v>
      </c>
      <c r="B578" s="2" t="str">
        <f>Master_en!B578</f>
        <v>Im Selling</v>
      </c>
      <c r="C578" s="2" t="str">
        <f>IFERROR(__xludf.DUMMYFUNCTION("""COMPUTED_VALUE"""),"আমি বিক্রি করছি")</f>
        <v>আমি বিক্রি করছি</v>
      </c>
      <c r="D578" s="2" t="str">
        <f>IFERROR(__xludf.DUMMYFUNCTION("""COMPUTED_VALUE"""),"Im बिक्री")</f>
        <v>Im बिक्री</v>
      </c>
      <c r="E578" s="2" t="str">
        <f>IFERROR(__xludf.DUMMYFUNCTION("""COMPUTED_VALUE"""),"ನಾನು ಮಾರಾಟ ಮಾಡುತ್ತಿದ್ದೇನೆ")</f>
        <v>ನಾನು ಮಾರಾಟ ಮಾಡುತ್ತಿದ್ದೇನೆ</v>
      </c>
      <c r="F578" s="2" t="str">
        <f>IFERROR(__xludf.DUMMYFUNCTION("""COMPUTED_VALUE"""),"ମୁଁ ବିକ୍ରୟ କରୁଛି")</f>
        <v>ମୁଁ ବିକ୍ରୟ କରୁଛି</v>
      </c>
      <c r="G578" s="2" t="str">
        <f>IFERROR(__xludf.DUMMYFUNCTION("""COMPUTED_VALUE"""),"মই বিক্ৰী কৰি আছো")</f>
        <v>মই বিক্ৰী কৰি আছো</v>
      </c>
      <c r="H578" s="2" t="str">
        <f>IFERROR(__xludf.DUMMYFUNCTION("""COMPUTED_VALUE"""),"હું વેચું છું")</f>
        <v>હું વેચું છું</v>
      </c>
      <c r="I578" s="2" t="str">
        <f>IFERROR(__xludf.DUMMYFUNCTION("""COMPUTED_VALUE"""),"मी विक्री")</f>
        <v>मी विक्री</v>
      </c>
      <c r="J578" s="2" t="str">
        <f>IFERROR(__xludf.DUMMYFUNCTION("""COMPUTED_VALUE"""),"ഞാൻ വിൽക്കുന്നു")</f>
        <v>ഞാൻ വിൽക്കുന്നു</v>
      </c>
      <c r="K578" s="2" t="str">
        <f>IFERROR(__xludf.DUMMYFUNCTION("""COMPUTED_VALUE"""),"ਮੈਂ ਵੇਚ ਰਿਹਾ ਹਾਂ")</f>
        <v>ਮੈਂ ਵੇਚ ਰਿਹਾ ਹਾਂ</v>
      </c>
      <c r="L578" s="2" t="str">
        <f>IFERROR(__xludf.DUMMYFUNCTION("""COMPUTED_VALUE"""),"நான் விற்பனை செய்கிறேன்")</f>
        <v>நான் விற்பனை செய்கிறேன்</v>
      </c>
      <c r="M578" s="2" t="str">
        <f>IFERROR(__xludf.DUMMYFUNCTION("""COMPUTED_VALUE"""),"నేను అమ్మకం")</f>
        <v>నేను అమ్మకం</v>
      </c>
    </row>
    <row r="579">
      <c r="A579" s="2" t="str">
        <f>Master_en!A579</f>
        <v>searchBy</v>
      </c>
      <c r="B579" s="2" t="str">
        <f>Master_en!B579</f>
        <v>Search By</v>
      </c>
      <c r="C579" s="2" t="str">
        <f>IFERROR(__xludf.DUMMYFUNCTION("""COMPUTED_VALUE"""),"দ্বারা অনুসন্ধান")</f>
        <v>দ্বারা অনুসন্ধান</v>
      </c>
      <c r="D579" s="2" t="str">
        <f>IFERROR(__xludf.DUMMYFUNCTION("""COMPUTED_VALUE"""),"खोज से")</f>
        <v>खोज से</v>
      </c>
      <c r="E579" s="2" t="str">
        <f>IFERROR(__xludf.DUMMYFUNCTION("""COMPUTED_VALUE"""),"ಮೂಲಕ ಹುಡುಕಿ")</f>
        <v>ಮೂಲಕ ಹುಡುಕಿ</v>
      </c>
      <c r="F579" s="2" t="str">
        <f>IFERROR(__xludf.DUMMYFUNCTION("""COMPUTED_VALUE"""),"ଦ୍ୱାରା ଖୋଜ")</f>
        <v>ଦ୍ୱାରା ଖୋଜ</v>
      </c>
      <c r="G579" s="2" t="str">
        <f>IFERROR(__xludf.DUMMYFUNCTION("""COMPUTED_VALUE"""),"দ্বাৰা সন্ধান কৰক")</f>
        <v>দ্বাৰা সন্ধান কৰক</v>
      </c>
      <c r="H579" s="2" t="str">
        <f>IFERROR(__xludf.DUMMYFUNCTION("""COMPUTED_VALUE"""),"દ્વારા શોધ કરો")</f>
        <v>દ્વારા શોધ કરો</v>
      </c>
      <c r="I579" s="2" t="str">
        <f>IFERROR(__xludf.DUMMYFUNCTION("""COMPUTED_VALUE"""),"द्वारे शोध")</f>
        <v>द्वारे शोध</v>
      </c>
      <c r="J579" s="2" t="str">
        <f>IFERROR(__xludf.DUMMYFUNCTION("""COMPUTED_VALUE"""),"തിരച്ചിൽ")</f>
        <v>തിരച്ചിൽ</v>
      </c>
      <c r="K579" s="2" t="str">
        <f>IFERROR(__xludf.DUMMYFUNCTION("""COMPUTED_VALUE"""),"ਦੁਆਰਾ ਖੋਜ")</f>
        <v>ਦੁਆਰਾ ਖੋਜ</v>
      </c>
      <c r="L579" s="2" t="str">
        <f>IFERROR(__xludf.DUMMYFUNCTION("""COMPUTED_VALUE"""),"தேடுங்கள்")</f>
        <v>தேடுங்கள்</v>
      </c>
      <c r="M579" s="2" t="str">
        <f>IFERROR(__xludf.DUMMYFUNCTION("""COMPUTED_VALUE"""),"శోధించండి")</f>
        <v>శోధించండి</v>
      </c>
    </row>
    <row r="580">
      <c r="A580" s="2" t="str">
        <f>Master_en!A580</f>
        <v>fruitsCategory</v>
      </c>
      <c r="B580" s="2" t="str">
        <f>Master_en!B580</f>
        <v>Fruits Category</v>
      </c>
      <c r="C580" s="2" t="str">
        <f>IFERROR(__xludf.DUMMYFUNCTION("""COMPUTED_VALUE"""),"ফল বিভাগ")</f>
        <v>ফল বিভাগ</v>
      </c>
      <c r="D580" s="2" t="str">
        <f>IFERROR(__xludf.DUMMYFUNCTION("""COMPUTED_VALUE"""),"फल श्रेणी")</f>
        <v>फल श्रेणी</v>
      </c>
      <c r="E580" s="2" t="str">
        <f>IFERROR(__xludf.DUMMYFUNCTION("""COMPUTED_VALUE"""),"ಹಣ್ಣುಗಳ ವರ್ಗ")</f>
        <v>ಹಣ್ಣುಗಳ ವರ್ಗ</v>
      </c>
      <c r="F580" s="2" t="str">
        <f>IFERROR(__xludf.DUMMYFUNCTION("""COMPUTED_VALUE"""),"ଫଳ ବର୍ଗ")</f>
        <v>ଫଳ ବର୍ଗ</v>
      </c>
      <c r="G580" s="2" t="str">
        <f>IFERROR(__xludf.DUMMYFUNCTION("""COMPUTED_VALUE"""),"ফলৰ শিতান")</f>
        <v>ফলৰ শিতান</v>
      </c>
      <c r="H580" s="2" t="str">
        <f>IFERROR(__xludf.DUMMYFUNCTION("""COMPUTED_VALUE"""),"ફળ")</f>
        <v>ફળ</v>
      </c>
      <c r="I580" s="2" t="str">
        <f>IFERROR(__xludf.DUMMYFUNCTION("""COMPUTED_VALUE"""),"फळे श्रेणी")</f>
        <v>फळे श्रेणी</v>
      </c>
      <c r="J580" s="2" t="str">
        <f>IFERROR(__xludf.DUMMYFUNCTION("""COMPUTED_VALUE"""),"പഴങ്ങൾ വിഭാഗം")</f>
        <v>പഴങ്ങൾ വിഭാഗം</v>
      </c>
      <c r="K580" s="2" t="str">
        <f>IFERROR(__xludf.DUMMYFUNCTION("""COMPUTED_VALUE"""),"ਫਲ ਸ਼੍ਰੇਣੀ")</f>
        <v>ਫਲ ਸ਼੍ਰੇਣੀ</v>
      </c>
      <c r="L580" s="2" t="str">
        <f>IFERROR(__xludf.DUMMYFUNCTION("""COMPUTED_VALUE"""),"பழங்கள் வகை")</f>
        <v>பழங்கள் வகை</v>
      </c>
      <c r="M580" s="2" t="str">
        <f>IFERROR(__xludf.DUMMYFUNCTION("""COMPUTED_VALUE"""),"పండ్లు వర్గం")</f>
        <v>పండ్లు వర్గం</v>
      </c>
    </row>
    <row r="581">
      <c r="A581" s="2" t="str">
        <f>Master_en!A581</f>
        <v>thisorderwasdelivered</v>
      </c>
      <c r="B581" s="2" t="str">
        <f>Master_en!B581</f>
        <v>This Order was Delivered</v>
      </c>
      <c r="C581" s="2" t="str">
        <f>IFERROR(__xludf.DUMMYFUNCTION("""COMPUTED_VALUE"""),"এই আদেশ বিতরণ করা হয়েছিল")</f>
        <v>এই আদেশ বিতরণ করা হয়েছিল</v>
      </c>
      <c r="D581" s="2" t="str">
        <f>IFERROR(__xludf.DUMMYFUNCTION("""COMPUTED_VALUE"""),"यह आदेश दिया गया था")</f>
        <v>यह आदेश दिया गया था</v>
      </c>
      <c r="E581" s="2" t="str">
        <f>IFERROR(__xludf.DUMMYFUNCTION("""COMPUTED_VALUE"""),"ಈ ಆದೇಶವನ್ನು ತಲುಪಿಸಲಾಗಿದೆ")</f>
        <v>ಈ ಆದೇಶವನ್ನು ತಲುಪಿಸಲಾಗಿದೆ</v>
      </c>
      <c r="F581" s="2" t="str">
        <f>IFERROR(__xludf.DUMMYFUNCTION("""COMPUTED_VALUE"""),"ଏହି କ୍ରମ ବିତରଣ କରାଯାଇଥିଲା |")</f>
        <v>ଏହି କ୍ରମ ବିତରଣ କରାଯାଇଥିଲା |</v>
      </c>
      <c r="G581" s="2" t="str">
        <f>IFERROR(__xludf.DUMMYFUNCTION("""COMPUTED_VALUE"""),"এই অৰ্ডাৰ ডেলিভাৰী কৰা হৈছিল")</f>
        <v>এই অৰ্ডাৰ ডেলিভাৰী কৰা হৈছিল</v>
      </c>
      <c r="H581" s="2" t="str">
        <f>IFERROR(__xludf.DUMMYFUNCTION("""COMPUTED_VALUE"""),"આ ઓર્ડર આપવામાં આવ્યો હતો")</f>
        <v>આ ઓર્ડર આપવામાં આવ્યો હતો</v>
      </c>
      <c r="I581" s="2" t="str">
        <f>IFERROR(__xludf.DUMMYFUNCTION("""COMPUTED_VALUE"""),"फळांची श्रेणी")</f>
        <v>फळांची श्रेणी</v>
      </c>
      <c r="J581" s="2" t="str">
        <f>IFERROR(__xludf.DUMMYFUNCTION("""COMPUTED_VALUE"""),"ഈ ഓർഡർ കൈമാറി")</f>
        <v>ഈ ഓർഡർ കൈമാറി</v>
      </c>
      <c r="K581" s="2" t="str">
        <f>IFERROR(__xludf.DUMMYFUNCTION("""COMPUTED_VALUE"""),"ਇਹ ਆਰਡਰ ਦਿੱਤਾ ਗਿਆ ਸੀ")</f>
        <v>ਇਹ ਆਰਡਰ ਦਿੱਤਾ ਗਿਆ ਸੀ</v>
      </c>
      <c r="L581" s="2" t="str">
        <f>IFERROR(__xludf.DUMMYFUNCTION("""COMPUTED_VALUE"""),"இந்த ஆர்டர் டெலிவரி செய்யப்பட்டது")</f>
        <v>இந்த ஆர்டர் டெலிவரி செய்யப்பட்டது</v>
      </c>
      <c r="M581" s="2" t="str">
        <f>IFERROR(__xludf.DUMMYFUNCTION("""COMPUTED_VALUE"""),"ఈ ఆర్డర్ పంపిణీ చేయబడింది")</f>
        <v>ఈ ఆర్డర్ పంపిణీ చేయబడింది</v>
      </c>
    </row>
    <row r="582">
      <c r="A582" s="2" t="str">
        <f>Master_en!A582</f>
        <v>repeatorder</v>
      </c>
      <c r="B582" s="2" t="str">
        <f>Master_en!B582</f>
        <v>Repeat Order</v>
      </c>
      <c r="C582" s="2" t="str">
        <f>IFERROR(__xludf.DUMMYFUNCTION("""COMPUTED_VALUE"""),"পুনরাবৃত্তি যাতে")</f>
        <v>পুনরাবৃত্তি যাতে</v>
      </c>
      <c r="D582" s="2" t="str">
        <f>IFERROR(__xludf.DUMMYFUNCTION("""COMPUTED_VALUE"""),"पुनरावर्ती ऑर्डर")</f>
        <v>पुनरावर्ती ऑर्डर</v>
      </c>
      <c r="E582" s="2" t="str">
        <f>IFERROR(__xludf.DUMMYFUNCTION("""COMPUTED_VALUE"""),"ಪುನರಾವರ್ತಿತ ಆದೇಶ")</f>
        <v>ಪುನರಾವರ್ತಿತ ಆದೇಶ</v>
      </c>
      <c r="F582" s="2" t="str">
        <f>IFERROR(__xludf.DUMMYFUNCTION("""COMPUTED_VALUE"""),"ପୁନରାବୃତ୍ତି ଆଦେଶ")</f>
        <v>ପୁନରାବୃତ୍ତି ଆଦେଶ</v>
      </c>
      <c r="G582" s="2" t="str">
        <f>IFERROR(__xludf.DUMMYFUNCTION("""COMPUTED_VALUE"""),"অৰ্ডাৰ পুনৰাবৃত্তি কৰক")</f>
        <v>অৰ্ডাৰ পুনৰাবৃত্তি কৰক</v>
      </c>
      <c r="H582" s="2" t="str">
        <f>IFERROR(__xludf.DUMMYFUNCTION("""COMPUTED_VALUE"""),"વારંવારનો હુકમ")</f>
        <v>વારંવારનો હુકમ</v>
      </c>
      <c r="I582" s="2" t="str">
        <f>IFERROR(__xludf.DUMMYFUNCTION("""COMPUTED_VALUE"""),"ऑर्डर पुन्हा करा")</f>
        <v>ऑर्डर पुन्हा करा</v>
      </c>
      <c r="J582" s="2" t="str">
        <f>IFERROR(__xludf.DUMMYFUNCTION("""COMPUTED_VALUE"""),"ഓർഡർ ആവർത്തിക്കുക")</f>
        <v>ഓർഡർ ആവർത്തിക്കുക</v>
      </c>
      <c r="K582" s="2" t="str">
        <f>IFERROR(__xludf.DUMMYFUNCTION("""COMPUTED_VALUE"""),"ਦੁਹਰਾਓ ਆਰਡਰ")</f>
        <v>ਦੁਹਰਾਓ ਆਰਡਰ</v>
      </c>
      <c r="L582" s="2" t="str">
        <f>IFERROR(__xludf.DUMMYFUNCTION("""COMPUTED_VALUE"""),"மீண்டும் ஆர்டர்கள்")</f>
        <v>மீண்டும் ஆர்டர்கள்</v>
      </c>
      <c r="M582" s="2" t="str">
        <f>IFERROR(__xludf.DUMMYFUNCTION("""COMPUTED_VALUE"""),"పునరావృతమయ్యే ఆర్డర్")</f>
        <v>పునరావృతమయ్యే ఆర్డర్</v>
      </c>
    </row>
    <row r="583">
      <c r="A583" s="2" t="str">
        <f>Master_en!A583</f>
        <v>DoyouwanttoAccepttheorder</v>
      </c>
      <c r="B583" s="2" t="str">
        <f>Master_en!B583</f>
        <v>Do you want to Accept the order ?</v>
      </c>
      <c r="C583" s="2" t="str">
        <f>IFERROR(__xludf.DUMMYFUNCTION("""COMPUTED_VALUE"""),"আপনি কি আদেশ গ্রহণ করতে চান?")</f>
        <v>আপনি কি আদেশ গ্রহণ করতে চান?</v>
      </c>
      <c r="D583" s="2" t="str">
        <f>IFERROR(__xludf.DUMMYFUNCTION("""COMPUTED_VALUE"""),"क्या आप आदेश स्वीकार करना चाहते हैं?")</f>
        <v>क्या आप आदेश स्वीकार करना चाहते हैं?</v>
      </c>
      <c r="E583" s="2" t="str">
        <f>IFERROR(__xludf.DUMMYFUNCTION("""COMPUTED_VALUE"""),"ನೀವು ಆದೇಶವನ್ನು ಸ್ವೀಕರಿಸಲು ಬಯಸುವಿರಾ?")</f>
        <v>ನೀವು ಆದೇಶವನ್ನು ಸ್ವೀಕರಿಸಲು ಬಯಸುವಿರಾ?</v>
      </c>
      <c r="F583" s="2" t="str">
        <f>IFERROR(__xludf.DUMMYFUNCTION("""COMPUTED_VALUE"""),"ଆପଣ ଅର୍ଡର ଗ୍ରହଣ କରିବାକୁ ଚାହୁଁଛନ୍ତି କି?")</f>
        <v>ଆପଣ ଅର୍ଡର ଗ୍ରହଣ କରିବାକୁ ଚାହୁଁଛନ୍ତି କି?</v>
      </c>
      <c r="G583" s="2" t="str">
        <f>IFERROR(__xludf.DUMMYFUNCTION("""COMPUTED_VALUE"""),"আপুনি অৰ্ডাৰটো Accept কৰিব বিচাৰেনে ?")</f>
        <v>আপুনি অৰ্ডাৰটো Accept কৰিব বিচাৰেনে ?</v>
      </c>
      <c r="H583" s="2" t="str">
        <f>IFERROR(__xludf.DUMMYFUNCTION("""COMPUTED_VALUE"""),"શું તમે ઓર્ડર સ્વીકારવા માંગો છો?")</f>
        <v>શું તમે ઓર્ડર સ્વીકારવા માંગો છો?</v>
      </c>
      <c r="I583" s="2" t="str">
        <f>IFERROR(__xludf.DUMMYFUNCTION("""COMPUTED_VALUE"""),"आपण ऑर्डर स्वीकारू इच्छिता?")</f>
        <v>आपण ऑर्डर स्वीकारू इच्छिता?</v>
      </c>
      <c r="J583" s="2" t="str">
        <f>IFERROR(__xludf.DUMMYFUNCTION("""COMPUTED_VALUE"""),"ഓർഡർ അംഗീകരിക്കാൻ നിങ്ങൾ ആഗ്രഹിക്കുന്നുണ്ടോ?")</f>
        <v>ഓർഡർ അംഗീകരിക്കാൻ നിങ്ങൾ ആഗ്രഹിക്കുന്നുണ്ടോ?</v>
      </c>
      <c r="K583" s="2" t="str">
        <f>IFERROR(__xludf.DUMMYFUNCTION("""COMPUTED_VALUE"""),"ਕੀ ਤੁਸੀਂ ਆਰਡਰ ਸਵੀਕਾਰ ਕਰਨਾ ਚਾਹੁੰਦੇ ਹੋ?")</f>
        <v>ਕੀ ਤੁਸੀਂ ਆਰਡਰ ਸਵੀਕਾਰ ਕਰਨਾ ਚਾਹੁੰਦੇ ਹੋ?</v>
      </c>
      <c r="L583" s="2" t="str">
        <f>IFERROR(__xludf.DUMMYFUNCTION("""COMPUTED_VALUE"""),"நீங்கள் ஆர்டரை ஏற்க விரும்புகிறீர்களா?")</f>
        <v>நீங்கள் ஆர்டரை ஏற்க விரும்புகிறீர்களா?</v>
      </c>
      <c r="M583" s="2" t="str">
        <f>IFERROR(__xludf.DUMMYFUNCTION("""COMPUTED_VALUE"""),"మీరు ఆర్డర్‌ను అంగీకరించాలనుకుంటున్నారా?")</f>
        <v>మీరు ఆర్డర్‌ను అంగీకరించాలనుకుంటున్నారా?</v>
      </c>
    </row>
    <row r="584">
      <c r="A584" s="2" t="str">
        <f>Master_en!A584</f>
        <v>DoyouwanttoReadytheorder </v>
      </c>
      <c r="B584" s="2" t="str">
        <f>Master_en!B584</f>
        <v>Do you want to Ready the order ?</v>
      </c>
      <c r="C584" s="2" t="str">
        <f>IFERROR(__xludf.DUMMYFUNCTION("""COMPUTED_VALUE"""),"আপনি কি অর্ডার প্রস্তুত করতে চান?")</f>
        <v>আপনি কি অর্ডার প্রস্তুত করতে চান?</v>
      </c>
      <c r="D584" s="2" t="str">
        <f>IFERROR(__xludf.DUMMYFUNCTION("""COMPUTED_VALUE"""),"क्या आप ऑर्डर तैयार करना चाहते हैं?")</f>
        <v>क्या आप ऑर्डर तैयार करना चाहते हैं?</v>
      </c>
      <c r="E584" s="2" t="str">
        <f>IFERROR(__xludf.DUMMYFUNCTION("""COMPUTED_VALUE"""),"ನೀವು ಆದೇಶವನ್ನು ಸಿದ್ಧಪಡಿಸಲು ಬಯಸುವಿರಾ?")</f>
        <v>ನೀವು ಆದೇಶವನ್ನು ಸಿದ್ಧಪಡಿಸಲು ಬಯಸುವಿರಾ?</v>
      </c>
      <c r="F584" s="2" t="str">
        <f>IFERROR(__xludf.DUMMYFUNCTION("""COMPUTED_VALUE"""),"ଆପଣ ଅର୍ଡର ପ୍ରସ୍ତୁତ କରିବାକୁ ଚାହୁଁଛନ୍ତି କି?")</f>
        <v>ଆପଣ ଅର୍ଡର ପ୍ରସ୍ତୁତ କରିବାକୁ ଚାହୁଁଛନ୍ତି କି?</v>
      </c>
      <c r="G584" s="2" t="str">
        <f>IFERROR(__xludf.DUMMYFUNCTION("""COMPUTED_VALUE"""),"আপুনি অৰ্ডাৰটো Ready কৰিব বিচাৰেনে ?")</f>
        <v>আপুনি অৰ্ডাৰটো Ready কৰিব বিচাৰেনে ?</v>
      </c>
      <c r="H584" s="2" t="str">
        <f>IFERROR(__xludf.DUMMYFUNCTION("""COMPUTED_VALUE"""),"શું તમે ઓર્ડર તૈયાર કરવા માંગો છો?")</f>
        <v>શું તમે ઓર્ડર તૈયાર કરવા માંગો છો?</v>
      </c>
      <c r="I584" s="2" t="str">
        <f>IFERROR(__xludf.DUMMYFUNCTION("""COMPUTED_VALUE"""),"आपण ऑर्डर तयार करू इच्छिता?")</f>
        <v>आपण ऑर्डर तयार करू इच्छिता?</v>
      </c>
      <c r="J584" s="2" t="str">
        <f>IFERROR(__xludf.DUMMYFUNCTION("""COMPUTED_VALUE"""),"നിങ്ങൾക്ക് ഓർഡർ തയ്യാറാക്കണോ?")</f>
        <v>നിങ്ങൾക്ക് ഓർഡർ തയ്യാറാക്കണോ?</v>
      </c>
      <c r="K584" s="2" t="str">
        <f>IFERROR(__xludf.DUMMYFUNCTION("""COMPUTED_VALUE"""),"ਕੀ ਤੁਸੀਂ ਆਰਡਰ ਤਿਆਰ ਕਰਨਾ ਚਾਹੁੰਦੇ ਹੋ?")</f>
        <v>ਕੀ ਤੁਸੀਂ ਆਰਡਰ ਤਿਆਰ ਕਰਨਾ ਚਾਹੁੰਦੇ ਹੋ?</v>
      </c>
      <c r="L584" s="2" t="str">
        <f>IFERROR(__xludf.DUMMYFUNCTION("""COMPUTED_VALUE"""),"நீங்கள் ஆர்டரைத் தயாரிக்க விரும்புகிறீர்களா?")</f>
        <v>நீங்கள் ஆர்டரைத் தயாரிக்க விரும்புகிறீர்களா?</v>
      </c>
      <c r="M584" s="2" t="str">
        <f>IFERROR(__xludf.DUMMYFUNCTION("""COMPUTED_VALUE"""),"మీరు ఆర్డర్‌ను సిద్ధం చేయాలనుకుంటున్నారా?")</f>
        <v>మీరు ఆర్డర్‌ను సిద్ధం చేయాలనుకుంటున్నారా?</v>
      </c>
    </row>
    <row r="585">
      <c r="A585" s="2" t="str">
        <f>Master_en!A585</f>
        <v>clear</v>
      </c>
      <c r="B585" s="2" t="str">
        <f>Master_en!B585</f>
        <v>Clear</v>
      </c>
      <c r="C585" s="2" t="str">
        <f>IFERROR(__xludf.DUMMYFUNCTION("""COMPUTED_VALUE"""),"পরিষ্কার")</f>
        <v>পরিষ্কার</v>
      </c>
      <c r="D585" s="2" t="str">
        <f>IFERROR(__xludf.DUMMYFUNCTION("""COMPUTED_VALUE"""),"साफ़")</f>
        <v>साफ़</v>
      </c>
      <c r="E585" s="2" t="str">
        <f>IFERROR(__xludf.DUMMYFUNCTION("""COMPUTED_VALUE"""),"ಸ್ಪಷ್ಟ")</f>
        <v>ಸ್ಪಷ್ಟ</v>
      </c>
      <c r="F585" s="2" t="str">
        <f>IFERROR(__xludf.DUMMYFUNCTION("""COMPUTED_VALUE"""),"ସଫା")</f>
        <v>ସଫା</v>
      </c>
      <c r="G585" s="2" t="str">
        <f>IFERROR(__xludf.DUMMYFUNCTION("""COMPUTED_VALUE"""),"পৰিষ্কাৰ")</f>
        <v>পৰিষ্কাৰ</v>
      </c>
      <c r="H585" s="2" t="str">
        <f>IFERROR(__xludf.DUMMYFUNCTION("""COMPUTED_VALUE"""),"ચોખ્ખુ")</f>
        <v>ચોખ્ખુ</v>
      </c>
      <c r="I585" s="2" t="str">
        <f>IFERROR(__xludf.DUMMYFUNCTION("""COMPUTED_VALUE"""),"स्पष्ट")</f>
        <v>स्पष्ट</v>
      </c>
      <c r="J585" s="2" t="str">
        <f>IFERROR(__xludf.DUMMYFUNCTION("""COMPUTED_VALUE"""),"വക്തമായ")</f>
        <v>വക്തമായ</v>
      </c>
      <c r="K585" s="2" t="str">
        <f>IFERROR(__xludf.DUMMYFUNCTION("""COMPUTED_VALUE"""),"ਸਾਫ")</f>
        <v>ਸਾਫ</v>
      </c>
      <c r="L585" s="2" t="str">
        <f>IFERROR(__xludf.DUMMYFUNCTION("""COMPUTED_VALUE"""),"நீக்கு")</f>
        <v>நீக்கு</v>
      </c>
      <c r="M585" s="2" t="str">
        <f>IFERROR(__xludf.DUMMYFUNCTION("""COMPUTED_VALUE"""),"క్లియర్")</f>
        <v>క్లియర్</v>
      </c>
    </row>
    <row r="586">
      <c r="A586" s="2" t="str">
        <f>Master_en!A586</f>
        <v>selectFruits</v>
      </c>
      <c r="B586" s="2" t="str">
        <f>Master_en!B586</f>
        <v>Select Fruits</v>
      </c>
      <c r="C586" s="2" t="str">
        <f>IFERROR(__xludf.DUMMYFUNCTION("""COMPUTED_VALUE"""),"ফল নির্বাচন করুন")</f>
        <v>ফল নির্বাচন করুন</v>
      </c>
      <c r="D586" s="2" t="str">
        <f>IFERROR(__xludf.DUMMYFUNCTION("""COMPUTED_VALUE"""),"फलों का चयन करें")</f>
        <v>फलों का चयन करें</v>
      </c>
      <c r="E586" s="2" t="str">
        <f>IFERROR(__xludf.DUMMYFUNCTION("""COMPUTED_VALUE"""),"ಹಣ್ಣುಗಳನ್ನು ಆಯ್ಕೆಮಾಡಿ")</f>
        <v>ಹಣ್ಣುಗಳನ್ನು ಆಯ್ಕೆಮಾಡಿ</v>
      </c>
      <c r="F586" s="2" t="str">
        <f>IFERROR(__xludf.DUMMYFUNCTION("""COMPUTED_VALUE"""),"ଫଳଗୁଡିକ ବାଛ")</f>
        <v>ଫଳଗୁଡିକ ବାଛ</v>
      </c>
      <c r="G586" s="2" t="str">
        <f>IFERROR(__xludf.DUMMYFUNCTION("""COMPUTED_VALUE"""),"ফল নিৰ্বাচন কৰক")</f>
        <v>ফল নিৰ্বাচন কৰক</v>
      </c>
      <c r="H586" s="2" t="str">
        <f>IFERROR(__xludf.DUMMYFUNCTION("""COMPUTED_VALUE"""),"ફળો પસંદ કરો")</f>
        <v>ફળો પસંદ કરો</v>
      </c>
      <c r="I586" s="2" t="str">
        <f>IFERROR(__xludf.DUMMYFUNCTION("""COMPUTED_VALUE"""),"फळे निवडा")</f>
        <v>फळे निवडा</v>
      </c>
      <c r="J586" s="2" t="str">
        <f>IFERROR(__xludf.DUMMYFUNCTION("""COMPUTED_VALUE"""),"പഴങ്ങൾ തിരഞ്ഞെടുക്കുക")</f>
        <v>പഴങ്ങൾ തിരഞ്ഞെടുക്കുക</v>
      </c>
      <c r="K586" s="2" t="str">
        <f>IFERROR(__xludf.DUMMYFUNCTION("""COMPUTED_VALUE"""),"ਫਲ ਦੀ ਚੋਣ ਕਰੋ")</f>
        <v>ਫਲ ਦੀ ਚੋਣ ਕਰੋ</v>
      </c>
      <c r="L586" s="2" t="str">
        <f>IFERROR(__xludf.DUMMYFUNCTION("""COMPUTED_VALUE"""),"பழங்களைத் தேர்ந்தெடுக்கவும்")</f>
        <v>பழங்களைத் தேர்ந்தெடுக்கவும்</v>
      </c>
      <c r="M586" s="2" t="str">
        <f>IFERROR(__xludf.DUMMYFUNCTION("""COMPUTED_VALUE"""),"పండ్లను ఎంచుకోండి")</f>
        <v>పండ్లను ఎంచుకోండి</v>
      </c>
    </row>
    <row r="587">
      <c r="A587" s="2" t="str">
        <f>Master_en!A587</f>
        <v>category</v>
      </c>
      <c r="B587" s="2" t="str">
        <f>Master_en!B587</f>
        <v>Category</v>
      </c>
      <c r="C587" s="2" t="str">
        <f>IFERROR(__xludf.DUMMYFUNCTION("""COMPUTED_VALUE"""),"বিভাগ")</f>
        <v>বিভাগ</v>
      </c>
      <c r="D587" s="2" t="str">
        <f>IFERROR(__xludf.DUMMYFUNCTION("""COMPUTED_VALUE"""),"वर्ग")</f>
        <v>वर्ग</v>
      </c>
      <c r="E587" s="2" t="str">
        <f>IFERROR(__xludf.DUMMYFUNCTION("""COMPUTED_VALUE"""),"ವರ್ಗ")</f>
        <v>ವರ್ಗ</v>
      </c>
      <c r="F587" s="2" t="str">
        <f>IFERROR(__xludf.DUMMYFUNCTION("""COMPUTED_VALUE"""),"ବର୍ଗ")</f>
        <v>ବର୍ଗ</v>
      </c>
      <c r="G587" s="2" t="str">
        <f>IFERROR(__xludf.DUMMYFUNCTION("""COMPUTED_VALUE"""),"শ্ৰেণী")</f>
        <v>শ্ৰেণী</v>
      </c>
      <c r="H587" s="2" t="str">
        <f>IFERROR(__xludf.DUMMYFUNCTION("""COMPUTED_VALUE"""),"શ્રેણી")</f>
        <v>શ્રેણી</v>
      </c>
      <c r="I587" s="2" t="str">
        <f>IFERROR(__xludf.DUMMYFUNCTION("""COMPUTED_VALUE"""),"वर्ग")</f>
        <v>वर्ग</v>
      </c>
      <c r="J587" s="2" t="str">
        <f>IFERROR(__xludf.DUMMYFUNCTION("""COMPUTED_VALUE"""),"ഇനം")</f>
        <v>ഇനം</v>
      </c>
      <c r="K587" s="2" t="str">
        <f>IFERROR(__xludf.DUMMYFUNCTION("""COMPUTED_VALUE"""),"ਸ਼੍ਰੇਣੀ")</f>
        <v>ਸ਼੍ਰੇਣੀ</v>
      </c>
      <c r="L587" s="2" t="str">
        <f>IFERROR(__xludf.DUMMYFUNCTION("""COMPUTED_VALUE"""),"வகை")</f>
        <v>வகை</v>
      </c>
      <c r="M587" s="2" t="str">
        <f>IFERROR(__xludf.DUMMYFUNCTION("""COMPUTED_VALUE"""),"వర్గం")</f>
        <v>వర్గం</v>
      </c>
    </row>
    <row r="588">
      <c r="A588" s="2" t="str">
        <f>Master_en!A588</f>
        <v>DoyouwanttoDelivertheorder </v>
      </c>
      <c r="B588" s="2" t="str">
        <f>Master_en!B588</f>
        <v>Do you want to Deliver the order ?</v>
      </c>
      <c r="C588" s="2" t="str">
        <f>IFERROR(__xludf.DUMMYFUNCTION("""COMPUTED_VALUE"""),"আপনি কি অর্ডার দিতে চান?")</f>
        <v>আপনি কি অর্ডার দিতে চান?</v>
      </c>
      <c r="D588" s="2" t="str">
        <f>IFERROR(__xludf.DUMMYFUNCTION("""COMPUTED_VALUE"""),"क्या आप ऑर्डर देना चाहते हैं?")</f>
        <v>क्या आप ऑर्डर देना चाहते हैं?</v>
      </c>
      <c r="E588" s="2" t="str">
        <f>IFERROR(__xludf.DUMMYFUNCTION("""COMPUTED_VALUE"""),"ನೀವು ಆದೇಶವನ್ನು ತಲುಪಿಸಲು ಬಯಸುವಿರಾ?")</f>
        <v>ನೀವು ಆದೇಶವನ್ನು ತಲುಪಿಸಲು ಬಯಸುವಿರಾ?</v>
      </c>
      <c r="F588" s="2" t="str">
        <f>IFERROR(__xludf.DUMMYFUNCTION("""COMPUTED_VALUE"""),"ଆପଣ ଅର୍ଡର ବିତରଣ କରିବାକୁ ଚାହୁଁଛନ୍ତି କି?")</f>
        <v>ଆପଣ ଅର୍ଡର ବିତରଣ କରିବାକୁ ଚାହୁଁଛନ୍ତି କି?</v>
      </c>
      <c r="G588" s="2" t="str">
        <f>IFERROR(__xludf.DUMMYFUNCTION("""COMPUTED_VALUE"""),"আপুনি অৰ্ডাৰটো Deliver কৰিব বিচাৰেনে ?")</f>
        <v>আপুনি অৰ্ডাৰটো Deliver কৰিব বিচাৰেনে ?</v>
      </c>
      <c r="H588" s="2" t="str">
        <f>IFERROR(__xludf.DUMMYFUNCTION("""COMPUTED_VALUE"""),"શું તમે ઓર્ડર પહોંચાડવા માંગો છો?")</f>
        <v>શું તમે ઓર્ડર પહોંચાડવા માંગો છો?</v>
      </c>
      <c r="I588" s="2" t="str">
        <f>IFERROR(__xludf.DUMMYFUNCTION("""COMPUTED_VALUE"""),"आपण ऑर्डर वितरित करू इच्छिता?")</f>
        <v>आपण ऑर्डर वितरित करू इच्छिता?</v>
      </c>
      <c r="J588" s="2" t="str">
        <f>IFERROR(__xludf.DUMMYFUNCTION("""COMPUTED_VALUE"""),"ഓർഡർ നൽകാൻ നിങ്ങൾ ആഗ്രഹിക്കുന്നുണ്ടോ?")</f>
        <v>ഓർഡർ നൽകാൻ നിങ്ങൾ ആഗ്രഹിക്കുന്നുണ്ടോ?</v>
      </c>
      <c r="K588" s="2" t="str">
        <f>IFERROR(__xludf.DUMMYFUNCTION("""COMPUTED_VALUE"""),"ਕੀ ਤੁਸੀਂ ਆਰਡਰ ਦੇਣਾ ਚਾਹੁੰਦੇ ਹੋ?")</f>
        <v>ਕੀ ਤੁਸੀਂ ਆਰਡਰ ਦੇਣਾ ਚਾਹੁੰਦੇ ਹੋ?</v>
      </c>
      <c r="L588" s="2" t="str">
        <f>IFERROR(__xludf.DUMMYFUNCTION("""COMPUTED_VALUE"""),"நீங்கள் ஆர்டரை வழங்க விரும்புகிறீர்களா?")</f>
        <v>நீங்கள் ஆர்டரை வழங்க விரும்புகிறீர்களா?</v>
      </c>
      <c r="M588" s="2" t="str">
        <f>IFERROR(__xludf.DUMMYFUNCTION("""COMPUTED_VALUE"""),"మీరు ఆర్డర్ ఇవ్వాలనుకుంటున్నారా?")</f>
        <v>మీరు ఆర్డర్ ఇవ్వాలనుకుంటున్నారా?</v>
      </c>
    </row>
    <row r="589">
      <c r="A589" s="2" t="str">
        <f>Master_en!A589</f>
        <v>DoyouwanttoPickuptheorder </v>
      </c>
      <c r="B589" s="2" t="str">
        <f>Master_en!B589</f>
        <v>Do you want to Pick Up the order ?</v>
      </c>
      <c r="C589" s="2" t="str">
        <f>IFERROR(__xludf.DUMMYFUNCTION("""COMPUTED_VALUE"""),"আপনি কি অর্ডার নিতে চান?")</f>
        <v>আপনি কি অর্ডার নিতে চান?</v>
      </c>
      <c r="D589" s="2" t="str">
        <f>IFERROR(__xludf.DUMMYFUNCTION("""COMPUTED_VALUE"""),"क्या आप ऑर्डर लेना चाहते हैं?")</f>
        <v>क्या आप ऑर्डर लेना चाहते हैं?</v>
      </c>
      <c r="E589" s="2" t="str">
        <f>IFERROR(__xludf.DUMMYFUNCTION("""COMPUTED_VALUE"""),"ನೀವು ಆದೇಶವನ್ನು ತೆಗೆದುಕೊಳ್ಳಲು ಬಯಸುವಿರಾ?")</f>
        <v>ನೀವು ಆದೇಶವನ್ನು ತೆಗೆದುಕೊಳ್ಳಲು ಬಯಸುವಿರಾ?</v>
      </c>
      <c r="F589" s="2" t="str">
        <f>IFERROR(__xludf.DUMMYFUNCTION("""COMPUTED_VALUE"""),"ଆପଣ ଅର୍ଡର ନେବାକୁ ଚାହୁଁଛନ୍ତି କି?")</f>
        <v>ଆପଣ ଅର୍ଡର ନେବାକୁ ଚାହୁଁଛନ୍ତି କି?</v>
      </c>
      <c r="G589" s="2" t="str">
        <f>IFERROR(__xludf.DUMMYFUNCTION("""COMPUTED_VALUE"""),"অৰ্ডাৰটো Pickup কৰিব বিচাৰে নেকি ?")</f>
        <v>অৰ্ডাৰটো Pickup কৰিব বিচাৰে নেকি ?</v>
      </c>
      <c r="H589" s="2" t="str">
        <f>IFERROR(__xludf.DUMMYFUNCTION("""COMPUTED_VALUE"""),"શું તમે ઓર્ડર પસંદ કરવા માંગો છો?")</f>
        <v>શું તમે ઓર્ડર પસંદ કરવા માંગો છો?</v>
      </c>
      <c r="I589" s="2" t="str">
        <f>IFERROR(__xludf.DUMMYFUNCTION("""COMPUTED_VALUE"""),"आपण ऑर्डर घेऊ इच्छिता?")</f>
        <v>आपण ऑर्डर घेऊ इच्छिता?</v>
      </c>
      <c r="J589" s="2" t="str">
        <f>IFERROR(__xludf.DUMMYFUNCTION("""COMPUTED_VALUE"""),"ഓർഡർ എടുക്കാൻ നിങ്ങൾ ആഗ്രഹിക്കുന്നുണ്ടോ?")</f>
        <v>ഓർഡർ എടുക്കാൻ നിങ്ങൾ ആഗ്രഹിക്കുന്നുണ്ടോ?</v>
      </c>
      <c r="K589" s="2" t="str">
        <f>IFERROR(__xludf.DUMMYFUNCTION("""COMPUTED_VALUE"""),"ਕੀ ਤੁਸੀਂ ਆਰਡਰ ਲੈਣਾ ਚਾਹੁੰਦੇ ਹੋ?")</f>
        <v>ਕੀ ਤੁਸੀਂ ਆਰਡਰ ਲੈਣਾ ਚਾਹੁੰਦੇ ਹੋ?</v>
      </c>
      <c r="L589" s="2" t="str">
        <f>IFERROR(__xludf.DUMMYFUNCTION("""COMPUTED_VALUE"""),"நீங்கள் ஆர்டரை எடுக்க விரும்புகிறீர்களா?")</f>
        <v>நீங்கள் ஆர்டரை எடுக்க விரும்புகிறீர்களா?</v>
      </c>
      <c r="M589" s="2" t="str">
        <f>IFERROR(__xludf.DUMMYFUNCTION("""COMPUTED_VALUE"""),"మీరు ఆర్డర్ తీసుకోవాలనుకుంటున్నారా?")</f>
        <v>మీరు ఆర్డర్ తీసుకోవాలనుకుంటున్నారా?</v>
      </c>
    </row>
    <row r="590">
      <c r="A590" s="2" t="str">
        <f>Master_en!A590</f>
        <v>DoyouwanttoNo-Show theorder </v>
      </c>
      <c r="B590" s="2" t="str">
        <f>Master_en!B590</f>
        <v>Do you want to No-Show the order ?</v>
      </c>
      <c r="C590" s="2" t="str">
        <f>IFERROR(__xludf.DUMMYFUNCTION("""COMPUTED_VALUE"""),"আপনি কি অর্ডারটি কোনও শো করতে চান না?")</f>
        <v>আপনি কি অর্ডারটি কোনও শো করতে চান না?</v>
      </c>
      <c r="D590" s="2" t="str">
        <f>IFERROR(__xludf.DUMMYFUNCTION("""COMPUTED_VALUE"""),"क्या आप आदेश को नहीं शो करना चाहते हैं?")</f>
        <v>क्या आप आदेश को नहीं शो करना चाहते हैं?</v>
      </c>
      <c r="E590" s="2" t="str">
        <f>IFERROR(__xludf.DUMMYFUNCTION("""COMPUTED_VALUE"""),"ನೀವು ಆದೇಶವನ್ನು ತೋರಿಸಲು ಬಯಸುವಿರಾ?")</f>
        <v>ನೀವು ಆದೇಶವನ್ನು ತೋರಿಸಲು ಬಯಸುವಿರಾ?</v>
      </c>
      <c r="F590" s="2" t="str">
        <f>IFERROR(__xludf.DUMMYFUNCTION("""COMPUTED_VALUE"""),"ଆପଣ ଅର୍ଡର ଦେଖାଇବାକୁ ଚାହୁଁଛନ୍ତି କି?")</f>
        <v>ଆପଣ ଅର୍ଡର ଦେଖାଇବାକୁ ଚାହୁଁଛନ୍ତି କି?</v>
      </c>
      <c r="G590" s="2" t="str">
        <f>IFERROR(__xludf.DUMMYFUNCTION("""COMPUTED_VALUE"""),"আপুনি অৰ্ডাৰটো No-Show কৰিব বিচাৰে নেকি ?")</f>
        <v>আপুনি অৰ্ডাৰটো No-Show কৰিব বিচাৰে নেকি ?</v>
      </c>
      <c r="H590" s="2" t="str">
        <f>IFERROR(__xludf.DUMMYFUNCTION("""COMPUTED_VALUE"""),"શું તમે ઓર્ડર નો-શો કરવા માંગો છો?")</f>
        <v>શું તમે ઓર્ડર નો-શો કરવા માંગો છો?</v>
      </c>
      <c r="I590" s="2" t="str">
        <f>IFERROR(__xludf.DUMMYFUNCTION("""COMPUTED_VALUE"""),"आपण ऑर्डर नो-शो करू इच्छिता?")</f>
        <v>आपण ऑर्डर नो-शो करू इच्छिता?</v>
      </c>
      <c r="J590" s="2" t="str">
        <f>IFERROR(__xludf.DUMMYFUNCTION("""COMPUTED_VALUE"""),"ഓർഡർ കാണിക്കാൻ നിങ്ങൾ ആഗ്രഹിക്കുന്നുണ്ടോ?")</f>
        <v>ഓർഡർ കാണിക്കാൻ നിങ്ങൾ ആഗ്രഹിക്കുന്നുണ്ടോ?</v>
      </c>
      <c r="K590" s="2" t="str">
        <f>IFERROR(__xludf.DUMMYFUNCTION("""COMPUTED_VALUE"""),"ਕੀ ਤੁਸੀਂ ਆਰਡਰ ਨਹੀਂ ਦਿਖਾਉਣਾ ਚਾਹੁੰਦੇ ਹੋ?")</f>
        <v>ਕੀ ਤੁਸੀਂ ਆਰਡਰ ਨਹੀਂ ਦਿਖਾਉਣਾ ਚਾਹੁੰਦੇ ਹੋ?</v>
      </c>
      <c r="L590" s="2" t="str">
        <f>IFERROR(__xludf.DUMMYFUNCTION("""COMPUTED_VALUE"""),"நீ சொல்வது உறுதியா . ஆர்டரைக் காட்ட வேண்டாம் என்று விரும்புகிறீர்களா?")</f>
        <v>நீ சொல்வது உறுதியா . ஆர்டரைக் காட்ட வேண்டாம் என்று விரும்புகிறீர்களா?</v>
      </c>
      <c r="M590" s="2" t="str">
        <f>IFERROR(__xludf.DUMMYFUNCTION("""COMPUTED_VALUE"""),"మీరు ఆర్డర్ నో-షో చేయాలనుకుంటున్నారా?")</f>
        <v>మీరు ఆర్డర్ నో-షో చేయాలనుకుంటున్నారా?</v>
      </c>
    </row>
    <row r="591">
      <c r="A591" s="2" t="str">
        <f>Master_en!A591</f>
        <v>berry</v>
      </c>
      <c r="B591" s="2" t="str">
        <f>Master_en!B591</f>
        <v>Berry</v>
      </c>
      <c r="C591" s="2" t="str">
        <f>IFERROR(__xludf.DUMMYFUNCTION("""COMPUTED_VALUE"""),"বেরি")</f>
        <v>বেরি</v>
      </c>
      <c r="D591" s="2" t="str">
        <f>IFERROR(__xludf.DUMMYFUNCTION("""COMPUTED_VALUE"""),"बेर")</f>
        <v>बेर</v>
      </c>
      <c r="E591" s="2" t="str">
        <f>IFERROR(__xludf.DUMMYFUNCTION("""COMPUTED_VALUE"""),"ಗಡಿನ")</f>
        <v>ಗಡಿನ</v>
      </c>
      <c r="F591" s="2" t="str">
        <f>IFERROR(__xludf.DUMMYFUNCTION("""COMPUTED_VALUE"""),"ବିରି")</f>
        <v>ବିରି</v>
      </c>
      <c r="G591" s="2" t="str">
        <f>IFERROR(__xludf.DUMMYFUNCTION("""COMPUTED_VALUE"""),"বেৰী")</f>
        <v>বেৰী</v>
      </c>
      <c r="H591" s="2" t="str">
        <f>IFERROR(__xludf.DUMMYFUNCTION("""COMPUTED_VALUE"""),"લહેરી")</f>
        <v>લહેરી</v>
      </c>
      <c r="I591" s="2" t="str">
        <f>IFERROR(__xludf.DUMMYFUNCTION("""COMPUTED_VALUE"""),"बेरी")</f>
        <v>बेरी</v>
      </c>
      <c r="J591" s="2" t="str">
        <f>IFERROR(__xludf.DUMMYFUNCTION("""COMPUTED_VALUE"""),"കുരുവില്ലാപ്പഴം")</f>
        <v>കുരുവില്ലാപ്പഴം</v>
      </c>
      <c r="K591" s="2" t="str">
        <f>IFERROR(__xludf.DUMMYFUNCTION("""COMPUTED_VALUE"""),"ਬੇਰੀ")</f>
        <v>ਬੇਰੀ</v>
      </c>
      <c r="L591" s="2" t="str">
        <f>IFERROR(__xludf.DUMMYFUNCTION("""COMPUTED_VALUE"""),"பெர்ரி")</f>
        <v>பெர்ரி</v>
      </c>
      <c r="M591" s="2" t="str">
        <f>IFERROR(__xludf.DUMMYFUNCTION("""COMPUTED_VALUE"""),"బెర్రీ")</f>
        <v>బెర్రీ</v>
      </c>
    </row>
    <row r="592">
      <c r="A592" s="2" t="str">
        <f>Master_en!A592</f>
        <v>productDetails</v>
      </c>
      <c r="B592" s="2" t="str">
        <f>Master_en!B592</f>
        <v>Product Details</v>
      </c>
      <c r="C592" s="2" t="str">
        <f>IFERROR(__xludf.DUMMYFUNCTION("""COMPUTED_VALUE"""),"পণ্যের বিবরণ")</f>
        <v>পণ্যের বিবরণ</v>
      </c>
      <c r="D592" s="2" t="str">
        <f>IFERROR(__xludf.DUMMYFUNCTION("""COMPUTED_VALUE"""),"उत्पाद विवरण")</f>
        <v>उत्पाद विवरण</v>
      </c>
      <c r="E592" s="2" t="str">
        <f>IFERROR(__xludf.DUMMYFUNCTION("""COMPUTED_VALUE"""),"ಉತ್ಪನ್ನ ವಿವರಗಳು")</f>
        <v>ಉತ್ಪನ್ನ ವಿವರಗಳು</v>
      </c>
      <c r="F592" s="2" t="str">
        <f>IFERROR(__xludf.DUMMYFUNCTION("""COMPUTED_VALUE"""),"ଉତ୍ପାଦ ବିବରଣୀ")</f>
        <v>ଉତ୍ପାଦ ବିବରଣୀ</v>
      </c>
      <c r="G592" s="2" t="str">
        <f>IFERROR(__xludf.DUMMYFUNCTION("""COMPUTED_VALUE"""),"পণ্যৰ বিৱৰণ")</f>
        <v>পণ্যৰ বিৱৰণ</v>
      </c>
      <c r="H592" s="2" t="str">
        <f>IFERROR(__xludf.DUMMYFUNCTION("""COMPUTED_VALUE"""),"ઉત્પાદન વિગતો")</f>
        <v>ઉત્પાદન વિગતો</v>
      </c>
      <c r="I592" s="2" t="str">
        <f>IFERROR(__xludf.DUMMYFUNCTION("""COMPUTED_VALUE"""),"उत्पादनाचा तपशील")</f>
        <v>उत्पादनाचा तपशील</v>
      </c>
      <c r="J592" s="2" t="str">
        <f>IFERROR(__xludf.DUMMYFUNCTION("""COMPUTED_VALUE"""),"ഉൽപ്പന്നത്തിന്റെ വിവരം")</f>
        <v>ഉൽപ്പന്നത്തിന്റെ വിവരം</v>
      </c>
      <c r="K592" s="2" t="str">
        <f>IFERROR(__xludf.DUMMYFUNCTION("""COMPUTED_VALUE"""),"ਉਤਪਾਦ ਦੇ ਵੇਰਵੇ")</f>
        <v>ਉਤਪਾਦ ਦੇ ਵੇਰਵੇ</v>
      </c>
      <c r="L592" s="2" t="str">
        <f>IFERROR(__xludf.DUMMYFUNCTION("""COMPUTED_VALUE"""),"பொருள் விவரங்கள்")</f>
        <v>பொருள் விவரங்கள்</v>
      </c>
      <c r="M592" s="2" t="str">
        <f>IFERROR(__xludf.DUMMYFUNCTION("""COMPUTED_VALUE"""),"వస్తువు యొక్క వివరాలు")</f>
        <v>వస్తువు యొక్క వివరాలు</v>
      </c>
    </row>
    <row r="593">
      <c r="A593" s="2" t="str">
        <f>Master_en!A593</f>
        <v>listed</v>
      </c>
      <c r="B593" s="2" t="str">
        <f>Master_en!B593</f>
        <v>Listed</v>
      </c>
      <c r="C593" s="2" t="str">
        <f>IFERROR(__xludf.DUMMYFUNCTION("""COMPUTED_VALUE"""),"তালিকাভুক্ত")</f>
        <v>তালিকাভুক্ত</v>
      </c>
      <c r="D593" s="2" t="str">
        <f>IFERROR(__xludf.DUMMYFUNCTION("""COMPUTED_VALUE"""),"सूचीबद्ध")</f>
        <v>सूचीबद्ध</v>
      </c>
      <c r="E593" s="2" t="str">
        <f>IFERROR(__xludf.DUMMYFUNCTION("""COMPUTED_VALUE"""),"ಪಟ್ಟಿ ಮಾಡಲಾದ")</f>
        <v>ಪಟ್ಟಿ ಮಾಡಲಾದ</v>
      </c>
      <c r="F593" s="2" t="str">
        <f>IFERROR(__xludf.DUMMYFUNCTION("""COMPUTED_VALUE"""),"ତାଲିକାଭୁକ୍ତ |")</f>
        <v>ତାଲିକାଭୁକ୍ତ |</v>
      </c>
      <c r="G593" s="2" t="str">
        <f>IFERROR(__xludf.DUMMYFUNCTION("""COMPUTED_VALUE"""),"তালিকাভুক্ত কৰা হৈছে")</f>
        <v>তালিকাভুক্ত কৰা হৈছে</v>
      </c>
      <c r="H593" s="2" t="str">
        <f>IFERROR(__xludf.DUMMYFUNCTION("""COMPUTED_VALUE"""),"સૂચિબદ્ધ")</f>
        <v>સૂચિબદ્ધ</v>
      </c>
      <c r="I593" s="2" t="str">
        <f>IFERROR(__xludf.DUMMYFUNCTION("""COMPUTED_VALUE"""),"सूचीबद्ध")</f>
        <v>सूचीबद्ध</v>
      </c>
      <c r="J593" s="2" t="str">
        <f>IFERROR(__xludf.DUMMYFUNCTION("""COMPUTED_VALUE"""),"പട്ടികപ്പെടുത്തി")</f>
        <v>പട്ടികപ്പെടുത്തി</v>
      </c>
      <c r="K593" s="2" t="str">
        <f>IFERROR(__xludf.DUMMYFUNCTION("""COMPUTED_VALUE"""),"ਸੂਚੀਬੱਧ")</f>
        <v>ਸੂਚੀਬੱਧ</v>
      </c>
      <c r="L593" s="2" t="str">
        <f>IFERROR(__xludf.DUMMYFUNCTION("""COMPUTED_VALUE"""),"பட்டியலிடப்பட்டுள்ளது")</f>
        <v>பட்டியலிடப்பட்டுள்ளது</v>
      </c>
      <c r="M593" s="2" t="str">
        <f>IFERROR(__xludf.DUMMYFUNCTION("""COMPUTED_VALUE"""),"జాబితా చేయబడింది")</f>
        <v>జాబితా చేయబడింది</v>
      </c>
    </row>
    <row r="594">
      <c r="A594" s="2" t="str">
        <f>Master_en!A594</f>
        <v>unlisted</v>
      </c>
      <c r="B594" s="2" t="str">
        <f>Master_en!B594</f>
        <v>Unlisted</v>
      </c>
      <c r="C594" s="2" t="str">
        <f>IFERROR(__xludf.DUMMYFUNCTION("""COMPUTED_VALUE"""),"তালিকাভুক্ত")</f>
        <v>তালিকাভুক্ত</v>
      </c>
      <c r="D594" s="2" t="str">
        <f>IFERROR(__xludf.DUMMYFUNCTION("""COMPUTED_VALUE"""),"गैर-सूचीबद्ध")</f>
        <v>गैर-सूचीबद्ध</v>
      </c>
      <c r="E594" s="2" t="str">
        <f>IFERROR(__xludf.DUMMYFUNCTION("""COMPUTED_VALUE"""),"ಬೆರ್ರಿ ಹಣ್ಣು")</f>
        <v>ಬೆರ್ರಿ ಹಣ್ಣು</v>
      </c>
      <c r="F594" s="2" t="str">
        <f>IFERROR(__xludf.DUMMYFUNCTION("""COMPUTED_VALUE"""),"ତାଲିକାଭୁକ୍ତ")</f>
        <v>ତାଲିକାଭୁକ୍ତ</v>
      </c>
      <c r="G594" s="2" t="str">
        <f>IFERROR(__xludf.DUMMYFUNCTION("""COMPUTED_VALUE"""),"তালিকাভুক্ত নোহোৱা")</f>
        <v>তালিকাভুক্ত নোহোৱা</v>
      </c>
      <c r="H594" s="2" t="str">
        <f>IFERROR(__xludf.DUMMYFUNCTION("""COMPUTED_VALUE"""),"અસંગત")</f>
        <v>અસંગત</v>
      </c>
      <c r="I594" s="2" t="str">
        <f>IFERROR(__xludf.DUMMYFUNCTION("""COMPUTED_VALUE"""),"अनलिस्टेड")</f>
        <v>अनलिस्टेड</v>
      </c>
      <c r="J594" s="2" t="str">
        <f>IFERROR(__xludf.DUMMYFUNCTION("""COMPUTED_VALUE"""),"ലിസ്റ്റുചെയ്യാത്ത")</f>
        <v>ലിസ്റ്റുചെയ്യാത്ത</v>
      </c>
      <c r="K594" s="2" t="str">
        <f>IFERROR(__xludf.DUMMYFUNCTION("""COMPUTED_VALUE"""),"ਸੂਚੀਬੱਧ")</f>
        <v>ਸੂਚੀਬੱਧ</v>
      </c>
      <c r="L594" s="2" t="str">
        <f>IFERROR(__xludf.DUMMYFUNCTION("""COMPUTED_VALUE"""),"பட்டியலிடப்படாதது")</f>
        <v>பட்டியலிடப்படாதது</v>
      </c>
      <c r="M594" s="2" t="str">
        <f>IFERROR(__xludf.DUMMYFUNCTION("""COMPUTED_VALUE"""),"జాబితా చేయబడలేదు")</f>
        <v>జాబితా చేయబడలేదు</v>
      </c>
    </row>
    <row r="595">
      <c r="A595" s="2" t="str">
        <f>Master_en!A595</f>
        <v>maxReward</v>
      </c>
      <c r="B595" s="2" t="str">
        <f>Master_en!B595</f>
        <v>Max Reward</v>
      </c>
      <c r="C595" s="2" t="str">
        <f>IFERROR(__xludf.DUMMYFUNCTION("""COMPUTED_VALUE"""),"সর্বোচ্চ পুরষ্কার")</f>
        <v>সর্বোচ্চ পুরষ্কার</v>
      </c>
      <c r="D595" s="2" t="str">
        <f>IFERROR(__xludf.DUMMYFUNCTION("""COMPUTED_VALUE"""),"अधिकतम इनाम")</f>
        <v>अधिकतम इनाम</v>
      </c>
      <c r="E595" s="2" t="str">
        <f>IFERROR(__xludf.DUMMYFUNCTION("""COMPUTED_VALUE"""),"ಗರಿಷ್ಠ ಪ್ರತಿಫಲ")</f>
        <v>ಗರಿಷ್ಠ ಪ್ರತಿಫಲ</v>
      </c>
      <c r="F595" s="2" t="str">
        <f>IFERROR(__xludf.DUMMYFUNCTION("""COMPUTED_VALUE"""),"ସର୍ବାଧିକ ପୁରସ୍କାର |")</f>
        <v>ସର୍ବାଧିକ ପୁରସ୍କାର |</v>
      </c>
      <c r="G595" s="2" t="str">
        <f>IFERROR(__xludf.DUMMYFUNCTION("""COMPUTED_VALUE"""),"সৰ্বোচ্চ পুৰস্কাৰ")</f>
        <v>সৰ্বোচ্চ পুৰস্কাৰ</v>
      </c>
      <c r="H595" s="2" t="str">
        <f>IFERROR(__xludf.DUMMYFUNCTION("""COMPUTED_VALUE"""),"મહત્તમ પુરસ્કાર")</f>
        <v>મહત્તમ પુરસ્કાર</v>
      </c>
      <c r="I595" s="2" t="str">
        <f>IFERROR(__xludf.DUMMYFUNCTION("""COMPUTED_VALUE"""),"असूचीबद्ध")</f>
        <v>असूचीबद्ध</v>
      </c>
      <c r="J595" s="2" t="str">
        <f>IFERROR(__xludf.DUMMYFUNCTION("""COMPUTED_VALUE"""),"പരമാവധി പ്രതിഫലം")</f>
        <v>പരമാവധി പ്രതിഫലം</v>
      </c>
      <c r="K595" s="2" t="str">
        <f>IFERROR(__xludf.DUMMYFUNCTION("""COMPUTED_VALUE"""),"ਅਧਿਕਤਮ ਇਨਾਮ")</f>
        <v>ਅਧਿਕਤਮ ਇਨਾਮ</v>
      </c>
      <c r="L595" s="2" t="str">
        <f>IFERROR(__xludf.DUMMYFUNCTION("""COMPUTED_VALUE"""),"அதிகபட்ச வெகுமதி")</f>
        <v>அதிகபட்ச வெகுமதி</v>
      </c>
      <c r="M595" s="2" t="str">
        <f>IFERROR(__xludf.DUMMYFUNCTION("""COMPUTED_VALUE"""),"గరిష్ట బహుమతి")</f>
        <v>గరిష్ట బహుమతి</v>
      </c>
    </row>
    <row r="596">
      <c r="A596" s="2" t="str">
        <f>Master_en!A596</f>
        <v>general</v>
      </c>
      <c r="B596" s="2" t="str">
        <f>Master_en!B596</f>
        <v>General</v>
      </c>
      <c r="C596" s="2" t="str">
        <f>IFERROR(__xludf.DUMMYFUNCTION("""COMPUTED_VALUE"""),"সাধারণ")</f>
        <v>সাধারণ</v>
      </c>
      <c r="D596" s="2" t="str">
        <f>IFERROR(__xludf.DUMMYFUNCTION("""COMPUTED_VALUE"""),"आम")</f>
        <v>आम</v>
      </c>
      <c r="E596" s="2" t="str">
        <f>IFERROR(__xludf.DUMMYFUNCTION("""COMPUTED_VALUE"""),"ಗರಿಷ್ಠ ಬಹುಮಾನ")</f>
        <v>ಗರಿಷ್ಠ ಬಹುಮಾನ</v>
      </c>
      <c r="F596" s="2" t="str">
        <f>IFERROR(__xludf.DUMMYFUNCTION("""COMPUTED_VALUE"""),"ସାଧାରଣ")</f>
        <v>ସାଧାରଣ</v>
      </c>
      <c r="G596" s="2" t="str">
        <f>IFERROR(__xludf.DUMMYFUNCTION("""COMPUTED_VALUE"""),"সাধাৰণ")</f>
        <v>সাধাৰণ</v>
      </c>
      <c r="H596" s="2" t="str">
        <f>IFERROR(__xludf.DUMMYFUNCTION("""COMPUTED_VALUE"""),"સામાન્ય")</f>
        <v>સામાન્ય</v>
      </c>
      <c r="I596" s="2" t="str">
        <f>IFERROR(__xludf.DUMMYFUNCTION("""COMPUTED_VALUE"""),"सामान्य")</f>
        <v>सामान्य</v>
      </c>
      <c r="J596" s="2" t="str">
        <f>IFERROR(__xludf.DUMMYFUNCTION("""COMPUTED_VALUE"""),"പൊതുവായ")</f>
        <v>പൊതുവായ</v>
      </c>
      <c r="K596" s="2" t="str">
        <f>IFERROR(__xludf.DUMMYFUNCTION("""COMPUTED_VALUE"""),"ਜਨਰਲ")</f>
        <v>ਜਨਰਲ</v>
      </c>
      <c r="L596" s="2" t="str">
        <f>IFERROR(__xludf.DUMMYFUNCTION("""COMPUTED_VALUE"""),"பொது")</f>
        <v>பொது</v>
      </c>
      <c r="M596" s="2" t="str">
        <f>IFERROR(__xludf.DUMMYFUNCTION("""COMPUTED_VALUE"""),"జనరల్")</f>
        <v>జనరల్</v>
      </c>
    </row>
    <row r="597">
      <c r="A597" s="2" t="str">
        <f>Master_en!A597</f>
        <v>sellingOption</v>
      </c>
      <c r="B597" s="2" t="str">
        <f>Master_en!B597</f>
        <v>Selling Option</v>
      </c>
      <c r="C597" s="2" t="str">
        <f>IFERROR(__xludf.DUMMYFUNCTION("""COMPUTED_VALUE"""),"বিক্রয় বিকল্প")</f>
        <v>বিক্রয় বিকল্প</v>
      </c>
      <c r="D597" s="2" t="str">
        <f>IFERROR(__xludf.DUMMYFUNCTION("""COMPUTED_VALUE"""),"विक्रय विकल्प")</f>
        <v>विक्रय विकल्प</v>
      </c>
      <c r="E597" s="2" t="str">
        <f>IFERROR(__xludf.DUMMYFUNCTION("""COMPUTED_VALUE"""),"ಪಟ್ಟಿಯಲ್ಲಿ ಸೇರ್ಸದ")</f>
        <v>ಪಟ್ಟಿಯಲ್ಲಿ ಸೇರ್ಸದ</v>
      </c>
      <c r="F597" s="2" t="str">
        <f>IFERROR(__xludf.DUMMYFUNCTION("""COMPUTED_VALUE"""),"ବିକ୍ରୟ ବିକଳ୍ପ |")</f>
        <v>ବିକ୍ରୟ ବିକଳ୍ପ |</v>
      </c>
      <c r="G597" s="2" t="str">
        <f>IFERROR(__xludf.DUMMYFUNCTION("""COMPUTED_VALUE"""),"বিক্ৰীৰ বিকল্প")</f>
        <v>বিক্ৰীৰ বিকল্প</v>
      </c>
      <c r="H597" s="2" t="str">
        <f>IFERROR(__xludf.DUMMYFUNCTION("""COMPUTED_VALUE"""),"વેચાણ વિકલ્પ")</f>
        <v>વેચાણ વિકલ્પ</v>
      </c>
      <c r="I597" s="2" t="str">
        <f>IFERROR(__xludf.DUMMYFUNCTION("""COMPUTED_VALUE"""),"विक्री पर्याय")</f>
        <v>विक्री पर्याय</v>
      </c>
      <c r="J597" s="2" t="str">
        <f>IFERROR(__xludf.DUMMYFUNCTION("""COMPUTED_VALUE"""),"വിൽക്കൽ ഓപ്ഷൻ")</f>
        <v>വിൽക്കൽ ഓപ്ഷൻ</v>
      </c>
      <c r="K597" s="2" t="str">
        <f>IFERROR(__xludf.DUMMYFUNCTION("""COMPUTED_VALUE"""),"ਵੇਚਣ ਦੀ ਚੋਣ")</f>
        <v>ਵੇਚਣ ਦੀ ਚੋਣ</v>
      </c>
      <c r="L597" s="2" t="str">
        <f>IFERROR(__xludf.DUMMYFUNCTION("""COMPUTED_VALUE"""),"விற்பனை விருப்பம்")</f>
        <v>விற்பனை விருப்பம்</v>
      </c>
      <c r="M597" s="2" t="str">
        <f>IFERROR(__xludf.DUMMYFUNCTION("""COMPUTED_VALUE"""),"అమ్మకపు ఎంపిక")</f>
        <v>అమ్మకపు ఎంపిక</v>
      </c>
    </row>
    <row r="598">
      <c r="A598" s="2" t="str">
        <f>Master_en!A598</f>
        <v>inventory</v>
      </c>
      <c r="B598" s="2" t="str">
        <f>Master_en!B598</f>
        <v>Inventory</v>
      </c>
      <c r="C598" s="2" t="str">
        <f>IFERROR(__xludf.DUMMYFUNCTION("""COMPUTED_VALUE"""),"ইনভেন্টরি")</f>
        <v>ইনভেন্টরি</v>
      </c>
      <c r="D598" s="2" t="str">
        <f>IFERROR(__xludf.DUMMYFUNCTION("""COMPUTED_VALUE"""),"भंडार")</f>
        <v>भंडार</v>
      </c>
      <c r="E598" s="2" t="str">
        <f>IFERROR(__xludf.DUMMYFUNCTION("""COMPUTED_VALUE"""),"ದಾಸ್ತಾನು")</f>
        <v>ದಾಸ್ತಾನು</v>
      </c>
      <c r="F598" s="2" t="str">
        <f>IFERROR(__xludf.DUMMYFUNCTION("""COMPUTED_VALUE"""),"ଭଣ୍ଡାର")</f>
        <v>ଭଣ୍ଡାର</v>
      </c>
      <c r="G598" s="2" t="str">
        <f>IFERROR(__xludf.DUMMYFUNCTION("""COMPUTED_VALUE"""),"বস্তুৰ তালিকা")</f>
        <v>বস্তুৰ তালিকা</v>
      </c>
      <c r="H598" s="2" t="str">
        <f>IFERROR(__xludf.DUMMYFUNCTION("""COMPUTED_VALUE"""),"સૂચિ")</f>
        <v>સૂચિ</v>
      </c>
      <c r="I598" s="2" t="str">
        <f>IFERROR(__xludf.DUMMYFUNCTION("""COMPUTED_VALUE"""),"यादी")</f>
        <v>यादी</v>
      </c>
      <c r="J598" s="2" t="str">
        <f>IFERROR(__xludf.DUMMYFUNCTION("""COMPUTED_VALUE"""),"സാധനങ്ങൾ")</f>
        <v>സാധനങ്ങൾ</v>
      </c>
      <c r="K598" s="2" t="str">
        <f>IFERROR(__xludf.DUMMYFUNCTION("""COMPUTED_VALUE"""),"ਵਸਤੂ ਸੂਚੀ")</f>
        <v>ਵਸਤੂ ਸੂਚੀ</v>
      </c>
      <c r="L598" s="2" t="str">
        <f>IFERROR(__xludf.DUMMYFUNCTION("""COMPUTED_VALUE"""),"சரக்கு")</f>
        <v>சரக்கு</v>
      </c>
      <c r="M598" s="2" t="str">
        <f>IFERROR(__xludf.DUMMYFUNCTION("""COMPUTED_VALUE"""),"జాబితా")</f>
        <v>జాబితా</v>
      </c>
    </row>
    <row r="599">
      <c r="A599" s="2" t="str">
        <f>Master_en!A599</f>
        <v>returnOption</v>
      </c>
      <c r="B599" s="2" t="str">
        <f>Master_en!B599</f>
        <v>Return Option</v>
      </c>
      <c r="C599" s="2" t="str">
        <f>IFERROR(__xludf.DUMMYFUNCTION("""COMPUTED_VALUE"""),"রিটার্ন বিকল্প")</f>
        <v>রিটার্ন বিকল্প</v>
      </c>
      <c r="D599" s="2" t="str">
        <f>IFERROR(__xludf.DUMMYFUNCTION("""COMPUTED_VALUE"""),"वापसी विकल्प")</f>
        <v>वापसी विकल्प</v>
      </c>
      <c r="E599" s="2" t="str">
        <f>IFERROR(__xludf.DUMMYFUNCTION("""COMPUTED_VALUE"""),"ರಿಟರ್ನ್ ಆಯ್ಕೆ")</f>
        <v>ರಿಟರ್ನ್ ಆಯ್ಕೆ</v>
      </c>
      <c r="F599" s="2" t="str">
        <f>IFERROR(__xludf.DUMMYFUNCTION("""COMPUTED_VALUE"""),"ଫେରସ୍ତ ବିକଳ୍ପ")</f>
        <v>ଫେରସ୍ତ ବିକଳ୍ପ</v>
      </c>
      <c r="G599" s="2" t="str">
        <f>IFERROR(__xludf.DUMMYFUNCTION("""COMPUTED_VALUE"""),"ৰিটাৰ্ণ বিকল্প")</f>
        <v>ৰিটাৰ্ণ বিকল্প</v>
      </c>
      <c r="H599" s="2" t="str">
        <f>IFERROR(__xludf.DUMMYFUNCTION("""COMPUTED_VALUE"""),"વળતર વિકલ્પ")</f>
        <v>વળતર વિકલ્પ</v>
      </c>
      <c r="I599" s="2" t="str">
        <f>IFERROR(__xludf.DUMMYFUNCTION("""COMPUTED_VALUE"""),"रिटर्न पर्याय")</f>
        <v>रिटर्न पर्याय</v>
      </c>
      <c r="J599" s="2" t="str">
        <f>IFERROR(__xludf.DUMMYFUNCTION("""COMPUTED_VALUE"""),"മടക്ക ഓപ്ഷൻ")</f>
        <v>മടക്ക ഓപ്ഷൻ</v>
      </c>
      <c r="K599" s="2" t="str">
        <f>IFERROR(__xludf.DUMMYFUNCTION("""COMPUTED_VALUE"""),"ਵਾਪਸੀ ਦੀ ਚੋਣ")</f>
        <v>ਵਾਪਸੀ ਦੀ ਚੋਣ</v>
      </c>
      <c r="L599" s="2" t="str">
        <f>IFERROR(__xludf.DUMMYFUNCTION("""COMPUTED_VALUE"""),"திரும்ப விருப்பம்")</f>
        <v>திரும்ப விருப்பம்</v>
      </c>
      <c r="M599" s="2" t="str">
        <f>IFERROR(__xludf.DUMMYFUNCTION("""COMPUTED_VALUE"""),"రిటర్న్ ఎంపిక")</f>
        <v>రిటర్న్ ఎంపిక</v>
      </c>
    </row>
    <row r="600">
      <c r="A600" s="2" t="str">
        <f>Master_en!A600</f>
        <v>DoyouwanttoCanceltheorder?</v>
      </c>
      <c r="B600" s="2" t="str">
        <f>Master_en!B600</f>
        <v>Do you want to Cancel the order ?</v>
      </c>
      <c r="C600" s="2" t="str">
        <f>IFERROR(__xludf.DUMMYFUNCTION("""COMPUTED_VALUE"""),"আপনি কি অর্ডার বাতিল করতে চান?")</f>
        <v>আপনি কি অর্ডার বাতিল করতে চান?</v>
      </c>
      <c r="D600" s="2" t="str">
        <f>IFERROR(__xludf.DUMMYFUNCTION("""COMPUTED_VALUE"""),"क्या आप ऑर्डर रद्द करना चाहते हैं?")</f>
        <v>क्या आप ऑर्डर रद्द करना चाहते हैं?</v>
      </c>
      <c r="E600" s="2" t="str">
        <f>IFERROR(__xludf.DUMMYFUNCTION("""COMPUTED_VALUE"""),"ನೀವು ಆದೇಶವನ್ನು ರದ್ದುಗೊಳಿಸಲು ಬಯಸುವಿರಾ?")</f>
        <v>ನೀವು ಆದೇಶವನ್ನು ರದ್ದುಗೊಳಿಸಲು ಬಯಸುವಿರಾ?</v>
      </c>
      <c r="F600" s="2" t="str">
        <f>IFERROR(__xludf.DUMMYFUNCTION("""COMPUTED_VALUE"""),"ଆପଣ ଅର୍ଡର ବାତିଲ କରିବାକୁ ଚାହୁଁଛନ୍ତି କି?")</f>
        <v>ଆପଣ ଅର୍ଡର ବାତିଲ କରିବାକୁ ଚାହୁଁଛନ୍ତି କି?</v>
      </c>
      <c r="G600" s="2" t="str">
        <f>IFERROR(__xludf.DUMMYFUNCTION("""COMPUTED_VALUE"""),"অৰ্ডাৰ বাতিল কৰিব বিচাৰে নেকি ?")</f>
        <v>অৰ্ডাৰ বাতিল কৰিব বিচাৰে নেকি ?</v>
      </c>
      <c r="H600" s="2" t="str">
        <f>IFERROR(__xludf.DUMMYFUNCTION("""COMPUTED_VALUE"""),"શું તમે ઓર્ડર રદ કરવા માંગો છો?")</f>
        <v>શું તમે ઓર્ડર રદ કરવા માંગો છો?</v>
      </c>
      <c r="I600" s="2" t="str">
        <f>IFERROR(__xludf.DUMMYFUNCTION("""COMPUTED_VALUE"""),"आपण ऑर्डर रद्द करू इच्छिता?")</f>
        <v>आपण ऑर्डर रद्द करू इच्छिता?</v>
      </c>
      <c r="J600" s="2" t="str">
        <f>IFERROR(__xludf.DUMMYFUNCTION("""COMPUTED_VALUE"""),"ഓർഡർ റദ്ദാക്കാൻ നിങ്ങൾ ആഗ്രഹിക്കുന്നുണ്ടോ?")</f>
        <v>ഓർഡർ റദ്ദാക്കാൻ നിങ്ങൾ ആഗ്രഹിക്കുന്നുണ്ടോ?</v>
      </c>
      <c r="K600" s="2" t="str">
        <f>IFERROR(__xludf.DUMMYFUNCTION("""COMPUTED_VALUE"""),"ਕੀ ਤੁਸੀਂ ਆਰਡਰ ਰੱਦ ਕਰਨਾ ਚਾਹੁੰਦੇ ਹੋ?")</f>
        <v>ਕੀ ਤੁਸੀਂ ਆਰਡਰ ਰੱਦ ਕਰਨਾ ਚਾਹੁੰਦੇ ਹੋ?</v>
      </c>
      <c r="L600" s="2" t="str">
        <f>IFERROR(__xludf.DUMMYFUNCTION("""COMPUTED_VALUE"""),"ஆர்டரை ரத்து செய்ய விரும்புகிறீர்களா?")</f>
        <v>ஆர்டரை ரத்து செய்ய விரும்புகிறீர்களா?</v>
      </c>
      <c r="M600" s="2" t="str">
        <f>IFERROR(__xludf.DUMMYFUNCTION("""COMPUTED_VALUE"""),"మీరు ఆర్డర్‌ను రద్దు చేయాలనుకుంటున్నారా?")</f>
        <v>మీరు ఆర్డర్‌ను రద్దు చేయాలనుకుంటున్నారా?</v>
      </c>
    </row>
    <row r="601">
      <c r="A601" s="2" t="str">
        <f>Master_en!A601</f>
        <v>placeOfOrigin</v>
      </c>
      <c r="B601" s="2" t="str">
        <f>Master_en!B601</f>
        <v>Place Of Origin</v>
      </c>
      <c r="C601" s="2" t="str">
        <f>IFERROR(__xludf.DUMMYFUNCTION("""COMPUTED_VALUE"""),"উৎপত্তি স্থল")</f>
        <v>উৎপত্তি স্থল</v>
      </c>
      <c r="D601" s="2" t="str">
        <f>IFERROR(__xludf.DUMMYFUNCTION("""COMPUTED_VALUE"""),"उत्पत्ति का स्थान")</f>
        <v>उत्पत्ति का स्थान</v>
      </c>
      <c r="E601" s="2" t="str">
        <f>IFERROR(__xludf.DUMMYFUNCTION("""COMPUTED_VALUE"""),"ಹುಟ್ಟಿದ ಸ್ಥಳ")</f>
        <v>ಹುಟ್ಟಿದ ಸ್ಥಳ</v>
      </c>
      <c r="F601" s="2" t="str">
        <f>IFERROR(__xludf.DUMMYFUNCTION("""COMPUTED_VALUE"""),"ଉତ୍ପତ୍ତି ସ୍ଥାନ")</f>
        <v>ଉତ୍ପତ୍ତି ସ୍ଥାନ</v>
      </c>
      <c r="G601" s="2" t="str">
        <f>IFERROR(__xludf.DUMMYFUNCTION("""COMPUTED_VALUE"""),"উৎপত্তিস্থল")</f>
        <v>উৎপত্তিস্থল</v>
      </c>
      <c r="H601" s="2" t="str">
        <f>IFERROR(__xludf.DUMMYFUNCTION("""COMPUTED_VALUE"""),"ઉદભવ ની જગ્યા")</f>
        <v>ઉદભવ ની જગ્યા</v>
      </c>
      <c r="I601" s="2" t="str">
        <f>IFERROR(__xludf.DUMMYFUNCTION("""COMPUTED_VALUE"""),"मूळ ठिकाण")</f>
        <v>मूळ ठिकाण</v>
      </c>
      <c r="J601" s="2" t="str">
        <f>IFERROR(__xludf.DUMMYFUNCTION("""COMPUTED_VALUE"""),"ഉത്ഭവ സ്ഥലം")</f>
        <v>ഉത്ഭവ സ്ഥലം</v>
      </c>
      <c r="K601" s="2" t="str">
        <f>IFERROR(__xludf.DUMMYFUNCTION("""COMPUTED_VALUE"""),"ਮੂਲ ਦਾ ਸਥਾਨ")</f>
        <v>ਮੂਲ ਦਾ ਸਥਾਨ</v>
      </c>
      <c r="L601" s="2" t="str">
        <f>IFERROR(__xludf.DUMMYFUNCTION("""COMPUTED_VALUE"""),"தோற்றம் இடம்")</f>
        <v>தோற்றம் இடம்</v>
      </c>
      <c r="M601" s="2" t="str">
        <f>IFERROR(__xludf.DUMMYFUNCTION("""COMPUTED_VALUE"""),"మూల ప్రదేశం")</f>
        <v>మూల ప్రదేశం</v>
      </c>
    </row>
    <row r="602">
      <c r="A602" s="2" t="str">
        <f>Master_en!A602</f>
        <v>aboutProduct</v>
      </c>
      <c r="B602" s="2" t="str">
        <f>Master_en!B602</f>
        <v>About Product</v>
      </c>
      <c r="C602" s="2" t="str">
        <f>IFERROR(__xludf.DUMMYFUNCTION("""COMPUTED_VALUE"""),"পণ্য সম্পর্কে")</f>
        <v>পণ্য সম্পর্কে</v>
      </c>
      <c r="D602" s="2" t="str">
        <f>IFERROR(__xludf.DUMMYFUNCTION("""COMPUTED_VALUE"""),"उत्पाद के बारे में")</f>
        <v>उत्पाद के बारे में</v>
      </c>
      <c r="E602" s="2" t="str">
        <f>IFERROR(__xludf.DUMMYFUNCTION("""COMPUTED_VALUE"""),"ಹಿಂಪಡೆಯುವ ಆಯ್ಕೆ")</f>
        <v>ಹಿಂಪಡೆಯುವ ಆಯ್ಕೆ</v>
      </c>
      <c r="F602" s="2" t="str">
        <f>IFERROR(__xludf.DUMMYFUNCTION("""COMPUTED_VALUE"""),"ଉତ୍ପାଦ ବିଷୟରେ")</f>
        <v>ଉତ୍ପାଦ ବିଷୟରେ</v>
      </c>
      <c r="G602" s="2" t="str">
        <f>IFERROR(__xludf.DUMMYFUNCTION("""COMPUTED_VALUE"""),"প্ৰডাক্টৰ বিষয়ে")</f>
        <v>প্ৰডাক্টৰ বিষয়ে</v>
      </c>
      <c r="H602" s="2" t="str">
        <f>IFERROR(__xludf.DUMMYFUNCTION("""COMPUTED_VALUE"""),"ઉત્પાદન વિશે")</f>
        <v>ઉત્પાદન વિશે</v>
      </c>
      <c r="I602" s="2" t="str">
        <f>IFERROR(__xludf.DUMMYFUNCTION("""COMPUTED_VALUE"""),"उत्पादनाबद्दल")</f>
        <v>उत्पादनाबद्दल</v>
      </c>
      <c r="J602" s="2" t="str">
        <f>IFERROR(__xludf.DUMMYFUNCTION("""COMPUTED_VALUE"""),"ഉൽപ്പന്നത്തെക്കുറിച്ച്")</f>
        <v>ഉൽപ്പന്നത്തെക്കുറിച്ച്</v>
      </c>
      <c r="K602" s="2" t="str">
        <f>IFERROR(__xludf.DUMMYFUNCTION("""COMPUTED_VALUE"""),"ਉਤਪਾਦ ਬਾਰੇ")</f>
        <v>ਉਤਪਾਦ ਬਾਰੇ</v>
      </c>
      <c r="L602" s="2" t="str">
        <f>IFERROR(__xludf.DUMMYFUNCTION("""COMPUTED_VALUE"""),"தயாரிப்பு பற்றி")</f>
        <v>தயாரிப்பு பற்றி</v>
      </c>
      <c r="M602" s="2" t="str">
        <f>IFERROR(__xludf.DUMMYFUNCTION("""COMPUTED_VALUE"""),"ఉత్పత్తి గురించి")</f>
        <v>ఉత్పత్తి గురించి</v>
      </c>
    </row>
    <row r="603">
      <c r="A603" s="2" t="str">
        <f>Master_en!A603</f>
        <v>grading</v>
      </c>
      <c r="B603" s="2" t="str">
        <f>Master_en!B603</f>
        <v>Grading</v>
      </c>
      <c r="C603" s="2" t="str">
        <f>IFERROR(__xludf.DUMMYFUNCTION("""COMPUTED_VALUE"""),"গ্রেডিং")</f>
        <v>গ্রেডিং</v>
      </c>
      <c r="D603" s="2" t="str">
        <f>IFERROR(__xludf.DUMMYFUNCTION("""COMPUTED_VALUE"""),"ग्रेडिंग")</f>
        <v>ग्रेडिंग</v>
      </c>
      <c r="E603" s="2" t="str">
        <f>IFERROR(__xludf.DUMMYFUNCTION("""COMPUTED_VALUE"""),"ಶ್ರೇಣಗೀತೆ")</f>
        <v>ಶ್ರೇಣಗೀತೆ</v>
      </c>
      <c r="F603" s="2" t="str">
        <f>IFERROR(__xludf.DUMMYFUNCTION("""COMPUTED_VALUE"""),"ଗ୍ରେଡିଂ")</f>
        <v>ଗ୍ରେଡିଂ</v>
      </c>
      <c r="G603" s="2" t="str">
        <f>IFERROR(__xludf.DUMMYFUNCTION("""COMPUTED_VALUE"""),"গ্ৰেডিং")</f>
        <v>গ্ৰেডিং</v>
      </c>
      <c r="H603" s="2" t="str">
        <f>IFERROR(__xludf.DUMMYFUNCTION("""COMPUTED_VALUE"""),"ક્રમ")</f>
        <v>ક્રમ</v>
      </c>
      <c r="I603" s="2" t="str">
        <f>IFERROR(__xludf.DUMMYFUNCTION("""COMPUTED_VALUE"""),"ग्रेडिंग")</f>
        <v>ग्रेडिंग</v>
      </c>
      <c r="J603" s="2" t="str">
        <f>IFERROR(__xludf.DUMMYFUNCTION("""COMPUTED_VALUE"""),"ഗ്രേഡിംഗ്")</f>
        <v>ഗ്രേഡിംഗ്</v>
      </c>
      <c r="K603" s="2" t="str">
        <f>IFERROR(__xludf.DUMMYFUNCTION("""COMPUTED_VALUE"""),"ਗਰੇਡਿੰਗ")</f>
        <v>ਗਰੇਡਿੰਗ</v>
      </c>
      <c r="L603" s="2" t="str">
        <f>IFERROR(__xludf.DUMMYFUNCTION("""COMPUTED_VALUE"""),"தரப்படுத்தல்")</f>
        <v>தரப்படுத்தல்</v>
      </c>
      <c r="M603" s="2" t="str">
        <f>IFERROR(__xludf.DUMMYFUNCTION("""COMPUTED_VALUE"""),"గ్రేడింగ్")</f>
        <v>గ్రేడింగ్</v>
      </c>
    </row>
    <row r="604">
      <c r="A604" s="2" t="str">
        <f>Master_en!A604</f>
        <v>camera</v>
      </c>
      <c r="B604" s="2" t="str">
        <f>Master_en!B604</f>
        <v>Camera</v>
      </c>
      <c r="C604" s="2" t="str">
        <f>IFERROR(__xludf.DUMMYFUNCTION("""COMPUTED_VALUE"""),"ক্যামেরা")</f>
        <v>ক্যামেরা</v>
      </c>
      <c r="D604" s="2" t="str">
        <f>IFERROR(__xludf.DUMMYFUNCTION("""COMPUTED_VALUE"""),"कैमरा")</f>
        <v>कैमरा</v>
      </c>
      <c r="E604" s="2" t="str">
        <f>IFERROR(__xludf.DUMMYFUNCTION("""COMPUTED_VALUE"""),"ಬೆಳೆಸುವ ಸ್ಥಳ")</f>
        <v>ಬೆಳೆಸುವ ಸ್ಥಳ</v>
      </c>
      <c r="F604" s="2" t="str">
        <f>IFERROR(__xludf.DUMMYFUNCTION("""COMPUTED_VALUE"""),"କ୍ୟାମେରା")</f>
        <v>କ୍ୟାମେରା</v>
      </c>
      <c r="G604" s="2" t="str">
        <f>IFERROR(__xludf.DUMMYFUNCTION("""COMPUTED_VALUE"""),"কেমেৰা")</f>
        <v>কেমেৰা</v>
      </c>
      <c r="H604" s="2" t="str">
        <f>IFERROR(__xludf.DUMMYFUNCTION("""COMPUTED_VALUE"""),"કેમેરા")</f>
        <v>કેમેરા</v>
      </c>
      <c r="I604" s="2" t="str">
        <f>IFERROR(__xludf.DUMMYFUNCTION("""COMPUTED_VALUE"""),"कॅमेरा")</f>
        <v>कॅमेरा</v>
      </c>
      <c r="J604" s="2" t="str">
        <f>IFERROR(__xludf.DUMMYFUNCTION("""COMPUTED_VALUE"""),"കാമറ")</f>
        <v>കാമറ</v>
      </c>
      <c r="K604" s="2" t="str">
        <f>IFERROR(__xludf.DUMMYFUNCTION("""COMPUTED_VALUE"""),"ਕੈਮਰਾ")</f>
        <v>ਕੈਮਰਾ</v>
      </c>
      <c r="L604" s="2" t="str">
        <f>IFERROR(__xludf.DUMMYFUNCTION("""COMPUTED_VALUE"""),"புகைப்பட கருவி")</f>
        <v>புகைப்பட கருவி</v>
      </c>
      <c r="M604" s="2" t="str">
        <f>IFERROR(__xludf.DUMMYFUNCTION("""COMPUTED_VALUE"""),"కెమెరా")</f>
        <v>కెమెరా</v>
      </c>
    </row>
    <row r="605">
      <c r="A605" s="2" t="str">
        <f>Master_en!A605</f>
        <v>favourites</v>
      </c>
      <c r="B605" s="2" t="str">
        <f>Master_en!B605</f>
        <v>Favourites</v>
      </c>
      <c r="C605" s="2" t="str">
        <f>IFERROR(__xludf.DUMMYFUNCTION("""COMPUTED_VALUE"""),"প্রিয়")</f>
        <v>প্রিয়</v>
      </c>
      <c r="D605" s="2" t="str">
        <f>IFERROR(__xludf.DUMMYFUNCTION("""COMPUTED_VALUE"""),"पसंदीदा")</f>
        <v>पसंदीदा</v>
      </c>
      <c r="E605" s="2" t="str">
        <f>IFERROR(__xludf.DUMMYFUNCTION("""COMPUTED_VALUE"""),"ಮೆಚ್ಚಿನವುಗಳು")</f>
        <v>ಮೆಚ್ಚಿನವುಗಳು</v>
      </c>
      <c r="F605" s="2" t="str">
        <f>IFERROR(__xludf.DUMMYFUNCTION("""COMPUTED_VALUE"""),"ପୂitesାକୁ ଭଲପାଇବା")</f>
        <v>ପୂitesାକୁ ଭଲପାଇବା</v>
      </c>
      <c r="G605" s="2" t="str">
        <f>IFERROR(__xludf.DUMMYFUNCTION("""COMPUTED_VALUE"""),"প্ৰিয়")</f>
        <v>প্ৰিয়</v>
      </c>
      <c r="H605" s="2" t="str">
        <f>IFERROR(__xludf.DUMMYFUNCTION("""COMPUTED_VALUE"""),"પ્રિય")</f>
        <v>પ્રિય</v>
      </c>
      <c r="I605" s="2" t="str">
        <f>IFERROR(__xludf.DUMMYFUNCTION("""COMPUTED_VALUE"""),"आवडी")</f>
        <v>आवडी</v>
      </c>
      <c r="J605" s="2" t="str">
        <f>IFERROR(__xludf.DUMMYFUNCTION("""COMPUTED_VALUE"""),"പ്രിയങ്കരങ്ങൾ")</f>
        <v>പ്രിയങ്കരങ്ങൾ</v>
      </c>
      <c r="K605" s="2" t="str">
        <f>IFERROR(__xludf.DUMMYFUNCTION("""COMPUTED_VALUE"""),"ਮਨਪਸੰਦ")</f>
        <v>ਮਨਪਸੰਦ</v>
      </c>
      <c r="L605" s="2" t="str">
        <f>IFERROR(__xludf.DUMMYFUNCTION("""COMPUTED_VALUE"""),"பிடித்தவை")</f>
        <v>பிடித்தவை</v>
      </c>
      <c r="M605" s="2" t="str">
        <f>IFERROR(__xludf.DUMMYFUNCTION("""COMPUTED_VALUE"""),"ఇష్టమైనవి")</f>
        <v>ఇష్టమైనవి</v>
      </c>
    </row>
    <row r="606">
      <c r="A606" s="2" t="str">
        <f>Master_en!A606</f>
        <v>soldBy</v>
      </c>
      <c r="B606" s="2" t="str">
        <f>Master_en!B606</f>
        <v>Sold By</v>
      </c>
      <c r="C606" s="2" t="str">
        <f>IFERROR(__xludf.DUMMYFUNCTION("""COMPUTED_VALUE"""),"বিক্রিত")</f>
        <v>বিক্রিত</v>
      </c>
      <c r="D606" s="2" t="str">
        <f>IFERROR(__xludf.DUMMYFUNCTION("""COMPUTED_VALUE"""),"द्वारा बेचा")</f>
        <v>द्वारा बेचा</v>
      </c>
      <c r="E606" s="2" t="str">
        <f>IFERROR(__xludf.DUMMYFUNCTION("""COMPUTED_VALUE"""),"ಮಾರಾಟ ಮಾಡಿದೆ")</f>
        <v>ಮಾರಾಟ ಮಾಡಿದೆ</v>
      </c>
      <c r="F606" s="2" t="str">
        <f>IFERROR(__xludf.DUMMYFUNCTION("""COMPUTED_VALUE"""),"ଦ୍ୱାରା ବିକ୍ରି")</f>
        <v>ଦ୍ୱାରା ବିକ୍ରି</v>
      </c>
      <c r="G606" s="2" t="str">
        <f>IFERROR(__xludf.DUMMYFUNCTION("""COMPUTED_VALUE"""),"বিক্ৰী কৰা হৈছে")</f>
        <v>বিক্ৰী কৰা হৈছে</v>
      </c>
      <c r="H606" s="2" t="str">
        <f>IFERROR(__xludf.DUMMYFUNCTION("""COMPUTED_VALUE"""),"ના દ્વારા વેચાણ")</f>
        <v>ના દ્વારા વેચાણ</v>
      </c>
      <c r="I606" s="2" t="str">
        <f>IFERROR(__xludf.DUMMYFUNCTION("""COMPUTED_VALUE"""),"द्वारा विकले")</f>
        <v>द्वारा विकले</v>
      </c>
      <c r="J606" s="2" t="str">
        <f>IFERROR(__xludf.DUMMYFUNCTION("""COMPUTED_VALUE"""),"വിറ്റു")</f>
        <v>വിറ്റു</v>
      </c>
      <c r="K606" s="2" t="str">
        <f>IFERROR(__xludf.DUMMYFUNCTION("""COMPUTED_VALUE"""),"ਦੁਆਰਾ ਵੇਚਿਆ")</f>
        <v>ਦੁਆਰਾ ਵੇਚਿਆ</v>
      </c>
      <c r="L606" s="2" t="str">
        <f>IFERROR(__xludf.DUMMYFUNCTION("""COMPUTED_VALUE"""),"விற்றவர்")</f>
        <v>விற்றவர்</v>
      </c>
      <c r="M606" s="2" t="str">
        <f>IFERROR(__xludf.DUMMYFUNCTION("""COMPUTED_VALUE"""),"విక్రయించబడింది")</f>
        <v>విక్రయించబడింది</v>
      </c>
    </row>
    <row r="607">
      <c r="A607" s="2" t="str">
        <f>Master_en!A607</f>
        <v>street</v>
      </c>
      <c r="B607" s="2" t="str">
        <f>Master_en!B607</f>
        <v>Street</v>
      </c>
      <c r="C607" s="2" t="str">
        <f>IFERROR(__xludf.DUMMYFUNCTION("""COMPUTED_VALUE"""),"রাস্তা")</f>
        <v>রাস্তা</v>
      </c>
      <c r="D607" s="2" t="str">
        <f>IFERROR(__xludf.DUMMYFUNCTION("""COMPUTED_VALUE"""),"गली")</f>
        <v>गली</v>
      </c>
      <c r="E607" s="2" t="str">
        <f>IFERROR(__xludf.DUMMYFUNCTION("""COMPUTED_VALUE"""),"ಬೀದಿ")</f>
        <v>ಬೀದಿ</v>
      </c>
      <c r="F607" s="2" t="str">
        <f>IFERROR(__xludf.DUMMYFUNCTION("""COMPUTED_VALUE"""),"ଗଳି")</f>
        <v>ଗଳି</v>
      </c>
      <c r="G607" s="2" t="str">
        <f>IFERROR(__xludf.DUMMYFUNCTION("""COMPUTED_VALUE"""),"ৰাষ্টা")</f>
        <v>ৰাষ্টা</v>
      </c>
      <c r="H607" s="2" t="str">
        <f>IFERROR(__xludf.DUMMYFUNCTION("""COMPUTED_VALUE"""),"એક જ એક")</f>
        <v>એક જ એક</v>
      </c>
      <c r="I607" s="2" t="str">
        <f>IFERROR(__xludf.DUMMYFUNCTION("""COMPUTED_VALUE"""),"रस्ता")</f>
        <v>रस्ता</v>
      </c>
      <c r="J607" s="2" t="str">
        <f>IFERROR(__xludf.DUMMYFUNCTION("""COMPUTED_VALUE"""),"തെരുവ്")</f>
        <v>തെരുവ്</v>
      </c>
      <c r="K607" s="2" t="str">
        <f>IFERROR(__xludf.DUMMYFUNCTION("""COMPUTED_VALUE"""),"ਗਲੀ")</f>
        <v>ਗਲੀ</v>
      </c>
      <c r="L607" s="2" t="str">
        <f>IFERROR(__xludf.DUMMYFUNCTION("""COMPUTED_VALUE"""),"தெரு")</f>
        <v>தெரு</v>
      </c>
      <c r="M607" s="2" t="str">
        <f>IFERROR(__xludf.DUMMYFUNCTION("""COMPUTED_VALUE"""),"వీధి")</f>
        <v>వీధి</v>
      </c>
    </row>
    <row r="608">
      <c r="A608" s="2" t="str">
        <f>Master_en!A608</f>
        <v>kilogram</v>
      </c>
      <c r="B608" s="2" t="str">
        <f>Master_en!B608</f>
        <v>Kilogram</v>
      </c>
      <c r="C608" s="2" t="str">
        <f>IFERROR(__xludf.DUMMYFUNCTION("""COMPUTED_VALUE"""),"কিলোগ্রাম")</f>
        <v>কিলোগ্রাম</v>
      </c>
      <c r="D608" s="2" t="str">
        <f>IFERROR(__xludf.DUMMYFUNCTION("""COMPUTED_VALUE"""),"किलोग्राम")</f>
        <v>किलोग्राम</v>
      </c>
      <c r="E608" s="2" t="str">
        <f>IFERROR(__xludf.DUMMYFUNCTION("""COMPUTED_VALUE"""),"ಕಿಲೋಗ್ರಾಮ್")</f>
        <v>ಕಿಲೋಗ್ರಾಮ್</v>
      </c>
      <c r="F608" s="2" t="str">
        <f>IFERROR(__xludf.DUMMYFUNCTION("""COMPUTED_VALUE"""),"କିଲୋଗ୍ରାମ")</f>
        <v>କିଲୋଗ୍ରାମ</v>
      </c>
      <c r="G608" s="2" t="str">
        <f>IFERROR(__xludf.DUMMYFUNCTION("""COMPUTED_VALUE"""),"কিলোগ্ৰাম")</f>
        <v>কিলোগ্ৰাম</v>
      </c>
      <c r="H608" s="2" t="str">
        <f>IFERROR(__xludf.DUMMYFUNCTION("""COMPUTED_VALUE"""),"કિલોગ્રામ")</f>
        <v>કિલોગ્રામ</v>
      </c>
      <c r="I608" s="2" t="str">
        <f>IFERROR(__xludf.DUMMYFUNCTION("""COMPUTED_VALUE"""),"किलोग्राम")</f>
        <v>किलोग्राम</v>
      </c>
      <c r="J608" s="2" t="str">
        <f>IFERROR(__xludf.DUMMYFUNCTION("""COMPUTED_VALUE"""),"കിലോഗ്രാം")</f>
        <v>കിലോഗ്രാം</v>
      </c>
      <c r="K608" s="2" t="str">
        <f>IFERROR(__xludf.DUMMYFUNCTION("""COMPUTED_VALUE"""),"ਕਿਲੋਗ੍ਰਾਮ")</f>
        <v>ਕਿਲੋਗ੍ਰਾਮ</v>
      </c>
      <c r="L608" s="2" t="str">
        <f>IFERROR(__xludf.DUMMYFUNCTION("""COMPUTED_VALUE"""),"கிலோகிராம்")</f>
        <v>கிலோகிராம்</v>
      </c>
      <c r="M608" s="2" t="str">
        <f>IFERROR(__xludf.DUMMYFUNCTION("""COMPUTED_VALUE"""),"కిలోగ్రాము")</f>
        <v>కిలోగ్రాము</v>
      </c>
    </row>
    <row r="609">
      <c r="A609" s="2" t="str">
        <f>Master_en!A609</f>
        <v>liter</v>
      </c>
      <c r="B609" s="2" t="str">
        <f>Master_en!B609</f>
        <v>Liter</v>
      </c>
      <c r="C609" s="2" t="str">
        <f>IFERROR(__xludf.DUMMYFUNCTION("""COMPUTED_VALUE"""),"লিটার")</f>
        <v>লিটার</v>
      </c>
      <c r="D609" s="2" t="str">
        <f>IFERROR(__xludf.DUMMYFUNCTION("""COMPUTED_VALUE"""),"लीटर")</f>
        <v>लीटर</v>
      </c>
      <c r="E609" s="2" t="str">
        <f>IFERROR(__xludf.DUMMYFUNCTION("""COMPUTED_VALUE"""),"ಲೀಟರ್")</f>
        <v>ಲೀಟರ್</v>
      </c>
      <c r="F609" s="2" t="str">
        <f>IFERROR(__xludf.DUMMYFUNCTION("""COMPUTED_VALUE"""),"ଲିଟର")</f>
        <v>ଲିଟର</v>
      </c>
      <c r="G609" s="2" t="str">
        <f>IFERROR(__xludf.DUMMYFUNCTION("""COMPUTED_VALUE"""),"লিটাৰ")</f>
        <v>লিটাৰ</v>
      </c>
      <c r="H609" s="2" t="str">
        <f>IFERROR(__xludf.DUMMYFUNCTION("""COMPUTED_VALUE"""),"લિટર")</f>
        <v>લિટર</v>
      </c>
      <c r="I609" s="2" t="str">
        <f>IFERROR(__xludf.DUMMYFUNCTION("""COMPUTED_VALUE"""),"किलोग्रॅम")</f>
        <v>किलोग्रॅम</v>
      </c>
      <c r="J609" s="2" t="str">
        <f>IFERROR(__xludf.DUMMYFUNCTION("""COMPUTED_VALUE"""),"ലിറ്റർ")</f>
        <v>ലിറ്റർ</v>
      </c>
      <c r="K609" s="2" t="str">
        <f>IFERROR(__xludf.DUMMYFUNCTION("""COMPUTED_VALUE"""),"ਲੀਟਰ")</f>
        <v>ਲੀਟਰ</v>
      </c>
      <c r="L609" s="2" t="str">
        <f>IFERROR(__xludf.DUMMYFUNCTION("""COMPUTED_VALUE"""),"லிட்டர்")</f>
        <v>லிட்டர்</v>
      </c>
      <c r="M609" s="2" t="str">
        <f>IFERROR(__xludf.DUMMYFUNCTION("""COMPUTED_VALUE"""),"లీటరు")</f>
        <v>లీటరు</v>
      </c>
    </row>
    <row r="610">
      <c r="A610" s="2" t="str">
        <f>Master_en!A610</f>
        <v>miniQty</v>
      </c>
      <c r="B610" s="2" t="str">
        <f>Master_en!B610</f>
        <v>Mini.qty</v>
      </c>
      <c r="C610" s="2" t="str">
        <f>IFERROR(__xludf.DUMMYFUNCTION("""COMPUTED_VALUE"""),"Mini.qty")</f>
        <v>Mini.qty</v>
      </c>
      <c r="D610" s="2" t="str">
        <f>IFERROR(__xludf.DUMMYFUNCTION("""COMPUTED_VALUE"""),"मिनी मात्रा")</f>
        <v>मिनी मात्रा</v>
      </c>
      <c r="E610" s="2" t="str">
        <f>IFERROR(__xludf.DUMMYFUNCTION("""COMPUTED_VALUE"""),"ಮಿನಿ.ಕ್ಯೂಟಿ")</f>
        <v>ಮಿನಿ.ಕ್ಯೂಟಿ</v>
      </c>
      <c r="F610" s="2" t="str">
        <f>IFERROR(__xludf.DUMMYFUNCTION("""COMPUTED_VALUE"""),"Mini.qty")</f>
        <v>Mini.qty</v>
      </c>
      <c r="G610" s="2" t="str">
        <f>IFERROR(__xludf.DUMMYFUNCTION("""COMPUTED_VALUE"""),"মিনি.কিউটি")</f>
        <v>মিনি.কিউটি</v>
      </c>
      <c r="H610" s="2" t="str">
        <f>IFERROR(__xludf.DUMMYFUNCTION("""COMPUTED_VALUE"""),"મીની.કટી")</f>
        <v>મીની.કટી</v>
      </c>
      <c r="I610" s="2" t="str">
        <f>IFERROR(__xludf.DUMMYFUNCTION("""COMPUTED_VALUE"""),"मिनी.क्यूटी")</f>
        <v>मिनी.क्यूटी</v>
      </c>
      <c r="J610" s="2" t="str">
        <f>IFERROR(__xludf.DUMMYFUNCTION("""COMPUTED_VALUE"""),"Mini.qyty")</f>
        <v>Mini.qyty</v>
      </c>
      <c r="K610" s="2" t="str">
        <f>IFERROR(__xludf.DUMMYFUNCTION("""COMPUTED_VALUE"""),"Mini.qty")</f>
        <v>Mini.qty</v>
      </c>
      <c r="L610" s="2" t="str">
        <f>IFERROR(__xludf.DUMMYFUNCTION("""COMPUTED_VALUE"""),"Mini.qty")</f>
        <v>Mini.qty</v>
      </c>
      <c r="M610" s="2" t="str">
        <f>IFERROR(__xludf.DUMMYFUNCTION("""COMPUTED_VALUE"""),"Mini.qty")</f>
        <v>Mini.qty</v>
      </c>
    </row>
    <row r="611">
      <c r="A611" s="2" t="str">
        <f>Master_en!A611</f>
        <v>perOrderdiscount</v>
      </c>
      <c r="B611" s="2" t="str">
        <f>Master_en!B611</f>
        <v>Per Order Discount</v>
      </c>
      <c r="C611" s="2" t="str">
        <f>IFERROR(__xludf.DUMMYFUNCTION("""COMPUTED_VALUE"""),"প্রতি অর্ডার ছাড়")</f>
        <v>প্রতি অর্ডার ছাড়</v>
      </c>
      <c r="D611" s="2" t="str">
        <f>IFERROR(__xludf.DUMMYFUNCTION("""COMPUTED_VALUE"""),"प्रति आदेश छूट")</f>
        <v>प्रति आदेश छूट</v>
      </c>
      <c r="E611" s="2" t="str">
        <f>IFERROR(__xludf.DUMMYFUNCTION("""COMPUTED_VALUE"""),"ಪ್ರತಿ ಆದೇಶ ರಿಯಾಯಿತಿಗೆ")</f>
        <v>ಪ್ರತಿ ಆದೇಶ ರಿಯಾಯಿತಿಗೆ</v>
      </c>
      <c r="F611" s="2" t="str">
        <f>IFERROR(__xludf.DUMMYFUNCTION("""COMPUTED_VALUE"""),"ଅର୍ଡର ରିହାତି ପାଇଁ |")</f>
        <v>ଅର୍ଡର ରିହାତି ପାଇଁ |</v>
      </c>
      <c r="G611" s="2" t="str">
        <f>IFERROR(__xludf.DUMMYFUNCTION("""COMPUTED_VALUE"""),"প্ৰতি অৰ্ডাৰ ৰেহাই")</f>
        <v>প্ৰতি অৰ্ডাৰ ৰেহাই</v>
      </c>
      <c r="H611" s="2" t="str">
        <f>IFERROR(__xludf.DUMMYFUNCTION("""COMPUTED_VALUE"""),"ઓર્ડર ડિસ્કાઉન્ટ")</f>
        <v>ઓર્ડર ડિસ્કાઉન્ટ</v>
      </c>
      <c r="I611" s="2" t="str">
        <f>IFERROR(__xludf.DUMMYFUNCTION("""COMPUTED_VALUE"""),"किमान प्रमाण")</f>
        <v>किमान प्रमाण</v>
      </c>
      <c r="J611" s="2" t="str">
        <f>IFERROR(__xludf.DUMMYFUNCTION("""COMPUTED_VALUE"""),"ഓരോ ഓർഡർ ഡിസ്കൗണ്ടിനും")</f>
        <v>ഓരോ ഓർഡർ ഡിസ്കൗണ്ടിനും</v>
      </c>
      <c r="K611" s="2" t="str">
        <f>IFERROR(__xludf.DUMMYFUNCTION("""COMPUTED_VALUE"""),"ਪ੍ਰਤੀ ਆਰਡਰ ਛੂਟ")</f>
        <v>ਪ੍ਰਤੀ ਆਰਡਰ ਛੂਟ</v>
      </c>
      <c r="L611" s="2" t="str">
        <f>IFERROR(__xludf.DUMMYFUNCTION("""COMPUTED_VALUE"""),"ஒரு ஆர்டருக்கு தள்ளுபடி")</f>
        <v>ஒரு ஆர்டருக்கு தள்ளுபடி</v>
      </c>
      <c r="M611" s="2" t="str">
        <f>IFERROR(__xludf.DUMMYFUNCTION("""COMPUTED_VALUE"""),"ఆర్డర్ డిస్కౌంట్")</f>
        <v>ఆర్డర్ డిస్కౌంట్</v>
      </c>
    </row>
    <row r="612">
      <c r="A612" s="2" t="str">
        <f>Master_en!A612</f>
        <v>maxQty</v>
      </c>
      <c r="B612" s="2" t="str">
        <f>Master_en!B612</f>
        <v>Max qty</v>
      </c>
      <c r="C612" s="2" t="str">
        <f>IFERROR(__xludf.DUMMYFUNCTION("""COMPUTED_VALUE"""),"সর্বোচ্চ কিউটি")</f>
        <v>সর্বোচ্চ কিউটি</v>
      </c>
      <c r="D612" s="2" t="str">
        <f>IFERROR(__xludf.DUMMYFUNCTION("""COMPUTED_VALUE"""),"मैक्स क्यूटी")</f>
        <v>मैक्स क्यूटी</v>
      </c>
      <c r="E612" s="2" t="str">
        <f>IFERROR(__xludf.DUMMYFUNCTION("""COMPUTED_VALUE"""),"ಮ್ಯಾಕ್ಸ್ ಕ್ಯೂಟಿ")</f>
        <v>ಮ್ಯಾಕ್ಸ್ ಕ್ಯೂಟಿ</v>
      </c>
      <c r="F612" s="2" t="str">
        <f>IFERROR(__xludf.DUMMYFUNCTION("""COMPUTED_VALUE"""),"ସର୍ବାଧିକ Qty")</f>
        <v>ସର୍ବାଧିକ Qty</v>
      </c>
      <c r="G612" s="2" t="str">
        <f>IFERROR(__xludf.DUMMYFUNCTION("""COMPUTED_VALUE"""),"সৰ্বোচ্চ পৰিমাণ")</f>
        <v>সৰ্বোচ্চ পৰিমাণ</v>
      </c>
      <c r="H612" s="2" t="str">
        <f>IFERROR(__xludf.DUMMYFUNCTION("""COMPUTED_VALUE"""),"મહત્તમ QTY")</f>
        <v>મહત્તમ QTY</v>
      </c>
      <c r="I612" s="2" t="str">
        <f>IFERROR(__xludf.DUMMYFUNCTION("""COMPUTED_VALUE"""),"कमाल क्वाटी")</f>
        <v>कमाल क्वाटी</v>
      </c>
      <c r="J612" s="2" t="str">
        <f>IFERROR(__xludf.DUMMYFUNCTION("""COMPUTED_VALUE"""),"പരമാവധി ക്രിയ")</f>
        <v>പരമാവധി ക്രിയ</v>
      </c>
      <c r="K612" s="2" t="str">
        <f>IFERROR(__xludf.DUMMYFUNCTION("""COMPUTED_VALUE"""),"ਮੈਕਸ ਕਿਟੀ")</f>
        <v>ਮੈਕਸ ਕਿਟੀ</v>
      </c>
      <c r="L612" s="2" t="str">
        <f>IFERROR(__xludf.DUMMYFUNCTION("""COMPUTED_VALUE"""),"அதிகபட்ச QTY")</f>
        <v>அதிகபட்ச QTY</v>
      </c>
      <c r="M612" s="2" t="str">
        <f>IFERROR(__xludf.DUMMYFUNCTION("""COMPUTED_VALUE"""),"గరిష్ట Qty")</f>
        <v>గరిష్ట Qty</v>
      </c>
    </row>
    <row r="613">
      <c r="A613" s="2" t="str">
        <f>Master_en!A613</f>
        <v>regularprice</v>
      </c>
      <c r="B613" s="2" t="str">
        <f>Master_en!B613</f>
        <v>Regular Price</v>
      </c>
      <c r="C613" s="2" t="str">
        <f>IFERROR(__xludf.DUMMYFUNCTION("""COMPUTED_VALUE"""),"নিয়মিত দাম")</f>
        <v>নিয়মিত দাম</v>
      </c>
      <c r="D613" s="2" t="str">
        <f>IFERROR(__xludf.DUMMYFUNCTION("""COMPUTED_VALUE"""),"नियमित रूप से मूल्य")</f>
        <v>नियमित रूप से मूल्य</v>
      </c>
      <c r="E613" s="2" t="str">
        <f>IFERROR(__xludf.DUMMYFUNCTION("""COMPUTED_VALUE"""),"ಕನಿಷ್ಠ ಪ್ರಮಾಣ")</f>
        <v>ಕನಿಷ್ಠ ಪ್ರಮಾಣ</v>
      </c>
      <c r="F613" s="2" t="str">
        <f>IFERROR(__xludf.DUMMYFUNCTION("""COMPUTED_VALUE"""),"ନିୟମିତ ମୂଲ୍ୟ")</f>
        <v>ନିୟମିତ ମୂଲ୍ୟ</v>
      </c>
      <c r="G613" s="2" t="str">
        <f>IFERROR(__xludf.DUMMYFUNCTION("""COMPUTED_VALUE"""),"নিয়মীয়া মূল্য")</f>
        <v>নিয়মীয়া মূল্য</v>
      </c>
      <c r="H613" s="2" t="str">
        <f>IFERROR(__xludf.DUMMYFUNCTION("""COMPUTED_VALUE"""),"નિયમિત ભાવ")</f>
        <v>નિયમિત ભાવ</v>
      </c>
      <c r="I613" s="2" t="str">
        <f>IFERROR(__xludf.DUMMYFUNCTION("""COMPUTED_VALUE"""),"कमाल  प्रमाण")</f>
        <v>कमाल  प्रमाण</v>
      </c>
      <c r="J613" s="2" t="str">
        <f>IFERROR(__xludf.DUMMYFUNCTION("""COMPUTED_VALUE"""),"സാധാരണ വില")</f>
        <v>സാധാരണ വില</v>
      </c>
      <c r="K613" s="2" t="str">
        <f>IFERROR(__xludf.DUMMYFUNCTION("""COMPUTED_VALUE"""),"ਨਿਯਮਤ ਕੀਮਤ")</f>
        <v>ਨਿਯਮਤ ਕੀਮਤ</v>
      </c>
      <c r="L613" s="2" t="str">
        <f>IFERROR(__xludf.DUMMYFUNCTION("""COMPUTED_VALUE"""),"வழக்கமான விலை")</f>
        <v>வழக்கமான விலை</v>
      </c>
      <c r="M613" s="2" t="str">
        <f>IFERROR(__xludf.DUMMYFUNCTION("""COMPUTED_VALUE"""),"సాధారణ ధర")</f>
        <v>సాధారణ ధర</v>
      </c>
    </row>
    <row r="614">
      <c r="A614" s="2" t="str">
        <f>Master_en!A614</f>
        <v>discountprice</v>
      </c>
      <c r="B614" s="2" t="str">
        <f>Master_en!B614</f>
        <v>Discount Price</v>
      </c>
      <c r="C614" s="2" t="str">
        <f>IFERROR(__xludf.DUMMYFUNCTION("""COMPUTED_VALUE"""),"ডিসকাউন্ট মূল্য")</f>
        <v>ডিসকাউন্ট মূল্য</v>
      </c>
      <c r="D614" s="2" t="str">
        <f>IFERROR(__xludf.DUMMYFUNCTION("""COMPUTED_VALUE"""),"डिस्काउंट कीमत")</f>
        <v>डिस्काउंट कीमत</v>
      </c>
      <c r="E614" s="2" t="str">
        <f>IFERROR(__xludf.DUMMYFUNCTION("""COMPUTED_VALUE"""),"ರಿಯಾಯಿತಿ ಬೆಲೆ")</f>
        <v>ರಿಯಾಯಿತಿ ಬೆಲೆ</v>
      </c>
      <c r="F614" s="2" t="str">
        <f>IFERROR(__xludf.DUMMYFUNCTION("""COMPUTED_VALUE"""),"ରିହାତି ମୂଲ୍ୟ")</f>
        <v>ରିହାତି ମୂଲ୍ୟ</v>
      </c>
      <c r="G614" s="2" t="str">
        <f>IFERROR(__xludf.DUMMYFUNCTION("""COMPUTED_VALUE"""),"ৰেহাই মূল্য")</f>
        <v>ৰেহাই মূল্য</v>
      </c>
      <c r="H614" s="2" t="str">
        <f>IFERROR(__xludf.DUMMYFUNCTION("""COMPUTED_VALUE"""),"વિતરિત કિંમત")</f>
        <v>વિતરિત કિંમત</v>
      </c>
      <c r="I614" s="2" t="str">
        <f>IFERROR(__xludf.DUMMYFUNCTION("""COMPUTED_VALUE"""),"सवलत किंमत")</f>
        <v>सवलत किंमत</v>
      </c>
      <c r="J614" s="2" t="str">
        <f>IFERROR(__xludf.DUMMYFUNCTION("""COMPUTED_VALUE"""),"കിഴിവ് വില")</f>
        <v>കിഴിവ് വില</v>
      </c>
      <c r="K614" s="2" t="str">
        <f>IFERROR(__xludf.DUMMYFUNCTION("""COMPUTED_VALUE"""),"ਛੂਟ ਕੀਮਤ")</f>
        <v>ਛੂਟ ਕੀਮਤ</v>
      </c>
      <c r="L614" s="2" t="str">
        <f>IFERROR(__xludf.DUMMYFUNCTION("""COMPUTED_VALUE"""),"தள்ளுபடி விலை")</f>
        <v>தள்ளுபடி விலை</v>
      </c>
      <c r="M614" s="2" t="str">
        <f>IFERROR(__xludf.DUMMYFUNCTION("""COMPUTED_VALUE"""),"డిస్కౌంట్ ధర")</f>
        <v>డిస్కౌంట్ ధర</v>
      </c>
    </row>
    <row r="615">
      <c r="A615" s="2" t="str">
        <f>Master_en!A615</f>
        <v>miniPrice</v>
      </c>
      <c r="B615" s="2" t="str">
        <f>Master_en!B615</f>
        <v>Mini price</v>
      </c>
      <c r="C615" s="2" t="str">
        <f>IFERROR(__xludf.DUMMYFUNCTION("""COMPUTED_VALUE"""),"মিনি দাম")</f>
        <v>মিনি দাম</v>
      </c>
      <c r="D615" s="2" t="str">
        <f>IFERROR(__xludf.DUMMYFUNCTION("""COMPUTED_VALUE"""),"अधिकतम मात्रा")</f>
        <v>अधिकतम मात्रा</v>
      </c>
      <c r="E615" s="2" t="str">
        <f>IFERROR(__xludf.DUMMYFUNCTION("""COMPUTED_VALUE"""),"ಕಿರು ಬೆಲೆ")</f>
        <v>ಕಿರು ಬೆಲೆ</v>
      </c>
      <c r="F615" s="2" t="str">
        <f>IFERROR(__xludf.DUMMYFUNCTION("""COMPUTED_VALUE"""),"ମିନି ମୂଲ୍ୟ")</f>
        <v>ମିନି ମୂଲ୍ୟ</v>
      </c>
      <c r="G615" s="2" t="str">
        <f>IFERROR(__xludf.DUMMYFUNCTION("""COMPUTED_VALUE"""),"মিনি দাম")</f>
        <v>মিনি দাম</v>
      </c>
      <c r="H615" s="2" t="str">
        <f>IFERROR(__xludf.DUMMYFUNCTION("""COMPUTED_VALUE"""),"લઘુ -કિંમત")</f>
        <v>લઘુ -કિંમત</v>
      </c>
      <c r="I615" s="2" t="str">
        <f>IFERROR(__xludf.DUMMYFUNCTION("""COMPUTED_VALUE"""),"मिनी किंमत")</f>
        <v>मिनी किंमत</v>
      </c>
      <c r="J615" s="2" t="str">
        <f>IFERROR(__xludf.DUMMYFUNCTION("""COMPUTED_VALUE"""),"മിനി വില")</f>
        <v>മിനി വില</v>
      </c>
      <c r="K615" s="2" t="str">
        <f>IFERROR(__xludf.DUMMYFUNCTION("""COMPUTED_VALUE"""),"ਮਿਨੀ ਕੀਮਤ")</f>
        <v>ਮਿਨੀ ਕੀਮਤ</v>
      </c>
      <c r="L615" s="2" t="str">
        <f>IFERROR(__xludf.DUMMYFUNCTION("""COMPUTED_VALUE"""),"மினி விலை")</f>
        <v>மினி விலை</v>
      </c>
      <c r="M615" s="2" t="str">
        <f>IFERROR(__xludf.DUMMYFUNCTION("""COMPUTED_VALUE"""),"మినీ ధర")</f>
        <v>మినీ ధర</v>
      </c>
    </row>
    <row r="616">
      <c r="A616" s="2" t="str">
        <f>Master_en!A616</f>
        <v>quantity</v>
      </c>
      <c r="B616" s="2" t="str">
        <f>Master_en!B616</f>
        <v>Quantity</v>
      </c>
      <c r="C616" s="2" t="str">
        <f>IFERROR(__xludf.DUMMYFUNCTION("""COMPUTED_VALUE"""),"পরিমাণ")</f>
        <v>পরিমাণ</v>
      </c>
      <c r="D616" s="2" t="str">
        <f>IFERROR(__xludf.DUMMYFUNCTION("""COMPUTED_VALUE"""),"मात्रा")</f>
        <v>मात्रा</v>
      </c>
      <c r="E616" s="2" t="str">
        <f>IFERROR(__xludf.DUMMYFUNCTION("""COMPUTED_VALUE"""),"ಪ್ರಮಾಣ")</f>
        <v>ಪ್ರಮಾಣ</v>
      </c>
      <c r="F616" s="2" t="str">
        <f>IFERROR(__xludf.DUMMYFUNCTION("""COMPUTED_VALUE"""),"ପରିମାଣ")</f>
        <v>ପରିମାଣ</v>
      </c>
      <c r="G616" s="2" t="str">
        <f>IFERROR(__xludf.DUMMYFUNCTION("""COMPUTED_VALUE"""),"পৰিমাণ")</f>
        <v>পৰিমাণ</v>
      </c>
      <c r="H616" s="2" t="str">
        <f>IFERROR(__xludf.DUMMYFUNCTION("""COMPUTED_VALUE"""),"જથ્થો")</f>
        <v>જથ્થો</v>
      </c>
      <c r="I616" s="2" t="str">
        <f>IFERROR(__xludf.DUMMYFUNCTION("""COMPUTED_VALUE"""),"किमान किंमत")</f>
        <v>किमान किंमत</v>
      </c>
      <c r="J616" s="2" t="str">
        <f>IFERROR(__xludf.DUMMYFUNCTION("""COMPUTED_VALUE"""),"അളവ്")</f>
        <v>അളവ്</v>
      </c>
      <c r="K616" s="2" t="str">
        <f>IFERROR(__xludf.DUMMYFUNCTION("""COMPUTED_VALUE"""),"ਮਾਤਰਾ")</f>
        <v>ਮਾਤਰਾ</v>
      </c>
      <c r="L616" s="2" t="str">
        <f>IFERROR(__xludf.DUMMYFUNCTION("""COMPUTED_VALUE"""),"அளவு")</f>
        <v>அளவு</v>
      </c>
      <c r="M616" s="2" t="str">
        <f>IFERROR(__xludf.DUMMYFUNCTION("""COMPUTED_VALUE"""),"పరిమాణం")</f>
        <v>పరిమాణం</v>
      </c>
    </row>
    <row r="617">
      <c r="A617" s="2" t="str">
        <f>Master_en!A617</f>
        <v>costPrice</v>
      </c>
      <c r="B617" s="2" t="str">
        <f>Master_en!B617</f>
        <v>Cost Price</v>
      </c>
      <c r="C617" s="2" t="str">
        <f>IFERROR(__xludf.DUMMYFUNCTION("""COMPUTED_VALUE"""),"কেনা দাম")</f>
        <v>কেনা দাম</v>
      </c>
      <c r="D617" s="2" t="str">
        <f>IFERROR(__xludf.DUMMYFUNCTION("""COMPUTED_VALUE"""),"लागत मूल्य")</f>
        <v>लागत मूल्य</v>
      </c>
      <c r="E617" s="2" t="str">
        <f>IFERROR(__xludf.DUMMYFUNCTION("""COMPUTED_VALUE"""),"ಅಸಲಿನ ಬೆಲೆ")</f>
        <v>ಅಸಲಿನ ಬೆಲೆ</v>
      </c>
      <c r="F617" s="2" t="str">
        <f>IFERROR(__xludf.DUMMYFUNCTION("""COMPUTED_VALUE"""),"ମୂଲ୍ୟ")</f>
        <v>ମୂଲ୍ୟ</v>
      </c>
      <c r="G617" s="2" t="str">
        <f>IFERROR(__xludf.DUMMYFUNCTION("""COMPUTED_VALUE"""),"খৰচৰ মূল্য")</f>
        <v>খৰচৰ মূল্য</v>
      </c>
      <c r="H617" s="2" t="str">
        <f>IFERROR(__xludf.DUMMYFUNCTION("""COMPUTED_VALUE"""),"પડતી કિંમત")</f>
        <v>પડતી કિંમત</v>
      </c>
      <c r="I617" s="2" t="str">
        <f>IFERROR(__xludf.DUMMYFUNCTION("""COMPUTED_VALUE"""),"किंमत किंमत")</f>
        <v>किंमत किंमत</v>
      </c>
      <c r="J617" s="2" t="str">
        <f>IFERROR(__xludf.DUMMYFUNCTION("""COMPUTED_VALUE"""),"വില വില")</f>
        <v>വില വില</v>
      </c>
      <c r="K617" s="2" t="str">
        <f>IFERROR(__xludf.DUMMYFUNCTION("""COMPUTED_VALUE"""),"ਲਾਗਤ ਕੀਮਤ")</f>
        <v>ਲਾਗਤ ਕੀਮਤ</v>
      </c>
      <c r="L617" s="2" t="str">
        <f>IFERROR(__xludf.DUMMYFUNCTION("""COMPUTED_VALUE"""),"செலவு விலை")</f>
        <v>செலவு விலை</v>
      </c>
      <c r="M617" s="2" t="str">
        <f>IFERROR(__xludf.DUMMYFUNCTION("""COMPUTED_VALUE"""),"ఖర్చు ధర")</f>
        <v>ఖర్చు ధర</v>
      </c>
    </row>
    <row r="618">
      <c r="A618" s="2" t="str">
        <f>Master_en!A618</f>
        <v>sku</v>
      </c>
      <c r="B618" s="2" t="str">
        <f>Master_en!B618</f>
        <v>SKU</v>
      </c>
      <c r="C618" s="2" t="str">
        <f>IFERROR(__xludf.DUMMYFUNCTION("""COMPUTED_VALUE"""),"স্কু")</f>
        <v>স্কু</v>
      </c>
      <c r="D618" s="2" t="str">
        <f>IFERROR(__xludf.DUMMYFUNCTION("""COMPUTED_VALUE"""),"स्कू")</f>
        <v>स्कू</v>
      </c>
      <c r="E618" s="2" t="str">
        <f>IFERROR(__xludf.DUMMYFUNCTION("""COMPUTED_VALUE"""),"ಒಂದು ಬಗೆಯ")</f>
        <v>ಒಂದು ಬಗೆಯ</v>
      </c>
      <c r="F618" s="2" t="str">
        <f>IFERROR(__xludf.DUMMYFUNCTION("""COMPUTED_VALUE"""),"SKU")</f>
        <v>SKU</v>
      </c>
      <c r="G618" s="2" t="str">
        <f>IFERROR(__xludf.DUMMYFUNCTION("""COMPUTED_VALUE"""),"SKU")</f>
        <v>SKU</v>
      </c>
      <c r="H618" s="2" t="str">
        <f>IFERROR(__xludf.DUMMYFUNCTION("""COMPUTED_VALUE"""),"છીનવી લેવું")</f>
        <v>છીનવી લેવું</v>
      </c>
      <c r="I618" s="2" t="str">
        <f>IFERROR(__xludf.DUMMYFUNCTION("""COMPUTED_VALUE"""),"किंमत ")</f>
        <v>किंमत </v>
      </c>
      <c r="J618" s="2" t="str">
        <f>IFERROR(__xludf.DUMMYFUNCTION("""COMPUTED_VALUE"""),"SKU")</f>
        <v>SKU</v>
      </c>
      <c r="K618" s="2" t="str">
        <f>IFERROR(__xludf.DUMMYFUNCTION("""COMPUTED_VALUE"""),"Sku")</f>
        <v>Sku</v>
      </c>
      <c r="L618" s="2" t="str">
        <f>IFERROR(__xludf.DUMMYFUNCTION("""COMPUTED_VALUE"""),"SKU")</f>
        <v>SKU</v>
      </c>
      <c r="M618" s="2" t="str">
        <f>IFERROR(__xludf.DUMMYFUNCTION("""COMPUTED_VALUE"""),"స్కు")</f>
        <v>స్కు</v>
      </c>
    </row>
    <row r="619">
      <c r="A619" s="2" t="str">
        <f>Master_en!A619</f>
        <v>stockStatus</v>
      </c>
      <c r="B619" s="2" t="str">
        <f>Master_en!B619</f>
        <v>Stock Status</v>
      </c>
      <c r="C619" s="2" t="str">
        <f>IFERROR(__xludf.DUMMYFUNCTION("""COMPUTED_VALUE"""),"স্টক অবস্থা")</f>
        <v>স্টক অবস্থা</v>
      </c>
      <c r="D619" s="2" t="str">
        <f>IFERROR(__xludf.DUMMYFUNCTION("""COMPUTED_VALUE"""),"स्टॉक की अवस्था")</f>
        <v>स्टॉक की अवस्था</v>
      </c>
      <c r="E619" s="2" t="str">
        <f>IFERROR(__xludf.DUMMYFUNCTION("""COMPUTED_VALUE"""),"ಷೇರುಗಳ ಸ್ಥಿತಿ")</f>
        <v>ಷೇರುಗಳ ಸ್ಥಿತಿ</v>
      </c>
      <c r="F619" s="2" t="str">
        <f>IFERROR(__xludf.DUMMYFUNCTION("""COMPUTED_VALUE"""),"ଷ୍ଟକ୍ ସ୍ଥିତି")</f>
        <v>ଷ୍ଟକ୍ ସ୍ଥିତି</v>
      </c>
      <c r="G619" s="2" t="str">
        <f>IFERROR(__xludf.DUMMYFUNCTION("""COMPUTED_VALUE"""),"ষ্টক ষ্টেটাছ")</f>
        <v>ষ্টক ষ্টেটাছ</v>
      </c>
      <c r="H619" s="2" t="str">
        <f>IFERROR(__xludf.DUMMYFUNCTION("""COMPUTED_VALUE"""),"માલની સ્થિતિ")</f>
        <v>માલની સ્થિતિ</v>
      </c>
      <c r="I619" s="2" t="str">
        <f>IFERROR(__xludf.DUMMYFUNCTION("""COMPUTED_VALUE"""),"स्टॉक स्थिती")</f>
        <v>स्टॉक स्थिती</v>
      </c>
      <c r="J619" s="2" t="str">
        <f>IFERROR(__xludf.DUMMYFUNCTION("""COMPUTED_VALUE"""),"സ്റ്റോക്ക് നില")</f>
        <v>സ്റ്റോക്ക് നില</v>
      </c>
      <c r="K619" s="2" t="str">
        <f>IFERROR(__xludf.DUMMYFUNCTION("""COMPUTED_VALUE"""),"ਸਟਾਕ ਸਥਿਤੀ")</f>
        <v>ਸਟਾਕ ਸਥਿਤੀ</v>
      </c>
      <c r="L619" s="2" t="str">
        <f>IFERROR(__xludf.DUMMYFUNCTION("""COMPUTED_VALUE"""),"கையிருப்பு நிலை ")</f>
        <v>கையிருப்பு நிலை </v>
      </c>
      <c r="M619" s="2" t="str">
        <f>IFERROR(__xludf.DUMMYFUNCTION("""COMPUTED_VALUE"""),"స్టాక్ స్థితి")</f>
        <v>స్టాక్ స్థితి</v>
      </c>
    </row>
    <row r="620">
      <c r="A620" s="2" t="str">
        <f>Master_en!A620</f>
        <v>days</v>
      </c>
      <c r="B620" s="2" t="str">
        <f>Master_en!B620</f>
        <v>Days</v>
      </c>
      <c r="C620" s="2" t="str">
        <f>IFERROR(__xludf.DUMMYFUNCTION("""COMPUTED_VALUE"""),"দিন")</f>
        <v>দিন</v>
      </c>
      <c r="D620" s="2" t="str">
        <f>IFERROR(__xludf.DUMMYFUNCTION("""COMPUTED_VALUE"""),"दिन")</f>
        <v>दिन</v>
      </c>
      <c r="E620" s="2" t="str">
        <f>IFERROR(__xludf.DUMMYFUNCTION("""COMPUTED_VALUE"""),"ದೆವ್ವ")</f>
        <v>ದೆವ್ವ</v>
      </c>
      <c r="F620" s="2" t="str">
        <f>IFERROR(__xludf.DUMMYFUNCTION("""COMPUTED_VALUE"""),"ଦିନ")</f>
        <v>ଦିନ</v>
      </c>
      <c r="G620" s="2" t="str">
        <f>IFERROR(__xludf.DUMMYFUNCTION("""COMPUTED_VALUE"""),"দিন")</f>
        <v>দিন</v>
      </c>
      <c r="H620" s="2" t="str">
        <f>IFERROR(__xludf.DUMMYFUNCTION("""COMPUTED_VALUE"""),"દિવસ")</f>
        <v>દિવસ</v>
      </c>
      <c r="I620" s="2" t="str">
        <f>IFERROR(__xludf.DUMMYFUNCTION("""COMPUTED_VALUE"""),"दिवस")</f>
        <v>दिवस</v>
      </c>
      <c r="J620" s="2" t="str">
        <f>IFERROR(__xludf.DUMMYFUNCTION("""COMPUTED_VALUE"""),"ദിവസങ്ങളിൽ")</f>
        <v>ദിവസങ്ങളിൽ</v>
      </c>
      <c r="K620" s="2" t="str">
        <f>IFERROR(__xludf.DUMMYFUNCTION("""COMPUTED_VALUE"""),"ਦਿਨ")</f>
        <v>ਦਿਨ</v>
      </c>
      <c r="L620" s="2" t="str">
        <f>IFERROR(__xludf.DUMMYFUNCTION("""COMPUTED_VALUE"""),"நாட்களில்")</f>
        <v>நாட்களில்</v>
      </c>
      <c r="M620" s="2" t="str">
        <f>IFERROR(__xludf.DUMMYFUNCTION("""COMPUTED_VALUE"""),"రోజులు")</f>
        <v>రోజులు</v>
      </c>
    </row>
    <row r="621">
      <c r="A621" s="2" t="str">
        <f>Master_en!A621</f>
        <v>hours</v>
      </c>
      <c r="B621" s="2" t="str">
        <f>Master_en!B621</f>
        <v>Hours</v>
      </c>
      <c r="C621" s="2" t="str">
        <f>IFERROR(__xludf.DUMMYFUNCTION("""COMPUTED_VALUE"""),"ঘন্টার")</f>
        <v>ঘন্টার</v>
      </c>
      <c r="D621" s="2" t="str">
        <f>IFERROR(__xludf.DUMMYFUNCTION("""COMPUTED_VALUE"""),"घंटे")</f>
        <v>घंटे</v>
      </c>
      <c r="E621" s="2" t="str">
        <f>IFERROR(__xludf.DUMMYFUNCTION("""COMPUTED_VALUE"""),"ಸಮಯ")</f>
        <v>ಸಮಯ</v>
      </c>
      <c r="F621" s="2" t="str">
        <f>IFERROR(__xludf.DUMMYFUNCTION("""COMPUTED_VALUE"""),"ଘଣ୍ଟା")</f>
        <v>ଘଣ୍ଟା</v>
      </c>
      <c r="G621" s="2" t="str">
        <f>IFERROR(__xludf.DUMMYFUNCTION("""COMPUTED_VALUE"""),"ঘণ্টা")</f>
        <v>ঘণ্টা</v>
      </c>
      <c r="H621" s="2" t="str">
        <f>IFERROR(__xludf.DUMMYFUNCTION("""COMPUTED_VALUE"""),"સમય")</f>
        <v>સમય</v>
      </c>
      <c r="I621" s="2" t="str">
        <f>IFERROR(__xludf.DUMMYFUNCTION("""COMPUTED_VALUE"""),"तास")</f>
        <v>तास</v>
      </c>
      <c r="J621" s="2" t="str">
        <f>IFERROR(__xludf.DUMMYFUNCTION("""COMPUTED_VALUE"""),"മണിക്കൂറുകൾ")</f>
        <v>മണിക്കൂറുകൾ</v>
      </c>
      <c r="K621" s="2" t="str">
        <f>IFERROR(__xludf.DUMMYFUNCTION("""COMPUTED_VALUE"""),"ਘੰਟੇ")</f>
        <v>ਘੰਟੇ</v>
      </c>
      <c r="L621" s="2" t="str">
        <f>IFERROR(__xludf.DUMMYFUNCTION("""COMPUTED_VALUE"""),"மணி")</f>
        <v>மணி</v>
      </c>
      <c r="M621" s="2" t="str">
        <f>IFERROR(__xludf.DUMMYFUNCTION("""COMPUTED_VALUE"""),"గంటలు")</f>
        <v>గంటలు</v>
      </c>
    </row>
    <row r="622">
      <c r="A622" s="2" t="str">
        <f>Master_en!A622</f>
        <v>producAdded</v>
      </c>
      <c r="B622" s="2" t="str">
        <f>Master_en!B622</f>
        <v>Product Added</v>
      </c>
      <c r="C622" s="2" t="str">
        <f>IFERROR(__xludf.DUMMYFUNCTION("""COMPUTED_VALUE"""),"পণ্য যুক্ত")</f>
        <v>পণ্য যুক্ত</v>
      </c>
      <c r="D622" s="2" t="str">
        <f>IFERROR(__xludf.DUMMYFUNCTION("""COMPUTED_VALUE"""),"उत्पाद जोड़ा गया")</f>
        <v>उत्पाद जोड़ा गया</v>
      </c>
      <c r="E622" s="2" t="str">
        <f>IFERROR(__xludf.DUMMYFUNCTION("""COMPUTED_VALUE"""),"ಶೇಖರಣಾ ಸ್ಥಿತಿ")</f>
        <v>ಶೇಖರಣಾ ಸ್ಥಿತಿ</v>
      </c>
      <c r="F622" s="2" t="str">
        <f>IFERROR(__xludf.DUMMYFUNCTION("""COMPUTED_VALUE"""),"ଉତ୍ପାଦ ଯୋଡା ଯାଇଛି |")</f>
        <v>ଉତ୍ପାଦ ଯୋଡା ଯାଇଛି |</v>
      </c>
      <c r="G622" s="2" t="str">
        <f>IFERROR(__xludf.DUMMYFUNCTION("""COMPUTED_VALUE"""),"প্ৰডাক্ট যোগ কৰা হৈছে")</f>
        <v>প্ৰডাক্ট যোগ কৰা হৈছে</v>
      </c>
      <c r="H622" s="2" t="str">
        <f>IFERROR(__xludf.DUMMYFUNCTION("""COMPUTED_VALUE"""),"ઉત્પાદન")</f>
        <v>ઉત્પાદન</v>
      </c>
      <c r="I622" s="2" t="str">
        <f>IFERROR(__xludf.DUMMYFUNCTION("""COMPUTED_VALUE"""),"उत्पादन जोडले")</f>
        <v>उत्पादन जोडले</v>
      </c>
      <c r="J622" s="2" t="str">
        <f>IFERROR(__xludf.DUMMYFUNCTION("""COMPUTED_VALUE"""),"ഉൽപ്പന്നം ചേർത്തു")</f>
        <v>ഉൽപ്പന്നം ചേർത്തു</v>
      </c>
      <c r="K622" s="2" t="str">
        <f>IFERROR(__xludf.DUMMYFUNCTION("""COMPUTED_VALUE"""),"ਉਤਪਾਦ ਜੋੜਿਆ")</f>
        <v>ਉਤਪਾਦ ਜੋੜਿਆ</v>
      </c>
      <c r="L622" s="2" t="str">
        <f>IFERROR(__xludf.DUMMYFUNCTION("""COMPUTED_VALUE"""),"பொருள் சேர்க்கப்பட்டது")</f>
        <v>பொருள் சேர்க்கப்பட்டது</v>
      </c>
      <c r="M622" s="2" t="str">
        <f>IFERROR(__xludf.DUMMYFUNCTION("""COMPUTED_VALUE"""),"ఉత్పత్తి జోడించబడింది")</f>
        <v>ఉత్పత్తి జోడించబడింది</v>
      </c>
    </row>
    <row r="623">
      <c r="A623" s="2" t="str">
        <f>Master_en!A623</f>
        <v>successfullyYay</v>
      </c>
      <c r="B623" s="2" t="str">
        <f>Master_en!B623</f>
        <v>Successfully YAY</v>
      </c>
      <c r="C623" s="2" t="str">
        <f>IFERROR(__xludf.DUMMYFUNCTION("""COMPUTED_VALUE"""),"সফলভাবে হ্যাঁ")</f>
        <v>সফলভাবে হ্যাঁ</v>
      </c>
      <c r="D623" s="2" t="str">
        <f>IFERROR(__xludf.DUMMYFUNCTION("""COMPUTED_VALUE"""),"सफलतापूर्वक याय")</f>
        <v>सफलतापूर्वक याय</v>
      </c>
      <c r="E623" s="2" t="str">
        <f>IFERROR(__xludf.DUMMYFUNCTION("""COMPUTED_VALUE"""),"ದಿನಗಳು")</f>
        <v>ದಿನಗಳು</v>
      </c>
      <c r="F623" s="2" t="str">
        <f>IFERROR(__xludf.DUMMYFUNCTION("""COMPUTED_VALUE"""),"ସଫଳତାର ସହିତ yay")</f>
        <v>ସଫଳତାର ସହିତ yay</v>
      </c>
      <c r="G623" s="2" t="str">
        <f>IFERROR(__xludf.DUMMYFUNCTION("""COMPUTED_VALUE"""),"সফলতাৰে YAY")</f>
        <v>সফলতাৰে YAY</v>
      </c>
      <c r="H623" s="2" t="str">
        <f>IFERROR(__xludf.DUMMYFUNCTION("""COMPUTED_VALUE"""),"સફળતાપૂર્વક યે")</f>
        <v>સફળતાપૂર્વક યે</v>
      </c>
      <c r="I623" s="2" t="str">
        <f>IFERROR(__xludf.DUMMYFUNCTION("""COMPUTED_VALUE"""),"यशस्वीरित्या होय")</f>
        <v>यशस्वीरित्या होय</v>
      </c>
      <c r="J623" s="2" t="str">
        <f>IFERROR(__xludf.DUMMYFUNCTION("""COMPUTED_VALUE"""),"വിജയകരമായി അതെ")</f>
        <v>വിജയകരമായി അതെ</v>
      </c>
      <c r="K623" s="2" t="str">
        <f>IFERROR(__xludf.DUMMYFUNCTION("""COMPUTED_VALUE"""),"ਸਫਲਤਾਪੂਰਵਕ ਹਾਂ")</f>
        <v>ਸਫਲਤਾਪੂਰਵਕ ਹਾਂ</v>
      </c>
      <c r="L623" s="2" t="str">
        <f>IFERROR(__xludf.DUMMYFUNCTION("""COMPUTED_VALUE"""),"வெற்றிகரமாக ஆம்")</f>
        <v>வெற்றிகரமாக ஆம்</v>
      </c>
      <c r="M623" s="2" t="str">
        <f>IFERROR(__xludf.DUMMYFUNCTION("""COMPUTED_VALUE"""),"విజయవంతంగా అవును")</f>
        <v>విజయవంతంగా అవును</v>
      </c>
    </row>
    <row r="624">
      <c r="A624" s="2" t="str">
        <f>Master_en!A624</f>
        <v>wouldYou</v>
      </c>
      <c r="B624" s="2" t="str">
        <f>Master_en!B624</f>
        <v>Would you </v>
      </c>
      <c r="C624" s="2" t="str">
        <f>IFERROR(__xludf.DUMMYFUNCTION("""COMPUTED_VALUE"""),"আপনি কি")</f>
        <v>আপনি কি</v>
      </c>
      <c r="D624" s="2" t="str">
        <f>IFERROR(__xludf.DUMMYFUNCTION("""COMPUTED_VALUE"""),"क्या आप अ")</f>
        <v>क्या आप अ</v>
      </c>
      <c r="E624" s="2" t="str">
        <f>IFERROR(__xludf.DUMMYFUNCTION("""COMPUTED_VALUE"""),"ನೀವು")</f>
        <v>ನೀವು</v>
      </c>
      <c r="F624" s="2" t="str">
        <f>IFERROR(__xludf.DUMMYFUNCTION("""COMPUTED_VALUE"""),"ଆପଣ କଣ")</f>
        <v>ଆପଣ କଣ</v>
      </c>
      <c r="G624" s="2" t="str">
        <f>IFERROR(__xludf.DUMMYFUNCTION("""COMPUTED_VALUE"""),"আপুনি কৰিবনে?")</f>
        <v>আপুনি কৰিবনে?</v>
      </c>
      <c r="H624" s="2" t="str">
        <f>IFERROR(__xludf.DUMMYFUNCTION("""COMPUTED_VALUE"""),"તમે છો")</f>
        <v>તમે છો</v>
      </c>
      <c r="I624" s="2" t="str">
        <f>IFERROR(__xludf.DUMMYFUNCTION("""COMPUTED_VALUE"""),"आपण")</f>
        <v>आपण</v>
      </c>
      <c r="J624" s="2" t="str">
        <f>IFERROR(__xludf.DUMMYFUNCTION("""COMPUTED_VALUE"""),"നീ")</f>
        <v>നീ</v>
      </c>
      <c r="K624" s="2" t="str">
        <f>IFERROR(__xludf.DUMMYFUNCTION("""COMPUTED_VALUE"""),"ਕੀ ਤੁਸੀਂ")</f>
        <v>ਕੀ ਤੁਸੀਂ</v>
      </c>
      <c r="L624" s="2" t="str">
        <f>IFERROR(__xludf.DUMMYFUNCTION("""COMPUTED_VALUE"""),"நீங்கள்")</f>
        <v>நீங்கள்</v>
      </c>
      <c r="M624" s="2" t="str">
        <f>IFERROR(__xludf.DUMMYFUNCTION("""COMPUTED_VALUE"""),"మీరు చేస్తారా")</f>
        <v>మీరు చేస్తారా</v>
      </c>
    </row>
    <row r="625">
      <c r="A625" s="2" t="str">
        <f>Master_en!A625</f>
        <v>likeTo</v>
      </c>
      <c r="B625" s="2" t="str">
        <f>Master_en!B625</f>
        <v>like to</v>
      </c>
      <c r="C625" s="2" t="str">
        <f>IFERROR(__xludf.DUMMYFUNCTION("""COMPUTED_VALUE"""),"পছন্দ")</f>
        <v>পছন্দ</v>
      </c>
      <c r="D625" s="2" t="str">
        <f>IFERROR(__xludf.DUMMYFUNCTION("""COMPUTED_VALUE"""),"उसकी तरह")</f>
        <v>उसकी तरह</v>
      </c>
      <c r="E625" s="2" t="str">
        <f>IFERROR(__xludf.DUMMYFUNCTION("""COMPUTED_VALUE"""),"ಹಾಗೆ")</f>
        <v>ಹಾಗೆ</v>
      </c>
      <c r="F625" s="2" t="str">
        <f>IFERROR(__xludf.DUMMYFUNCTION("""COMPUTED_VALUE"""),"ପରି ପସନ୍ଦ")</f>
        <v>ପରି ପସନ୍ଦ</v>
      </c>
      <c r="G625" s="2" t="str">
        <f>IFERROR(__xludf.DUMMYFUNCTION("""COMPUTED_VALUE"""),"like to")</f>
        <v>like to</v>
      </c>
      <c r="H625" s="2" t="str">
        <f>IFERROR(__xludf.DUMMYFUNCTION("""COMPUTED_VALUE"""),"ગમગીન")</f>
        <v>ગમગીન</v>
      </c>
      <c r="I625" s="2" t="str">
        <f>IFERROR(__xludf.DUMMYFUNCTION("""COMPUTED_VALUE"""),"तुम्ही कराल")</f>
        <v>तुम्ही कराल</v>
      </c>
      <c r="J625" s="2" t="str">
        <f>IFERROR(__xludf.DUMMYFUNCTION("""COMPUTED_VALUE"""),"ആഗ്രഹമുണ്ട്")</f>
        <v>ആഗ്രഹമുണ്ട്</v>
      </c>
      <c r="K625" s="2" t="str">
        <f>IFERROR(__xludf.DUMMYFUNCTION("""COMPUTED_VALUE"""),"ਪਸੰਦ ਹੈ")</f>
        <v>ਪਸੰਦ ਹੈ</v>
      </c>
      <c r="L625" s="2" t="str">
        <f>IFERROR(__xludf.DUMMYFUNCTION("""COMPUTED_VALUE"""),"போன்றது")</f>
        <v>போன்றது</v>
      </c>
      <c r="M625" s="2" t="str">
        <f>IFERROR(__xludf.DUMMYFUNCTION("""COMPUTED_VALUE"""),"ఇష్టం")</f>
        <v>ఇష్టం</v>
      </c>
    </row>
    <row r="626">
      <c r="A626" s="2" t="str">
        <f>Master_en!A626</f>
        <v>moveTo</v>
      </c>
      <c r="B626" s="2" t="str">
        <f>Master_en!B626</f>
        <v>move to</v>
      </c>
      <c r="C626" s="2" t="str">
        <f>IFERROR(__xludf.DUMMYFUNCTION("""COMPUTED_VALUE"""),"চলো")</f>
        <v>চলো</v>
      </c>
      <c r="D626" s="2" t="str">
        <f>IFERROR(__xludf.DUMMYFUNCTION("""COMPUTED_VALUE"""),"करने के लिए कदम")</f>
        <v>करने के लिए कदम</v>
      </c>
      <c r="E626" s="2" t="str">
        <f>IFERROR(__xludf.DUMMYFUNCTION("""COMPUTED_VALUE"""),"ಗೆ ಸರಿಸಿ")</f>
        <v>ಗೆ ಸರಿಸಿ</v>
      </c>
      <c r="F626" s="2" t="str">
        <f>IFERROR(__xludf.DUMMYFUNCTION("""COMPUTED_VALUE"""),"ଯାଅନ୍ତୁ")</f>
        <v>ଯାଅନ୍ତୁ</v>
      </c>
      <c r="G626" s="2" t="str">
        <f>IFERROR(__xludf.DUMMYFUNCTION("""COMPUTED_VALUE"""),"লৈ যাওক")</f>
        <v>লৈ যাওক</v>
      </c>
      <c r="H626" s="2" t="str">
        <f>IFERROR(__xludf.DUMMYFUNCTION("""COMPUTED_VALUE"""),"ખસેડવું")</f>
        <v>ખસેડવું</v>
      </c>
      <c r="I626" s="2" t="str">
        <f>IFERROR(__xludf.DUMMYFUNCTION("""COMPUTED_VALUE"""),"पुढे व्हा")</f>
        <v>पुढे व्हा</v>
      </c>
      <c r="J626" s="2" t="str">
        <f>IFERROR(__xludf.DUMMYFUNCTION("""COMPUTED_VALUE"""),"നേരെ നീങ്ങുക")</f>
        <v>നേരെ നീങ്ങുക</v>
      </c>
      <c r="K626" s="2" t="str">
        <f>IFERROR(__xludf.DUMMYFUNCTION("""COMPUTED_VALUE"""),"ਨੂੰ ਭੇਜੋ")</f>
        <v>ਨੂੰ ਭੇਜੋ</v>
      </c>
      <c r="L626" s="2" t="str">
        <f>IFERROR(__xludf.DUMMYFUNCTION("""COMPUTED_VALUE"""),"செல்லுங்கள்")</f>
        <v>செல்லுங்கள்</v>
      </c>
      <c r="M626" s="2" t="str">
        <f>IFERROR(__xludf.DUMMYFUNCTION("""COMPUTED_VALUE"""),"తరలించడానికి")</f>
        <v>తరలించడానికి</v>
      </c>
    </row>
    <row r="627">
      <c r="A627" s="2" t="str">
        <f>Master_en!A627</f>
        <v>ListedItem</v>
      </c>
      <c r="B627" s="2" t="str">
        <f>Master_en!B627</f>
        <v>Listed Item</v>
      </c>
      <c r="C627" s="2" t="str">
        <f>IFERROR(__xludf.DUMMYFUNCTION("""COMPUTED_VALUE"""),"তালিকাভুক্ত আইটেম")</f>
        <v>তালিকাভুক্ত আইটেম</v>
      </c>
      <c r="D627" s="2" t="str">
        <f>IFERROR(__xludf.DUMMYFUNCTION("""COMPUTED_VALUE"""),"सूचीबद्ध आइटम")</f>
        <v>सूचीबद्ध आइटम</v>
      </c>
      <c r="E627" s="2" t="str">
        <f>IFERROR(__xludf.DUMMYFUNCTION("""COMPUTED_VALUE"""),"ಪಟ್ಟಿ ಮಾಡಲಾದ ಐಟಂ")</f>
        <v>ಪಟ್ಟಿ ಮಾಡಲಾದ ಐಟಂ</v>
      </c>
      <c r="F627" s="2" t="str">
        <f>IFERROR(__xludf.DUMMYFUNCTION("""COMPUTED_VALUE"""),"ତାଲିକାଭୁକ୍ତ ଆଇଟମ୍ |")</f>
        <v>ତାଲିକାଭୁକ୍ତ ଆଇଟମ୍ |</v>
      </c>
      <c r="G627" s="2" t="str">
        <f>IFERROR(__xludf.DUMMYFUNCTION("""COMPUTED_VALUE"""),"তালিকাভুক্ত বস্তু")</f>
        <v>তালিকাভুক্ত বস্তু</v>
      </c>
      <c r="H627" s="2" t="str">
        <f>IFERROR(__xludf.DUMMYFUNCTION("""COMPUTED_VALUE"""),"સૂચિબદ્ધ વસ્તુ")</f>
        <v>સૂચિબદ્ધ વસ્તુ</v>
      </c>
      <c r="I627" s="2" t="str">
        <f>IFERROR(__xludf.DUMMYFUNCTION("""COMPUTED_VALUE"""),"सूचीबद्ध आयटम")</f>
        <v>सूचीबद्ध आयटम</v>
      </c>
      <c r="J627" s="2" t="str">
        <f>IFERROR(__xludf.DUMMYFUNCTION("""COMPUTED_VALUE"""),"ലിസ്റ്റുചെയ്ത ഇനം")</f>
        <v>ലിസ്റ്റുചെയ്ത ഇനം</v>
      </c>
      <c r="K627" s="2" t="str">
        <f>IFERROR(__xludf.DUMMYFUNCTION("""COMPUTED_VALUE"""),"ਸੂਚੀਬੱਧ ਆਈਟਮ")</f>
        <v>ਸੂਚੀਬੱਧ ਆਈਟਮ</v>
      </c>
      <c r="L627" s="2" t="str">
        <f>IFERROR(__xludf.DUMMYFUNCTION("""COMPUTED_VALUE"""),"பட்டியலிடப்பட்ட பொருள்")</f>
        <v>பட்டியலிடப்பட்ட பொருள்</v>
      </c>
      <c r="M627" s="2" t="str">
        <f>IFERROR(__xludf.DUMMYFUNCTION("""COMPUTED_VALUE"""),"జాబితా చేయబడిన అంశం")</f>
        <v>జాబితా చేయబడిన అంశం</v>
      </c>
    </row>
    <row r="628">
      <c r="A628" s="2" t="str">
        <f>Master_en!A628</f>
        <v>areYouDelivering</v>
      </c>
      <c r="B628" s="2" t="str">
        <f>Master_en!B628</f>
        <v>Are you Delivering</v>
      </c>
      <c r="C628" s="2" t="str">
        <f>IFERROR(__xludf.DUMMYFUNCTION("""COMPUTED_VALUE"""),"আপনি বিতরণ করছেন?")</f>
        <v>আপনি বিতরণ করছেন?</v>
      </c>
      <c r="D628" s="2" t="str">
        <f>IFERROR(__xludf.DUMMYFUNCTION("""COMPUTED_VALUE"""),"क्या आप वितरित कर रहे हैं?")</f>
        <v>क्या आप वितरित कर रहे हैं?</v>
      </c>
      <c r="E628" s="2" t="str">
        <f>IFERROR(__xludf.DUMMYFUNCTION("""COMPUTED_VALUE"""),"ನೀವು ತಲುಪಿಸುತ್ತಿದ್ದೀರಾ")</f>
        <v>ನೀವು ತಲುಪಿಸುತ್ತಿದ್ದೀರಾ</v>
      </c>
      <c r="F628" s="2" t="str">
        <f>IFERROR(__xludf.DUMMYFUNCTION("""COMPUTED_VALUE"""),"ଆପଣ ବିତରଣ କରୁଛନ୍ତି କି?")</f>
        <v>ଆପଣ ବିତରଣ କରୁଛନ୍ତି କି?</v>
      </c>
      <c r="G628" s="2" t="str">
        <f>IFERROR(__xludf.DUMMYFUNCTION("""COMPUTED_VALUE"""),"আপুনি ডেলিভাৰী কৰি আছেনে")</f>
        <v>আপুনি ডেলিভাৰী কৰি আছেনে</v>
      </c>
      <c r="H628" s="2" t="str">
        <f>IFERROR(__xludf.DUMMYFUNCTION("""COMPUTED_VALUE"""),"શું તમે ડિલિવરી કરી રહ્યા છો?")</f>
        <v>શું તમે ડિલિવરી કરી રહ્યા છો?</v>
      </c>
      <c r="I628" s="2" t="str">
        <f>IFERROR(__xludf.DUMMYFUNCTION("""COMPUTED_VALUE"""),"आपण वितरित करीत आहात?")</f>
        <v>आपण वितरित करीत आहात?</v>
      </c>
      <c r="J628" s="2" t="str">
        <f>IFERROR(__xludf.DUMMYFUNCTION("""COMPUTED_VALUE"""),"നിങ്ങൾ വിടുവിക്കുന്നുണ്ടോ")</f>
        <v>നിങ്ങൾ വിടുവിക്കുന്നുണ്ടോ</v>
      </c>
      <c r="K628" s="2" t="str">
        <f>IFERROR(__xludf.DUMMYFUNCTION("""COMPUTED_VALUE"""),"ਕੀ ਤੁਸੀਂ ਸਪੁਰਦ ਕਰ ਰਹੇ ਹੋ?")</f>
        <v>ਕੀ ਤੁਸੀਂ ਸਪੁਰਦ ਕਰ ਰਹੇ ਹੋ?</v>
      </c>
      <c r="L628" s="2" t="str">
        <f>IFERROR(__xludf.DUMMYFUNCTION("""COMPUTED_VALUE"""),"நீங்கள் டெலிவரி செய்கிறீர்களா")</f>
        <v>நீங்கள் டெலிவரி செய்கிறீர்களா</v>
      </c>
      <c r="M628" s="2" t="str">
        <f>IFERROR(__xludf.DUMMYFUNCTION("""COMPUTED_VALUE"""),"మీరు బట్వాడా చేస్తున్నారా?")</f>
        <v>మీరు బట్వాడా చేస్తున్నారా?</v>
      </c>
    </row>
    <row r="629">
      <c r="A629" s="2" t="str">
        <f>Master_en!A629</f>
        <v>paymentMethod</v>
      </c>
      <c r="B629" s="2" t="str">
        <f>Master_en!B629</f>
        <v>Payment Method</v>
      </c>
      <c r="C629" s="2" t="str">
        <f>IFERROR(__xludf.DUMMYFUNCTION("""COMPUTED_VALUE"""),"মূল্যপরিশোধ পদ্ধতি")</f>
        <v>মূল্যপরিশোধ পদ্ধতি</v>
      </c>
      <c r="D629" s="2" t="str">
        <f>IFERROR(__xludf.DUMMYFUNCTION("""COMPUTED_VALUE"""),"भुगतान विधि")</f>
        <v>भुगतान विधि</v>
      </c>
      <c r="E629" s="2" t="str">
        <f>IFERROR(__xludf.DUMMYFUNCTION("""COMPUTED_VALUE"""),"ಪಾವತಿ ವಿಧಾನ")</f>
        <v>ಪಾವತಿ ವಿಧಾನ</v>
      </c>
      <c r="F629" s="2" t="str">
        <f>IFERROR(__xludf.DUMMYFUNCTION("""COMPUTED_VALUE"""),"ଅର୍ଥ ପ୍ରଦାନ ପଦ୍ଧତି")</f>
        <v>ଅର୍ଥ ପ୍ରଦାନ ପଦ୍ଧତି</v>
      </c>
      <c r="G629" s="2" t="str">
        <f>IFERROR(__xludf.DUMMYFUNCTION("""COMPUTED_VALUE"""),"পেমেন্ট পদ্ধতি")</f>
        <v>পেমেন্ট পদ্ধতি</v>
      </c>
      <c r="H629" s="2" t="str">
        <f>IFERROR(__xludf.DUMMYFUNCTION("""COMPUTED_VALUE"""),"ચુકવણી પદ્ધતિ")</f>
        <v>ચુકવણી પદ્ધતિ</v>
      </c>
      <c r="I629" s="2" t="str">
        <f>IFERROR(__xludf.DUMMYFUNCTION("""COMPUTED_VALUE"""),"देय पद्धत")</f>
        <v>देय पद्धत</v>
      </c>
      <c r="J629" s="2" t="str">
        <f>IFERROR(__xludf.DUMMYFUNCTION("""COMPUTED_VALUE"""),"പണമടയ്ക്കൽ രീതി")</f>
        <v>പണമടയ്ക്കൽ രീതി</v>
      </c>
      <c r="K629" s="2" t="str">
        <f>IFERROR(__xludf.DUMMYFUNCTION("""COMPUTED_VALUE"""),"ਭੁਗਤਾਨੇ ਦੇ ਢੰਗ")</f>
        <v>ਭੁਗਤਾਨੇ ਦੇ ਢੰਗ</v>
      </c>
      <c r="L629" s="2" t="str">
        <f>IFERROR(__xludf.DUMMYFUNCTION("""COMPUTED_VALUE"""),"பணம் செலுத்தும் முறை")</f>
        <v>பணம் செலுத்தும் முறை</v>
      </c>
      <c r="M629" s="2" t="str">
        <f>IFERROR(__xludf.DUMMYFUNCTION("""COMPUTED_VALUE"""),"చెల్లింపు పద్ధతి")</f>
        <v>చెల్లింపు పద్ధతి</v>
      </c>
    </row>
    <row r="630">
      <c r="A630" s="2" t="str">
        <f>Master_en!A630</f>
        <v>Categories</v>
      </c>
      <c r="B630" s="2" t="str">
        <f>Master_en!B630</f>
        <v>Categories</v>
      </c>
      <c r="C630" s="2" t="str">
        <f>IFERROR(__xludf.DUMMYFUNCTION("""COMPUTED_VALUE"""),"বিভাগ")</f>
        <v>বিভাগ</v>
      </c>
      <c r="D630" s="2" t="str">
        <f>IFERROR(__xludf.DUMMYFUNCTION("""COMPUTED_VALUE"""),"श्रेणियाँ")</f>
        <v>श्रेणियाँ</v>
      </c>
      <c r="E630" s="2" t="str">
        <f>IFERROR(__xludf.DUMMYFUNCTION("""COMPUTED_VALUE"""),"ವರ್ಗಗಳು")</f>
        <v>ವರ್ಗಗಳು</v>
      </c>
      <c r="F630" s="2" t="str">
        <f>IFERROR(__xludf.DUMMYFUNCTION("""COMPUTED_VALUE"""),"ବର୍ଗଗୁଡିକ")</f>
        <v>ବର୍ଗଗୁଡିକ</v>
      </c>
      <c r="G630" s="2" t="str">
        <f>IFERROR(__xludf.DUMMYFUNCTION("""COMPUTED_VALUE"""),"শ্ৰেণীসমূহ")</f>
        <v>শ্ৰেণীসমূহ</v>
      </c>
      <c r="H630" s="2" t="str">
        <f>IFERROR(__xludf.DUMMYFUNCTION("""COMPUTED_VALUE"""),"શ્રેણી")</f>
        <v>શ્રેણી</v>
      </c>
      <c r="I630" s="2" t="str">
        <f>IFERROR(__xludf.DUMMYFUNCTION("""COMPUTED_VALUE"""),"श्रेणी")</f>
        <v>श्रेणी</v>
      </c>
      <c r="J630" s="2" t="str">
        <f>IFERROR(__xludf.DUMMYFUNCTION("""COMPUTED_VALUE"""),"വിഭാഗങ്ങൾ")</f>
        <v>വിഭാഗങ്ങൾ</v>
      </c>
      <c r="K630" s="2" t="str">
        <f>IFERROR(__xludf.DUMMYFUNCTION("""COMPUTED_VALUE"""),"ਵਰਗ")</f>
        <v>ਵਰਗ</v>
      </c>
      <c r="L630" s="2" t="str">
        <f>IFERROR(__xludf.DUMMYFUNCTION("""COMPUTED_VALUE"""),"வகைகள்")</f>
        <v>வகைகள்</v>
      </c>
      <c r="M630" s="2" t="str">
        <f>IFERROR(__xludf.DUMMYFUNCTION("""COMPUTED_VALUE"""),"కేటగిరీలు")</f>
        <v>కేటగిరీలు</v>
      </c>
    </row>
    <row r="631">
      <c r="A631" s="2" t="str">
        <f>Master_en!A631</f>
        <v>pickupAnd</v>
      </c>
      <c r="B631" s="2" t="str">
        <f>Master_en!B631</f>
        <v>Pickup and</v>
      </c>
      <c r="C631" s="2" t="str">
        <f>IFERROR(__xludf.DUMMYFUNCTION("""COMPUTED_VALUE"""),"পিকআপ এবং")</f>
        <v>পিকআপ এবং</v>
      </c>
      <c r="D631" s="2" t="str">
        <f>IFERROR(__xludf.DUMMYFUNCTION("""COMPUTED_VALUE"""),"पिकअप और")</f>
        <v>पिकअप और</v>
      </c>
      <c r="E631" s="2" t="str">
        <f>IFERROR(__xludf.DUMMYFUNCTION("""COMPUTED_VALUE"""),"ಪಿಕಪ್ ಮತ್ತು")</f>
        <v>ಪಿಕಪ್ ಮತ್ತು</v>
      </c>
      <c r="F631" s="2" t="str">
        <f>IFERROR(__xludf.DUMMYFUNCTION("""COMPUTED_VALUE"""),"ପିକଅପ୍ ଏବଂ")</f>
        <v>ପିକଅପ୍ ଏବଂ</v>
      </c>
      <c r="G631" s="2" t="str">
        <f>IFERROR(__xludf.DUMMYFUNCTION("""COMPUTED_VALUE"""),"পিকআপ আৰু...")</f>
        <v>পিকআপ আৰু...</v>
      </c>
      <c r="H631" s="2" t="str">
        <f>IFERROR(__xludf.DUMMYFUNCTION("""COMPUTED_VALUE"""),"ઉપાડ અને")</f>
        <v>ઉપાડ અને</v>
      </c>
      <c r="I631" s="2" t="str">
        <f>IFERROR(__xludf.DUMMYFUNCTION("""COMPUTED_VALUE"""),"पिकअप आणि")</f>
        <v>पिकअप आणि</v>
      </c>
      <c r="J631" s="2" t="str">
        <f>IFERROR(__xludf.DUMMYFUNCTION("""COMPUTED_VALUE"""),"പിക്കപ്പ് കൂടാതെ")</f>
        <v>പിക്കപ്പ് കൂടാതെ</v>
      </c>
      <c r="K631" s="2" t="str">
        <f>IFERROR(__xludf.DUMMYFUNCTION("""COMPUTED_VALUE"""),"ਪਿਕਅਪ ਅਤੇ")</f>
        <v>ਪਿਕਅਪ ਅਤੇ</v>
      </c>
      <c r="L631" s="2" t="str">
        <f>IFERROR(__xludf.DUMMYFUNCTION("""COMPUTED_VALUE"""),"பிக்கப் மற்றும்")</f>
        <v>பிக்கப் மற்றும்</v>
      </c>
      <c r="M631" s="2" t="str">
        <f>IFERROR(__xludf.DUMMYFUNCTION("""COMPUTED_VALUE"""),"పికప్ మరియు")</f>
        <v>పికప్ మరియు</v>
      </c>
    </row>
    <row r="632">
      <c r="A632" s="2" t="str">
        <f>Master_en!A632</f>
        <v>deliveryOptions</v>
      </c>
      <c r="B632" s="2" t="str">
        <f>Master_en!B632</f>
        <v>Delivery Options</v>
      </c>
      <c r="C632" s="2" t="str">
        <f>IFERROR(__xludf.DUMMYFUNCTION("""COMPUTED_VALUE"""),"সরবরাহের সুযোগ")</f>
        <v>সরবরাহের সুযোগ</v>
      </c>
      <c r="D632" s="2" t="str">
        <f>IFERROR(__xludf.DUMMYFUNCTION("""COMPUTED_VALUE"""),"वितरण विकल्प")</f>
        <v>वितरण विकल्प</v>
      </c>
      <c r="E632" s="2" t="str">
        <f>IFERROR(__xludf.DUMMYFUNCTION("""COMPUTED_VALUE"""),"ವಿತರಣಾ ಆಯ್ಕೆಗಳು")</f>
        <v>ವಿತರಣಾ ಆಯ್ಕೆಗಳು</v>
      </c>
      <c r="F632" s="2" t="str">
        <f>IFERROR(__xludf.DUMMYFUNCTION("""COMPUTED_VALUE"""),"ବିତରଣ ବିକଳ୍ପଗୁଡ଼ିକ")</f>
        <v>ବିତରଣ ବିକଳ୍ପଗୁଡ଼ିକ</v>
      </c>
      <c r="G632" s="2" t="str">
        <f>IFERROR(__xludf.DUMMYFUNCTION("""COMPUTED_VALUE"""),"ডেলিভাৰী বিকল্পসমূহ")</f>
        <v>ডেলিভাৰী বিকল্পসমূহ</v>
      </c>
      <c r="H632" s="2" t="str">
        <f>IFERROR(__xludf.DUMMYFUNCTION("""COMPUTED_VALUE"""),"ડિલિવરી વિકલ્પો")</f>
        <v>ડિલિવરી વિકલ્પો</v>
      </c>
      <c r="I632" s="2" t="str">
        <f>IFERROR(__xludf.DUMMYFUNCTION("""COMPUTED_VALUE"""),"वितरण पर्याय")</f>
        <v>वितरण पर्याय</v>
      </c>
      <c r="J632" s="2" t="str">
        <f>IFERROR(__xludf.DUMMYFUNCTION("""COMPUTED_VALUE"""),"ഡെലിവറി ഓപ്ഷനുകൾ")</f>
        <v>ഡെലിവറി ഓപ്ഷനുകൾ</v>
      </c>
      <c r="K632" s="2" t="str">
        <f>IFERROR(__xludf.DUMMYFUNCTION("""COMPUTED_VALUE"""),"ਡਿਲਿਵਰੀ ਵਿਕਲਪ")</f>
        <v>ਡਿਲਿਵਰੀ ਵਿਕਲਪ</v>
      </c>
      <c r="L632" s="2" t="str">
        <f>IFERROR(__xludf.DUMMYFUNCTION("""COMPUTED_VALUE"""),"விநியோக விருப்பங்கள்")</f>
        <v>விநியோக விருப்பங்கள்</v>
      </c>
      <c r="M632" s="2" t="str">
        <f>IFERROR(__xludf.DUMMYFUNCTION("""COMPUTED_VALUE"""),"డెలివరీ ఎంపికలు")</f>
        <v>డెలివరీ ఎంపికలు</v>
      </c>
    </row>
    <row r="633">
      <c r="A633" s="2" t="str">
        <f>Master_en!A633</f>
        <v>customerPickup</v>
      </c>
      <c r="B633" s="2" t="str">
        <f>Master_en!B633</f>
        <v>Customer Pickup</v>
      </c>
      <c r="C633" s="2" t="str">
        <f>IFERROR(__xludf.DUMMYFUNCTION("""COMPUTED_VALUE"""),"গ্রাহক পিকআপ")</f>
        <v>গ্রাহক পিকআপ</v>
      </c>
      <c r="D633" s="2" t="str">
        <f>IFERROR(__xludf.DUMMYFUNCTION("""COMPUTED_VALUE"""),"ग्राहक बढ़ाना")</f>
        <v>ग्राहक बढ़ाना</v>
      </c>
      <c r="E633" s="2" t="str">
        <f>IFERROR(__xludf.DUMMYFUNCTION("""COMPUTED_VALUE"""),"ಗ್ರಾಹಕ ಪಿಕಪ್")</f>
        <v>ಗ್ರಾಹಕ ಪಿಕಪ್</v>
      </c>
      <c r="F633" s="2" t="str">
        <f>IFERROR(__xludf.DUMMYFUNCTION("""COMPUTED_VALUE"""),"ଗ୍ରାହକ ପିକଅପ୍ |")</f>
        <v>ଗ୍ରାହକ ପିକଅପ୍ |</v>
      </c>
      <c r="G633" s="2" t="str">
        <f>IFERROR(__xludf.DUMMYFUNCTION("""COMPUTED_VALUE"""),"গ্ৰাহক পিকআপ")</f>
        <v>গ্ৰাহক পিকআপ</v>
      </c>
      <c r="H633" s="2" t="str">
        <f>IFERROR(__xludf.DUMMYFUNCTION("""COMPUTED_VALUE"""),"ગ્રાહકની દુકાન")</f>
        <v>ગ્રાહકની દુકાન</v>
      </c>
      <c r="I633" s="2" t="str">
        <f>IFERROR(__xludf.DUMMYFUNCTION("""COMPUTED_VALUE"""),"ग्राहक पिकअप")</f>
        <v>ग्राहक पिकअप</v>
      </c>
      <c r="J633" s="2" t="str">
        <f>IFERROR(__xludf.DUMMYFUNCTION("""COMPUTED_VALUE"""),"കസ്റ്റമർ പിക്കപ്പ്")</f>
        <v>കസ്റ്റമർ പിക്കപ്പ്</v>
      </c>
      <c r="K633" s="2" t="str">
        <f>IFERROR(__xludf.DUMMYFUNCTION("""COMPUTED_VALUE"""),"ਗਾਹਕ ਪਿਕਅਪ")</f>
        <v>ਗਾਹਕ ਪਿਕਅਪ</v>
      </c>
      <c r="L633" s="2" t="str">
        <f>IFERROR(__xludf.DUMMYFUNCTION("""COMPUTED_VALUE"""),"வாடிக்கையாளர் பிக்அப்")</f>
        <v>வாடிக்கையாளர் பிக்அப்</v>
      </c>
      <c r="M633" s="2" t="str">
        <f>IFERROR(__xludf.DUMMYFUNCTION("""COMPUTED_VALUE"""),"కస్టమర్ పికప్")</f>
        <v>కస్టమర్ పికప్</v>
      </c>
    </row>
    <row r="634">
      <c r="A634" s="2" t="str">
        <f>Master_en!A634</f>
        <v>ownDelivery</v>
      </c>
      <c r="B634" s="2" t="str">
        <f>Master_en!B634</f>
        <v>Own Delivery</v>
      </c>
      <c r="C634" s="2" t="str">
        <f>IFERROR(__xludf.DUMMYFUNCTION("""COMPUTED_VALUE"""),"নিজস্ব বিতরণ")</f>
        <v>নিজস্ব বিতরণ</v>
      </c>
      <c r="D634" s="2" t="str">
        <f>IFERROR(__xludf.DUMMYFUNCTION("""COMPUTED_VALUE"""),"अपनी सुपुर्दगी")</f>
        <v>अपनी सुपुर्दगी</v>
      </c>
      <c r="E634" s="2" t="str">
        <f>IFERROR(__xludf.DUMMYFUNCTION("""COMPUTED_VALUE"""),"ಸ್ವಂತ ವಿತರಣೆ")</f>
        <v>ಸ್ವಂತ ವಿತರಣೆ</v>
      </c>
      <c r="F634" s="2" t="str">
        <f>IFERROR(__xludf.DUMMYFUNCTION("""COMPUTED_VALUE"""),"ନିଜର ବିତରଣ")</f>
        <v>ନିଜର ବିତରଣ</v>
      </c>
      <c r="G634" s="2" t="str">
        <f>IFERROR(__xludf.DUMMYFUNCTION("""COMPUTED_VALUE"""),"নিজৰ ডেলিভাৰী")</f>
        <v>নিজৰ ডেলিভাৰী</v>
      </c>
      <c r="H634" s="2" t="str">
        <f>IFERROR(__xludf.DUMMYFUNCTION("""COMPUTED_VALUE"""),"પોતાની વહેંચણી")</f>
        <v>પોતાની વહેંચણી</v>
      </c>
      <c r="I634" s="2" t="str">
        <f>IFERROR(__xludf.DUMMYFUNCTION("""COMPUTED_VALUE"""),"स्वत: ची वितरण")</f>
        <v>स्वत: ची वितरण</v>
      </c>
      <c r="J634" s="2" t="str">
        <f>IFERROR(__xludf.DUMMYFUNCTION("""COMPUTED_VALUE"""),"സ്വന്തം ഡെലിവറി")</f>
        <v>സ്വന്തം ഡെലിവറി</v>
      </c>
      <c r="K634" s="2" t="str">
        <f>IFERROR(__xludf.DUMMYFUNCTION("""COMPUTED_VALUE"""),"ਆਪਣੀ ਸਪੁਰਦਗੀ")</f>
        <v>ਆਪਣੀ ਸਪੁਰਦਗੀ</v>
      </c>
      <c r="L634" s="2" t="str">
        <f>IFERROR(__xludf.DUMMYFUNCTION("""COMPUTED_VALUE"""),"சொந்த டெலிவரி")</f>
        <v>சொந்த டெலிவரி</v>
      </c>
      <c r="M634" s="2" t="str">
        <f>IFERROR(__xludf.DUMMYFUNCTION("""COMPUTED_VALUE"""),"సొంత డెలివరీ")</f>
        <v>సొంత డెలివరీ</v>
      </c>
    </row>
    <row r="635">
      <c r="A635" s="2" t="str">
        <f>Master_en!A635</f>
        <v>thirdParty</v>
      </c>
      <c r="B635" s="2" t="str">
        <f>Master_en!B635</f>
        <v>Third Party</v>
      </c>
      <c r="C635" s="2" t="str">
        <f>IFERROR(__xludf.DUMMYFUNCTION("""COMPUTED_VALUE"""),"তৃতীয় পক্ষ")</f>
        <v>তৃতীয় পক্ষ</v>
      </c>
      <c r="D635" s="2" t="str">
        <f>IFERROR(__xludf.DUMMYFUNCTION("""COMPUTED_VALUE"""),"तृतीय पक्ष")</f>
        <v>तृतीय पक्ष</v>
      </c>
      <c r="E635" s="2" t="str">
        <f>IFERROR(__xludf.DUMMYFUNCTION("""COMPUTED_VALUE"""),"ಮೂರನೇ ವ್ಯಕ್ತಿ")</f>
        <v>ಮೂರನೇ ವ್ಯಕ್ತಿ</v>
      </c>
      <c r="F635" s="2" t="str">
        <f>IFERROR(__xludf.DUMMYFUNCTION("""COMPUTED_VALUE"""),"ତୃତୀୟ ବ୍ୟକ୍ତି")</f>
        <v>ତୃତୀୟ ବ୍ୟକ୍ତି</v>
      </c>
      <c r="G635" s="2" t="str">
        <f>IFERROR(__xludf.DUMMYFUNCTION("""COMPUTED_VALUE"""),"তৃতীয় পক্ষ")</f>
        <v>তৃতীয় পক্ষ</v>
      </c>
      <c r="H635" s="2" t="str">
        <f>IFERROR(__xludf.DUMMYFUNCTION("""COMPUTED_VALUE"""),"ત્રીજો પક્ષ")</f>
        <v>ત્રીજો પક્ષ</v>
      </c>
      <c r="I635" s="2" t="str">
        <f>IFERROR(__xludf.DUMMYFUNCTION("""COMPUTED_VALUE"""),"स्वतःचे वितरण")</f>
        <v>स्वतःचे वितरण</v>
      </c>
      <c r="J635" s="2" t="str">
        <f>IFERROR(__xludf.DUMMYFUNCTION("""COMPUTED_VALUE"""),"മൂന്നാം പാർട്ടി")</f>
        <v>മൂന്നാം പാർട്ടി</v>
      </c>
      <c r="K635" s="2" t="str">
        <f>IFERROR(__xludf.DUMMYFUNCTION("""COMPUTED_VALUE"""),"ਤੀਸਰਾ ਪੱਖ")</f>
        <v>ਤੀਸਰਾ ਪੱਖ</v>
      </c>
      <c r="L635" s="2" t="str">
        <f>IFERROR(__xludf.DUMMYFUNCTION("""COMPUTED_VALUE"""),"மூன்றாம் தரப்பு")</f>
        <v>மூன்றாம் தரப்பு</v>
      </c>
      <c r="M635" s="2" t="str">
        <f>IFERROR(__xludf.DUMMYFUNCTION("""COMPUTED_VALUE"""),"మూడవ పార్టీ")</f>
        <v>మూడవ పార్టీ</v>
      </c>
    </row>
    <row r="636">
      <c r="A636" s="2" t="str">
        <f>Master_en!A636</f>
        <v>processingTime</v>
      </c>
      <c r="B636" s="2" t="str">
        <f>Master_en!B636</f>
        <v>Processing Time</v>
      </c>
      <c r="C636" s="2" t="str">
        <f>IFERROR(__xludf.DUMMYFUNCTION("""COMPUTED_VALUE"""),"প্রক্রিয়াকরণের সময়")</f>
        <v>প্রক্রিয়াকরণের সময়</v>
      </c>
      <c r="D636" s="2" t="str">
        <f>IFERROR(__xludf.DUMMYFUNCTION("""COMPUTED_VALUE"""),"प्रोसेसिंग समय")</f>
        <v>प्रोसेसिंग समय</v>
      </c>
      <c r="E636" s="2" t="str">
        <f>IFERROR(__xludf.DUMMYFUNCTION("""COMPUTED_VALUE"""),"ಪ್ರಕ್ರಿಯೆಯ ಸಮಯ")</f>
        <v>ಪ್ರಕ್ರಿಯೆಯ ಸಮಯ</v>
      </c>
      <c r="F636" s="2" t="str">
        <f>IFERROR(__xludf.DUMMYFUNCTION("""COMPUTED_VALUE"""),"ପ୍ରକ୍ରିୟାକରଣ ସମୟ")</f>
        <v>ପ୍ରକ୍ରିୟାକରଣ ସମୟ</v>
      </c>
      <c r="G636" s="2" t="str">
        <f>IFERROR(__xludf.DUMMYFUNCTION("""COMPUTED_VALUE"""),"প্ৰক্ৰিয়াকৰণৰ সময়")</f>
        <v>প্ৰক্ৰিয়াকৰণৰ সময়</v>
      </c>
      <c r="H636" s="2" t="str">
        <f>IFERROR(__xludf.DUMMYFUNCTION("""COMPUTED_VALUE"""),"પ્રક્રિયા સમય")</f>
        <v>પ્રક્રિયા સમય</v>
      </c>
      <c r="I636" s="2" t="str">
        <f>IFERROR(__xludf.DUMMYFUNCTION("""COMPUTED_VALUE"""),"थर्ड पार्टी")</f>
        <v>थर्ड पार्टी</v>
      </c>
      <c r="J636" s="2" t="str">
        <f>IFERROR(__xludf.DUMMYFUNCTION("""COMPUTED_VALUE"""),"പ്രക്രിയ സമയം")</f>
        <v>പ്രക്രിയ സമയം</v>
      </c>
      <c r="K636" s="2" t="str">
        <f>IFERROR(__xludf.DUMMYFUNCTION("""COMPUTED_VALUE"""),"ਪ੍ਰਕਿਰਿਆ ਦਾ ਸਮਾਂ")</f>
        <v>ਪ੍ਰਕਿਰਿਆ ਦਾ ਸਮਾਂ</v>
      </c>
      <c r="L636" s="2" t="str">
        <f>IFERROR(__xludf.DUMMYFUNCTION("""COMPUTED_VALUE"""),"செயலாக்க நேரம்")</f>
        <v>செயலாக்க நேரம்</v>
      </c>
      <c r="M636" s="2" t="str">
        <f>IFERROR(__xludf.DUMMYFUNCTION("""COMPUTED_VALUE"""),"ప్రక్రియ సమయం")</f>
        <v>ప్రక్రియ సమయం</v>
      </c>
    </row>
    <row r="637">
      <c r="A637" s="2" t="str">
        <f>Master_en!A637</f>
        <v>pickupSlots</v>
      </c>
      <c r="B637" s="2" t="str">
        <f>Master_en!B637</f>
        <v>Pickup Slots</v>
      </c>
      <c r="C637" s="2" t="str">
        <f>IFERROR(__xludf.DUMMYFUNCTION("""COMPUTED_VALUE"""),"পিকআপ স্লট")</f>
        <v>পিকআপ স্লট</v>
      </c>
      <c r="D637" s="2" t="str">
        <f>IFERROR(__xludf.DUMMYFUNCTION("""COMPUTED_VALUE"""),"पिकअप स्लॉट")</f>
        <v>पिकअप स्लॉट</v>
      </c>
      <c r="E637" s="2" t="str">
        <f>IFERROR(__xludf.DUMMYFUNCTION("""COMPUTED_VALUE"""),"ಸ್ವತಹ ಆಯ್ದುಕೊಳ್ಳುವಿಕೆ")</f>
        <v>ಸ್ವತಹ ಆಯ್ದುಕೊಳ್ಳುವಿಕೆ</v>
      </c>
      <c r="F637" s="2" t="str">
        <f>IFERROR(__xludf.DUMMYFUNCTION("""COMPUTED_VALUE"""),"ପିକଅପ୍ ସ୍ଲଟ୍ |")</f>
        <v>ପିକଅପ୍ ସ୍ଲଟ୍ |</v>
      </c>
      <c r="G637" s="2" t="str">
        <f>IFERROR(__xludf.DUMMYFUNCTION("""COMPUTED_VALUE"""),"পিকআপ স্লট")</f>
        <v>পিকআপ স্লট</v>
      </c>
      <c r="H637" s="2" t="str">
        <f>IFERROR(__xludf.DUMMYFUNCTION("""COMPUTED_VALUE"""),"સ્લોટ્સ")</f>
        <v>સ્લોટ્સ</v>
      </c>
      <c r="I637" s="2" t="str">
        <f>IFERROR(__xludf.DUMMYFUNCTION("""COMPUTED_VALUE"""),"पिकअप स्लॉट")</f>
        <v>पिकअप स्लॉट</v>
      </c>
      <c r="J637" s="2" t="str">
        <f>IFERROR(__xludf.DUMMYFUNCTION("""COMPUTED_VALUE"""),"പിക്കപ്പ് സ്ലോട്ടുകൾ")</f>
        <v>പിക്കപ്പ് സ്ലോട്ടുകൾ</v>
      </c>
      <c r="K637" s="2" t="str">
        <f>IFERROR(__xludf.DUMMYFUNCTION("""COMPUTED_VALUE"""),"ਪਿਕਅਪ ਸਲੋਟ")</f>
        <v>ਪਿਕਅਪ ਸਲੋਟ</v>
      </c>
      <c r="L637" s="2" t="str">
        <f>IFERROR(__xludf.DUMMYFUNCTION("""COMPUTED_VALUE"""),"பிக்கப் ஸ்லாட்டுகள்")</f>
        <v>பிக்கப் ஸ்லாட்டுகள்</v>
      </c>
      <c r="M637" s="2" t="str">
        <f>IFERROR(__xludf.DUMMYFUNCTION("""COMPUTED_VALUE"""),"పికప్ స్లాట్లు")</f>
        <v>పికప్ స్లాట్లు</v>
      </c>
    </row>
    <row r="638">
      <c r="A638" s="2" t="str">
        <f>Master_en!A638</f>
        <v>startTime</v>
      </c>
      <c r="B638" s="2" t="str">
        <f>Master_en!B638</f>
        <v>Start Time</v>
      </c>
      <c r="C638" s="2" t="str">
        <f>IFERROR(__xludf.DUMMYFUNCTION("""COMPUTED_VALUE"""),"সময় শুরু")</f>
        <v>সময় শুরু</v>
      </c>
      <c r="D638" s="2" t="str">
        <f>IFERROR(__xludf.DUMMYFUNCTION("""COMPUTED_VALUE"""),"समय शुरू")</f>
        <v>समय शुरू</v>
      </c>
      <c r="E638" s="2" t="str">
        <f>IFERROR(__xludf.DUMMYFUNCTION("""COMPUTED_VALUE"""),"ಆರಂಭವಾಗುವ")</f>
        <v>ಆರಂಭವಾಗುವ</v>
      </c>
      <c r="F638" s="2" t="str">
        <f>IFERROR(__xludf.DUMMYFUNCTION("""COMPUTED_VALUE"""),"ସମୟ ଆରମ୍ଭ")</f>
        <v>ସମୟ ଆରମ୍ଭ</v>
      </c>
      <c r="G638" s="2" t="str">
        <f>IFERROR(__xludf.DUMMYFUNCTION("""COMPUTED_VALUE"""),"আৰম্ভণিৰ সময়")</f>
        <v>আৰম্ভণিৰ সময়</v>
      </c>
      <c r="H638" s="2" t="str">
        <f>IFERROR(__xludf.DUMMYFUNCTION("""COMPUTED_VALUE"""),"પ્રારંભ સમય")</f>
        <v>પ્રારંભ સમય</v>
      </c>
      <c r="I638" s="2" t="str">
        <f>IFERROR(__xludf.DUMMYFUNCTION("""COMPUTED_VALUE"""),"सुरवातीची वेळ")</f>
        <v>सुरवातीची वेळ</v>
      </c>
      <c r="J638" s="2" t="str">
        <f>IFERROR(__xludf.DUMMYFUNCTION("""COMPUTED_VALUE"""),"ആരംഭ സമയം")</f>
        <v>ആരംഭ സമയം</v>
      </c>
      <c r="K638" s="2" t="str">
        <f>IFERROR(__xludf.DUMMYFUNCTION("""COMPUTED_VALUE"""),"ਸ਼ੁਰੂ ਕਰਨ ਦਾ ਸਮਾਂ")</f>
        <v>ਸ਼ੁਰੂ ਕਰਨ ਦਾ ਸਮਾਂ</v>
      </c>
      <c r="L638" s="2" t="str">
        <f>IFERROR(__xludf.DUMMYFUNCTION("""COMPUTED_VALUE"""),"பிக்கப் ஸ்லாட்டுகள்")</f>
        <v>பிக்கப் ஸ்லாட்டுகள்</v>
      </c>
      <c r="M638" s="2" t="str">
        <f>IFERROR(__xludf.DUMMYFUNCTION("""COMPUTED_VALUE"""),"ప్రారంభ సమయం")</f>
        <v>ప్రారంభ సమయం</v>
      </c>
    </row>
    <row r="639">
      <c r="A639" s="2" t="str">
        <f>Master_en!A639</f>
        <v>endTime</v>
      </c>
      <c r="B639" s="2" t="str">
        <f>Master_en!B639</f>
        <v>End Time</v>
      </c>
      <c r="C639" s="2" t="str">
        <f>IFERROR(__xludf.DUMMYFUNCTION("""COMPUTED_VALUE"""),"শেষ সময়")</f>
        <v>শেষ সময়</v>
      </c>
      <c r="D639" s="2" t="str">
        <f>IFERROR(__xludf.DUMMYFUNCTION("""COMPUTED_VALUE"""),"अंत समय")</f>
        <v>अंत समय</v>
      </c>
      <c r="E639" s="2" t="str">
        <f>IFERROR(__xludf.DUMMYFUNCTION("""COMPUTED_VALUE"""),"ಅಂತಿಮ ಸಮಯ")</f>
        <v>ಅಂತಿಮ ಸಮಯ</v>
      </c>
      <c r="F639" s="2" t="str">
        <f>IFERROR(__xludf.DUMMYFUNCTION("""COMPUTED_VALUE"""),"ଶେଷ ସମୟ")</f>
        <v>ଶେଷ ସମୟ</v>
      </c>
      <c r="G639" s="2" t="str">
        <f>IFERROR(__xludf.DUMMYFUNCTION("""COMPUTED_VALUE"""),"শেষ সময়")</f>
        <v>শেষ সময়</v>
      </c>
      <c r="H639" s="2" t="str">
        <f>IFERROR(__xludf.DUMMYFUNCTION("""COMPUTED_VALUE"""),"અંતનો સમય")</f>
        <v>અંતનો સમય</v>
      </c>
      <c r="I639" s="2" t="str">
        <f>IFERROR(__xludf.DUMMYFUNCTION("""COMPUTED_VALUE"""),"सुरु होण्याची वेळ")</f>
        <v>सुरु होण्याची वेळ</v>
      </c>
      <c r="J639" s="2" t="str">
        <f>IFERROR(__xludf.DUMMYFUNCTION("""COMPUTED_VALUE"""),"അവസാന സമയം")</f>
        <v>അവസാന സമയം</v>
      </c>
      <c r="K639" s="2" t="str">
        <f>IFERROR(__xludf.DUMMYFUNCTION("""COMPUTED_VALUE"""),"ਅੰਤ ਦਾ ਸਮਾਂ")</f>
        <v>ਅੰਤ ਦਾ ਸਮਾਂ</v>
      </c>
      <c r="L639" s="2" t="str">
        <f>IFERROR(__xludf.DUMMYFUNCTION("""COMPUTED_VALUE"""),"இறுதி நேரம்")</f>
        <v>இறுதி நேரம்</v>
      </c>
      <c r="M639" s="2" t="str">
        <f>IFERROR(__xludf.DUMMYFUNCTION("""COMPUTED_VALUE"""),"ముగింపు సమయం")</f>
        <v>ముగింపు సమయం</v>
      </c>
    </row>
    <row r="640">
      <c r="A640" s="2" t="str">
        <f>Master_en!A640</f>
        <v>capacity</v>
      </c>
      <c r="B640" s="2" t="str">
        <f>Master_en!B640</f>
        <v>Capacity</v>
      </c>
      <c r="C640" s="2" t="str">
        <f>IFERROR(__xludf.DUMMYFUNCTION("""COMPUTED_VALUE"""),"ক্ষমতা")</f>
        <v>ক্ষমতা</v>
      </c>
      <c r="D640" s="2" t="str">
        <f>IFERROR(__xludf.DUMMYFUNCTION("""COMPUTED_VALUE"""),"क्षमता")</f>
        <v>क्षमता</v>
      </c>
      <c r="E640" s="2" t="str">
        <f>IFERROR(__xludf.DUMMYFUNCTION("""COMPUTED_VALUE"""),"ಆಯ್ದುಕೊಳ್ಳುವ ಸ್ಥಳ")</f>
        <v>ಆಯ್ದುಕೊಳ್ಳುವ ಸ್ಥಳ</v>
      </c>
      <c r="F640" s="2" t="str">
        <f>IFERROR(__xludf.DUMMYFUNCTION("""COMPUTED_VALUE"""),"କ୍ଷମତା")</f>
        <v>କ୍ଷମତା</v>
      </c>
      <c r="G640" s="2" t="str">
        <f>IFERROR(__xludf.DUMMYFUNCTION("""COMPUTED_VALUE"""),"ক্ষমতা")</f>
        <v>ক্ষমতা</v>
      </c>
      <c r="H640" s="2" t="str">
        <f>IFERROR(__xludf.DUMMYFUNCTION("""COMPUTED_VALUE"""),"શક્તિ")</f>
        <v>શક્તિ</v>
      </c>
      <c r="I640" s="2" t="str">
        <f>IFERROR(__xludf.DUMMYFUNCTION("""COMPUTED_VALUE"""),"समाप्तीचा वेळ")</f>
        <v>समाप्तीचा वेळ</v>
      </c>
      <c r="J640" s="2" t="str">
        <f>IFERROR(__xludf.DUMMYFUNCTION("""COMPUTED_VALUE"""),"താണി")</f>
        <v>താണി</v>
      </c>
      <c r="K640" s="2" t="str">
        <f>IFERROR(__xludf.DUMMYFUNCTION("""COMPUTED_VALUE"""),"ਸਮਰੱਥਾ")</f>
        <v>ਸਮਰੱਥਾ</v>
      </c>
      <c r="L640" s="2" t="str">
        <f>IFERROR(__xludf.DUMMYFUNCTION("""COMPUTED_VALUE"""),"திறன்")</f>
        <v>திறன்</v>
      </c>
      <c r="M640" s="2" t="str">
        <f>IFERROR(__xludf.DUMMYFUNCTION("""COMPUTED_VALUE"""),"సామర్థ్యం")</f>
        <v>సామర్థ్యం</v>
      </c>
    </row>
    <row r="641">
      <c r="A641" s="2" t="str">
        <f>Master_en!A641</f>
        <v>save</v>
      </c>
      <c r="B641" s="2" t="str">
        <f>Master_en!B641</f>
        <v>Save</v>
      </c>
      <c r="C641" s="2" t="str">
        <f>IFERROR(__xludf.DUMMYFUNCTION("""COMPUTED_VALUE"""),"সংরক্ষণ")</f>
        <v>সংরক্ষণ</v>
      </c>
      <c r="D641" s="2" t="str">
        <f>IFERROR(__xludf.DUMMYFUNCTION("""COMPUTED_VALUE"""),"बचाना")</f>
        <v>बचाना</v>
      </c>
      <c r="E641" s="2" t="str">
        <f>IFERROR(__xludf.DUMMYFUNCTION("""COMPUTED_VALUE"""),"ಆರಂಭದ ಸಮಯ")</f>
        <v>ಆರಂಭದ ಸಮಯ</v>
      </c>
      <c r="F641" s="2" t="str">
        <f>IFERROR(__xludf.DUMMYFUNCTION("""COMPUTED_VALUE"""),"ସଞ୍ଚୟ କରନ୍ତୁ |")</f>
        <v>ସଞ୍ଚୟ କରନ୍ତୁ |</v>
      </c>
      <c r="G641" s="2" t="str">
        <f>IFERROR(__xludf.DUMMYFUNCTION("""COMPUTED_VALUE"""),"সঞ্চয় কৰা")</f>
        <v>সঞ্চয় কৰা</v>
      </c>
      <c r="H641" s="2" t="str">
        <f>IFERROR(__xludf.DUMMYFUNCTION("""COMPUTED_VALUE"""),"બચત કરવી")</f>
        <v>બચત કરવી</v>
      </c>
      <c r="I641" s="2" t="str">
        <f>IFERROR(__xludf.DUMMYFUNCTION("""COMPUTED_VALUE"""),"जतन करा")</f>
        <v>जतन करा</v>
      </c>
      <c r="J641" s="2" t="str">
        <f>IFERROR(__xludf.DUMMYFUNCTION("""COMPUTED_VALUE"""),"രക്ഷിക്കും")</f>
        <v>രക്ഷിക്കും</v>
      </c>
      <c r="K641" s="2" t="str">
        <f>IFERROR(__xludf.DUMMYFUNCTION("""COMPUTED_VALUE"""),"ਸੇਵ")</f>
        <v>ਸੇਵ</v>
      </c>
      <c r="L641" s="2" t="str">
        <f>IFERROR(__xludf.DUMMYFUNCTION("""COMPUTED_VALUE"""),"சேமிக்கவும்")</f>
        <v>சேமிக்கவும்</v>
      </c>
      <c r="M641" s="2" t="str">
        <f>IFERROR(__xludf.DUMMYFUNCTION("""COMPUTED_VALUE"""),"సేవ్")</f>
        <v>సేవ్</v>
      </c>
    </row>
    <row r="642">
      <c r="A642" s="2" t="str">
        <f>Master_en!A642</f>
        <v>delete</v>
      </c>
      <c r="B642" s="2" t="str">
        <f>Master_en!B642</f>
        <v>Delete</v>
      </c>
      <c r="C642" s="2" t="str">
        <f>IFERROR(__xludf.DUMMYFUNCTION("""COMPUTED_VALUE"""),"মুছে ফেলা")</f>
        <v>মুছে ফেলা</v>
      </c>
      <c r="D642" s="2" t="str">
        <f>IFERROR(__xludf.DUMMYFUNCTION("""COMPUTED_VALUE"""),"मिटाना")</f>
        <v>मिटाना</v>
      </c>
      <c r="E642" s="2" t="str">
        <f>IFERROR(__xludf.DUMMYFUNCTION("""COMPUTED_VALUE"""),"ಅಳಿಸು")</f>
        <v>ಅಳಿಸು</v>
      </c>
      <c r="F642" s="2" t="str">
        <f>IFERROR(__xludf.DUMMYFUNCTION("""COMPUTED_VALUE"""),"ବିଲୋପ କରନ୍ତୁ |")</f>
        <v>ବିଲୋପ କରନ୍ତୁ |</v>
      </c>
      <c r="G642" s="2" t="str">
        <f>IFERROR(__xludf.DUMMYFUNCTION("""COMPUTED_VALUE"""),"বিলোপ")</f>
        <v>বিলোপ</v>
      </c>
      <c r="H642" s="2" t="str">
        <f>IFERROR(__xludf.DUMMYFUNCTION("""COMPUTED_VALUE"""),"કા delી નાખવું")</f>
        <v>કા delી નાખવું</v>
      </c>
      <c r="I642" s="2" t="str">
        <f>IFERROR(__xludf.DUMMYFUNCTION("""COMPUTED_VALUE"""),"हटवा")</f>
        <v>हटवा</v>
      </c>
      <c r="J642" s="2" t="str">
        <f>IFERROR(__xludf.DUMMYFUNCTION("""COMPUTED_VALUE"""),"ഇല്ലാതാക്കുക")</f>
        <v>ഇല്ലാതാക്കുക</v>
      </c>
      <c r="K642" s="2" t="str">
        <f>IFERROR(__xludf.DUMMYFUNCTION("""COMPUTED_VALUE"""),"ਮਿਟਾਓ")</f>
        <v>ਮਿਟਾਓ</v>
      </c>
      <c r="L642" s="2" t="str">
        <f>IFERROR(__xludf.DUMMYFUNCTION("""COMPUTED_VALUE"""),"அழி")</f>
        <v>அழி</v>
      </c>
      <c r="M642" s="2" t="str">
        <f>IFERROR(__xludf.DUMMYFUNCTION("""COMPUTED_VALUE"""),"తొలగించు")</f>
        <v>తొలగించు</v>
      </c>
    </row>
    <row r="643">
      <c r="A643" s="2" t="str">
        <f>Master_en!A643</f>
        <v>distanceCovers</v>
      </c>
      <c r="B643" s="2" t="str">
        <f>Master_en!B643</f>
        <v>Distance covers</v>
      </c>
      <c r="C643" s="2" t="str">
        <f>IFERROR(__xludf.DUMMYFUNCTION("""COMPUTED_VALUE"""),"দূরত্ব কভার")</f>
        <v>দূরত্ব কভার</v>
      </c>
      <c r="D643" s="2" t="str">
        <f>IFERROR(__xludf.DUMMYFUNCTION("""COMPUTED_VALUE"""),"दूरी कवर")</f>
        <v>दूरी कवर</v>
      </c>
      <c r="E643" s="2" t="str">
        <f>IFERROR(__xludf.DUMMYFUNCTION("""COMPUTED_VALUE"""),"ದೂರ ಕವರ್")</f>
        <v>ದೂರ ಕವರ್</v>
      </c>
      <c r="F643" s="2" t="str">
        <f>IFERROR(__xludf.DUMMYFUNCTION("""COMPUTED_VALUE"""),"ଦୂରତା କଭର")</f>
        <v>ଦୂରତା କଭର</v>
      </c>
      <c r="G643" s="2" t="str">
        <f>IFERROR(__xludf.DUMMYFUNCTION("""COMPUTED_VALUE"""),"দূৰত্ব সামৰি লয়")</f>
        <v>দূৰত্ব সামৰি লয়</v>
      </c>
      <c r="H643" s="2" t="str">
        <f>IFERROR(__xludf.DUMMYFUNCTION("""COMPUTED_VALUE"""),"અંતર")</f>
        <v>અંતર</v>
      </c>
      <c r="I643" s="2" t="str">
        <f>IFERROR(__xludf.DUMMYFUNCTION("""COMPUTED_VALUE"""),"अंतर कव्हर्स")</f>
        <v>अंतर कव्हर्स</v>
      </c>
      <c r="J643" s="2" t="str">
        <f>IFERROR(__xludf.DUMMYFUNCTION("""COMPUTED_VALUE"""),"ദൂര കവറുകൾ")</f>
        <v>ദൂര കവറുകൾ</v>
      </c>
      <c r="K643" s="2" t="str">
        <f>IFERROR(__xludf.DUMMYFUNCTION("""COMPUTED_VALUE"""),"ਦੂਰੀ ਕਵਰ")</f>
        <v>ਦੂਰੀ ਕਵਰ</v>
      </c>
      <c r="L643" s="2" t="str">
        <f>IFERROR(__xludf.DUMMYFUNCTION("""COMPUTED_VALUE"""),"தூரத்தை உள்ளடக்கியது")</f>
        <v>தூரத்தை உள்ளடக்கியது</v>
      </c>
      <c r="M643" s="2" t="str">
        <f>IFERROR(__xludf.DUMMYFUNCTION("""COMPUTED_VALUE"""),"దూర కవర్లు")</f>
        <v>దూర కవర్లు</v>
      </c>
    </row>
    <row r="644">
      <c r="A644" s="2" t="str">
        <f>Master_en!A644</f>
        <v>deliveryCharge</v>
      </c>
      <c r="B644" s="2" t="str">
        <f>Master_en!B644</f>
        <v>Delivery Charge</v>
      </c>
      <c r="C644" s="2" t="str">
        <f>IFERROR(__xludf.DUMMYFUNCTION("""COMPUTED_VALUE"""),"ডেলিভারি চার্জ")</f>
        <v>ডেলিভারি চার্জ</v>
      </c>
      <c r="D644" s="2" t="str">
        <f>IFERROR(__xludf.DUMMYFUNCTION("""COMPUTED_VALUE"""),"वितरण शुल्क")</f>
        <v>वितरण शुल्क</v>
      </c>
      <c r="E644" s="2" t="str">
        <f>IFERROR(__xludf.DUMMYFUNCTION("""COMPUTED_VALUE"""),"ವಿತರಣಾ ಶುಲ್ಕ")</f>
        <v>ವಿತರಣಾ ಶುಲ್ಕ</v>
      </c>
      <c r="F644" s="2" t="str">
        <f>IFERROR(__xludf.DUMMYFUNCTION("""COMPUTED_VALUE"""),"ବିତରଣ ଚାର୍ଜ")</f>
        <v>ବିତରଣ ଚାର୍ଜ</v>
      </c>
      <c r="G644" s="2" t="str">
        <f>IFERROR(__xludf.DUMMYFUNCTION("""COMPUTED_VALUE"""),"ডেলিভাৰী চাৰ্জ")</f>
        <v>ডেলিভাৰী চাৰ্জ</v>
      </c>
      <c r="H644" s="2" t="str">
        <f>IFERROR(__xludf.DUMMYFUNCTION("""COMPUTED_VALUE"""),"વિતરણ ખર્ચ")</f>
        <v>વિતરણ ખર્ચ</v>
      </c>
      <c r="I644" s="2" t="str">
        <f>IFERROR(__xludf.DUMMYFUNCTION("""COMPUTED_VALUE"""),"अंतर पार केले")</f>
        <v>अंतर पार केले</v>
      </c>
      <c r="J644" s="2" t="str">
        <f>IFERROR(__xludf.DUMMYFUNCTION("""COMPUTED_VALUE"""),"ഡെലിവറി ചാർജ്")</f>
        <v>ഡെലിവറി ചാർജ്</v>
      </c>
      <c r="K644" s="2" t="str">
        <f>IFERROR(__xludf.DUMMYFUNCTION("""COMPUTED_VALUE"""),"ਡਿਲਿਵਰੀ ਚਾਰਜ")</f>
        <v>ਡਿਲਿਵਰੀ ਚਾਰਜ</v>
      </c>
      <c r="L644" s="2" t="str">
        <f>IFERROR(__xludf.DUMMYFUNCTION("""COMPUTED_VALUE"""),"விநியோக கட்டணம்")</f>
        <v>விநியோக கட்டணம்</v>
      </c>
      <c r="M644" s="2" t="str">
        <f>IFERROR(__xludf.DUMMYFUNCTION("""COMPUTED_VALUE"""),"డెలివరీ ఛార్జ్")</f>
        <v>డెలివరీ ఛార్జ్</v>
      </c>
    </row>
    <row r="645">
      <c r="A645" s="2" t="str">
        <f>Master_en!A645</f>
        <v>City/Ward/District</v>
      </c>
      <c r="B645" s="2" t="str">
        <f>Master_en!B645</f>
        <v>City/Ward/District</v>
      </c>
      <c r="C645" s="2" t="str">
        <f>IFERROR(__xludf.DUMMYFUNCTION("""COMPUTED_VALUE"""),"শহর/ওয়ার্ড/জেলা")</f>
        <v>শহর/ওয়ার্ড/জেলা</v>
      </c>
      <c r="D645" s="2" t="str">
        <f>IFERROR(__xludf.DUMMYFUNCTION("""COMPUTED_VALUE"""),"शहर/वार्ड/जिला")</f>
        <v>शहर/वार्ड/जिला</v>
      </c>
      <c r="E645" s="2" t="str">
        <f>IFERROR(__xludf.DUMMYFUNCTION("""COMPUTED_VALUE"""),"ನಗರ/ವಾರ್ಡ್/ಜಿಲ್ಲೆ")</f>
        <v>ನಗರ/ವಾರ್ಡ್/ಜಿಲ್ಲೆ</v>
      </c>
      <c r="F645" s="2" t="str">
        <f>IFERROR(__xludf.DUMMYFUNCTION("""COMPUTED_VALUE"""),"ସହର / ୱାର୍ଡ / ଜିଲ୍ଲା |")</f>
        <v>ସହର / ୱାର୍ଡ / ଜିଲ୍ଲା |</v>
      </c>
      <c r="G645" s="2" t="str">
        <f>IFERROR(__xludf.DUMMYFUNCTION("""COMPUTED_VALUE"""),"চহৰ/ৱাৰ্ড/জিলা")</f>
        <v>চহৰ/ৱাৰ্ড/জিলা</v>
      </c>
      <c r="H645" s="2" t="str">
        <f>IFERROR(__xludf.DUMMYFUNCTION("""COMPUTED_VALUE"""),"શહેર/વોર્ડ/જિલ્લા")</f>
        <v>શહેર/વોર્ડ/જિલ્લા</v>
      </c>
      <c r="I645" s="2" t="str">
        <f>IFERROR(__xludf.DUMMYFUNCTION("""COMPUTED_VALUE"""),"शहर/वॉर्ड/जिल्हा")</f>
        <v>शहर/वॉर्ड/जिल्हा</v>
      </c>
      <c r="J645" s="2" t="str">
        <f>IFERROR(__xludf.DUMMYFUNCTION("""COMPUTED_VALUE"""),"സിറ്റി / വാർഡ് / ജില്ല")</f>
        <v>സിറ്റി / വാർഡ് / ജില്ല</v>
      </c>
      <c r="K645" s="2" t="str">
        <f>IFERROR(__xludf.DUMMYFUNCTION("""COMPUTED_VALUE"""),"ਸ਼ਹਿਰ / ਵਾਰਡ / ਜ਼ਿਲ੍ਹਾ")</f>
        <v>ਸ਼ਹਿਰ / ਵਾਰਡ / ਜ਼ਿਲ੍ਹਾ</v>
      </c>
      <c r="L645" s="2" t="str">
        <f>IFERROR(__xludf.DUMMYFUNCTION("""COMPUTED_VALUE"""),"நகரம்/வார்டு/மாவட்டம்")</f>
        <v>நகரம்/வார்டு/மாவட்டம்</v>
      </c>
      <c r="M645" s="2" t="str">
        <f>IFERROR(__xludf.DUMMYFUNCTION("""COMPUTED_VALUE"""),"నగరం/వార్డ్/జిల్లా")</f>
        <v>నగరం/వార్డ్/జిల్లా</v>
      </c>
    </row>
    <row r="646">
      <c r="A646" s="2" t="str">
        <f>Master_en!A646</f>
        <v>onOrder</v>
      </c>
      <c r="B646" s="2" t="str">
        <f>Master_en!B646</f>
        <v>on Order</v>
      </c>
      <c r="C646" s="2" t="str">
        <f>IFERROR(__xludf.DUMMYFUNCTION("""COMPUTED_VALUE"""),"আদেশ")</f>
        <v>আদেশ</v>
      </c>
      <c r="D646" s="2" t="str">
        <f>IFERROR(__xludf.DUMMYFUNCTION("""COMPUTED_VALUE"""),"आदेश पर")</f>
        <v>आदेश पर</v>
      </c>
      <c r="E646" s="2" t="str">
        <f>IFERROR(__xludf.DUMMYFUNCTION("""COMPUTED_VALUE"""),"ಕ್ರಮದಲ್ಲಿ")</f>
        <v>ಕ್ರಮದಲ್ಲಿ</v>
      </c>
      <c r="F646" s="2" t="str">
        <f>IFERROR(__xludf.DUMMYFUNCTION("""COMPUTED_VALUE"""),"କ୍ରମରେ")</f>
        <v>କ୍ରମରେ</v>
      </c>
      <c r="G646" s="2" t="str">
        <f>IFERROR(__xludf.DUMMYFUNCTION("""COMPUTED_VALUE"""),"অৰ্ডাৰত")</f>
        <v>অৰ্ডাৰত</v>
      </c>
      <c r="H646" s="2" t="str">
        <f>IFERROR(__xludf.DUMMYFUNCTION("""COMPUTED_VALUE"""),"ના હુકમ પર")</f>
        <v>ના હુકમ પર</v>
      </c>
      <c r="I646" s="2" t="str">
        <f>IFERROR(__xludf.DUMMYFUNCTION("""COMPUTED_VALUE"""),"ऑर्डर वर")</f>
        <v>ऑर्डर वर</v>
      </c>
      <c r="J646" s="2" t="str">
        <f>IFERROR(__xludf.DUMMYFUNCTION("""COMPUTED_VALUE"""),"ക്രമത്തിൽ")</f>
        <v>ക്രമത്തിൽ</v>
      </c>
      <c r="K646" s="2" t="str">
        <f>IFERROR(__xludf.DUMMYFUNCTION("""COMPUTED_VALUE"""),"ਕ੍ਰਮ 'ਤੇ")</f>
        <v>ਕ੍ਰਮ 'ਤੇ</v>
      </c>
      <c r="L646" s="2" t="str">
        <f>IFERROR(__xludf.DUMMYFUNCTION("""COMPUTED_VALUE"""),"வரிசையில்")</f>
        <v>வரிசையில்</v>
      </c>
      <c r="M646" s="2" t="str">
        <f>IFERROR(__xludf.DUMMYFUNCTION("""COMPUTED_VALUE"""),"క్రమం మీద")</f>
        <v>క్రమం మీద</v>
      </c>
    </row>
    <row r="647">
      <c r="A647" s="2" t="str">
        <f>Master_en!A647</f>
        <v>totalemployeesfound </v>
      </c>
      <c r="B647" s="2" t="str">
        <f>Master_en!B647</f>
        <v>Total Employees Found </v>
      </c>
      <c r="C647" s="2" t="str">
        <f>IFERROR(__xludf.DUMMYFUNCTION("""COMPUTED_VALUE"""),"মোট কর্মচারী পাওয়া গেছে")</f>
        <v>মোট কর্মচারী পাওয়া গেছে</v>
      </c>
      <c r="D647" s="2" t="str">
        <f>IFERROR(__xludf.DUMMYFUNCTION("""COMPUTED_VALUE"""),"कुल कर्मचारी पाए गए")</f>
        <v>कुल कर्मचारी पाए गए</v>
      </c>
      <c r="E647" s="2" t="str">
        <f>IFERROR(__xludf.DUMMYFUNCTION("""COMPUTED_VALUE"""),"ಒಟ್ಟು ಉದ್ಯೋಗಿಗಳು ಕಂಡುಬಂದಿದ್ದಾರೆ")</f>
        <v>ಒಟ್ಟು ಉದ್ಯೋಗಿಗಳು ಕಂಡುಬಂದಿದ್ದಾರೆ</v>
      </c>
      <c r="F647" s="2" t="str">
        <f>IFERROR(__xludf.DUMMYFUNCTION("""COMPUTED_VALUE"""),"ସମୁଦାୟ କର୍ମଚାରୀମାନେ ପାଇଲେ |")</f>
        <v>ସମୁଦାୟ କର୍ମଚାରୀମାନେ ପାଇଲେ |</v>
      </c>
      <c r="G647" s="2" t="str">
        <f>IFERROR(__xludf.DUMMYFUNCTION("""COMPUTED_VALUE"""),"মুঠ কৰ্মচাৰী পোৱা গৈছে")</f>
        <v>মুঠ কৰ্মচাৰী পোৱা গৈছে</v>
      </c>
      <c r="H647" s="2" t="str">
        <f>IFERROR(__xludf.DUMMYFUNCTION("""COMPUTED_VALUE"""),"કુલ કર્મચારીઓ મળી")</f>
        <v>કુલ કર્મચારીઓ મળી</v>
      </c>
      <c r="I647" s="2" t="str">
        <f>IFERROR(__xludf.DUMMYFUNCTION("""COMPUTED_VALUE"""),"एकूण कर्मचारी सापडले")</f>
        <v>एकूण कर्मचारी सापडले</v>
      </c>
      <c r="J647" s="2" t="str">
        <f>IFERROR(__xludf.DUMMYFUNCTION("""COMPUTED_VALUE"""),"കണ്ടെത്തിയ മൊത്തം ജീവനക്കാർ കണ്ടെത്തി")</f>
        <v>കണ്ടെത്തിയ മൊത്തം ജീവനക്കാർ കണ്ടെത്തി</v>
      </c>
      <c r="K647" s="2" t="str">
        <f>IFERROR(__xludf.DUMMYFUNCTION("""COMPUTED_VALUE"""),"ਕੁੱਲ ਕਰਮਚਾਰੀ ਲੱਭੇ")</f>
        <v>ਕੁੱਲ ਕਰਮਚਾਰੀ ਲੱਭੇ</v>
      </c>
      <c r="L647" s="2" t="str">
        <f>IFERROR(__xludf.DUMMYFUNCTION("""COMPUTED_VALUE"""),"மொத்த ஊழியர்கள் காணப்பட்டனர்")</f>
        <v>மொத்த ஊழியர்கள் காணப்பட்டனர்</v>
      </c>
      <c r="M647" s="2" t="str">
        <f>IFERROR(__xludf.DUMMYFUNCTION("""COMPUTED_VALUE"""),"మొత్తం ఉద్యోగులు కనుగొన్నారు")</f>
        <v>మొత్తం ఉద్యోగులు కనుగొన్నారు</v>
      </c>
    </row>
    <row r="648">
      <c r="A648" s="2" t="str">
        <f>Master_en!A648</f>
        <v>enableFree</v>
      </c>
      <c r="B648" s="2" t="str">
        <f>Master_en!B648</f>
        <v>Enable Free</v>
      </c>
      <c r="C648" s="2" t="str">
        <f>IFERROR(__xludf.DUMMYFUNCTION("""COMPUTED_VALUE"""),"বিনামূল্যে সক্ষম করুন")</f>
        <v>বিনামূল্যে সক্ষম করুন</v>
      </c>
      <c r="D648" s="2" t="str">
        <f>IFERROR(__xludf.DUMMYFUNCTION("""COMPUTED_VALUE"""),"मुक्त सक्षम करें")</f>
        <v>मुक्त सक्षम करें</v>
      </c>
      <c r="E648" s="2" t="str">
        <f>IFERROR(__xludf.DUMMYFUNCTION("""COMPUTED_VALUE"""),"ಮುಕ್ತವಾಗಿ ಸಕ್ರಿಯಗೊಳಿಸಿ")</f>
        <v>ಮುಕ್ತವಾಗಿ ಸಕ್ರಿಯಗೊಳಿಸಿ</v>
      </c>
      <c r="F648" s="2" t="str">
        <f>IFERROR(__xludf.DUMMYFUNCTION("""COMPUTED_VALUE"""),"ମାଗଣା ସକ୍ଷମ କରନ୍ତୁ |")</f>
        <v>ମାଗଣା ସକ୍ଷମ କରନ୍ତୁ |</v>
      </c>
      <c r="G648" s="2" t="str">
        <f>IFERROR(__xludf.DUMMYFUNCTION("""COMPUTED_VALUE"""),"বিনামূলীয়া সামৰ্থবান কৰক")</f>
        <v>বিনামূলীয়া সামৰ্থবান কৰক</v>
      </c>
      <c r="H648" s="2" t="str">
        <f>IFERROR(__xludf.DUMMYFUNCTION("""COMPUTED_VALUE"""),"મફત સક્ષમ કરો")</f>
        <v>મફત સક્ષમ કરો</v>
      </c>
      <c r="I648" s="2" t="str">
        <f>IFERROR(__xludf.DUMMYFUNCTION("""COMPUTED_VALUE"""),"विनामूल्य सक्षम करा")</f>
        <v>विनामूल्य सक्षम करा</v>
      </c>
      <c r="J648" s="2" t="str">
        <f>IFERROR(__xludf.DUMMYFUNCTION("""COMPUTED_VALUE"""),"സ free ജന്യമായി പ്രാപ്തമാക്കുക")</f>
        <v>സ free ജന്യമായി പ്രാപ്തമാക്കുക</v>
      </c>
      <c r="K648" s="2" t="str">
        <f>IFERROR(__xludf.DUMMYFUNCTION("""COMPUTED_VALUE"""),"ਮੁਫਤ ਸਮਰੱਥ ਕਰੋ")</f>
        <v>ਮੁਫਤ ਸਮਰੱਥ ਕਰੋ</v>
      </c>
      <c r="L648" s="2" t="str">
        <f>IFERROR(__xludf.DUMMYFUNCTION("""COMPUTED_VALUE"""),"இலவசமாக இயக்கவும்")</f>
        <v>இலவசமாக இயக்கவும்</v>
      </c>
      <c r="M648" s="2" t="str">
        <f>IFERROR(__xludf.DUMMYFUNCTION("""COMPUTED_VALUE"""),"ఉచితంగా ప్రారంభించండి")</f>
        <v>ఉచితంగా ప్రారంభించండి</v>
      </c>
    </row>
    <row r="649">
      <c r="A649" s="2" t="str">
        <f>Master_en!A649</f>
        <v>shipping</v>
      </c>
      <c r="B649" s="2" t="str">
        <f>Master_en!B649</f>
        <v>Shipping</v>
      </c>
      <c r="C649" s="2" t="str">
        <f>IFERROR(__xludf.DUMMYFUNCTION("""COMPUTED_VALUE"""),"পাঠানো")</f>
        <v>পাঠানো</v>
      </c>
      <c r="D649" s="2" t="str">
        <f>IFERROR(__xludf.DUMMYFUNCTION("""COMPUTED_VALUE"""),"शिपिंग")</f>
        <v>शिपिंग</v>
      </c>
      <c r="E649" s="2" t="str">
        <f>IFERROR(__xludf.DUMMYFUNCTION("""COMPUTED_VALUE"""),"ಸಾಗಣೆ")</f>
        <v>ಸಾಗಣೆ</v>
      </c>
      <c r="F649" s="2" t="str">
        <f>IFERROR(__xludf.DUMMYFUNCTION("""COMPUTED_VALUE"""),"ପଠାଇବା")</f>
        <v>ପଠାଇବା</v>
      </c>
      <c r="G649" s="2" t="str">
        <f>IFERROR(__xludf.DUMMYFUNCTION("""COMPUTED_VALUE"""),"পঠিওৱা")</f>
        <v>পঠিওৱা</v>
      </c>
      <c r="H649" s="2" t="str">
        <f>IFERROR(__xludf.DUMMYFUNCTION("""COMPUTED_VALUE"""),"વહાણ પરિવહન")</f>
        <v>વહાણ પરિવહન</v>
      </c>
      <c r="I649" s="2" t="str">
        <f>IFERROR(__xludf.DUMMYFUNCTION("""COMPUTED_VALUE"""),"शिपिंग")</f>
        <v>शिपिंग</v>
      </c>
      <c r="J649" s="2" t="str">
        <f>IFERROR(__xludf.DUMMYFUNCTION("""COMPUTED_VALUE"""),"ഷിപ്പിംഗ്")</f>
        <v>ഷിപ്പിംഗ്</v>
      </c>
      <c r="K649" s="2" t="str">
        <f>IFERROR(__xludf.DUMMYFUNCTION("""COMPUTED_VALUE"""),"ਸ਼ਿਪਿੰਗ")</f>
        <v>ਸ਼ਿਪਿੰਗ</v>
      </c>
      <c r="L649" s="2" t="str">
        <f>IFERROR(__xludf.DUMMYFUNCTION("""COMPUTED_VALUE"""),"கப்பல்")</f>
        <v>கப்பல்</v>
      </c>
      <c r="M649" s="2" t="str">
        <f>IFERROR(__xludf.DUMMYFUNCTION("""COMPUTED_VALUE"""),"షిప్పింగ్")</f>
        <v>షిప్పింగ్</v>
      </c>
    </row>
    <row r="650">
      <c r="A650" s="2" t="str">
        <f>Master_en!A650</f>
        <v>availOur</v>
      </c>
      <c r="B650" s="2" t="str">
        <f>Master_en!B650</f>
        <v>Avail Our</v>
      </c>
      <c r="C650" s="2" t="str">
        <f>IFERROR(__xludf.DUMMYFUNCTION("""COMPUTED_VALUE"""),"আমাদের উপকার")</f>
        <v>আমাদের উপকার</v>
      </c>
      <c r="D650" s="2" t="str">
        <f>IFERROR(__xludf.DUMMYFUNCTION("""COMPUTED_VALUE"""),"हमारा लाभ उठाएं")</f>
        <v>हमारा लाभ उठाएं</v>
      </c>
      <c r="E650" s="2" t="str">
        <f>IFERROR(__xludf.DUMMYFUNCTION("""COMPUTED_VALUE"""),"ನಮ್ಮದನ್ನು ಪಡೆದುಕೊಳ್ಳಿ")</f>
        <v>ನಮ್ಮದನ್ನು ಪಡೆದುಕೊಳ್ಳಿ</v>
      </c>
      <c r="F650" s="2" t="str">
        <f>IFERROR(__xludf.DUMMYFUNCTION("""COMPUTED_VALUE"""),"ଆମର ଲାଭ")</f>
        <v>ଆମର ଲାଭ</v>
      </c>
      <c r="G650" s="2" t="str">
        <f>IFERROR(__xludf.DUMMYFUNCTION("""COMPUTED_VALUE"""),"আমাৰ সুবিধা লওক")</f>
        <v>আমাৰ সুবিধা লওক</v>
      </c>
      <c r="H650" s="2" t="str">
        <f>IFERROR(__xludf.DUMMYFUNCTION("""COMPUTED_VALUE"""),"અમારા માટે લાભ")</f>
        <v>અમારા માટે લાભ</v>
      </c>
      <c r="I650" s="2" t="str">
        <f>IFERROR(__xludf.DUMMYFUNCTION("""COMPUTED_VALUE"""),"आमचा लाभ घ्या")</f>
        <v>आमचा लाभ घ्या</v>
      </c>
      <c r="J650" s="2" t="str">
        <f>IFERROR(__xludf.DUMMYFUNCTION("""COMPUTED_VALUE"""),"ഞങ്ങളുടെ പ്രയോജനപ്പെടുത്തുക")</f>
        <v>ഞങ്ങളുടെ പ്രയോജനപ്പെടുത്തുക</v>
      </c>
      <c r="K650" s="2" t="str">
        <f>IFERROR(__xludf.DUMMYFUNCTION("""COMPUTED_VALUE"""),"ਸਾਡੇ ਲਈ ਲਾਭ")</f>
        <v>ਸਾਡੇ ਲਈ ਲਾਭ</v>
      </c>
      <c r="L650" s="2" t="str">
        <f>IFERROR(__xludf.DUMMYFUNCTION("""COMPUTED_VALUE"""),"எங்கள் கிடைக்கும்")</f>
        <v>எங்கள் கிடைக்கும்</v>
      </c>
      <c r="M650" s="2" t="str">
        <f>IFERROR(__xludf.DUMMYFUNCTION("""COMPUTED_VALUE"""),"మా పొందండి")</f>
        <v>మా పొందండి</v>
      </c>
    </row>
    <row r="651">
      <c r="A651" s="2" t="str">
        <f>Master_en!A651</f>
        <v>deliveryService</v>
      </c>
      <c r="B651" s="2" t="str">
        <f>Master_en!B651</f>
        <v>Delivery Service</v>
      </c>
      <c r="C651" s="2" t="str">
        <f>IFERROR(__xludf.DUMMYFUNCTION("""COMPUTED_VALUE"""),"বিতরণ সেবা")</f>
        <v>বিতরণ সেবা</v>
      </c>
      <c r="D651" s="2" t="str">
        <f>IFERROR(__xludf.DUMMYFUNCTION("""COMPUTED_VALUE"""),"वितरण सेवा")</f>
        <v>वितरण सेवा</v>
      </c>
      <c r="E651" s="2" t="str">
        <f>IFERROR(__xludf.DUMMYFUNCTION("""COMPUTED_VALUE"""),"ವಿತರಣಾ ಸೇವೆ")</f>
        <v>ವಿತರಣಾ ಸೇವೆ</v>
      </c>
      <c r="F651" s="2" t="str">
        <f>IFERROR(__xludf.DUMMYFUNCTION("""COMPUTED_VALUE"""),"ବିତରଣ ସେବା")</f>
        <v>ବିତରଣ ସେବା</v>
      </c>
      <c r="G651" s="2" t="str">
        <f>IFERROR(__xludf.DUMMYFUNCTION("""COMPUTED_VALUE"""),"ডেলিভাৰী সেৱা")</f>
        <v>ডেলিভাৰী সেৱা</v>
      </c>
      <c r="H651" s="2" t="str">
        <f>IFERROR(__xludf.DUMMYFUNCTION("""COMPUTED_VALUE"""),"વિતરણ સેવા")</f>
        <v>વિતરણ સેવા</v>
      </c>
      <c r="I651" s="2" t="str">
        <f>IFERROR(__xludf.DUMMYFUNCTION("""COMPUTED_VALUE"""),"आमचा लाभ घ्या")</f>
        <v>आमचा लाभ घ्या</v>
      </c>
      <c r="J651" s="2" t="str">
        <f>IFERROR(__xludf.DUMMYFUNCTION("""COMPUTED_VALUE"""),"ഡെലിവറി സേവനം")</f>
        <v>ഡെലിവറി സേവനം</v>
      </c>
      <c r="K651" s="2" t="str">
        <f>IFERROR(__xludf.DUMMYFUNCTION("""COMPUTED_VALUE"""),"ਡਿਲਿਵਰੀ ਸੇਵਾ")</f>
        <v>ਡਿਲਿਵਰੀ ਸੇਵਾ</v>
      </c>
      <c r="L651" s="2" t="str">
        <f>IFERROR(__xludf.DUMMYFUNCTION("""COMPUTED_VALUE"""),"விநியோக சேவை")</f>
        <v>விநியோக சேவை</v>
      </c>
      <c r="M651" s="2" t="str">
        <f>IFERROR(__xludf.DUMMYFUNCTION("""COMPUTED_VALUE"""),"డెలివరీ సేవ")</f>
        <v>డెలివరీ సేవ</v>
      </c>
    </row>
    <row r="652">
      <c r="A652" s="2" t="str">
        <f>Master_en!A652</f>
        <v>AcceptedOrderDetails</v>
      </c>
      <c r="B652" s="2" t="str">
        <f>Master_en!B652</f>
        <v>Accepted Order Details</v>
      </c>
      <c r="C652" s="2" t="str">
        <f>IFERROR(__xludf.DUMMYFUNCTION("""COMPUTED_VALUE"""),"স্বীকৃত অর্ডার বিশদ")</f>
        <v>স্বীকৃত অর্ডার বিশদ</v>
      </c>
      <c r="D652" s="2" t="str">
        <f>IFERROR(__xludf.DUMMYFUNCTION("""COMPUTED_VALUE"""),"स्वीकृत आदेश विवरण")</f>
        <v>स्वीकृत आदेश विवरण</v>
      </c>
      <c r="E652" s="2" t="str">
        <f>IFERROR(__xludf.DUMMYFUNCTION("""COMPUTED_VALUE"""),"ಸ್ವೀಕರಿಸಿದ ಆದೇಶದ ವಿವರಗಳು")</f>
        <v>ಸ್ವೀಕರಿಸಿದ ಆದೇಶದ ವಿವರಗಳು</v>
      </c>
      <c r="F652" s="2" t="str">
        <f>IFERROR(__xludf.DUMMYFUNCTION("""COMPUTED_VALUE"""),"ଅର୍ଡର ଅର୍ଡର ବିବରଣୀ |")</f>
        <v>ଅର୍ଡର ଅର୍ଡର ବିବରଣୀ |</v>
      </c>
      <c r="G652" s="2" t="str">
        <f>IFERROR(__xludf.DUMMYFUNCTION("""COMPUTED_VALUE"""),"গ্ৰহণ কৰা অৰ্ডাৰৰ বিৱৰণ")</f>
        <v>গ্ৰহণ কৰা অৰ্ডাৰৰ বিৱৰণ</v>
      </c>
      <c r="H652" s="2" t="str">
        <f>IFERROR(__xludf.DUMMYFUNCTION("""COMPUTED_VALUE"""),"સ્વીકૃત હુકમની વિગતો")</f>
        <v>સ્વીકૃત હુકમની વિગતો</v>
      </c>
      <c r="I652" s="2" t="str">
        <f>IFERROR(__xludf.DUMMYFUNCTION("""COMPUTED_VALUE"""),"स्वीकारलेले ऑर्डर तपशील")</f>
        <v>स्वीकारलेले ऑर्डर तपशील</v>
      </c>
      <c r="J652" s="2" t="str">
        <f>IFERROR(__xludf.DUMMYFUNCTION("""COMPUTED_VALUE"""),"സ്വീകരിച്ച ഓർഡർ വിശദാംശങ്ങൾ")</f>
        <v>സ്വീകരിച്ച ഓർഡർ വിശദാംശങ്ങൾ</v>
      </c>
      <c r="K652" s="2" t="str">
        <f>IFERROR(__xludf.DUMMYFUNCTION("""COMPUTED_VALUE"""),"ਆਰਡਰ ਦੇ ਵੇਰਵੇ ਸਵੀਕਾਰ ਕੀਤੇ")</f>
        <v>ਆਰਡਰ ਦੇ ਵੇਰਵੇ ਸਵੀਕਾਰ ਕੀਤੇ</v>
      </c>
      <c r="L652" s="2" t="str">
        <f>IFERROR(__xludf.DUMMYFUNCTION("""COMPUTED_VALUE"""),"ஏற்றுக்கொள்ளப்பட்ட ஆர்டர் விவரங்கள்")</f>
        <v>ஏற்றுக்கொள்ளப்பட்ட ஆர்டர் விவரங்கள்</v>
      </c>
      <c r="M652" s="2" t="str">
        <f>IFERROR(__xludf.DUMMYFUNCTION("""COMPUTED_VALUE"""),"అంగీకరించబడిన ఆర్డర్ వివరాలు")</f>
        <v>అంగీకరించబడిన ఆర్డర్ వివరాలు</v>
      </c>
    </row>
    <row r="653">
      <c r="A653" s="2" t="str">
        <f>Master_en!A653</f>
        <v>finalThoughts</v>
      </c>
      <c r="B653" s="2" t="str">
        <f>Master_en!B653</f>
        <v>Final Thoughts</v>
      </c>
      <c r="C653" s="2" t="str">
        <f>IFERROR(__xludf.DUMMYFUNCTION("""COMPUTED_VALUE"""),"সর্বশেষ ভাবনা")</f>
        <v>সর্বশেষ ভাবনা</v>
      </c>
      <c r="D653" s="2" t="str">
        <f>IFERROR(__xludf.DUMMYFUNCTION("""COMPUTED_VALUE"""),"अंतिम विचार")</f>
        <v>अंतिम विचार</v>
      </c>
      <c r="E653" s="2" t="str">
        <f>IFERROR(__xludf.DUMMYFUNCTION("""COMPUTED_VALUE"""),"ಅಂತಿಮ ಆಲೋಚನೆಗಳು")</f>
        <v>ಅಂತಿಮ ಆಲೋಚನೆಗಳು</v>
      </c>
      <c r="F653" s="2" t="str">
        <f>IFERROR(__xludf.DUMMYFUNCTION("""COMPUTED_VALUE"""),"ଅନ୍ତିମ ଚିନ୍ତାଧାରା")</f>
        <v>ଅନ୍ତିମ ଚିନ୍ତାଧାରା</v>
      </c>
      <c r="G653" s="2" t="str">
        <f>IFERROR(__xludf.DUMMYFUNCTION("""COMPUTED_VALUE"""),"চূড়ান্ত চিন্তা")</f>
        <v>চূড়ান্ত চিন্তা</v>
      </c>
      <c r="H653" s="2" t="str">
        <f>IFERROR(__xludf.DUMMYFUNCTION("""COMPUTED_VALUE"""),"અંતિમ વિચારો")</f>
        <v>અંતિમ વિચારો</v>
      </c>
      <c r="I653" s="2" t="str">
        <f>IFERROR(__xludf.DUMMYFUNCTION("""COMPUTED_VALUE"""),"अंतिम विचार")</f>
        <v>अंतिम विचार</v>
      </c>
      <c r="J653" s="2" t="str">
        <f>IFERROR(__xludf.DUMMYFUNCTION("""COMPUTED_VALUE"""),"അന്തിമ ചിന്തകൾ")</f>
        <v>അന്തിമ ചിന്തകൾ</v>
      </c>
      <c r="K653" s="2" t="str">
        <f>IFERROR(__xludf.DUMMYFUNCTION("""COMPUTED_VALUE"""),"ਅੰਤਮ ਵਿਚਾਰ")</f>
        <v>ਅੰਤਮ ਵਿਚਾਰ</v>
      </c>
      <c r="L653" s="2" t="str">
        <f>IFERROR(__xludf.DUMMYFUNCTION("""COMPUTED_VALUE"""),"இறுதி எண்ணங்கள்")</f>
        <v>இறுதி எண்ணங்கள்</v>
      </c>
      <c r="M653" s="2" t="str">
        <f>IFERROR(__xludf.DUMMYFUNCTION("""COMPUTED_VALUE"""),"తుది ఆలోచనలు")</f>
        <v>తుది ఆలోచనలు</v>
      </c>
    </row>
    <row r="654">
      <c r="A654" s="2" t="str">
        <f>Master_en!A654</f>
        <v>itemsfor</v>
      </c>
      <c r="B654" s="2" t="str">
        <f>Master_en!B654</f>
        <v>Items For</v>
      </c>
      <c r="C654" s="2" t="str">
        <f>IFERROR(__xludf.DUMMYFUNCTION("""COMPUTED_VALUE"""),"জন্য আইটেম")</f>
        <v>জন্য আইটেম</v>
      </c>
      <c r="D654" s="2" t="str">
        <f>IFERROR(__xludf.DUMMYFUNCTION("""COMPUTED_VALUE"""),"के लिए आइटम")</f>
        <v>के लिए आइटम</v>
      </c>
      <c r="E654" s="2" t="str">
        <f>IFERROR(__xludf.DUMMYFUNCTION("""COMPUTED_VALUE"""),"ವಸ್ತುಗಳು")</f>
        <v>ವಸ್ತುಗಳು</v>
      </c>
      <c r="F654" s="2" t="str">
        <f>IFERROR(__xludf.DUMMYFUNCTION("""COMPUTED_VALUE"""),"ବସ୍ତୁଗୁଡ଼ିକ ପାଇଁ")</f>
        <v>ବସ୍ତୁଗୁଡ଼ିକ ପାଇଁ</v>
      </c>
      <c r="G654" s="2" t="str">
        <f>IFERROR(__xludf.DUMMYFUNCTION("""COMPUTED_VALUE"""),"ৰ বাবে বস্তু")</f>
        <v>ৰ বাবে বস্তু</v>
      </c>
      <c r="H654" s="2" t="str">
        <f>IFERROR(__xludf.DUMMYFUNCTION("""COMPUTED_VALUE"""),"માટે વસ્તુઓ")</f>
        <v>માટે વસ્તુઓ</v>
      </c>
      <c r="I654" s="2" t="str">
        <f>IFERROR(__xludf.DUMMYFUNCTION("""COMPUTED_VALUE"""),"साठी आयटम")</f>
        <v>साठी आयटम</v>
      </c>
      <c r="J654" s="2" t="str">
        <f>IFERROR(__xludf.DUMMYFUNCTION("""COMPUTED_VALUE"""),"ഇനങ്ങൾ")</f>
        <v>ഇനങ്ങൾ</v>
      </c>
      <c r="K654" s="2" t="str">
        <f>IFERROR(__xludf.DUMMYFUNCTION("""COMPUTED_VALUE"""),"ਲਈ ਇਕਾਈ")</f>
        <v>ਲਈ ਇਕਾਈ</v>
      </c>
      <c r="L654" s="2" t="str">
        <f>IFERROR(__xludf.DUMMYFUNCTION("""COMPUTED_VALUE"""),"பொருட்கள்")</f>
        <v>பொருட்கள்</v>
      </c>
      <c r="M654" s="2" t="str">
        <f>IFERROR(__xludf.DUMMYFUNCTION("""COMPUTED_VALUE"""),"అంశాలు")</f>
        <v>అంశాలు</v>
      </c>
    </row>
    <row r="655">
      <c r="A655" s="2" t="str">
        <f>Master_en!A655</f>
        <v>Doyouwanttoprocessingtheorder</v>
      </c>
      <c r="B655" s="2" t="str">
        <f>Master_en!B655</f>
        <v>Do you want to processing the order?</v>
      </c>
      <c r="C655" s="2" t="str">
        <f>IFERROR(__xludf.DUMMYFUNCTION("""COMPUTED_VALUE"""),"আপনি কি অর্ডার প্রক্রিয়া করতে চান?")</f>
        <v>আপনি কি অর্ডার প্রক্রিয়া করতে চান?</v>
      </c>
      <c r="D655" s="2" t="str">
        <f>IFERROR(__xludf.DUMMYFUNCTION("""COMPUTED_VALUE"""),"क्या आप ऑर्डर को संसाधित करना चाहते हैं?")</f>
        <v>क्या आप ऑर्डर को संसाधित करना चाहते हैं?</v>
      </c>
      <c r="E655" s="2" t="str">
        <f>IFERROR(__xludf.DUMMYFUNCTION("""COMPUTED_VALUE"""),"ನೀವು ಆದೇಶವನ್ನು ಪ್ರಕ್ರಿಯೆಗೊಳಿಸಲು ಬಯಸುವಿರಾ?")</f>
        <v>ನೀವು ಆದೇಶವನ್ನು ಪ್ರಕ್ರಿಯೆಗೊಳಿಸಲು ಬಯಸುವಿರಾ?</v>
      </c>
      <c r="F655" s="2" t="str">
        <f>IFERROR(__xludf.DUMMYFUNCTION("""COMPUTED_VALUE"""),"ଆପଣ ଅର୍ଡର ପ୍ରକ୍ରିୟାକରଣ କରିବାକୁ ଚାହୁଁଛନ୍ତି କି?")</f>
        <v>ଆପଣ ଅର୍ଡର ପ୍ରକ୍ରିୟାକରଣ କରିବାକୁ ଚାହୁଁଛନ୍ତି କି?</v>
      </c>
      <c r="G655" s="2" t="str">
        <f>IFERROR(__xludf.DUMMYFUNCTION("""COMPUTED_VALUE"""),"আপুনি অৰ্ডাৰটো প্ৰক্ৰিয়াকৰণ কৰিব বিচাৰেনে?")</f>
        <v>আপুনি অৰ্ডাৰটো প্ৰক্ৰিয়াকৰণ কৰিব বিচাৰেনে?</v>
      </c>
      <c r="H655" s="2" t="str">
        <f>IFERROR(__xludf.DUMMYFUNCTION("""COMPUTED_VALUE"""),"શું તમે ઓર્ડર પર પ્રક્રિયા કરવા માંગો છો?")</f>
        <v>શું તમે ઓર્ડર પર પ્રક્રિયા કરવા માંગો છો?</v>
      </c>
      <c r="I655" s="2" t="str">
        <f>IFERROR(__xludf.DUMMYFUNCTION("""COMPUTED_VALUE"""),"आपण ऑर्डरवर प्रक्रिया करू इच्छिता?")</f>
        <v>आपण ऑर्डरवर प्रक्रिया करू इच्छिता?</v>
      </c>
      <c r="J655" s="2" t="str">
        <f>IFERROR(__xludf.DUMMYFUNCTION("""COMPUTED_VALUE"""),"ഓർഡർ പ്രോസസ്സ് ചെയ്യണോ?")</f>
        <v>ഓർഡർ പ്രോസസ്സ് ചെയ്യണോ?</v>
      </c>
      <c r="K655" s="2" t="str">
        <f>IFERROR(__xludf.DUMMYFUNCTION("""COMPUTED_VALUE"""),"ਕੀ ਤੁਸੀਂ ਆਰਡਰ ਤੇ ਕਾਰਵਾਈ ਕਰਨਾ ਚਾਹੁੰਦੇ ਹੋ?")</f>
        <v>ਕੀ ਤੁਸੀਂ ਆਰਡਰ ਤੇ ਕਾਰਵਾਈ ਕਰਨਾ ਚਾਹੁੰਦੇ ਹੋ?</v>
      </c>
      <c r="L655" s="2" t="str">
        <f>IFERROR(__xludf.DUMMYFUNCTION("""COMPUTED_VALUE"""),"ஆர்டரைச் செயல்படுத்த விரும்புகிறீர்களா?")</f>
        <v>ஆர்டரைச் செயல்படுத்த விரும்புகிறீர்களா?</v>
      </c>
      <c r="M655" s="2" t="str">
        <f>IFERROR(__xludf.DUMMYFUNCTION("""COMPUTED_VALUE"""),"మీరు ఆర్డర్‌ను ప్రాసెస్ చేయాలనుకుంటున్నారా?")</f>
        <v>మీరు ఆర్డర్‌ను ప్రాసెస్ చేయాలనుకుంటున్నారా?</v>
      </c>
    </row>
    <row r="656">
      <c r="A656" s="2" t="str">
        <f>Master_en!A656</f>
        <v>ReadyOrderDetails</v>
      </c>
      <c r="B656" s="2" t="str">
        <f>Master_en!B656</f>
        <v>Ready Order Details</v>
      </c>
      <c r="C656" s="2" t="str">
        <f>IFERROR(__xludf.DUMMYFUNCTION("""COMPUTED_VALUE"""),"প্রস্তুত অর্ডার বিশদ")</f>
        <v>প্রস্তুত অর্ডার বিশদ</v>
      </c>
      <c r="D656" s="2" t="str">
        <f>IFERROR(__xludf.DUMMYFUNCTION("""COMPUTED_VALUE"""),"तैयार आदेश विवरण")</f>
        <v>तैयार आदेश विवरण</v>
      </c>
      <c r="E656" s="2" t="str">
        <f>IFERROR(__xludf.DUMMYFUNCTION("""COMPUTED_VALUE"""),"ಸಿದ್ಧ ಆದೇಶ ವಿವರಗಳು")</f>
        <v>ಸಿದ್ಧ ಆದೇಶ ವಿವರಗಳು</v>
      </c>
      <c r="F656" s="2" t="str">
        <f>IFERROR(__xludf.DUMMYFUNCTION("""COMPUTED_VALUE"""),"ପ୍ରସ୍ତୁତ ଅର୍ଡର ବିବରଣୀ |")</f>
        <v>ପ୍ରସ୍ତୁତ ଅର୍ଡର ବିବରଣୀ |</v>
      </c>
      <c r="G656" s="2" t="str">
        <f>IFERROR(__xludf.DUMMYFUNCTION("""COMPUTED_VALUE"""),"ৰেডি অৰ্ডাৰৰ বিৱৰণ")</f>
        <v>ৰেডি অৰ্ডাৰৰ বিৱৰণ</v>
      </c>
      <c r="H656" s="2" t="str">
        <f>IFERROR(__xludf.DUMMYFUNCTION("""COMPUTED_VALUE"""),"તૈયાર હુકમ વિગતો")</f>
        <v>તૈયાર હુકમ વિગતો</v>
      </c>
      <c r="I656" s="2" t="str">
        <f>IFERROR(__xludf.DUMMYFUNCTION("""COMPUTED_VALUE"""),"सज्ज ऑर्डर तपशील")</f>
        <v>सज्ज ऑर्डर तपशील</v>
      </c>
      <c r="J656" s="2" t="str">
        <f>IFERROR(__xludf.DUMMYFUNCTION("""COMPUTED_VALUE"""),"റെഡി ഓർഡർ വിശദാംശങ്ങൾ")</f>
        <v>റെഡി ഓർഡർ വിശദാംശങ്ങൾ</v>
      </c>
      <c r="K656" s="2" t="str">
        <f>IFERROR(__xludf.DUMMYFUNCTION("""COMPUTED_VALUE"""),"ਰੈਡੀ ਆਰਡਰ ਵੇਰਵਾ")</f>
        <v>ਰੈਡੀ ਆਰਡਰ ਵੇਰਵਾ</v>
      </c>
      <c r="L656" s="2" t="str">
        <f>IFERROR(__xludf.DUMMYFUNCTION("""COMPUTED_VALUE"""),"ஆர்டர் விவரங்கள் தயார்")</f>
        <v>ஆர்டர் விவரங்கள் தயார்</v>
      </c>
      <c r="M656" s="2" t="str">
        <f>IFERROR(__xludf.DUMMYFUNCTION("""COMPUTED_VALUE"""),"సిద్ధంగా ఆర్డర్ వివరాలు")</f>
        <v>సిద్ధంగా ఆర్డర్ వివరాలు</v>
      </c>
    </row>
    <row r="657">
      <c r="A657" s="2" t="str">
        <f>Master_en!A657</f>
        <v>SearchLanguage </v>
      </c>
      <c r="B657" s="2" t="str">
        <f>Master_en!B657</f>
        <v>Language </v>
      </c>
      <c r="C657" s="2" t="str">
        <f>IFERROR(__xludf.DUMMYFUNCTION("""COMPUTED_VALUE"""),"ভাষা")</f>
        <v>ভাষা</v>
      </c>
      <c r="D657" s="2" t="str">
        <f>IFERROR(__xludf.DUMMYFUNCTION("""COMPUTED_VALUE"""),"भाषा  चुनें ")</f>
        <v>भाषा  चुनें </v>
      </c>
      <c r="E657" s="2" t="str">
        <f>IFERROR(__xludf.DUMMYFUNCTION("""COMPUTED_VALUE"""),"ಭಾಷೆ")</f>
        <v>ಭಾಷೆ</v>
      </c>
      <c r="F657" s="2" t="str">
        <f>IFERROR(__xludf.DUMMYFUNCTION("""COMPUTED_VALUE"""),"ଭାଷା")</f>
        <v>ଭାଷା</v>
      </c>
      <c r="G657" s="2" t="str">
        <f>IFERROR(__xludf.DUMMYFUNCTION("""COMPUTED_VALUE"""),"ভাষা সন্ধান কৰক")</f>
        <v>ভাষা সন্ধান কৰক</v>
      </c>
      <c r="H657" s="2" t="str">
        <f>IFERROR(__xludf.DUMMYFUNCTION("""COMPUTED_VALUE"""),"ભાષા")</f>
        <v>ભાષા</v>
      </c>
      <c r="I657" s="2" t="str">
        <f>IFERROR(__xludf.DUMMYFUNCTION("""COMPUTED_VALUE"""),"इंग्रजी")</f>
        <v>इंग्रजी</v>
      </c>
      <c r="J657" s="2" t="str">
        <f>IFERROR(__xludf.DUMMYFUNCTION("""COMPUTED_VALUE"""),"ഭാഷ")</f>
        <v>ഭാഷ</v>
      </c>
      <c r="K657" s="2" t="str">
        <f>IFERROR(__xludf.DUMMYFUNCTION("""COMPUTED_VALUE"""),"ਭਾਸ਼ਾ")</f>
        <v>ਭਾਸ਼ਾ</v>
      </c>
      <c r="L657" s="2" t="str">
        <f>IFERROR(__xludf.DUMMYFUNCTION("""COMPUTED_VALUE"""),"மொழி")</f>
        <v>மொழி</v>
      </c>
      <c r="M657" s="2" t="str">
        <f>IFERROR(__xludf.DUMMYFUNCTION("""COMPUTED_VALUE"""),"భాష")</f>
        <v>భాష</v>
      </c>
    </row>
    <row r="658">
      <c r="A658" s="2" t="str">
        <f>Master_en!A658</f>
        <v>uploadbplcard</v>
      </c>
      <c r="B658" s="2" t="str">
        <f>Master_en!B658</f>
        <v>Upload BPL Card</v>
      </c>
      <c r="C658" s="2" t="str">
        <f>IFERROR(__xludf.DUMMYFUNCTION("""COMPUTED_VALUE"""),"বিপিএল কার্ড আপলোড করুন")</f>
        <v>বিপিএল কার্ড আপলোড করুন</v>
      </c>
      <c r="D658" s="2" t="str">
        <f>IFERROR(__xludf.DUMMYFUNCTION("""COMPUTED_VALUE"""),"बीपीएल कार्ड अपलोड करें")</f>
        <v>बीपीएल कार्ड अपलोड करें</v>
      </c>
      <c r="E658" s="2" t="str">
        <f>IFERROR(__xludf.DUMMYFUNCTION("""COMPUTED_VALUE"""),"ಬಿಪಿಎಲ್ ಕಾರ್ಡ್ ಅಪ್‌ಲೋಡ್ ಮಾಡಿ")</f>
        <v>ಬಿಪಿಎಲ್ ಕಾರ್ಡ್ ಅಪ್‌ಲೋಡ್ ಮಾಡಿ</v>
      </c>
      <c r="F658" s="2" t="str">
        <f>IFERROR(__xludf.DUMMYFUNCTION("""COMPUTED_VALUE"""),"BPL କାର୍ଡ ଅପଲୋଡ୍ କରନ୍ତୁ |")</f>
        <v>BPL କାର୍ଡ ଅପଲୋଡ୍ କରନ୍ତୁ |</v>
      </c>
      <c r="G658" s="2" t="str">
        <f>IFERROR(__xludf.DUMMYFUNCTION("""COMPUTED_VALUE"""),"বিপিএল কাৰ্ড আপলোড কৰক")</f>
        <v>বিপিএল কাৰ্ড আপলোড কৰক</v>
      </c>
      <c r="H658" s="2" t="str">
        <f>IFERROR(__xludf.DUMMYFUNCTION("""COMPUTED_VALUE"""),"બીપીએલ કાર્ડ અપલોડ કરો")</f>
        <v>બીપીએલ કાર્ડ અપલોડ કરો</v>
      </c>
      <c r="I658" s="2" t="str">
        <f>IFERROR(__xludf.DUMMYFUNCTION("""COMPUTED_VALUE"""),"भाषा शोधा")</f>
        <v>भाषा शोधा</v>
      </c>
      <c r="J658" s="2" t="str">
        <f>IFERROR(__xludf.DUMMYFUNCTION("""COMPUTED_VALUE"""),"ബിപിഎൽ കാർഡ് അപ്ലോഡുചെയ്യുക")</f>
        <v>ബിപിഎൽ കാർഡ് അപ്ലോഡുചെയ്യുക</v>
      </c>
      <c r="K658" s="2" t="str">
        <f>IFERROR(__xludf.DUMMYFUNCTION("""COMPUTED_VALUE"""),"ਬੀਪੀਐਲ ਕਾਰਡ ਅਪਲੋਡ ਕਰੋ")</f>
        <v>ਬੀਪੀਐਲ ਕਾਰਡ ਅਪਲੋਡ ਕਰੋ</v>
      </c>
      <c r="L658" s="2" t="str">
        <f>IFERROR(__xludf.DUMMYFUNCTION("""COMPUTED_VALUE"""),"பிபிஎல் கார்டைப் பதிவேற்றவும்")</f>
        <v>பிபிஎல் கார்டைப் பதிவேற்றவும்</v>
      </c>
      <c r="M658" s="2" t="str">
        <f>IFERROR(__xludf.DUMMYFUNCTION("""COMPUTED_VALUE"""),"BPL కార్డును అప్‌లోడ్ చేయండి")</f>
        <v>BPL కార్డును అప్‌లోడ్ చేయండి</v>
      </c>
    </row>
    <row r="659">
      <c r="A659" s="2" t="str">
        <f>Master_en!A659</f>
        <v>skipfornow</v>
      </c>
      <c r="B659" s="2" t="str">
        <f>Master_en!B659</f>
        <v>Skip Now</v>
      </c>
      <c r="C659" s="2" t="str">
        <f>IFERROR(__xludf.DUMMYFUNCTION("""COMPUTED_VALUE"""),"এখনই এড়িয়ে যান")</f>
        <v>এখনই এড়িয়ে যান</v>
      </c>
      <c r="D659" s="2" t="str">
        <f>IFERROR(__xludf.DUMMYFUNCTION("""COMPUTED_VALUE"""),"अब छोड़ देना")</f>
        <v>अब छोड़ देना</v>
      </c>
      <c r="E659" s="2" t="str">
        <f>IFERROR(__xludf.DUMMYFUNCTION("""COMPUTED_VALUE"""),"ಈಗ ಬಿಟ್ಟುಬಿಡಿ")</f>
        <v>ಈಗ ಬಿಟ್ಟುಬಿಡಿ</v>
      </c>
      <c r="F659" s="2" t="str">
        <f>IFERROR(__xludf.DUMMYFUNCTION("""COMPUTED_VALUE"""),"ବର୍ତ୍ତମାନ ସ୍କିପ୍ କରନ୍ତୁ |")</f>
        <v>ବର୍ତ୍ତମାନ ସ୍କିପ୍ କରନ୍ତୁ |</v>
      </c>
      <c r="G659" s="2" t="str">
        <f>IFERROR(__xludf.DUMMYFUNCTION("""COMPUTED_VALUE"""),"এতিয়াৰ বাবে এৰি দিয়ক")</f>
        <v>এতিয়াৰ বাবে এৰি দিয়ক</v>
      </c>
      <c r="H659" s="2" t="str">
        <f>IFERROR(__xludf.DUMMYFUNCTION("""COMPUTED_VALUE"""),"હવે છોડો")</f>
        <v>હવે છોડો</v>
      </c>
      <c r="I659" s="2" t="str">
        <f>IFERROR(__xludf.DUMMYFUNCTION("""COMPUTED_VALUE"""),"बीपीएल कार्ड अपलोड करा")</f>
        <v>बीपीएल कार्ड अपलोड करा</v>
      </c>
      <c r="J659" s="2" t="str">
        <f>IFERROR(__xludf.DUMMYFUNCTION("""COMPUTED_VALUE"""),"ഇപ്പോൾ ഒഴിവാക്കുക")</f>
        <v>ഇപ്പോൾ ഒഴിവാക്കുക</v>
      </c>
      <c r="K659" s="2" t="str">
        <f>IFERROR(__xludf.DUMMYFUNCTION("""COMPUTED_VALUE"""),"ਹੁਣੇ ਛੱਡੋ")</f>
        <v>ਹੁਣੇ ਛੱਡੋ</v>
      </c>
      <c r="L659" s="2" t="str">
        <f>IFERROR(__xludf.DUMMYFUNCTION("""COMPUTED_VALUE"""),"இப்போது தவிர்க்கவும்")</f>
        <v>இப்போது தவிர்க்கவும்</v>
      </c>
      <c r="M659" s="2" t="str">
        <f>IFERROR(__xludf.DUMMYFUNCTION("""COMPUTED_VALUE"""),"ఇప్పుడు దాటవేయండి")</f>
        <v>ఇప్పుడు దాటవేయండి</v>
      </c>
    </row>
    <row r="660">
      <c r="A660" s="2" t="str">
        <f>Master_en!A660</f>
        <v>orderId</v>
      </c>
      <c r="B660" s="2" t="str">
        <f>Master_en!B660</f>
        <v>Order ID</v>
      </c>
      <c r="C660" s="2" t="str">
        <f>IFERROR(__xludf.DUMMYFUNCTION("""COMPUTED_VALUE"""),"অর্ডার আইডি")</f>
        <v>অর্ডার আইডি</v>
      </c>
      <c r="D660" s="2" t="str">
        <f>IFERROR(__xludf.DUMMYFUNCTION("""COMPUTED_VALUE"""),"आदेश कामतत्व")</f>
        <v>आदेश कामतत्व</v>
      </c>
      <c r="E660" s="2" t="str">
        <f>IFERROR(__xludf.DUMMYFUNCTION("""COMPUTED_VALUE"""),"ಆರ್ಡರ್ ಐಡಿ")</f>
        <v>ಆರ್ಡರ್ ಐಡಿ</v>
      </c>
      <c r="F660" s="2" t="str">
        <f>IFERROR(__xludf.DUMMYFUNCTION("""COMPUTED_VALUE"""),"ଅର୍ଡର id")</f>
        <v>ଅର୍ଡର id</v>
      </c>
      <c r="G660" s="2" t="str">
        <f>IFERROR(__xludf.DUMMYFUNCTION("""COMPUTED_VALUE"""),"অৰ্ডাৰ আইডি")</f>
        <v>অৰ্ডাৰ আইডি</v>
      </c>
      <c r="H660" s="2" t="str">
        <f>IFERROR(__xludf.DUMMYFUNCTION("""COMPUTED_VALUE"""),"ઓર્ડર આઈડી")</f>
        <v>ઓર્ડર આઈડી</v>
      </c>
      <c r="I660" s="2" t="str">
        <f>IFERROR(__xludf.DUMMYFUNCTION("""COMPUTED_VALUE"""),"ऑर्डर आयडी")</f>
        <v>ऑर्डर आयडी</v>
      </c>
      <c r="J660" s="2" t="str">
        <f>IFERROR(__xludf.DUMMYFUNCTION("""COMPUTED_VALUE"""),"ഓർഡർ ഐഡി")</f>
        <v>ഓർഡർ ഐഡി</v>
      </c>
      <c r="K660" s="2" t="str">
        <f>IFERROR(__xludf.DUMMYFUNCTION("""COMPUTED_VALUE"""),"ਆਰਡਰ ਆਈਡੀ")</f>
        <v>ਆਰਡਰ ਆਈਡੀ</v>
      </c>
      <c r="L660" s="2" t="str">
        <f>IFERROR(__xludf.DUMMYFUNCTION("""COMPUTED_VALUE"""),"ஐடி ஆர்டர்")</f>
        <v>ஐடி ஆர்டர்</v>
      </c>
      <c r="M660" s="2" t="str">
        <f>IFERROR(__xludf.DUMMYFUNCTION("""COMPUTED_VALUE"""),"మీ భాషను శోధించండి")</f>
        <v>మీ భాషను శోధించండి</v>
      </c>
    </row>
    <row r="661">
      <c r="A661" s="2" t="str">
        <f>Master_en!A661</f>
        <v>Addressdetail</v>
      </c>
      <c r="B661" s="2" t="str">
        <f>Master_en!B661</f>
        <v>Address Detail</v>
      </c>
      <c r="C661" s="2" t="str">
        <f>IFERROR(__xludf.DUMMYFUNCTION("""COMPUTED_VALUE"""),"ঠিকানা বিশদ")</f>
        <v>ঠিকানা বিশদ</v>
      </c>
      <c r="D661" s="2" t="str">
        <f>IFERROR(__xludf.DUMMYFUNCTION("""COMPUTED_VALUE"""),"पता विवरण")</f>
        <v>पता विवरण</v>
      </c>
      <c r="E661" s="2" t="str">
        <f>IFERROR(__xludf.DUMMYFUNCTION("""COMPUTED_VALUE"""),"ವಿಳಾಸ ವಿವರ")</f>
        <v>ವಿಳಾಸ ವಿವರ</v>
      </c>
      <c r="F661" s="2" t="str">
        <f>IFERROR(__xludf.DUMMYFUNCTION("""COMPUTED_VALUE"""),"ଠିକଣା ବିବରଣୀ")</f>
        <v>ଠିକଣା ବିବରଣୀ</v>
      </c>
      <c r="G661" s="2" t="str">
        <f>IFERROR(__xludf.DUMMYFUNCTION("""COMPUTED_VALUE"""),"ঠিকনাৰ বিৱৰণ")</f>
        <v>ঠিকনাৰ বিৱৰণ</v>
      </c>
      <c r="H661" s="2" t="str">
        <f>IFERROR(__xludf.DUMMYFUNCTION("""COMPUTED_VALUE"""),"સરનામું")</f>
        <v>સરનામું</v>
      </c>
      <c r="I661" s="2" t="str">
        <f>IFERROR(__xludf.DUMMYFUNCTION("""COMPUTED_VALUE"""),"आतासाठी वगळा")</f>
        <v>आतासाठी वगळा</v>
      </c>
      <c r="J661" s="2" t="str">
        <f>IFERROR(__xludf.DUMMYFUNCTION("""COMPUTED_VALUE"""),"വിലാസ വിശദാംശങ്ങൾ")</f>
        <v>വിലാസ വിശദാംശങ്ങൾ</v>
      </c>
      <c r="K661" s="2" t="str">
        <f>IFERROR(__xludf.DUMMYFUNCTION("""COMPUTED_VALUE"""),"ਪਤਾ ਵੇਰਵਾ")</f>
        <v>ਪਤਾ ਵੇਰਵਾ</v>
      </c>
      <c r="L661" s="2" t="str">
        <f>IFERROR(__xludf.DUMMYFUNCTION("""COMPUTED_VALUE"""),"முகவரி விவரம்")</f>
        <v>முகவரி விவரம்</v>
      </c>
      <c r="M661" s="2" t="str">
        <f>IFERROR(__xludf.DUMMYFUNCTION("""COMPUTED_VALUE"""),"చిరునామా వివరాలు")</f>
        <v>చిరునామా వివరాలు</v>
      </c>
    </row>
    <row r="662">
      <c r="A662" s="2" t="str">
        <f>Master_en!A662</f>
        <v>PanProof</v>
      </c>
      <c r="B662" s="2" t="str">
        <f>Master_en!B662</f>
        <v>PAN Proof</v>
      </c>
      <c r="C662" s="2" t="str">
        <f>IFERROR(__xludf.DUMMYFUNCTION("""COMPUTED_VALUE"""),"প্যান প্রুফ")</f>
        <v>প্যান প্রুফ</v>
      </c>
      <c r="D662" s="2" t="str">
        <f>IFERROR(__xludf.DUMMYFUNCTION("""COMPUTED_VALUE"""),"पैन प्रूफ")</f>
        <v>पैन प्रूफ</v>
      </c>
      <c r="E662" s="2" t="str">
        <f>IFERROR(__xludf.DUMMYFUNCTION("""COMPUTED_VALUE"""),"ಅಬ್ಬರ")</f>
        <v>ಅಬ್ಬರ</v>
      </c>
      <c r="F662" s="2" t="str">
        <f>IFERROR(__xludf.DUMMYFUNCTION("""COMPUTED_VALUE"""),"ପାନ୍ ପ୍ରମାଣ")</f>
        <v>ପାନ୍ ପ୍ରମାଣ</v>
      </c>
      <c r="G662" s="2" t="str">
        <f>IFERROR(__xludf.DUMMYFUNCTION("""COMPUTED_VALUE"""),"PAN Proof")</f>
        <v>PAN Proof</v>
      </c>
      <c r="H662" s="2" t="str">
        <f>IFERROR(__xludf.DUMMYFUNCTION("""COMPUTED_VALUE"""),"પાન પ્રૂફ")</f>
        <v>પાન પ્રૂફ</v>
      </c>
      <c r="I662" s="2" t="str">
        <f>IFERROR(__xludf.DUMMYFUNCTION("""COMPUTED_VALUE"""),"पॅन पुरावा")</f>
        <v>पॅन पुरावा</v>
      </c>
      <c r="J662" s="2" t="str">
        <f>IFERROR(__xludf.DUMMYFUNCTION("""COMPUTED_VALUE"""),"പാൻ പ്രൂഫ്")</f>
        <v>പാൻ പ്രൂഫ്</v>
      </c>
      <c r="K662" s="2" t="str">
        <f>IFERROR(__xludf.DUMMYFUNCTION("""COMPUTED_VALUE"""),"ਪੈਨ ਸਬੂਤ")</f>
        <v>ਪੈਨ ਸਬੂਤ</v>
      </c>
      <c r="L662" s="2" t="str">
        <f>IFERROR(__xludf.DUMMYFUNCTION("""COMPUTED_VALUE"""),"பான் ஆதாரம்")</f>
        <v>பான் ஆதாரம்</v>
      </c>
      <c r="M662" s="2" t="str">
        <f>IFERROR(__xludf.DUMMYFUNCTION("""COMPUTED_VALUE"""),"పాన్ ప్రూఫ్")</f>
        <v>పాన్ ప్రూఫ్</v>
      </c>
    </row>
    <row r="663">
      <c r="A663" s="2" t="str">
        <f>Master_en!A663</f>
        <v>Nameasperpancard</v>
      </c>
      <c r="B663" s="2" t="str">
        <f>Master_en!B663</f>
        <v>Name as Per Pan Card </v>
      </c>
      <c r="C663" s="2" t="str">
        <f>IFERROR(__xludf.DUMMYFUNCTION("""COMPUTED_VALUE"""),"প্যান কার্ড অনুসারে নাম")</f>
        <v>প্যান কার্ড অনুসারে নাম</v>
      </c>
      <c r="D663" s="2" t="str">
        <f>IFERROR(__xludf.DUMMYFUNCTION("""COMPUTED_VALUE"""),"पैन कार्ड के अनुसार नाम")</f>
        <v>पैन कार्ड के अनुसार नाम</v>
      </c>
      <c r="E663" s="2" t="str">
        <f>IFERROR(__xludf.DUMMYFUNCTION("""COMPUTED_VALUE"""),"ಪ್ಯಾನ್ ಕಾರ್ಡ್ ಪ್ರಕಾರ ಹೆಸರು")</f>
        <v>ಪ್ಯಾನ್ ಕಾರ್ಡ್ ಪ್ರಕಾರ ಹೆಸರು</v>
      </c>
      <c r="F663" s="2" t="str">
        <f>IFERROR(__xludf.DUMMYFUNCTION("""COMPUTED_VALUE"""),"ପାନ୍ କାର୍ଡ ଅନୁଯାୟୀ ନାମ |")</f>
        <v>ପାନ୍ କାର୍ଡ ଅନୁଯାୟୀ ନାମ |</v>
      </c>
      <c r="G663" s="2" t="str">
        <f>IFERROR(__xludf.DUMMYFUNCTION("""COMPUTED_VALUE"""),"পান কাৰ্ড অনুসৰি নাম")</f>
        <v>পান কাৰ্ড অনুসৰি নাম</v>
      </c>
      <c r="H663" s="2" t="str">
        <f>IFERROR(__xludf.DUMMYFUNCTION("""COMPUTED_VALUE"""),"પાન કાર્ડ મુજબ નામ")</f>
        <v>પાન કાર્ડ મુજબ નામ</v>
      </c>
      <c r="I663" s="2" t="str">
        <f>IFERROR(__xludf.DUMMYFUNCTION("""COMPUTED_VALUE"""),"पॅन कार्डनुसार नाव")</f>
        <v>पॅन कार्डनुसार नाव</v>
      </c>
      <c r="J663" s="2" t="str">
        <f>IFERROR(__xludf.DUMMYFUNCTION("""COMPUTED_VALUE"""),"പാൻ കാർഡ് അനുസരിച്ച് പേര്")</f>
        <v>പാൻ കാർഡ് അനുസരിച്ച് പേര്</v>
      </c>
      <c r="K663" s="2" t="str">
        <f>IFERROR(__xludf.DUMMYFUNCTION("""COMPUTED_VALUE"""),"ਪੈਨ ਕਾਰਡ ਦੇ ਅਨੁਸਾਰ ਨਾਮ")</f>
        <v>ਪੈਨ ਕਾਰਡ ਦੇ ਅਨੁਸਾਰ ਨਾਮ</v>
      </c>
      <c r="L663" s="2" t="str">
        <f>IFERROR(__xludf.DUMMYFUNCTION("""COMPUTED_VALUE"""),"பான் கார்டின் படி பெயர்")</f>
        <v>பான் கார்டின் படி பெயர்</v>
      </c>
      <c r="M663" s="2" t="str">
        <f>IFERROR(__xludf.DUMMYFUNCTION("""COMPUTED_VALUE"""),"పాన్ కార్డు ప్రకారం పేరు")</f>
        <v>పాన్ కార్డు ప్రకారం పేరు</v>
      </c>
    </row>
    <row r="664">
      <c r="A664" s="2" t="str">
        <f>Master_en!A664</f>
        <v>FixedRetailershop</v>
      </c>
      <c r="B664" s="2" t="str">
        <f>Master_en!B664</f>
        <v>Fixed Retailer Shop</v>
      </c>
      <c r="C664" s="2" t="str">
        <f>IFERROR(__xludf.DUMMYFUNCTION("""COMPUTED_VALUE"""),"স্থির খুচরা বিক্রেতার দোকান")</f>
        <v>স্থির খুচরা বিক্রেতার দোকান</v>
      </c>
      <c r="D664" s="2" t="str">
        <f>IFERROR(__xludf.DUMMYFUNCTION("""COMPUTED_VALUE"""),"नियत रिटेलर दुकान")</f>
        <v>नियत रिटेलर दुकान</v>
      </c>
      <c r="E664" s="2" t="str">
        <f>IFERROR(__xludf.DUMMYFUNCTION("""COMPUTED_VALUE"""),"ಸ್ಥಿರ ಚಿಲ್ಲರೆ ವ್ಯಾಪಾರಿ ಅಂಗಡಿ")</f>
        <v>ಸ್ಥಿರ ಚಿಲ್ಲರೆ ವ್ಯಾಪಾರಿ ಅಂಗಡಿ</v>
      </c>
      <c r="F664" s="2" t="str">
        <f>IFERROR(__xludf.DUMMYFUNCTION("""COMPUTED_VALUE"""),"ସ୍ଥିର ଖୁଚୁରା ବ୍ୟବସାୟୀ ଦୋକାନ |")</f>
        <v>ସ୍ଥିର ଖୁଚୁରା ବ୍ୟବସାୟୀ ଦୋକାନ |</v>
      </c>
      <c r="G664" s="2" t="str">
        <f>IFERROR(__xludf.DUMMYFUNCTION("""COMPUTED_VALUE"""),"ফিক্সড খুচুৰা বিক্ৰেতাৰ দোকান")</f>
        <v>ফিক্সড খুচুৰা বিক্ৰেতাৰ দোকান</v>
      </c>
      <c r="H664" s="2" t="str">
        <f>IFERROR(__xludf.DUMMYFUNCTION("""COMPUTED_VALUE"""),"નિયત રિટેલર દુકાન")</f>
        <v>નિયત રિટેલર દુકાન</v>
      </c>
      <c r="I664" s="2" t="str">
        <f>IFERROR(__xludf.DUMMYFUNCTION("""COMPUTED_VALUE"""),"पॅन पुरावा")</f>
        <v>पॅन पुरावा</v>
      </c>
      <c r="J664" s="2" t="str">
        <f>IFERROR(__xludf.DUMMYFUNCTION("""COMPUTED_VALUE"""),"നിശ്ചിത ചില്ലറവക്കാരൻ ഷോപ്പ്")</f>
        <v>നിശ്ചിത ചില്ലറവക്കാരൻ ഷോപ്പ്</v>
      </c>
      <c r="K664" s="2" t="str">
        <f>IFERROR(__xludf.DUMMYFUNCTION("""COMPUTED_VALUE"""),"ਫਿਕਸਡ ਰਿਟੇਲਰ ਦੁਕਾਨ")</f>
        <v>ਫਿਕਸਡ ਰਿਟੇਲਰ ਦੁਕਾਨ</v>
      </c>
      <c r="L664" s="2" t="str">
        <f>IFERROR(__xludf.DUMMYFUNCTION("""COMPUTED_VALUE"""),"நிலையான சில்லறை விற்பனையாளர் கடை")</f>
        <v>நிலையான சில்லறை விற்பனையாளர் கடை</v>
      </c>
      <c r="M664" s="2" t="str">
        <f>IFERROR(__xludf.DUMMYFUNCTION("""COMPUTED_VALUE"""),"స్థిర రిటైలర్ షాప్")</f>
        <v>స్థిర రిటైలర్ షాప్</v>
      </c>
    </row>
    <row r="665">
      <c r="A665" s="2" t="str">
        <f>Master_en!A665</f>
        <v>MobileRetailershop </v>
      </c>
      <c r="B665" s="2" t="str">
        <f>Master_en!B665</f>
        <v>Mobile Retailer Shop </v>
      </c>
      <c r="C665" s="2" t="str">
        <f>IFERROR(__xludf.DUMMYFUNCTION("""COMPUTED_VALUE"""),"মোবাইল খুচরা বিক্রেতার দোকান")</f>
        <v>মোবাইল খুচরা বিক্রেতার দোকান</v>
      </c>
      <c r="D665" s="2" t="str">
        <f>IFERROR(__xludf.DUMMYFUNCTION("""COMPUTED_VALUE"""),"मोबाइल रिटेलर दुकान")</f>
        <v>मोबाइल रिटेलर दुकान</v>
      </c>
      <c r="E665" s="2" t="str">
        <f>IFERROR(__xludf.DUMMYFUNCTION("""COMPUTED_VALUE"""),"ಮೊಬೈಲ್ ಚಿಲ್ಲರೆ ವ್ಯಾಪಾರಿ ಅಂಗಡಿ")</f>
        <v>ಮೊಬೈಲ್ ಚಿಲ್ಲರೆ ವ್ಯಾಪಾರಿ ಅಂಗಡಿ</v>
      </c>
      <c r="F665" s="2" t="str">
        <f>IFERROR(__xludf.DUMMYFUNCTION("""COMPUTED_VALUE"""),"ମୋବାଇଲ୍ ରିଟେଲର ଦୋକାନ |")</f>
        <v>ମୋବାଇଲ୍ ରିଟେଲର ଦୋକାନ |</v>
      </c>
      <c r="G665" s="2" t="str">
        <f>IFERROR(__xludf.DUMMYFUNCTION("""COMPUTED_VALUE"""),"মোবাইল খুচুৰা বিক্ৰেতাৰ দোকান")</f>
        <v>মোবাইল খুচুৰা বিক্ৰেতাৰ দোকান</v>
      </c>
      <c r="H665" s="2" t="str">
        <f>IFERROR(__xludf.DUMMYFUNCTION("""COMPUTED_VALUE"""),"મોબાઇલ -રિટેલર દુકાન")</f>
        <v>મોબાઇલ -રિટેલર દુકાન</v>
      </c>
      <c r="I665" s="2" t="str">
        <f>IFERROR(__xludf.DUMMYFUNCTION("""COMPUTED_VALUE"""),"मोबाइल किरकोळ विक्रेता दुकान")</f>
        <v>मोबाइल किरकोळ विक्रेता दुकान</v>
      </c>
      <c r="J665" s="2" t="str">
        <f>IFERROR(__xludf.DUMMYFUNCTION("""COMPUTED_VALUE"""),"മൊബൈൽ റീട്ടെയിലർ ഷോപ്പ്")</f>
        <v>മൊബൈൽ റീട്ടെയിലർ ഷോപ്പ്</v>
      </c>
      <c r="K665" s="2" t="str">
        <f>IFERROR(__xludf.DUMMYFUNCTION("""COMPUTED_VALUE"""),"ਮੋਬਾਈਲ ਰਿਟੇਲਰ ਦੁਕਾਨ")</f>
        <v>ਮੋਬਾਈਲ ਰਿਟੇਲਰ ਦੁਕਾਨ</v>
      </c>
      <c r="L665" s="2" t="str">
        <f>IFERROR(__xludf.DUMMYFUNCTION("""COMPUTED_VALUE"""),"மொபைல் சில்லறை விற்பனையாளர் கடை")</f>
        <v>மொபைல் சில்லறை விற்பனையாளர் கடை</v>
      </c>
      <c r="M665" s="2" t="str">
        <f>IFERROR(__xludf.DUMMYFUNCTION("""COMPUTED_VALUE"""),"మొబైల్ రిటైలర్ షాప్")</f>
        <v>మొబైల్ రిటైలర్ షాప్</v>
      </c>
    </row>
    <row r="666">
      <c r="A666" s="2" t="str">
        <f>Master_en!A666</f>
        <v>Iown </v>
      </c>
      <c r="B666" s="2" t="str">
        <f>Master_en!B666</f>
        <v>I Own </v>
      </c>
      <c r="C666" s="2" t="str">
        <f>IFERROR(__xludf.DUMMYFUNCTION("""COMPUTED_VALUE"""),"আমি মালিক")</f>
        <v>আমি মালিক</v>
      </c>
      <c r="D666" s="2" t="str">
        <f>IFERROR(__xludf.DUMMYFUNCTION("""COMPUTED_VALUE"""),"मैं खुद")</f>
        <v>मैं खुद</v>
      </c>
      <c r="E666" s="2" t="str">
        <f>IFERROR(__xludf.DUMMYFUNCTION("""COMPUTED_VALUE"""),"ನಾನು ಹೊಂದಿದ್ದೇನೆ")</f>
        <v>ನಾನು ಹೊಂದಿದ್ದೇನೆ</v>
      </c>
      <c r="F666" s="2" t="str">
        <f>IFERROR(__xludf.DUMMYFUNCTION("""COMPUTED_VALUE"""),"ମୋର ମାଲିକାନା")</f>
        <v>ମୋର ମାଲିକାନା</v>
      </c>
      <c r="G666" s="2" t="str">
        <f>IFERROR(__xludf.DUMMYFUNCTION("""COMPUTED_VALUE"""),"মোৰ নিজৰ")</f>
        <v>মোৰ নিজৰ</v>
      </c>
      <c r="H666" s="2" t="str">
        <f>IFERROR(__xludf.DUMMYFUNCTION("""COMPUTED_VALUE"""),"હું માલિક")</f>
        <v>હું માલિક</v>
      </c>
      <c r="I666" s="2" t="str">
        <f>IFERROR(__xludf.DUMMYFUNCTION("""COMPUTED_VALUE"""),"माझ्या मालकीचे आहे")</f>
        <v>माझ्या मालकीचे आहे</v>
      </c>
      <c r="J666" s="2" t="str">
        <f>IFERROR(__xludf.DUMMYFUNCTION("""COMPUTED_VALUE"""),"എനിക്കുണ്ട്")</f>
        <v>എനിക്കുണ്ട്</v>
      </c>
      <c r="K666" s="2" t="str">
        <f>IFERROR(__xludf.DUMMYFUNCTION("""COMPUTED_VALUE"""),"ਮੇਰੇ ਕੋਲ ਹੈ")</f>
        <v>ਮੇਰੇ ਕੋਲ ਹੈ</v>
      </c>
      <c r="L666" s="2" t="str">
        <f>IFERROR(__xludf.DUMMYFUNCTION("""COMPUTED_VALUE"""),"நான் சொந்தமாக")</f>
        <v>நான் சொந்தமாக</v>
      </c>
      <c r="M666" s="2" t="str">
        <f>IFERROR(__xludf.DUMMYFUNCTION("""COMPUTED_VALUE"""),"నాది")</f>
        <v>నాది</v>
      </c>
    </row>
    <row r="667">
      <c r="A667" s="2" t="str">
        <f>Master_en!A667</f>
        <v>Membershipplan </v>
      </c>
      <c r="B667" s="2" t="str">
        <f>Master_en!B667</f>
        <v>Membership Plan </v>
      </c>
      <c r="C667" s="2" t="str">
        <f>IFERROR(__xludf.DUMMYFUNCTION("""COMPUTED_VALUE"""),"সদস্যপদ পরিকল্পনা")</f>
        <v>সদস্যপদ পরিকল্পনা</v>
      </c>
      <c r="D667" s="2" t="str">
        <f>IFERROR(__xludf.DUMMYFUNCTION("""COMPUTED_VALUE"""),"सदस्यता योजना")</f>
        <v>सदस्यता योजना</v>
      </c>
      <c r="E667" s="2" t="str">
        <f>IFERROR(__xludf.DUMMYFUNCTION("""COMPUTED_VALUE"""),"ಸದಸ್ಯತ್ವ ಯೋಜನೆ")</f>
        <v>ಸದಸ್ಯತ್ವ ಯೋಜನೆ</v>
      </c>
      <c r="F667" s="2" t="str">
        <f>IFERROR(__xludf.DUMMYFUNCTION("""COMPUTED_VALUE"""),"ସଦସ୍ୟତା ଯୋଜନା")</f>
        <v>ସଦସ୍ୟତା ଯୋଜନା</v>
      </c>
      <c r="G667" s="2" t="str">
        <f>IFERROR(__xludf.DUMMYFUNCTION("""COMPUTED_VALUE"""),"সদস্যপদৰ পৰিকল্পনা")</f>
        <v>সদস্যপদৰ পৰিকল্পনা</v>
      </c>
      <c r="H667" s="2" t="str">
        <f>IFERROR(__xludf.DUMMYFUNCTION("""COMPUTED_VALUE"""),"સભ્યપદ યોજના")</f>
        <v>સભ્યપદ યોજના</v>
      </c>
      <c r="I667" s="2" t="str">
        <f>IFERROR(__xludf.DUMMYFUNCTION("""COMPUTED_VALUE"""),"सदस्यता योजना")</f>
        <v>सदस्यता योजना</v>
      </c>
      <c r="J667" s="2" t="str">
        <f>IFERROR(__xludf.DUMMYFUNCTION("""COMPUTED_VALUE"""),"അംഗത്വ പദ്ധതി")</f>
        <v>അംഗത്വ പദ്ധതി</v>
      </c>
      <c r="K667" s="2" t="str">
        <f>IFERROR(__xludf.DUMMYFUNCTION("""COMPUTED_VALUE"""),"ਸਦੱਸਤਾ ਯੋਜਨਾ")</f>
        <v>ਸਦੱਸਤਾ ਯੋਜਨਾ</v>
      </c>
      <c r="L667" s="2" t="str">
        <f>IFERROR(__xludf.DUMMYFUNCTION("""COMPUTED_VALUE"""),"உறுப்பினர் திட்டம்")</f>
        <v>உறுப்பினர் திட்டம்</v>
      </c>
      <c r="M667" s="2" t="str">
        <f>IFERROR(__xludf.DUMMYFUNCTION("""COMPUTED_VALUE"""),"సభ్యత్వ ప్రణాళిక")</f>
        <v>సభ్యత్వ ప్రణాళిక</v>
      </c>
    </row>
    <row r="668">
      <c r="A668" s="2" t="str">
        <f>Master_en!A668</f>
        <v>PerMonth</v>
      </c>
      <c r="B668" s="2" t="str">
        <f>Master_en!B668</f>
        <v>Per Month</v>
      </c>
      <c r="C668" s="2" t="str">
        <f>IFERROR(__xludf.DUMMYFUNCTION("""COMPUTED_VALUE"""),"প্রতি মাসে")</f>
        <v>প্রতি মাসে</v>
      </c>
      <c r="D668" s="2" t="str">
        <f>IFERROR(__xludf.DUMMYFUNCTION("""COMPUTED_VALUE"""),"प्रति महीने")</f>
        <v>प्रति महीने</v>
      </c>
      <c r="E668" s="2" t="str">
        <f>IFERROR(__xludf.DUMMYFUNCTION("""COMPUTED_VALUE"""),"ಪ್ರತಿ ತಿಂಗಳು")</f>
        <v>ಪ್ರತಿ ತಿಂಗಳು</v>
      </c>
      <c r="F668" s="2" t="str">
        <f>IFERROR(__xludf.DUMMYFUNCTION("""COMPUTED_VALUE"""),"ପ୍ରତି ମାସରେ")</f>
        <v>ପ୍ରତି ମାସରେ</v>
      </c>
      <c r="G668" s="2" t="str">
        <f>IFERROR(__xludf.DUMMYFUNCTION("""COMPUTED_VALUE"""),"প্ৰতিমাহে")</f>
        <v>প্ৰতিমাহে</v>
      </c>
      <c r="H668" s="2" t="str">
        <f>IFERROR(__xludf.DUMMYFUNCTION("""COMPUTED_VALUE"""),"દર મહિને")</f>
        <v>દર મહિને</v>
      </c>
      <c r="I668" s="2" t="str">
        <f>IFERROR(__xludf.DUMMYFUNCTION("""COMPUTED_VALUE"""),"दर महिन्याला")</f>
        <v>दर महिन्याला</v>
      </c>
      <c r="J668" s="2" t="str">
        <f>IFERROR(__xludf.DUMMYFUNCTION("""COMPUTED_VALUE"""),"മാസം തോറും")</f>
        <v>മാസം തോറും</v>
      </c>
      <c r="K668" s="2" t="str">
        <f>IFERROR(__xludf.DUMMYFUNCTION("""COMPUTED_VALUE"""),"ਪ੍ਰਤੀ ਮਹੀਨਾ")</f>
        <v>ਪ੍ਰਤੀ ਮਹੀਨਾ</v>
      </c>
      <c r="L668" s="2" t="str">
        <f>IFERROR(__xludf.DUMMYFUNCTION("""COMPUTED_VALUE"""),"மாதத்திற்கு")</f>
        <v>மாதத்திற்கு</v>
      </c>
      <c r="M668" s="2" t="str">
        <f>IFERROR(__xludf.DUMMYFUNCTION("""COMPUTED_VALUE"""),"స్థిర చిల్లర దుకాణం")</f>
        <v>స్థిర చిల్లర దుకాణం</v>
      </c>
    </row>
    <row r="669">
      <c r="A669" s="2" t="str">
        <f>Master_en!A669</f>
        <v>Basic</v>
      </c>
      <c r="B669" s="2" t="str">
        <f>Master_en!B669</f>
        <v>Basic</v>
      </c>
      <c r="C669" s="2" t="str">
        <f>IFERROR(__xludf.DUMMYFUNCTION("""COMPUTED_VALUE"""),"বেসিক")</f>
        <v>বেসিক</v>
      </c>
      <c r="D669" s="2" t="str">
        <f>IFERROR(__xludf.DUMMYFUNCTION("""COMPUTED_VALUE"""),"बुनियादी")</f>
        <v>बुनियादी</v>
      </c>
      <c r="E669" s="2" t="str">
        <f>IFERROR(__xludf.DUMMYFUNCTION("""COMPUTED_VALUE"""),"ಮೂಲಭೂತ")</f>
        <v>ಮೂಲಭೂತ</v>
      </c>
      <c r="F669" s="2" t="str">
        <f>IFERROR(__xludf.DUMMYFUNCTION("""COMPUTED_VALUE"""),"ମ basic ଳିକ")</f>
        <v>ମ basic ଳିକ</v>
      </c>
      <c r="G669" s="2" t="str">
        <f>IFERROR(__xludf.DUMMYFUNCTION("""COMPUTED_VALUE"""),"প্ৰাথমিক")</f>
        <v>প্ৰাথমিক</v>
      </c>
      <c r="H669" s="2" t="str">
        <f>IFERROR(__xludf.DUMMYFUNCTION("""COMPUTED_VALUE"""),"પાયાની")</f>
        <v>પાયાની</v>
      </c>
      <c r="I669" s="2" t="str">
        <f>IFERROR(__xludf.DUMMYFUNCTION("""COMPUTED_VALUE"""),"मूलभूत")</f>
        <v>मूलभूत</v>
      </c>
      <c r="J669" s="2" t="str">
        <f>IFERROR(__xludf.DUMMYFUNCTION("""COMPUTED_VALUE"""),"അടിസ്ഥാനപരമായ")</f>
        <v>അടിസ്ഥാനപരമായ</v>
      </c>
      <c r="K669" s="2" t="str">
        <f>IFERROR(__xludf.DUMMYFUNCTION("""COMPUTED_VALUE"""),"ਮੁੱ The ਲੀ")</f>
        <v>ਮੁੱ The ਲੀ</v>
      </c>
      <c r="L669" s="2" t="str">
        <f>IFERROR(__xludf.DUMMYFUNCTION("""COMPUTED_VALUE"""),"அடிப்படை")</f>
        <v>அடிப்படை</v>
      </c>
      <c r="M669" s="2" t="str">
        <f>IFERROR(__xludf.DUMMYFUNCTION("""COMPUTED_VALUE"""),"మొబైల్ రిటైలర్ దుకాణం")</f>
        <v>మొబైల్ రిటైలర్ దుకాణం</v>
      </c>
    </row>
    <row r="670">
      <c r="A670" s="2" t="str">
        <f>Master_en!A670</f>
        <v>Onlineshopspace</v>
      </c>
      <c r="B670" s="2" t="str">
        <f>Master_en!B670</f>
        <v>Online Shop Space</v>
      </c>
      <c r="C670" s="2" t="str">
        <f>IFERROR(__xludf.DUMMYFUNCTION("""COMPUTED_VALUE"""),"অনলাইন শপ স্পেস")</f>
        <v>অনলাইন শপ স্পেস</v>
      </c>
      <c r="D670" s="2" t="str">
        <f>IFERROR(__xludf.DUMMYFUNCTION("""COMPUTED_VALUE"""),"ऑनलाइन दुकान स्थान")</f>
        <v>ऑनलाइन दुकान स्थान</v>
      </c>
      <c r="E670" s="2" t="str">
        <f>IFERROR(__xludf.DUMMYFUNCTION("""COMPUTED_VALUE"""),"ಆನ್‌ಲೈನ್ ಅಂಗಡಿ ಸ್ಥಳ")</f>
        <v>ಆನ್‌ಲೈನ್ ಅಂಗಡಿ ಸ್ಥಳ</v>
      </c>
      <c r="F670" s="2" t="str">
        <f>IFERROR(__xludf.DUMMYFUNCTION("""COMPUTED_VALUE"""),"ଅନଲାଇନ୍ ଦୋକାନ ସ୍ପେସ୍ |")</f>
        <v>ଅନଲାଇନ୍ ଦୋକାନ ସ୍ପେସ୍ |</v>
      </c>
      <c r="G670" s="2" t="str">
        <f>IFERROR(__xludf.DUMMYFUNCTION("""COMPUTED_VALUE"""),"অনলাইন দোকানৰ স্থান")</f>
        <v>অনলাইন দোকানৰ স্থান</v>
      </c>
      <c r="H670" s="2" t="str">
        <f>IFERROR(__xludf.DUMMYFUNCTION("""COMPUTED_VALUE"""),"Shop નલાઇન દુકાનની જગ્યા")</f>
        <v>Shop નલાઇન દુકાનની જગ્યા</v>
      </c>
      <c r="I670" s="2" t="str">
        <f>IFERROR(__xludf.DUMMYFUNCTION("""COMPUTED_VALUE"""),"दर महिन्याला")</f>
        <v>दर महिन्याला</v>
      </c>
      <c r="J670" s="2" t="str">
        <f>IFERROR(__xludf.DUMMYFUNCTION("""COMPUTED_VALUE"""),"ഓൺലൈൻ ഷോപ്പ് സ്ഥലം")</f>
        <v>ഓൺലൈൻ ഷോപ്പ് സ്ഥലം</v>
      </c>
      <c r="K670" s="2" t="str">
        <f>IFERROR(__xludf.DUMMYFUNCTION("""COMPUTED_VALUE"""),"Shop ਨਲਾਈਨ ਦੁਕਾਨ ਦੀ ਜਗ੍ਹਾ")</f>
        <v>Shop ਨਲਾਈਨ ਦੁਕਾਨ ਦੀ ਜਗ੍ਹਾ</v>
      </c>
      <c r="L670" s="2" t="str">
        <f>IFERROR(__xludf.DUMMYFUNCTION("""COMPUTED_VALUE"""),"ஆன்லைன் கடை இடம்")</f>
        <v>ஆன்லைன் கடை இடம்</v>
      </c>
      <c r="M670" s="2" t="str">
        <f>IFERROR(__xludf.DUMMYFUNCTION("""COMPUTED_VALUE"""),"ఆన్‌లైన్ షాప్ స్థలం")</f>
        <v>ఆన్‌లైన్ షాప్ స్థలం</v>
      </c>
    </row>
    <row r="671">
      <c r="A671" s="2" t="str">
        <f>Master_en!A671</f>
        <v>Sell/purchase </v>
      </c>
      <c r="B671" s="2" t="str">
        <f>Master_en!B671</f>
        <v>Sell/Purchase </v>
      </c>
      <c r="C671" s="2" t="str">
        <f>IFERROR(__xludf.DUMMYFUNCTION("""COMPUTED_VALUE"""),"বিক্রয়/ক্রয়")</f>
        <v>বিক্রয়/ক্রয়</v>
      </c>
      <c r="D671" s="2" t="str">
        <f>IFERROR(__xludf.DUMMYFUNCTION("""COMPUTED_VALUE"""),"बेचना/खरीद")</f>
        <v>बेचना/खरीद</v>
      </c>
      <c r="E671" s="2" t="str">
        <f>IFERROR(__xludf.DUMMYFUNCTION("""COMPUTED_VALUE"""),"ಮಾರಾಟ/ಖರೀದಿ")</f>
        <v>ಮಾರಾಟ/ಖರೀದಿ</v>
      </c>
      <c r="F671" s="2" t="str">
        <f>IFERROR(__xludf.DUMMYFUNCTION("""COMPUTED_VALUE"""),"ବିକ୍ରୟ / କ୍ରୟ")</f>
        <v>ବିକ୍ରୟ / କ୍ରୟ</v>
      </c>
      <c r="G671" s="2" t="str">
        <f>IFERROR(__xludf.DUMMYFUNCTION("""COMPUTED_VALUE"""),"বিক্ৰী/ক্ৰয়")</f>
        <v>বিক্ৰী/ক্ৰয়</v>
      </c>
      <c r="H671" s="2" t="str">
        <f>IFERROR(__xludf.DUMMYFUNCTION("""COMPUTED_VALUE"""),"વેચાણ/ખરીદી")</f>
        <v>વેચાણ/ખરીદી</v>
      </c>
      <c r="I671" s="2" t="str">
        <f>IFERROR(__xludf.DUMMYFUNCTION("""COMPUTED_VALUE"""),"विक्री/खरेदी")</f>
        <v>विक्री/खरेदी</v>
      </c>
      <c r="J671" s="2" t="str">
        <f>IFERROR(__xludf.DUMMYFUNCTION("""COMPUTED_VALUE"""),"വിൽക്കുക / വാങ്ങുക")</f>
        <v>വിൽക്കുക / വാങ്ങുക</v>
      </c>
      <c r="K671" s="2" t="str">
        <f>IFERROR(__xludf.DUMMYFUNCTION("""COMPUTED_VALUE"""),"ਵੇਚੋ / ਖਰੀਦੋ")</f>
        <v>ਵੇਚੋ / ਖਰੀਦੋ</v>
      </c>
      <c r="L671" s="2" t="str">
        <f>IFERROR(__xludf.DUMMYFUNCTION("""COMPUTED_VALUE"""),"விற்க/வாங்க")</f>
        <v>விற்க/வாங்க</v>
      </c>
      <c r="M671" s="2" t="str">
        <f>IFERROR(__xludf.DUMMYFUNCTION("""COMPUTED_VALUE"""),"అమ్మకం/కొనుగోలు")</f>
        <v>అమ్మకం/కొనుగోలు</v>
      </c>
    </row>
    <row r="672">
      <c r="A672" s="2" t="str">
        <f>Master_en!A672</f>
        <v>Creditmanagement</v>
      </c>
      <c r="B672" s="2" t="str">
        <f>Master_en!B672</f>
        <v>Credit Management</v>
      </c>
      <c r="C672" s="2" t="str">
        <f>IFERROR(__xludf.DUMMYFUNCTION("""COMPUTED_VALUE"""),"আমানত ব্যবস্থাপনা")</f>
        <v>আমানত ব্যবস্থাপনা</v>
      </c>
      <c r="D672" s="2" t="str">
        <f>IFERROR(__xludf.DUMMYFUNCTION("""COMPUTED_VALUE"""),"ऑनलाइन दुकान स्थान")</f>
        <v>ऑनलाइन दुकान स्थान</v>
      </c>
      <c r="E672" s="2" t="str">
        <f>IFERROR(__xludf.DUMMYFUNCTION("""COMPUTED_VALUE"""),"ಸಾಲದಾನ ನಿರ್ವಹಣೆ")</f>
        <v>ಸಾಲದಾನ ನಿರ್ವಹಣೆ</v>
      </c>
      <c r="F672" s="2" t="str">
        <f>IFERROR(__xludf.DUMMYFUNCTION("""COMPUTED_VALUE"""),"କ୍ରେଡିଟ୍ ପରିଚାଳନା")</f>
        <v>କ୍ରେଡିଟ୍ ପରିଚାଳନା</v>
      </c>
      <c r="G672" s="2" t="str">
        <f>IFERROR(__xludf.DUMMYFUNCTION("""COMPUTED_VALUE"""),"ক্ৰেডিট মেনেজমেণ্ট")</f>
        <v>ক্ৰেডিট মেনেজমেণ্ট</v>
      </c>
      <c r="H672" s="2" t="str">
        <f>IFERROR(__xludf.DUMMYFUNCTION("""COMPUTED_VALUE"""),"શાખ વ્યવસ્થા")</f>
        <v>શાખ વ્યવસ્થા</v>
      </c>
      <c r="I672" s="2" t="str">
        <f>IFERROR(__xludf.DUMMYFUNCTION("""COMPUTED_VALUE"""),"क्रेडिट व्यवस्थापन")</f>
        <v>क्रेडिट व्यवस्थापन</v>
      </c>
      <c r="J672" s="2" t="str">
        <f>IFERROR(__xludf.DUMMYFUNCTION("""COMPUTED_VALUE"""),"ക്രെഡിറ്റ് മാനേജുമെന്റ്")</f>
        <v>ക്രെഡിറ്റ് മാനേജുമെന്റ്</v>
      </c>
      <c r="K672" s="2" t="str">
        <f>IFERROR(__xludf.DUMMYFUNCTION("""COMPUTED_VALUE"""),"ਕ੍ਰੈਡਿਟ ਮੈਨੇਜਮੈਂਟ")</f>
        <v>ਕ੍ਰੈਡਿਟ ਮੈਨੇਜਮੈਂਟ</v>
      </c>
      <c r="L672" s="2" t="str">
        <f>IFERROR(__xludf.DUMMYFUNCTION("""COMPUTED_VALUE"""),"கடன் மேலாண்மை")</f>
        <v>கடன் மேலாண்மை</v>
      </c>
      <c r="M672" s="2" t="str">
        <f>IFERROR(__xludf.DUMMYFUNCTION("""COMPUTED_VALUE"""),"క్రెడిట్ నిర్వహణ")</f>
        <v>క్రెడిట్ నిర్వహణ</v>
      </c>
    </row>
    <row r="673">
      <c r="A673" s="2" t="str">
        <f>Master_en!A673</f>
        <v>Owndelivery </v>
      </c>
      <c r="B673" s="2" t="str">
        <f>Master_en!B673</f>
        <v>Own Delivery </v>
      </c>
      <c r="C673" s="2" t="str">
        <f>IFERROR(__xludf.DUMMYFUNCTION("""COMPUTED_VALUE"""),"নিজস্ব বিতরণ")</f>
        <v>নিজস্ব বিতরণ</v>
      </c>
      <c r="D673" s="2" t="str">
        <f>IFERROR(__xludf.DUMMYFUNCTION("""COMPUTED_VALUE"""),"अपनी सुपुर्दगी")</f>
        <v>अपनी सुपुर्दगी</v>
      </c>
      <c r="E673" s="2" t="str">
        <f>IFERROR(__xludf.DUMMYFUNCTION("""COMPUTED_VALUE"""),"ಸ್ವಂತ ವಿತರಣೆ")</f>
        <v>ಸ್ವಂತ ವಿತರಣೆ</v>
      </c>
      <c r="F673" s="2" t="str">
        <f>IFERROR(__xludf.DUMMYFUNCTION("""COMPUTED_VALUE"""),"ନିଜର ବିତରଣ")</f>
        <v>ନିଜର ବିତରଣ</v>
      </c>
      <c r="G673" s="2" t="str">
        <f>IFERROR(__xludf.DUMMYFUNCTION("""COMPUTED_VALUE"""),"নিজৰ ডেলিভাৰী")</f>
        <v>নিজৰ ডেলিভাৰী</v>
      </c>
      <c r="H673" s="2" t="str">
        <f>IFERROR(__xludf.DUMMYFUNCTION("""COMPUTED_VALUE"""),"પોતાની વહેંચણી")</f>
        <v>પોતાની વહેંચણી</v>
      </c>
      <c r="I673" s="2" t="str">
        <f>IFERROR(__xludf.DUMMYFUNCTION("""COMPUTED_VALUE"""),"स्वत: ची वितरण")</f>
        <v>स्वत: ची वितरण</v>
      </c>
      <c r="J673" s="2" t="str">
        <f>IFERROR(__xludf.DUMMYFUNCTION("""COMPUTED_VALUE"""),"സ്വന്തം ഡെലിവറി")</f>
        <v>സ്വന്തം ഡെലിവറി</v>
      </c>
      <c r="K673" s="2" t="str">
        <f>IFERROR(__xludf.DUMMYFUNCTION("""COMPUTED_VALUE"""),"ਆਪਣੀ ਸਪੁਰਦਗੀ")</f>
        <v>ਆਪਣੀ ਸਪੁਰਦਗੀ</v>
      </c>
      <c r="L673" s="2" t="str">
        <f>IFERROR(__xludf.DUMMYFUNCTION("""COMPUTED_VALUE"""),"சொந்த டெலிவரி")</f>
        <v>சொந்த டெலிவரி</v>
      </c>
      <c r="M673" s="2" t="str">
        <f>IFERROR(__xludf.DUMMYFUNCTION("""COMPUTED_VALUE"""),"సొంత డెలివరీ")</f>
        <v>సొంత డెలివరీ</v>
      </c>
    </row>
    <row r="674">
      <c r="A674" s="2" t="str">
        <f>Master_en!A674</f>
        <v>Onlinepayment </v>
      </c>
      <c r="B674" s="2" t="str">
        <f>Master_en!B674</f>
        <v>Online Payment </v>
      </c>
      <c r="C674" s="2" t="str">
        <f>IFERROR(__xludf.DUMMYFUNCTION("""COMPUTED_VALUE"""),"অনলাইন পেমেন্ট")</f>
        <v>অনলাইন পেমেন্ট</v>
      </c>
      <c r="D674" s="2" t="str">
        <f>IFERROR(__xludf.DUMMYFUNCTION("""COMPUTED_VALUE"""),"ऑनलाइन भुगतान")</f>
        <v>ऑनलाइन भुगतान</v>
      </c>
      <c r="E674" s="2" t="str">
        <f>IFERROR(__xludf.DUMMYFUNCTION("""COMPUTED_VALUE"""),"ಆನ್ಲೈನ್ ಪಾವತಿ")</f>
        <v>ಆನ್ಲೈನ್ ಪಾವತಿ</v>
      </c>
      <c r="F674" s="2" t="str">
        <f>IFERROR(__xludf.DUMMYFUNCTION("""COMPUTED_VALUE"""),"ଅନଲାଇନ୍ ଦେୟ")</f>
        <v>ଅନଲାଇନ୍ ଦେୟ</v>
      </c>
      <c r="G674" s="2" t="str">
        <f>IFERROR(__xludf.DUMMYFUNCTION("""COMPUTED_VALUE"""),"অনলাইন পেমেন্ট")</f>
        <v>অনলাইন পেমেন্ট</v>
      </c>
      <c r="H674" s="2" t="str">
        <f>IFERROR(__xludf.DUMMYFUNCTION("""COMPUTED_VALUE"""),"ચુકવણી")</f>
        <v>ચુકવણી</v>
      </c>
      <c r="I674" s="2" t="str">
        <f>IFERROR(__xludf.DUMMYFUNCTION("""COMPUTED_VALUE"""),"ऑनलाइन देय")</f>
        <v>ऑनलाइन देय</v>
      </c>
      <c r="J674" s="2" t="str">
        <f>IFERROR(__xludf.DUMMYFUNCTION("""COMPUTED_VALUE"""),"ഓൺലൈൻ പേയ്മെന്റ്")</f>
        <v>ഓൺലൈൻ പേയ്മെന്റ്</v>
      </c>
      <c r="K674" s="2" t="str">
        <f>IFERROR(__xludf.DUMMYFUNCTION("""COMPUTED_VALUE"""),"Payment ਨਲਾਈਨ ਭੁਗਤਾਨ")</f>
        <v>Payment ਨਲਾਈਨ ਭੁਗਤਾਨ</v>
      </c>
      <c r="L674" s="2" t="str">
        <f>IFERROR(__xludf.DUMMYFUNCTION("""COMPUTED_VALUE"""),"ஆன்லைன் கட்டணம்")</f>
        <v>ஆன்லைன் கட்டணம்</v>
      </c>
      <c r="M674" s="2" t="str">
        <f>IFERROR(__xludf.DUMMYFUNCTION("""COMPUTED_VALUE"""),"ఆన్లైన్ చెల్లింపు")</f>
        <v>ఆన్లైన్ చెల్లింపు</v>
      </c>
    </row>
    <row r="675">
      <c r="A675" s="2" t="str">
        <f>Master_en!A675</f>
        <v>cataloguemanagement</v>
      </c>
      <c r="B675" s="2" t="str">
        <f>Master_en!B675</f>
        <v>Catalogue Management</v>
      </c>
      <c r="C675" s="2" t="str">
        <f>IFERROR(__xludf.DUMMYFUNCTION("""COMPUTED_VALUE"""),"ক্যাটালগ পরিচালনা")</f>
        <v>ক্যাটালগ পরিচালনা</v>
      </c>
      <c r="D675" s="2" t="str">
        <f>IFERROR(__xludf.DUMMYFUNCTION("""COMPUTED_VALUE"""),"सूची प्रबंधन")</f>
        <v>सूची प्रबंधन</v>
      </c>
      <c r="E675" s="2" t="str">
        <f>IFERROR(__xludf.DUMMYFUNCTION("""COMPUTED_VALUE"""),"ಪಟ್ಟಿ ನಿರ್ವಹಣೆ")</f>
        <v>ಪಟ್ಟಿ ನಿರ್ವಹಣೆ</v>
      </c>
      <c r="F675" s="2" t="str">
        <f>IFERROR(__xludf.DUMMYFUNCTION("""COMPUTED_VALUE"""),"କାଟାଲଗ୍ ପରିଚାଳନା")</f>
        <v>କାଟାଲଗ୍ ପରିଚାଳନା</v>
      </c>
      <c r="G675" s="2" t="str">
        <f>IFERROR(__xludf.DUMMYFUNCTION("""COMPUTED_VALUE"""),"কেটেলগ ব্যৱস্থাপনা")</f>
        <v>কেটেলগ ব্যৱস্থাপনা</v>
      </c>
      <c r="H675" s="2" t="str">
        <f>IFERROR(__xludf.DUMMYFUNCTION("""COMPUTED_VALUE"""),"સૂચિ વ્યવસ્થાપન")</f>
        <v>સૂચિ વ્યવસ્થાપન</v>
      </c>
      <c r="I675" s="2" t="str">
        <f>IFERROR(__xludf.DUMMYFUNCTION("""COMPUTED_VALUE"""),"स्वतःचे वितरण")</f>
        <v>स्वतःचे वितरण</v>
      </c>
      <c r="J675" s="2" t="str">
        <f>IFERROR(__xludf.DUMMYFUNCTION("""COMPUTED_VALUE"""),"കാറ്റലോഗ് മാനേജുമെന്റ്")</f>
        <v>കാറ്റലോഗ് മാനേജുമെന്റ്</v>
      </c>
      <c r="K675" s="2" t="str">
        <f>IFERROR(__xludf.DUMMYFUNCTION("""COMPUTED_VALUE"""),"ਕੈਟਾਲਾਗ ਮੈਨੇਜਮੈਂਟ")</f>
        <v>ਕੈਟਾਲਾਗ ਮੈਨੇਜਮੈਂਟ</v>
      </c>
      <c r="L675" s="2" t="str">
        <f>IFERROR(__xludf.DUMMYFUNCTION("""COMPUTED_VALUE"""),"அட்டவணை மேலாண்மை")</f>
        <v>அட்டவணை மேலாண்மை</v>
      </c>
      <c r="M675" s="2" t="str">
        <f>IFERROR(__xludf.DUMMYFUNCTION("""COMPUTED_VALUE"""),"కేటలాగ్ నిర్వహణ")</f>
        <v>కేటలాగ్ నిర్వహణ</v>
      </c>
    </row>
    <row r="676">
      <c r="A676" s="2" t="str">
        <f>Master_en!A676</f>
        <v>PerOrderManagement </v>
      </c>
      <c r="B676" s="2" t="str">
        <f>Master_en!B676</f>
        <v>Per Order Management </v>
      </c>
      <c r="C676" s="2" t="str">
        <f>IFERROR(__xludf.DUMMYFUNCTION("""COMPUTED_VALUE"""),"অর্ডার ম্যানেজমেন্ট প্রতি")</f>
        <v>অর্ডার ম্যানেজমেন্ট প্রতি</v>
      </c>
      <c r="D676" s="2" t="str">
        <f>IFERROR(__xludf.DUMMYFUNCTION("""COMPUTED_VALUE"""),"प्रति आदेश प्रबंधन")</f>
        <v>प्रति आदेश प्रबंधन</v>
      </c>
      <c r="E676" s="2" t="str">
        <f>IFERROR(__xludf.DUMMYFUNCTION("""COMPUTED_VALUE"""),"ಪ್ರತಿ ಆದೇಶ ನಿರ್ವಹಣೆಗೆ ಪ್ರತಿ")</f>
        <v>ಪ್ರತಿ ಆದೇಶ ನಿರ್ವಹಣೆಗೆ ಪ್ರತಿ</v>
      </c>
      <c r="F676" s="2" t="str">
        <f>IFERROR(__xludf.DUMMYFUNCTION("""COMPUTED_VALUE"""),"କ୍ରମ ପରିଚାଳନା ପାଇଁ |")</f>
        <v>କ୍ରମ ପରିଚାଳନା ପାଇଁ |</v>
      </c>
      <c r="G676" s="2" t="str">
        <f>IFERROR(__xludf.DUMMYFUNCTION("""COMPUTED_VALUE"""),"প্ৰতি অৰ্ডাৰ ব্যৱস্থাপনা")</f>
        <v>প্ৰতি অৰ্ডাৰ ব্যৱস্থাপনা</v>
      </c>
      <c r="H676" s="2" t="str">
        <f>IFERROR(__xludf.DUMMYFUNCTION("""COMPUTED_VALUE"""),"હુકમનું સંચાલન")</f>
        <v>હુકમનું સંચાલન</v>
      </c>
      <c r="I676" s="2" t="str">
        <f>IFERROR(__xludf.DUMMYFUNCTION("""COMPUTED_VALUE"""),"ऑनलाइन पेमेंट")</f>
        <v>ऑनलाइन पेमेंट</v>
      </c>
      <c r="J676" s="2" t="str">
        <f>IFERROR(__xludf.DUMMYFUNCTION("""COMPUTED_VALUE"""),"ഓരോ ഓർഡർ മാനേജുമെന്റിനും")</f>
        <v>ഓരോ ഓർഡർ മാനേജുമെന്റിനും</v>
      </c>
      <c r="K676" s="2" t="str">
        <f>IFERROR(__xludf.DUMMYFUNCTION("""COMPUTED_VALUE"""),"ਪ੍ਰਤੀ ਆਰਡਰ ਪ੍ਰਬੰਧਨ")</f>
        <v>ਪ੍ਰਤੀ ਆਰਡਰ ਪ੍ਰਬੰਧਨ</v>
      </c>
      <c r="L676" s="2" t="str">
        <f>IFERROR(__xludf.DUMMYFUNCTION("""COMPUTED_VALUE"""),"ஒரு ஆர்டர் மேலாண்மை")</f>
        <v>ஒரு ஆர்டர் மேலாண்மை</v>
      </c>
      <c r="M676" s="2" t="str">
        <f>IFERROR(__xludf.DUMMYFUNCTION("""COMPUTED_VALUE"""),"ప్రతి ఆర్డర్ నిర్వహణకు")</f>
        <v>ప్రతి ఆర్డర్ నిర్వహణకు</v>
      </c>
    </row>
    <row r="677">
      <c r="A677" s="2" t="str">
        <f>Master_en!A677</f>
        <v>Managecustomers </v>
      </c>
      <c r="B677" s="2" t="str">
        <f>Master_en!B677</f>
        <v>Manage Customers </v>
      </c>
      <c r="C677" s="2" t="str">
        <f>IFERROR(__xludf.DUMMYFUNCTION("""COMPUTED_VALUE"""),"গ্রাহকদের পরিচালনা করুন")</f>
        <v>গ্রাহকদের পরিচালনা করুন</v>
      </c>
      <c r="D677" s="2" t="str">
        <f>IFERROR(__xludf.DUMMYFUNCTION("""COMPUTED_VALUE"""),"कैटलॉग प्रबंधन")</f>
        <v>कैटलॉग प्रबंधन</v>
      </c>
      <c r="E677" s="2" t="str">
        <f>IFERROR(__xludf.DUMMYFUNCTION("""COMPUTED_VALUE"""),"ಗ್ರಾಹಕರನ್ನು ನಿರ್ವಹಿಸಿ")</f>
        <v>ಗ್ರಾಹಕರನ್ನು ನಿರ್ವಹಿಸಿ</v>
      </c>
      <c r="F677" s="2" t="str">
        <f>IFERROR(__xludf.DUMMYFUNCTION("""COMPUTED_VALUE"""),"ଗ୍ରାହକମାନଙ୍କୁ ପରିଚାଳନା କରନ୍ତୁ |")</f>
        <v>ଗ୍ରାହକମାନଙ୍କୁ ପରିଚାଳନା କରନ୍ତୁ |</v>
      </c>
      <c r="G677" s="2" t="str">
        <f>IFERROR(__xludf.DUMMYFUNCTION("""COMPUTED_VALUE"""),"গ্ৰাহক পৰিচালনা কৰক")</f>
        <v>গ্ৰাহক পৰিচালনা কৰক</v>
      </c>
      <c r="H677" s="2" t="str">
        <f>IFERROR(__xludf.DUMMYFUNCTION("""COMPUTED_VALUE"""),"ગ્રાહકોનું સંચાલન કરો")</f>
        <v>ગ્રાહકોનું સંચાલન કરો</v>
      </c>
      <c r="I677" s="2" t="str">
        <f>IFERROR(__xludf.DUMMYFUNCTION("""COMPUTED_VALUE"""),"कॅटलॉग पेमेंट")</f>
        <v>कॅटलॉग पेमेंट</v>
      </c>
      <c r="J677" s="2" t="str">
        <f>IFERROR(__xludf.DUMMYFUNCTION("""COMPUTED_VALUE"""),"ഉപഭോക്താക്കളെ നിയന്ത്രിക്കുക")</f>
        <v>ഉപഭോക്താക്കളെ നിയന്ത്രിക്കുക</v>
      </c>
      <c r="K677" s="2" t="str">
        <f>IFERROR(__xludf.DUMMYFUNCTION("""COMPUTED_VALUE"""),"ਗਾਹਕਾਂ ਦਾ ਪ੍ਰਬੰਧਨ ਕਰੋ")</f>
        <v>ਗਾਹਕਾਂ ਦਾ ਪ੍ਰਬੰਧਨ ਕਰੋ</v>
      </c>
      <c r="L677" s="2" t="str">
        <f>IFERROR(__xludf.DUMMYFUNCTION("""COMPUTED_VALUE"""),"வாடிக்கையாளர்களை நிர்வகிக்கவும்")</f>
        <v>வாடிக்கையாளர்களை நிர்வகிக்கவும்</v>
      </c>
      <c r="M677" s="2" t="str">
        <f>IFERROR(__xludf.DUMMYFUNCTION("""COMPUTED_VALUE"""),"సొంత పంపిణీ ")</f>
        <v>సొంత పంపిణీ </v>
      </c>
    </row>
    <row r="678">
      <c r="A678" s="2" t="str">
        <f>Master_en!A678</f>
        <v>BuyNow </v>
      </c>
      <c r="B678" s="2" t="str">
        <f>Master_en!B678</f>
        <v>Buy Now </v>
      </c>
      <c r="C678" s="2" t="str">
        <f>IFERROR(__xludf.DUMMYFUNCTION("""COMPUTED_VALUE"""),"এখন কেন")</f>
        <v>এখন কেন</v>
      </c>
      <c r="D678" s="2" t="str">
        <f>IFERROR(__xludf.DUMMYFUNCTION("""COMPUTED_VALUE"""),"अभी खरीदें")</f>
        <v>अभी खरीदें</v>
      </c>
      <c r="E678" s="2" t="str">
        <f>IFERROR(__xludf.DUMMYFUNCTION("""COMPUTED_VALUE"""),"ಈಗ ಖರೀದಿಸು")</f>
        <v>ಈಗ ಖರೀದಿಸು</v>
      </c>
      <c r="F678" s="2" t="str">
        <f>IFERROR(__xludf.DUMMYFUNCTION("""COMPUTED_VALUE"""),"ବର୍ତ୍ତମାନ କିଣ |")</f>
        <v>ବର୍ତ୍ତମାନ କିଣ |</v>
      </c>
      <c r="G678" s="2" t="str">
        <f>IFERROR(__xludf.DUMMYFUNCTION("""COMPUTED_VALUE"""),"এতিয়াই কিনি লওক")</f>
        <v>এতিয়াই কিনি লওক</v>
      </c>
      <c r="H678" s="2" t="str">
        <f>IFERROR(__xludf.DUMMYFUNCTION("""COMPUTED_VALUE"""),"હમણાં જ ખરીદો")</f>
        <v>હમણાં જ ખરીદો</v>
      </c>
      <c r="I678" s="2" t="str">
        <f>IFERROR(__xludf.DUMMYFUNCTION("""COMPUTED_VALUE"""),"पूर्व ऑर्डर व्यवस्थापन")</f>
        <v>पूर्व ऑर्डर व्यवस्थापन</v>
      </c>
      <c r="J678" s="2" t="str">
        <f>IFERROR(__xludf.DUMMYFUNCTION("""COMPUTED_VALUE"""),"ഇപ്പോൾ വാങ്ങുക")</f>
        <v>ഇപ്പോൾ വാങ്ങുക</v>
      </c>
      <c r="K678" s="2" t="str">
        <f>IFERROR(__xludf.DUMMYFUNCTION("""COMPUTED_VALUE"""),"ਹੁਣੇ ਖਰੀਦੋ")</f>
        <v>ਹੁਣੇ ਖਰੀਦੋ</v>
      </c>
      <c r="L678" s="2" t="str">
        <f>IFERROR(__xludf.DUMMYFUNCTION("""COMPUTED_VALUE"""),"இப்போது வாங்க")</f>
        <v>இப்போது வாங்க</v>
      </c>
      <c r="M678" s="2" t="str">
        <f>IFERROR(__xludf.DUMMYFUNCTION("""COMPUTED_VALUE"""),"ఇప్పుడే కొనండి")</f>
        <v>ఇప్పుడే కొనండి</v>
      </c>
    </row>
    <row r="679">
      <c r="A679" s="2" t="str">
        <f>Master_en!A679</f>
        <v>selectstate </v>
      </c>
      <c r="B679" s="2" t="str">
        <f>Master_en!B679</f>
        <v>Select State</v>
      </c>
      <c r="C679" s="2" t="str">
        <f>IFERROR(__xludf.DUMMYFUNCTION("""COMPUTED_VALUE"""),"রাজ্য নির্বাচন কর")</f>
        <v>রাজ্য নির্বাচন কর</v>
      </c>
      <c r="D679" s="2" t="str">
        <f>IFERROR(__xludf.DUMMYFUNCTION("""COMPUTED_VALUE"""),"राज्य चुनें")</f>
        <v>राज्य चुनें</v>
      </c>
      <c r="E679" s="2" t="str">
        <f>IFERROR(__xludf.DUMMYFUNCTION("""COMPUTED_VALUE"""),"ರಾಜ್ಯವನ್ನು ಆರಿಸಿ")</f>
        <v>ರಾಜ್ಯವನ್ನು ಆರಿಸಿ</v>
      </c>
      <c r="F679" s="2" t="str">
        <f>IFERROR(__xludf.DUMMYFUNCTION("""COMPUTED_VALUE"""),"ରାଜ୍ୟ ଚୟନ କରନ୍ତୁ |")</f>
        <v>ରାଜ୍ୟ ଚୟନ କରନ୍ତୁ |</v>
      </c>
      <c r="G679" s="2" t="str">
        <f>IFERROR(__xludf.DUMMYFUNCTION("""COMPUTED_VALUE"""),"ৰাজ্য নিৰ্ব্বাচন কৰক")</f>
        <v>ৰাজ্য নিৰ্ব্বাচন কৰক</v>
      </c>
      <c r="H679" s="2" t="str">
        <f>IFERROR(__xludf.DUMMYFUNCTION("""COMPUTED_VALUE"""),"રાજ્ય પસંદ કરો")</f>
        <v>રાજ્ય પસંદ કરો</v>
      </c>
      <c r="I679" s="2" t="str">
        <f>IFERROR(__xludf.DUMMYFUNCTION("""COMPUTED_VALUE"""),"राज्य निवडा")</f>
        <v>राज्य निवडा</v>
      </c>
      <c r="J679" s="2" t="str">
        <f>IFERROR(__xludf.DUMMYFUNCTION("""COMPUTED_VALUE"""),"സംസ്ഥാനം തിരഞ്ഞെടുക്കുക")</f>
        <v>സംസ്ഥാനം തിരഞ്ഞെടുക്കുക</v>
      </c>
      <c r="K679" s="2" t="str">
        <f>IFERROR(__xludf.DUMMYFUNCTION("""COMPUTED_VALUE"""),"ਰਾਜ ਦੀ ਚੋਣ ਕਰੋ")</f>
        <v>ਰਾਜ ਦੀ ਚੋਣ ਕਰੋ</v>
      </c>
      <c r="L679" s="2" t="str">
        <f>IFERROR(__xludf.DUMMYFUNCTION("""COMPUTED_VALUE"""),"மாநிலத்தைத் தேர்ந்தெடுக்கவும்")</f>
        <v>மாநிலத்தைத் தேர்ந்தெடுக்கவும்</v>
      </c>
      <c r="M679" s="2" t="str">
        <f>IFERROR(__xludf.DUMMYFUNCTION("""COMPUTED_VALUE"""),"రాష్ట్రాన్ని ఎంచుకోండి")</f>
        <v>రాష్ట్రాన్ని ఎంచుకోండి</v>
      </c>
    </row>
    <row r="680">
      <c r="A680" s="2" t="str">
        <f>Master_en!A680</f>
        <v>Close </v>
      </c>
      <c r="B680" s="2" t="str">
        <f>Master_en!B680</f>
        <v>Close </v>
      </c>
      <c r="C680" s="2" t="str">
        <f>IFERROR(__xludf.DUMMYFUNCTION("""COMPUTED_VALUE"""),"বন্ধ")</f>
        <v>বন্ধ</v>
      </c>
      <c r="D680" s="2" t="str">
        <f>IFERROR(__xludf.DUMMYFUNCTION("""COMPUTED_VALUE"""),"बंद करना")</f>
        <v>बंद करना</v>
      </c>
      <c r="E680" s="2" t="str">
        <f>IFERROR(__xludf.DUMMYFUNCTION("""COMPUTED_VALUE"""),"ಮುಚ್ಚಿಡು")</f>
        <v>ಮುಚ್ಚಿಡು</v>
      </c>
      <c r="F680" s="2" t="str">
        <f>IFERROR(__xludf.DUMMYFUNCTION("""COMPUTED_VALUE"""),"ବନ୍ଦ")</f>
        <v>ବନ୍ଦ</v>
      </c>
      <c r="G680" s="2" t="str">
        <f>IFERROR(__xludf.DUMMYFUNCTION("""COMPUTED_VALUE"""),"বন্ধ")</f>
        <v>বন্ধ</v>
      </c>
      <c r="H680" s="2" t="str">
        <f>IFERROR(__xludf.DUMMYFUNCTION("""COMPUTED_VALUE"""),"બંધ")</f>
        <v>બંધ</v>
      </c>
      <c r="I680" s="2" t="str">
        <f>IFERROR(__xludf.DUMMYFUNCTION("""COMPUTED_VALUE"""),"बंद")</f>
        <v>बंद</v>
      </c>
      <c r="J680" s="2" t="str">
        <f>IFERROR(__xludf.DUMMYFUNCTION("""COMPUTED_VALUE"""),"അടയ്ക്കുക")</f>
        <v>അടയ്ക്കുക</v>
      </c>
      <c r="K680" s="2" t="str">
        <f>IFERROR(__xludf.DUMMYFUNCTION("""COMPUTED_VALUE"""),"ਨੇੜੇ")</f>
        <v>ਨੇੜੇ</v>
      </c>
      <c r="L680" s="2" t="str">
        <f>IFERROR(__xludf.DUMMYFUNCTION("""COMPUTED_VALUE"""),"நெருக்கமான")</f>
        <v>நெருக்கமான</v>
      </c>
      <c r="M680" s="2" t="str">
        <f>IFERROR(__xludf.DUMMYFUNCTION("""COMPUTED_VALUE"""),"దగ్గరగా")</f>
        <v>దగ్గరగా</v>
      </c>
    </row>
    <row r="681">
      <c r="A681" s="2" t="str">
        <f>Master_en!A681</f>
        <v>Open</v>
      </c>
      <c r="B681" s="2" t="str">
        <f>Master_en!B681</f>
        <v>Open</v>
      </c>
      <c r="C681" s="2" t="str">
        <f>IFERROR(__xludf.DUMMYFUNCTION("""COMPUTED_VALUE"""),"খোলা")</f>
        <v>খোলা</v>
      </c>
      <c r="D681" s="2" t="str">
        <f>IFERROR(__xludf.DUMMYFUNCTION("""COMPUTED_VALUE"""),"खुला")</f>
        <v>खुला</v>
      </c>
      <c r="E681" s="2" t="str">
        <f>IFERROR(__xludf.DUMMYFUNCTION("""COMPUTED_VALUE"""),"ತೆರೆ")</f>
        <v>ತೆರೆ</v>
      </c>
      <c r="F681" s="2" t="str">
        <f>IFERROR(__xludf.DUMMYFUNCTION("""COMPUTED_VALUE"""),"ଖୋଲ |")</f>
        <v>ଖୋଲ |</v>
      </c>
      <c r="G681" s="2" t="str">
        <f>IFERROR(__xludf.DUMMYFUNCTION("""COMPUTED_VALUE"""),"খোলা")</f>
        <v>খোলা</v>
      </c>
      <c r="H681" s="2" t="str">
        <f>IFERROR(__xludf.DUMMYFUNCTION("""COMPUTED_VALUE"""),"ખુલ્લા")</f>
        <v>ખુલ્લા</v>
      </c>
      <c r="I681" s="2" t="str">
        <f>IFERROR(__xludf.DUMMYFUNCTION("""COMPUTED_VALUE"""),"उघडा")</f>
        <v>उघडा</v>
      </c>
      <c r="J681" s="2" t="str">
        <f>IFERROR(__xludf.DUMMYFUNCTION("""COMPUTED_VALUE"""),"തുറക്കുക")</f>
        <v>തുറക്കുക</v>
      </c>
      <c r="K681" s="2" t="str">
        <f>IFERROR(__xludf.DUMMYFUNCTION("""COMPUTED_VALUE"""),"ਖੁੱਲਾ")</f>
        <v>ਖੁੱਲਾ</v>
      </c>
      <c r="L681" s="2" t="str">
        <f>IFERROR(__xludf.DUMMYFUNCTION("""COMPUTED_VALUE"""),"திறந்த")</f>
        <v>திறந்த</v>
      </c>
      <c r="M681" s="2" t="str">
        <f>IFERROR(__xludf.DUMMYFUNCTION("""COMPUTED_VALUE"""),"ఓపెన్")</f>
        <v>ఓపెన్</v>
      </c>
    </row>
    <row r="682">
      <c r="A682" s="2" t="str">
        <f>Master_en!A682</f>
        <v>ReferandEarn</v>
      </c>
      <c r="B682" s="2" t="str">
        <f>Master_en!B682</f>
        <v>Refer and Earn</v>
      </c>
      <c r="C682" s="2" t="str">
        <f>IFERROR(__xludf.DUMMYFUNCTION("""COMPUTED_VALUE"""),"উল্লেখ করুন এবং উপার্জন করুন")</f>
        <v>উল্লেখ করুন এবং উপার্জন করুন</v>
      </c>
      <c r="D682" s="2" t="str">
        <f>IFERROR(__xludf.DUMMYFUNCTION("""COMPUTED_VALUE"""),"देखें और अर्जित करना")</f>
        <v>देखें और अर्जित करना</v>
      </c>
      <c r="E682" s="2" t="str">
        <f>IFERROR(__xludf.DUMMYFUNCTION("""COMPUTED_VALUE"""),"ಉಲ್ಲೇಖಿಸಿ ಮತ್ತು ಸಂಪಾದಿಸಿ")</f>
        <v>ಉಲ್ಲೇಖಿಸಿ ಮತ್ತು ಸಂಪಾದಿಸಿ</v>
      </c>
      <c r="F682" s="2" t="str">
        <f>IFERROR(__xludf.DUMMYFUNCTION("""COMPUTED_VALUE"""),"ରେଫର୍ ଏବଂ ରୋଜଗାର କର |")</f>
        <v>ରେଫର୍ ଏବଂ ରୋଜଗାର କର |</v>
      </c>
      <c r="G682" s="2" t="str">
        <f>IFERROR(__xludf.DUMMYFUNCTION("""COMPUTED_VALUE"""),"ৰেফাৰ কৰক আৰু উপাৰ্জন কৰক")</f>
        <v>ৰেফাৰ কৰক আৰু উপাৰ্জন কৰক</v>
      </c>
      <c r="H682" s="2" t="str">
        <f>IFERROR(__xludf.DUMMYFUNCTION("""COMPUTED_VALUE"""),"સંદર્ભ લો")</f>
        <v>સંદર્ભ લો</v>
      </c>
      <c r="I682" s="2" t="str">
        <f>IFERROR(__xludf.DUMMYFUNCTION("""COMPUTED_VALUE"""),"पहा आणि कमवा")</f>
        <v>पहा आणि कमवा</v>
      </c>
      <c r="J682" s="2" t="str">
        <f>IFERROR(__xludf.DUMMYFUNCTION("""COMPUTED_VALUE"""),"റഫർ ചെയ്ത് നേടുക")</f>
        <v>റഫർ ചെയ്ത് നേടുക</v>
      </c>
      <c r="K682" s="2" t="str">
        <f>IFERROR(__xludf.DUMMYFUNCTION("""COMPUTED_VALUE"""),"ਵੇਖੋ ਅਤੇ ਕਮਾਓ")</f>
        <v>ਵੇਖੋ ਅਤੇ ਕਮਾਓ</v>
      </c>
      <c r="L682" s="2" t="str">
        <f>IFERROR(__xludf.DUMMYFUNCTION("""COMPUTED_VALUE"""),"பார்க்கவும் சம்பாதிக்கவும்")</f>
        <v>பார்க்கவும் சம்பாதிக்கவும்</v>
      </c>
      <c r="M682" s="2" t="str">
        <f>IFERROR(__xludf.DUMMYFUNCTION("""COMPUTED_VALUE"""),"చూడండి మరియు సంపాదించండి")</f>
        <v>చూడండి మరియు సంపాదించండి</v>
      </c>
    </row>
    <row r="683">
      <c r="A683" s="2" t="str">
        <f>Master_en!A683</f>
        <v>Shoppicture</v>
      </c>
      <c r="B683" s="2" t="str">
        <f>Master_en!B683</f>
        <v>Shop Picture</v>
      </c>
      <c r="C683" s="2" t="str">
        <f>IFERROR(__xludf.DUMMYFUNCTION("""COMPUTED_VALUE"""),"দোকান ছবি")</f>
        <v>দোকান ছবি</v>
      </c>
      <c r="D683" s="2" t="str">
        <f>IFERROR(__xludf.DUMMYFUNCTION("""COMPUTED_VALUE"""),"दुकान की तस्वीर")</f>
        <v>दुकान की तस्वीर</v>
      </c>
      <c r="E683" s="2" t="str">
        <f>IFERROR(__xludf.DUMMYFUNCTION("""COMPUTED_VALUE"""),"ಅಂಗಡಿ ಚಿತ್ರ")</f>
        <v>ಅಂಗಡಿ ಚಿತ್ರ</v>
      </c>
      <c r="F683" s="2" t="str">
        <f>IFERROR(__xludf.DUMMYFUNCTION("""COMPUTED_VALUE"""),"ଦୋକାନ ଚିତ୍ର")</f>
        <v>ଦୋକାନ ଚିତ୍ର</v>
      </c>
      <c r="G683" s="2" t="str">
        <f>IFERROR(__xludf.DUMMYFUNCTION("""COMPUTED_VALUE"""),"দোকানৰ ছবি")</f>
        <v>দোকানৰ ছবি</v>
      </c>
      <c r="H683" s="2" t="str">
        <f>IFERROR(__xludf.DUMMYFUNCTION("""COMPUTED_VALUE"""),"દુકાનની તસવીર")</f>
        <v>દુકાનની તસવીર</v>
      </c>
      <c r="I683" s="2" t="str">
        <f>IFERROR(__xludf.DUMMYFUNCTION("""COMPUTED_VALUE"""),"उघडे")</f>
        <v>उघडे</v>
      </c>
      <c r="J683" s="2" t="str">
        <f>IFERROR(__xludf.DUMMYFUNCTION("""COMPUTED_VALUE"""),"ഷോപ്പ് ചിത്രം")</f>
        <v>ഷോപ്പ് ചിത്രം</v>
      </c>
      <c r="K683" s="2" t="str">
        <f>IFERROR(__xludf.DUMMYFUNCTION("""COMPUTED_VALUE"""),"ਦੁਕਾਨ ਤਸਵੀਰ")</f>
        <v>ਦੁਕਾਨ ਤਸਵੀਰ</v>
      </c>
      <c r="L683" s="2" t="str">
        <f>IFERROR(__xludf.DUMMYFUNCTION("""COMPUTED_VALUE"""),"கடை படம்")</f>
        <v>கடை படம்</v>
      </c>
      <c r="M683" s="2" t="str">
        <f>IFERROR(__xludf.DUMMYFUNCTION("""COMPUTED_VALUE"""),"తెరవండి")</f>
        <v>తెరవండి</v>
      </c>
    </row>
    <row r="684">
      <c r="A684" s="2" t="str">
        <f>Master_en!A684</f>
        <v>Edit</v>
      </c>
      <c r="B684" s="2" t="str">
        <f>Master_en!B684</f>
        <v>Edit</v>
      </c>
      <c r="C684" s="2" t="str">
        <f>IFERROR(__xludf.DUMMYFUNCTION("""COMPUTED_VALUE"""),"সম্পাদনা")</f>
        <v>সম্পাদনা</v>
      </c>
      <c r="D684" s="2" t="str">
        <f>IFERROR(__xludf.DUMMYFUNCTION("""COMPUTED_VALUE"""),"संपादन करना")</f>
        <v>संपादन करना</v>
      </c>
      <c r="E684" s="2" t="str">
        <f>IFERROR(__xludf.DUMMYFUNCTION("""COMPUTED_VALUE"""),"ತಿದ್ದು")</f>
        <v>ತಿದ್ದು</v>
      </c>
      <c r="F684" s="2" t="str">
        <f>IFERROR(__xludf.DUMMYFUNCTION("""COMPUTED_VALUE"""),"ସଂପାଦନ କରନ୍ତୁ |")</f>
        <v>ସଂପାଦନ କରନ୍ତୁ |</v>
      </c>
      <c r="G684" s="2" t="str">
        <f>IFERROR(__xludf.DUMMYFUNCTION("""COMPUTED_VALUE"""),"সম্পাদনা কৰক")</f>
        <v>সম্পাদনা কৰক</v>
      </c>
      <c r="H684" s="2" t="str">
        <f>IFERROR(__xludf.DUMMYFUNCTION("""COMPUTED_VALUE"""),"સંપાદન કરવું")</f>
        <v>સંપાદન કરવું</v>
      </c>
      <c r="I684" s="2" t="str">
        <f>IFERROR(__xludf.DUMMYFUNCTION("""COMPUTED_VALUE"""),"संदर्भ घ्या आणि कमवा")</f>
        <v>संदर्भ घ्या आणि कमवा</v>
      </c>
      <c r="J684" s="2" t="str">
        <f>IFERROR(__xludf.DUMMYFUNCTION("""COMPUTED_VALUE"""),"തിരുത്തുക")</f>
        <v>തിരുത്തുക</v>
      </c>
      <c r="K684" s="2" t="str">
        <f>IFERROR(__xludf.DUMMYFUNCTION("""COMPUTED_VALUE"""),"ਸੋਧ")</f>
        <v>ਸੋਧ</v>
      </c>
      <c r="L684" s="2" t="str">
        <f>IFERROR(__xludf.DUMMYFUNCTION("""COMPUTED_VALUE"""),"திருத்துதல்")</f>
        <v>திருத்துதல்</v>
      </c>
      <c r="M684" s="2" t="str">
        <f>IFERROR(__xludf.DUMMYFUNCTION("""COMPUTED_VALUE"""),"సవరణ")</f>
        <v>సవరణ</v>
      </c>
    </row>
    <row r="685">
      <c r="A685" s="2" t="str">
        <f>Master_en!A685</f>
        <v>Wallet</v>
      </c>
      <c r="B685" s="2" t="str">
        <f>Master_en!B685</f>
        <v>Wallet</v>
      </c>
      <c r="C685" s="2" t="str">
        <f>IFERROR(__xludf.DUMMYFUNCTION("""COMPUTED_VALUE"""),"ওয়ালেট")</f>
        <v>ওয়ালেট</v>
      </c>
      <c r="D685" s="2" t="str">
        <f>IFERROR(__xludf.DUMMYFUNCTION("""COMPUTED_VALUE"""),"बटुआ")</f>
        <v>बटुआ</v>
      </c>
      <c r="E685" s="2" t="str">
        <f>IFERROR(__xludf.DUMMYFUNCTION("""COMPUTED_VALUE"""),"ಕಲೆ")</f>
        <v>ಕಲೆ</v>
      </c>
      <c r="F685" s="2" t="str">
        <f>IFERROR(__xludf.DUMMYFUNCTION("""COMPUTED_VALUE"""),"ୱାଲେଟ୍")</f>
        <v>ୱାଲେଟ୍</v>
      </c>
      <c r="G685" s="2" t="str">
        <f>IFERROR(__xludf.DUMMYFUNCTION("""COMPUTED_VALUE"""),"ধনৰ মোনা")</f>
        <v>ধনৰ মোনা</v>
      </c>
      <c r="H685" s="2" t="str">
        <f>IFERROR(__xludf.DUMMYFUNCTION("""COMPUTED_VALUE"""),"વૉલેટ")</f>
        <v>વૉલેટ</v>
      </c>
      <c r="I685" s="2" t="str">
        <f>IFERROR(__xludf.DUMMYFUNCTION("""COMPUTED_VALUE"""),"दुकानाचे चित्र")</f>
        <v>दुकानाचे चित्र</v>
      </c>
      <c r="J685" s="2" t="str">
        <f>IFERROR(__xludf.DUMMYFUNCTION("""COMPUTED_VALUE"""),"ഭാണ്ഡം")</f>
        <v>ഭാണ്ഡം</v>
      </c>
      <c r="K685" s="2" t="str">
        <f>IFERROR(__xludf.DUMMYFUNCTION("""COMPUTED_VALUE"""),"ਬਟੂਆ")</f>
        <v>ਬਟੂਆ</v>
      </c>
      <c r="L685" s="2" t="str">
        <f>IFERROR(__xludf.DUMMYFUNCTION("""COMPUTED_VALUE"""),"பணப்பையை")</f>
        <v>பணப்பையை</v>
      </c>
      <c r="M685" s="2" t="str">
        <f>IFERROR(__xludf.DUMMYFUNCTION("""COMPUTED_VALUE"""),"తెరవండి")</f>
        <v>తెరవండి</v>
      </c>
    </row>
    <row r="686">
      <c r="A686" s="2" t="str">
        <f>Master_en!A686</f>
        <v>DeliveryOrderDetails</v>
      </c>
      <c r="B686" s="2" t="str">
        <f>Master_en!B686</f>
        <v>Delivery Order Details</v>
      </c>
      <c r="C686" s="2" t="str">
        <f>IFERROR(__xludf.DUMMYFUNCTION("""COMPUTED_VALUE"""),"বিতরণ আদেশের বিশদ")</f>
        <v>বিতরণ আদেশের বিশদ</v>
      </c>
      <c r="D686" s="2" t="str">
        <f>IFERROR(__xludf.DUMMYFUNCTION("""COMPUTED_VALUE"""),"संपादन करना")</f>
        <v>संपादन करना</v>
      </c>
      <c r="E686" s="2" t="str">
        <f>IFERROR(__xludf.DUMMYFUNCTION("""COMPUTED_VALUE"""),"ವಿತರಣಾ ಆದೇಶದ ವಿವರಗಳು")</f>
        <v>ವಿತರಣಾ ಆದೇಶದ ವಿವರಗಳು</v>
      </c>
      <c r="F686" s="2" t="str">
        <f>IFERROR(__xludf.DUMMYFUNCTION("""COMPUTED_VALUE"""),"ବିତରଣ ଅର୍ଡର ବିବରଣୀ |")</f>
        <v>ବିତରଣ ଅର୍ଡର ବିବରଣୀ |</v>
      </c>
      <c r="G686" s="2" t="str">
        <f>IFERROR(__xludf.DUMMYFUNCTION("""COMPUTED_VALUE"""),"ডেলিভাৰী অৰ্ডাৰৰ বিৱৰণ")</f>
        <v>ডেলিভাৰী অৰ্ডাৰৰ বিৱৰণ</v>
      </c>
      <c r="H686" s="2" t="str">
        <f>IFERROR(__xludf.DUMMYFUNCTION("""COMPUTED_VALUE"""),"ડિલિવરી ઓર્ડર વિગતો")</f>
        <v>ડિલિવરી ઓર્ડર વિગતો</v>
      </c>
      <c r="I686" s="2" t="str">
        <f>IFERROR(__xludf.DUMMYFUNCTION("""COMPUTED_VALUE"""),"सुधारणे")</f>
        <v>सुधारणे</v>
      </c>
      <c r="J686" s="2" t="str">
        <f>IFERROR(__xludf.DUMMYFUNCTION("""COMPUTED_VALUE"""),"ഡെലിവറി ഓർഡർ വിശദാംശങ്ങൾ")</f>
        <v>ഡെലിവറി ഓർഡർ വിശദാംശങ്ങൾ</v>
      </c>
      <c r="K686" s="2" t="str">
        <f>IFERROR(__xludf.DUMMYFUNCTION("""COMPUTED_VALUE"""),"ਡਿਲਿਵਰੀ ਆਰਡਰ ਦੇ ਵੇਰਵੇ")</f>
        <v>ਡਿਲਿਵਰੀ ਆਰਡਰ ਦੇ ਵੇਰਵੇ</v>
      </c>
      <c r="L686" s="2" t="str">
        <f>IFERROR(__xludf.DUMMYFUNCTION("""COMPUTED_VALUE"""),"பரிந்துரை  மற்றும் சம்பாதிக்கவும்")</f>
        <v>பரிந்துரை  மற்றும் சம்பாதிக்கவும்</v>
      </c>
      <c r="M686" s="2" t="str">
        <f>IFERROR(__xludf.DUMMYFUNCTION("""COMPUTED_VALUE"""),"సూచించండి మరియు సంపాదించండి")</f>
        <v>సూచించండి మరియు సంపాదించండి</v>
      </c>
    </row>
    <row r="687">
      <c r="A687" s="2" t="str">
        <f>Master_en!A687</f>
        <v>MyRewards </v>
      </c>
      <c r="B687" s="2" t="str">
        <f>Master_en!B687</f>
        <v>My Rewards </v>
      </c>
      <c r="C687" s="2" t="str">
        <f>IFERROR(__xludf.DUMMYFUNCTION("""COMPUTED_VALUE"""),"আমার পুরষ্কার")</f>
        <v>আমার পুরষ্কার</v>
      </c>
      <c r="D687" s="2" t="str">
        <f>IFERROR(__xludf.DUMMYFUNCTION("""COMPUTED_VALUE"""),"मेरे पुरस्कार")</f>
        <v>मेरे पुरस्कार</v>
      </c>
      <c r="E687" s="2" t="str">
        <f>IFERROR(__xludf.DUMMYFUNCTION("""COMPUTED_VALUE"""),"ನನ್ನ ಬಹುಮಾನಗಳು
")</f>
        <v>ನನ್ನ ಬಹುಮಾನಗಳು
</v>
      </c>
      <c r="F687" s="2" t="str">
        <f>IFERROR(__xludf.DUMMYFUNCTION("""COMPUTED_VALUE"""),"ମୋର ପୁରସ୍କାର")</f>
        <v>ମୋର ପୁରସ୍କାର</v>
      </c>
      <c r="G687" s="2" t="str">
        <f>IFERROR(__xludf.DUMMYFUNCTION("""COMPUTED_VALUE"""),"মোৰ পুৰস্কাৰ")</f>
        <v>মোৰ পুৰস্কাৰ</v>
      </c>
      <c r="H687" s="2" t="str">
        <f>IFERROR(__xludf.DUMMYFUNCTION("""COMPUTED_VALUE"""),"મારા પુરસ્કારો")</f>
        <v>મારા પુરસ્કારો</v>
      </c>
      <c r="I687" s="2" t="str">
        <f>IFERROR(__xludf.DUMMYFUNCTION("""COMPUTED_VALUE"""),"माझे पाकीट")</f>
        <v>माझे पाकीट</v>
      </c>
      <c r="J687" s="2" t="str">
        <f>IFERROR(__xludf.DUMMYFUNCTION("""COMPUTED_VALUE"""),"എന്റെ പ്രതിഫലം")</f>
        <v>എന്റെ പ്രതിഫലം</v>
      </c>
      <c r="K687" s="2" t="str">
        <f>IFERROR(__xludf.DUMMYFUNCTION("""COMPUTED_VALUE"""),"ਮੇਰੇ ਇਨਾਮ")</f>
        <v>ਮੇਰੇ ਇਨਾਮ</v>
      </c>
      <c r="L687" s="2" t="str">
        <f>IFERROR(__xludf.DUMMYFUNCTION("""COMPUTED_VALUE"""),"என் வெகுமதிகள்")</f>
        <v>என் வெகுமதிகள்</v>
      </c>
      <c r="M687" s="2" t="str">
        <f>IFERROR(__xludf.DUMMYFUNCTION("""COMPUTED_VALUE"""),"దుకాణము చిత్రం")</f>
        <v>దుకాణము చిత్రం</v>
      </c>
    </row>
    <row r="688">
      <c r="A688" s="2" t="str">
        <f>Master_en!A688</f>
        <v>Invitepeoplefromyournetworkandlearncashrewards</v>
      </c>
      <c r="B688" s="2" t="str">
        <f>Master_en!B688</f>
        <v>Invite people and earn cash rewards</v>
      </c>
      <c r="C688" s="2" t="str">
        <f>IFERROR(__xludf.DUMMYFUNCTION("""COMPUTED_VALUE"""),"মানুষকে আমন্ত্রণ জানান এবং নগদ পুরষ্কার অর্জন করুন")</f>
        <v>মানুষকে আমন্ত্রণ জানান এবং নগদ পুরষ্কার অর্জন করুন</v>
      </c>
      <c r="D688" s="2" t="str">
        <f>IFERROR(__xludf.DUMMYFUNCTION("""COMPUTED_VALUE"""),"लोगों को आमंत्रित करें और नकद पुरस्कार अर्जित करें")</f>
        <v>लोगों को आमंत्रित करें और नकद पुरस्कार अर्जित करें</v>
      </c>
      <c r="E688" s="2" t="str">
        <f>IFERROR(__xludf.DUMMYFUNCTION("""COMPUTED_VALUE"""),"ಜನರನ್ನು ಆಹ್ವಾನಿಸಿ ಮತ್ತು ನಗದು ಪ್ರತಿಫಲವನ್ನು ಗಳಿಸಿ")</f>
        <v>ಜನರನ್ನು ಆಹ್ವಾನಿಸಿ ಮತ್ತು ನಗದು ಪ್ರತಿಫಲವನ್ನು ಗಳಿಸಿ</v>
      </c>
      <c r="F688" s="2" t="str">
        <f>IFERROR(__xludf.DUMMYFUNCTION("""COMPUTED_VALUE"""),"ଲୋକଙ୍କୁ ନିମନ୍ତ୍ରଣ କର ଏବଂ ନଗଦ ପୁରସ୍କାର ରୋଜଗାର କର |")</f>
        <v>ଲୋକଙ୍କୁ ନିମନ୍ତ୍ରଣ କର ଏବଂ ନଗଦ ପୁରସ୍କାର ରୋଜଗାର କର |</v>
      </c>
      <c r="G688" s="2" t="str">
        <f>IFERROR(__xludf.DUMMYFUNCTION("""COMPUTED_VALUE"""),"মানুহক নিমন্ত্ৰণ কৰি নগদ পুৰস্কাৰ লাভ কৰক")</f>
        <v>মানুহক নিমন্ত্ৰণ কৰি নগদ পুৰস্কাৰ লাভ কৰক</v>
      </c>
      <c r="H688" s="2" t="str">
        <f>IFERROR(__xludf.DUMMYFUNCTION("""COMPUTED_VALUE"""),"લોકોને આમંત્રણ આપો અને રોકડ પુરસ્કારો કમાવો")</f>
        <v>લોકોને આમંત્રણ આપો અને રોકડ પુરસ્કારો કમાવો</v>
      </c>
      <c r="I688" s="2" t="str">
        <f>IFERROR(__xludf.DUMMYFUNCTION("""COMPUTED_VALUE"""),"लोकांना आमंत्रित करा आणि रोख बक्षीस मिळवा")</f>
        <v>लोकांना आमंत्रित करा आणि रोख बक्षीस मिळवा</v>
      </c>
      <c r="J688" s="2" t="str">
        <f>IFERROR(__xludf.DUMMYFUNCTION("""COMPUTED_VALUE"""),"ആളുകളെ ക്ഷണിച്ച് ക്യാഷ് റിവാർഡുകൾ നേടുക")</f>
        <v>ആളുകളെ ക്ഷണിച്ച് ക്യാഷ് റിവാർഡുകൾ നേടുക</v>
      </c>
      <c r="K688" s="2" t="str">
        <f>IFERROR(__xludf.DUMMYFUNCTION("""COMPUTED_VALUE"""),"ਲੋਕਾਂ ਨੂੰ ਸੱਦਾ ਦਿਓ ਅਤੇ ਨਕਦ ਇਨਾਮ ਕਮਾਓ")</f>
        <v>ਲੋਕਾਂ ਨੂੰ ਸੱਦਾ ਦਿਓ ਅਤੇ ਨਕਦ ਇਨਾਮ ਕਮਾਓ</v>
      </c>
      <c r="L688" s="2" t="str">
        <f>IFERROR(__xludf.DUMMYFUNCTION("""COMPUTED_VALUE"""),"மக்களை அழைக்கவும், பண வெகுமதிகளைப் பெறவும்")</f>
        <v>மக்களை அழைக்கவும், பண வெகுமதிகளைப் பெறவும்</v>
      </c>
      <c r="M688" s="2" t="str">
        <f>IFERROR(__xludf.DUMMYFUNCTION("""COMPUTED_VALUE"""),"ప్రజలను ఆహ్వానించండి మరియు నగదు రివార్డులు సంపాదించండి")</f>
        <v>ప్రజలను ఆహ్వానించండి మరియు నగదు రివార్డులు సంపాదించండి</v>
      </c>
    </row>
    <row r="689">
      <c r="A689" s="2" t="str">
        <f>Master_en!A689</f>
        <v>Getcashrewardsupto </v>
      </c>
      <c r="B689" s="2" t="str">
        <f>Master_en!B689</f>
        <v>Get Cash Rewards Upto </v>
      </c>
      <c r="C689" s="2" t="str">
        <f>IFERROR(__xludf.DUMMYFUNCTION("""COMPUTED_VALUE"""),"পর্যন্ত নগদ পুরষ্কার পান")</f>
        <v>পর্যন্ত নগদ পুরষ্কার পান</v>
      </c>
      <c r="D689" s="2" t="str">
        <f>IFERROR(__xludf.DUMMYFUNCTION("""COMPUTED_VALUE"""),"नकद पुरस्कार प्राप्त करें")</f>
        <v>नकद पुरस्कार प्राप्त करें</v>
      </c>
      <c r="E689" s="2" t="str">
        <f>IFERROR(__xludf.DUMMYFUNCTION("""COMPUTED_VALUE"""),"ನಗದು ಪ್ರತಿಫಲವನ್ನು ಪಡೆಯಿರಿ")</f>
        <v>ನಗದು ಪ್ರತಿಫಲವನ್ನು ಪಡೆಯಿರಿ</v>
      </c>
      <c r="F689" s="2" t="str">
        <f>IFERROR(__xludf.DUMMYFUNCTION("""COMPUTED_VALUE"""),"ନଗଦ ପୁରସ୍କାର ନିଅନ୍ତୁ |")</f>
        <v>ନଗଦ ପୁରସ୍କାର ନିଅନ୍ତୁ |</v>
      </c>
      <c r="G689" s="2" t="str">
        <f>IFERROR(__xludf.DUMMYFUNCTION("""COMPUTED_VALUE"""),"নগদ ধনৰ পুৰস্কাৰ লাভ কৰক upto")</f>
        <v>নগদ ধনৰ পুৰস্কাৰ লাভ কৰক upto</v>
      </c>
      <c r="H689" s="2" t="str">
        <f>IFERROR(__xludf.DUMMYFUNCTION("""COMPUTED_VALUE"""),"ત્યાં સુધી રોકડ પુરસ્કારો મેળવો")</f>
        <v>ત્યાં સુધી રોકડ પુરસ્કારો મેળવો</v>
      </c>
      <c r="I689" s="2" t="str">
        <f>IFERROR(__xludf.DUMMYFUNCTION("""COMPUTED_VALUE"""),"माझी बक्षिसे")</f>
        <v>माझी बक्षिसे</v>
      </c>
      <c r="J689" s="2" t="str">
        <f>IFERROR(__xludf.DUMMYFUNCTION("""COMPUTED_VALUE"""),"ക്യാഷ് റിവാർഡ് വരെ")</f>
        <v>ക്യാഷ് റിവാർഡ് വരെ</v>
      </c>
      <c r="K689" s="2" t="str">
        <f>IFERROR(__xludf.DUMMYFUNCTION("""COMPUTED_VALUE"""),"ਨਕਦ ਇਨਾਮ ਪ੍ਰਾਪਤ ਕਰੋ")</f>
        <v>ਨਕਦ ਇਨਾਮ ਪ੍ਰਾਪਤ ਕਰੋ</v>
      </c>
      <c r="L689" s="2" t="str">
        <f>IFERROR(__xludf.DUMMYFUNCTION("""COMPUTED_VALUE"""),"பண வெகுமதிகளைப் பெறுங்கள்")</f>
        <v>பண வெகுமதிகளைப் பெறுங்கள்</v>
      </c>
      <c r="M689" s="2" t="str">
        <f>IFERROR(__xludf.DUMMYFUNCTION("""COMPUTED_VALUE"""),"నగదు రివార్డులను పొందండి")</f>
        <v>నగదు రివార్డులను పొందండి</v>
      </c>
    </row>
    <row r="690">
      <c r="A690" s="2" t="str">
        <f>Master_en!A690</f>
        <v>Invite </v>
      </c>
      <c r="B690" s="2" t="str">
        <f>Master_en!B690</f>
        <v>Invite </v>
      </c>
      <c r="C690" s="2" t="str">
        <f>IFERROR(__xludf.DUMMYFUNCTION("""COMPUTED_VALUE"""),"আমন্ত্রণ")</f>
        <v>আমন্ত্রণ</v>
      </c>
      <c r="D690" s="2" t="str">
        <f>IFERROR(__xludf.DUMMYFUNCTION("""COMPUTED_VALUE"""),"आमंत्रित करना")</f>
        <v>आमंत्रित करना</v>
      </c>
      <c r="E690" s="2" t="str">
        <f>IFERROR(__xludf.DUMMYFUNCTION("""COMPUTED_VALUE"""),"ಆಹ್ವಾನಿಸು")</f>
        <v>ಆಹ್ವಾನಿಸು</v>
      </c>
      <c r="F690" s="2" t="str">
        <f>IFERROR(__xludf.DUMMYFUNCTION("""COMPUTED_VALUE"""),"ନିମନ୍ତ୍ରଣ")</f>
        <v>ନିମନ୍ତ୍ରଣ</v>
      </c>
      <c r="G690" s="2" t="str">
        <f>IFERROR(__xludf.DUMMYFUNCTION("""COMPUTED_VALUE"""),"আমন্ত্ৰণ")</f>
        <v>আমন্ত্ৰণ</v>
      </c>
      <c r="H690" s="2" t="str">
        <f>IFERROR(__xludf.DUMMYFUNCTION("""COMPUTED_VALUE"""),"આમંત્રિત")</f>
        <v>આમંત્રિત</v>
      </c>
      <c r="I690" s="2" t="str">
        <f>IFERROR(__xludf.DUMMYFUNCTION("""COMPUTED_VALUE"""),"तुमच्या नेटवर्कवरून लोकांना आमंत्रित करा आणि रोख बक्षिसे जाणून घ्या")</f>
        <v>तुमच्या नेटवर्कवरून लोकांना आमंत्रित करा आणि रोख बक्षिसे जाणून घ्या</v>
      </c>
      <c r="J690" s="2" t="str">
        <f>IFERROR(__xludf.DUMMYFUNCTION("""COMPUTED_VALUE"""),"ക്ഷണിക്കുക")</f>
        <v>ക്ഷണിക്കുക</v>
      </c>
      <c r="K690" s="2" t="str">
        <f>IFERROR(__xludf.DUMMYFUNCTION("""COMPUTED_VALUE"""),"ਸੱਦਾ")</f>
        <v>ਸੱਦਾ</v>
      </c>
      <c r="L690" s="2" t="str">
        <f>IFERROR(__xludf.DUMMYFUNCTION("""COMPUTED_VALUE"""),"அழைக்கவும்")</f>
        <v>அழைக்கவும்</v>
      </c>
      <c r="M690" s="2" t="str">
        <f>IFERROR(__xludf.DUMMYFUNCTION("""COMPUTED_VALUE"""),"ఆహ్వానించండి")</f>
        <v>ఆహ్వానించండి</v>
      </c>
    </row>
    <row r="691">
      <c r="A691" s="2" t="str">
        <f>Master_en!A691</f>
        <v>Cash</v>
      </c>
      <c r="B691" s="2" t="str">
        <f>Master_en!B691</f>
        <v>Cash</v>
      </c>
      <c r="C691" s="2" t="str">
        <f>IFERROR(__xludf.DUMMYFUNCTION("""COMPUTED_VALUE"""),"নগদ")</f>
        <v>নগদ</v>
      </c>
      <c r="D691" s="2" t="str">
        <f>IFERROR(__xludf.DUMMYFUNCTION("""COMPUTED_VALUE"""),"नकद")</f>
        <v>नकद</v>
      </c>
      <c r="E691" s="2" t="str">
        <f>IFERROR(__xludf.DUMMYFUNCTION("""COMPUTED_VALUE"""),"ನಗದು")</f>
        <v>ನಗದು</v>
      </c>
      <c r="F691" s="2" t="str">
        <f>IFERROR(__xludf.DUMMYFUNCTION("""COMPUTED_VALUE"""),"ନଗଦ")</f>
        <v>ନଗଦ</v>
      </c>
      <c r="G691" s="2" t="str">
        <f>IFERROR(__xludf.DUMMYFUNCTION("""COMPUTED_VALUE"""),"নগদ")</f>
        <v>নগদ</v>
      </c>
      <c r="H691" s="2" t="str">
        <f>IFERROR(__xludf.DUMMYFUNCTION("""COMPUTED_VALUE"""),"રોકડ")</f>
        <v>રોકડ</v>
      </c>
      <c r="I691" s="2" t="str">
        <f>IFERROR(__xludf.DUMMYFUNCTION("""COMPUTED_VALUE"""),"पर्यंत रोख बक्षिसे मिळवा")</f>
        <v>पर्यंत रोख बक्षिसे मिळवा</v>
      </c>
      <c r="J691" s="2" t="str">
        <f>IFERROR(__xludf.DUMMYFUNCTION("""COMPUTED_VALUE"""),"പണം")</f>
        <v>പണം</v>
      </c>
      <c r="K691" s="2" t="str">
        <f>IFERROR(__xludf.DUMMYFUNCTION("""COMPUTED_VALUE"""),"ਨਕਦ")</f>
        <v>ਨਕਦ</v>
      </c>
      <c r="L691" s="2" t="str">
        <f>IFERROR(__xludf.DUMMYFUNCTION("""COMPUTED_VALUE"""),"பணம்")</f>
        <v>பணம்</v>
      </c>
      <c r="M691" s="2" t="str">
        <f>IFERROR(__xludf.DUMMYFUNCTION("""COMPUTED_VALUE"""),"నగదు")</f>
        <v>నగదు</v>
      </c>
    </row>
    <row r="692">
      <c r="A692" s="2" t="str">
        <f>Master_en!A692</f>
        <v>TotalReferal</v>
      </c>
      <c r="B692" s="2" t="str">
        <f>Master_en!B692</f>
        <v>Total Referral</v>
      </c>
      <c r="C692" s="2" t="str">
        <f>IFERROR(__xludf.DUMMYFUNCTION("""COMPUTED_VALUE"""),"মোট রেফারেল")</f>
        <v>মোট রেফারেল</v>
      </c>
      <c r="D692" s="2" t="str">
        <f>IFERROR(__xludf.DUMMYFUNCTION("""COMPUTED_VALUE"""),"कुल रेफरल")</f>
        <v>कुल रेफरल</v>
      </c>
      <c r="E692" s="2" t="str">
        <f>IFERROR(__xludf.DUMMYFUNCTION("""COMPUTED_VALUE"""),"ಒಟ್ಟು ಉಲ್ಲೇಖ")</f>
        <v>ಒಟ್ಟು ಉಲ್ಲೇಖ</v>
      </c>
      <c r="F692" s="2" t="str">
        <f>IFERROR(__xludf.DUMMYFUNCTION("""COMPUTED_VALUE"""),"ସମୁଦାୟ ରେଫରାଲ୍ |")</f>
        <v>ସମୁଦାୟ ରେଫରାଲ୍ |</v>
      </c>
      <c r="G692" s="2" t="str">
        <f>IFERROR(__xludf.DUMMYFUNCTION("""COMPUTED_VALUE"""),"মুঠ ৰেফাৰেল")</f>
        <v>মুঠ ৰেফাৰেল</v>
      </c>
      <c r="H692" s="2" t="str">
        <f>IFERROR(__xludf.DUMMYFUNCTION("""COMPUTED_VALUE"""),"કુલ રેફરલ")</f>
        <v>કુલ રેફરલ</v>
      </c>
      <c r="I692" s="2" t="str">
        <f>IFERROR(__xludf.DUMMYFUNCTION("""COMPUTED_VALUE"""),"आमंत्रित करा")</f>
        <v>आमंत्रित करा</v>
      </c>
      <c r="J692" s="2" t="str">
        <f>IFERROR(__xludf.DUMMYFUNCTION("""COMPUTED_VALUE"""),"ആകെ റഫറൽ")</f>
        <v>ആകെ റഫറൽ</v>
      </c>
      <c r="K692" s="2" t="str">
        <f>IFERROR(__xludf.DUMMYFUNCTION("""COMPUTED_VALUE"""),"ਕੁੱਲ ਰੈਫਰਲ")</f>
        <v>ਕੁੱਲ ਰੈਫਰਲ</v>
      </c>
      <c r="L692" s="2" t="str">
        <f>IFERROR(__xludf.DUMMYFUNCTION("""COMPUTED_VALUE"""),"மொத்த பரிந்துரை")</f>
        <v>மொத்த பரிந்துரை</v>
      </c>
      <c r="M692" s="2" t="str">
        <f>IFERROR(__xludf.DUMMYFUNCTION("""COMPUTED_VALUE"""),"మొత్తం రిఫెరల్")</f>
        <v>మొత్తం రిఫెరల్</v>
      </c>
    </row>
    <row r="693">
      <c r="A693" s="2" t="str">
        <f>Master_en!A693</f>
        <v>DeliveredOrderDetails</v>
      </c>
      <c r="B693" s="2" t="str">
        <f>Master_en!B693</f>
        <v>Delivered Order Details</v>
      </c>
      <c r="C693" s="2" t="str">
        <f>IFERROR(__xludf.DUMMYFUNCTION("""COMPUTED_VALUE"""),"অর্ডার বিশদ বিতরণ")</f>
        <v>অর্ডার বিশদ বিতরণ</v>
      </c>
      <c r="D693" s="2" t="str">
        <f>IFERROR(__xludf.DUMMYFUNCTION("""COMPUTED_VALUE"""),"वितरित आदेश विवरण")</f>
        <v>वितरित आदेश विवरण</v>
      </c>
      <c r="E693" s="2" t="str">
        <f>IFERROR(__xludf.DUMMYFUNCTION("""COMPUTED_VALUE"""),"ವಿತರಿಸಿದ ಆದೇಶ ವಿವರಗಳು")</f>
        <v>ವಿತರಿಸಿದ ಆದೇಶ ವಿವರಗಳು</v>
      </c>
      <c r="F693" s="2" t="str">
        <f>IFERROR(__xludf.DUMMYFUNCTION("""COMPUTED_VALUE"""),"ଅର୍ଡର ବିବରଣୀ ବିତରଣ କରନ୍ତୁ |")</f>
        <v>ଅର୍ଡର ବିବରଣୀ ବିତରଣ କରନ୍ତୁ |</v>
      </c>
      <c r="G693" s="2" t="str">
        <f>IFERROR(__xludf.DUMMYFUNCTION("""COMPUTED_VALUE"""),"ডেলিভাৰী কৰা হৈছে অৰ্ডাৰৰ বিৱৰণ")</f>
        <v>ডেলিভাৰী কৰা হৈছে অৰ্ডাৰৰ বিৱৰণ</v>
      </c>
      <c r="H693" s="2" t="str">
        <f>IFERROR(__xludf.DUMMYFUNCTION("""COMPUTED_VALUE"""),"વિતરિત ઓર્ડર વિગતો")</f>
        <v>વિતરિત ઓર્ડર વિગતો</v>
      </c>
      <c r="I693" s="2" t="str">
        <f>IFERROR(__xludf.DUMMYFUNCTION("""COMPUTED_VALUE"""),"वितरित ऑर्डर तपशील")</f>
        <v>वितरित ऑर्डर तपशील</v>
      </c>
      <c r="J693" s="2" t="str">
        <f>IFERROR(__xludf.DUMMYFUNCTION("""COMPUTED_VALUE"""),"ഡെലിവർ ചെയ്ത ഓർഡർ വിശദാംശങ്ങൾ")</f>
        <v>ഡെലിവർ ചെയ്ത ഓർഡർ വിശദാംശങ്ങൾ</v>
      </c>
      <c r="K693" s="2" t="str">
        <f>IFERROR(__xludf.DUMMYFUNCTION("""COMPUTED_VALUE"""),"ਦਿੱਤੇ ਆਰਡਰ ਦਾ ਵੇਰਵਾ")</f>
        <v>ਦਿੱਤੇ ਆਰਡਰ ਦਾ ਵੇਰਵਾ</v>
      </c>
      <c r="L693" s="2" t="str">
        <f>IFERROR(__xludf.DUMMYFUNCTION("""COMPUTED_VALUE"""),"வழங்கப்பட்ட ஆர்டர் விவரங்கள்")</f>
        <v>வழங்கப்பட்ட ஆர்டர் விவரங்கள்</v>
      </c>
      <c r="M693" s="2" t="str">
        <f>IFERROR(__xludf.DUMMYFUNCTION("""COMPUTED_VALUE"""),"డెలివరీ ఆర్డర్ వివరాలు")</f>
        <v>డెలివరీ ఆర్డర్ వివరాలు</v>
      </c>
    </row>
    <row r="694">
      <c r="A694" s="2" t="str">
        <f>Master_en!A694</f>
        <v>Acknowledge</v>
      </c>
      <c r="B694" s="2" t="str">
        <f>Master_en!B694</f>
        <v>Acknowledge</v>
      </c>
      <c r="C694" s="2" t="str">
        <f>IFERROR(__xludf.DUMMYFUNCTION("""COMPUTED_VALUE"""),"স্বীকৃতি")</f>
        <v>স্বীকৃতি</v>
      </c>
      <c r="D694" s="2" t="str">
        <f>IFERROR(__xludf.DUMMYFUNCTION("""COMPUTED_VALUE"""),"स्वीकार करना")</f>
        <v>स्वीकार करना</v>
      </c>
      <c r="E694" s="2" t="str">
        <f>IFERROR(__xludf.DUMMYFUNCTION("""COMPUTED_VALUE"""),"ಒಪ್ಪಿಸು")</f>
        <v>ಒಪ್ಪಿಸು</v>
      </c>
      <c r="F694" s="2" t="str">
        <f>IFERROR(__xludf.DUMMYFUNCTION("""COMPUTED_VALUE"""),"ସ୍ୱୀକାର କର |")</f>
        <v>ସ୍ୱୀକାର କର |</v>
      </c>
      <c r="G694" s="2" t="str">
        <f>IFERROR(__xludf.DUMMYFUNCTION("""COMPUTED_VALUE"""),"স্বীকাৰ কৰা")</f>
        <v>স্বীকাৰ কৰা</v>
      </c>
      <c r="H694" s="2" t="str">
        <f>IFERROR(__xludf.DUMMYFUNCTION("""COMPUTED_VALUE"""),"સ્વીકારવું")</f>
        <v>સ્વીકારવું</v>
      </c>
      <c r="I694" s="2" t="str">
        <f>IFERROR(__xludf.DUMMYFUNCTION("""COMPUTED_VALUE"""),"कबूल करा")</f>
        <v>कबूल करा</v>
      </c>
      <c r="J694" s="2" t="str">
        <f>IFERROR(__xludf.DUMMYFUNCTION("""COMPUTED_VALUE"""),"ബോധമാകുക")</f>
        <v>ബോധമാകുക</v>
      </c>
      <c r="K694" s="2" t="str">
        <f>IFERROR(__xludf.DUMMYFUNCTION("""COMPUTED_VALUE"""),"ਸਵੀਕਾਰ ਕਰੋ")</f>
        <v>ਸਵੀਕਾਰ ਕਰੋ</v>
      </c>
      <c r="L694" s="2" t="str">
        <f>IFERROR(__xludf.DUMMYFUNCTION("""COMPUTED_VALUE"""),"ஒப்புக்கொள்")</f>
        <v>ஒப்புக்கொள்</v>
      </c>
      <c r="M694" s="2" t="str">
        <f>IFERROR(__xludf.DUMMYFUNCTION("""COMPUTED_VALUE"""),"గుర్తించండి")</f>
        <v>గుర్తించండి</v>
      </c>
    </row>
    <row r="695">
      <c r="A695" s="2" t="str">
        <f>Master_en!A695</f>
        <v>order</v>
      </c>
      <c r="B695" s="2" t="str">
        <f>Master_en!B695</f>
        <v>Order #</v>
      </c>
      <c r="C695" s="2" t="str">
        <f>IFERROR(__xludf.DUMMYFUNCTION("""COMPUTED_VALUE"""),"অর্ডার #")</f>
        <v>অর্ডার #</v>
      </c>
      <c r="D695" s="2" t="str">
        <f>IFERROR(__xludf.DUMMYFUNCTION("""COMPUTED_VALUE"""),"आदेश #")</f>
        <v>आदेश #</v>
      </c>
      <c r="E695" s="2" t="str">
        <f>IFERROR(__xludf.DUMMYFUNCTION("""COMPUTED_VALUE"""),"ಆದೇಶಗಳು")</f>
        <v>ಆದೇಶಗಳು</v>
      </c>
      <c r="F695" s="2" t="str">
        <f>IFERROR(__xludf.DUMMYFUNCTION("""COMPUTED_VALUE"""),"ଅର୍ଡର #")</f>
        <v>ଅର୍ଡର #</v>
      </c>
      <c r="G695" s="2" t="str">
        <f>IFERROR(__xludf.DUMMYFUNCTION("""COMPUTED_VALUE"""),"ক্ৰম #")</f>
        <v>ক্ৰম #</v>
      </c>
      <c r="H695" s="2" t="str">
        <f>IFERROR(__xludf.DUMMYFUNCTION("""COMPUTED_VALUE"""),"ઓર્ડર #")</f>
        <v>ઓર્ડર #</v>
      </c>
      <c r="I695" s="2" t="str">
        <f>IFERROR(__xludf.DUMMYFUNCTION("""COMPUTED_VALUE"""),"ऑर्डर #")</f>
        <v>ऑर्डर #</v>
      </c>
      <c r="J695" s="2" t="str">
        <f>IFERROR(__xludf.DUMMYFUNCTION("""COMPUTED_VALUE"""),"ഓർഡർ #")</f>
        <v>ഓർഡർ #</v>
      </c>
      <c r="K695" s="2" t="str">
        <f>IFERROR(__xludf.DUMMYFUNCTION("""COMPUTED_VALUE"""),"ਆਰਡਰ #")</f>
        <v>ਆਰਡਰ #</v>
      </c>
      <c r="L695" s="2" t="str">
        <f>IFERROR(__xludf.DUMMYFUNCTION("""COMPUTED_VALUE"""),"ஒழுங்கு #")</f>
        <v>ஒழுங்கு #</v>
      </c>
      <c r="M695" s="2" t="str">
        <f>IFERROR(__xludf.DUMMYFUNCTION("""COMPUTED_VALUE"""),"ఆర్డర్ #")</f>
        <v>ఆర్డర్ #</v>
      </c>
    </row>
    <row r="696">
      <c r="A696" s="2" t="str">
        <f>Master_en!A696</f>
        <v>hours</v>
      </c>
      <c r="B696" s="2" t="str">
        <f>Master_en!B696</f>
        <v>Hours</v>
      </c>
      <c r="C696" s="2" t="str">
        <f>IFERROR(__xludf.DUMMYFUNCTION("""COMPUTED_VALUE"""),"ঘন্টার")</f>
        <v>ঘন্টার</v>
      </c>
      <c r="D696" s="2" t="str">
        <f>IFERROR(__xludf.DUMMYFUNCTION("""COMPUTED_VALUE"""),"घंटे")</f>
        <v>घंटे</v>
      </c>
      <c r="E696" s="2" t="str">
        <f>IFERROR(__xludf.DUMMYFUNCTION("""COMPUTED_VALUE"""),"ಸಮಯ")</f>
        <v>ಸಮಯ</v>
      </c>
      <c r="F696" s="2" t="str">
        <f>IFERROR(__xludf.DUMMYFUNCTION("""COMPUTED_VALUE"""),"ଘଣ୍ଟା")</f>
        <v>ଘଣ୍ଟା</v>
      </c>
      <c r="G696" s="2" t="str">
        <f>IFERROR(__xludf.DUMMYFUNCTION("""COMPUTED_VALUE"""),"ঘণ্টা")</f>
        <v>ঘণ্টা</v>
      </c>
      <c r="H696" s="2" t="str">
        <f>IFERROR(__xludf.DUMMYFUNCTION("""COMPUTED_VALUE"""),"સમય")</f>
        <v>સમય</v>
      </c>
      <c r="I696" s="2" t="str">
        <f>IFERROR(__xludf.DUMMYFUNCTION("""COMPUTED_VALUE"""),"तास")</f>
        <v>तास</v>
      </c>
      <c r="J696" s="2" t="str">
        <f>IFERROR(__xludf.DUMMYFUNCTION("""COMPUTED_VALUE"""),"മണിക്കൂറുകൾ")</f>
        <v>മണിക്കൂറുകൾ</v>
      </c>
      <c r="K696" s="2" t="str">
        <f>IFERROR(__xludf.DUMMYFUNCTION("""COMPUTED_VALUE"""),"ਘੰਟੇ")</f>
        <v>ਘੰਟੇ</v>
      </c>
      <c r="L696" s="2" t="str">
        <f>IFERROR(__xludf.DUMMYFUNCTION("""COMPUTED_VALUE"""),"மணி")</f>
        <v>மணி</v>
      </c>
      <c r="M696" s="2" t="str">
        <f>IFERROR(__xludf.DUMMYFUNCTION("""COMPUTED_VALUE"""),"అందిన విషయాన్ని ధ్రువీకరించు")</f>
        <v>అందిన విషయాన్ని ధ్రువీకరించు</v>
      </c>
    </row>
    <row r="697">
      <c r="A697" s="2" t="str">
        <f>Master_en!A697</f>
        <v>ProfileComplete</v>
      </c>
      <c r="B697" s="2" t="str">
        <f>Master_en!B697</f>
        <v>Profile Complete</v>
      </c>
      <c r="C697" s="2" t="str">
        <f>IFERROR(__xludf.DUMMYFUNCTION("""COMPUTED_VALUE"""),"প্রোফাইল সম্পূর্ণ")</f>
        <v>প্রোফাইল সম্পূর্ণ</v>
      </c>
      <c r="D697" s="2" t="str">
        <f>IFERROR(__xludf.DUMMYFUNCTION("""COMPUTED_VALUE"""),"प्रोफ़ाइल पूर्ण")</f>
        <v>प्रोफ़ाइल पूर्ण</v>
      </c>
      <c r="E697" s="2" t="str">
        <f>IFERROR(__xludf.DUMMYFUNCTION("""COMPUTED_VALUE"""),"ಪ್ರೊಫೈಲ್ ಪೂರ್ಣಗೊಂಡಿದೆ")</f>
        <v>ಪ್ರೊಫೈಲ್ ಪೂರ್ಣಗೊಂಡಿದೆ</v>
      </c>
      <c r="F697" s="2" t="str">
        <f>IFERROR(__xludf.DUMMYFUNCTION("""COMPUTED_VALUE"""),"ପ୍ରୋଫାଇଲ୍ ସଂପୂର୍ଣ୍ଣ")</f>
        <v>ପ୍ରୋଫାଇଲ୍ ସଂପୂର୍ଣ୍ଣ</v>
      </c>
      <c r="G697" s="2" t="str">
        <f>IFERROR(__xludf.DUMMYFUNCTION("""COMPUTED_VALUE"""),"প্ৰফাইল সম্পূৰ্ণ")</f>
        <v>প্ৰফাইল সম্পূৰ্ণ</v>
      </c>
      <c r="H697" s="2" t="str">
        <f>IFERROR(__xludf.DUMMYFUNCTION("""COMPUTED_VALUE"""),"પ્રોફાઇલ પૂર્ણ")</f>
        <v>પ્રોફાઇલ પૂર્ણ</v>
      </c>
      <c r="I697" s="2" t="str">
        <f>IFERROR(__xludf.DUMMYFUNCTION("""COMPUTED_VALUE"""),"प्रोफाइल पूर्ण")</f>
        <v>प्रोफाइल पूर्ण</v>
      </c>
      <c r="J697" s="2" t="str">
        <f>IFERROR(__xludf.DUMMYFUNCTION("""COMPUTED_VALUE"""),"പ്രൊഫൈൽ പൂർത്തിയായി")</f>
        <v>പ്രൊഫൈൽ പൂർത്തിയായി</v>
      </c>
      <c r="K697" s="2" t="str">
        <f>IFERROR(__xludf.DUMMYFUNCTION("""COMPUTED_VALUE"""),"ਪ੍ਰੋਫਾਈਲ ਪੂਰਾ")</f>
        <v>ਪ੍ਰੋਫਾਈਲ ਪੂਰਾ</v>
      </c>
      <c r="L697" s="2" t="str">
        <f>IFERROR(__xludf.DUMMYFUNCTION("""COMPUTED_VALUE"""),"சுயவிவரம் முடிந்தது")</f>
        <v>சுயவிவரம் முடிந்தது</v>
      </c>
      <c r="M697" s="2" t="str">
        <f>IFERROR(__xludf.DUMMYFUNCTION("""COMPUTED_VALUE"""),"ప్రొఫైల్ పూర్తయింది")</f>
        <v>ప్రొఫైల్ పూర్తయింది</v>
      </c>
    </row>
    <row r="698">
      <c r="A698" s="2" t="str">
        <f>Master_en!A698</f>
        <v>Referred </v>
      </c>
      <c r="B698" s="2" t="str">
        <f>Master_en!B698</f>
        <v>Referred </v>
      </c>
      <c r="C698" s="2" t="str">
        <f>IFERROR(__xludf.DUMMYFUNCTION("""COMPUTED_VALUE"""),"উল্লেখ করা হয়েছে")</f>
        <v>উল্লেখ করা হয়েছে</v>
      </c>
      <c r="D698" s="2" t="str">
        <f>IFERROR(__xludf.DUMMYFUNCTION("""COMPUTED_VALUE"""),"निर्दिष्ट")</f>
        <v>निर्दिष्ट</v>
      </c>
      <c r="E698" s="2" t="str">
        <f>IFERROR(__xludf.DUMMYFUNCTION("""COMPUTED_VALUE"""),"ಉಲ್ಲೇಖಿತ")</f>
        <v>ಉಲ್ಲೇಖಿತ</v>
      </c>
      <c r="F698" s="2" t="str">
        <f>IFERROR(__xludf.DUMMYFUNCTION("""COMPUTED_VALUE"""),"ରେଫର୍ ହୋଇଛି |")</f>
        <v>ରେଫର୍ ହୋଇଛି |</v>
      </c>
      <c r="G698" s="2" t="str">
        <f>IFERROR(__xludf.DUMMYFUNCTION("""COMPUTED_VALUE"""),"উল্লেখ কৰা হৈছে")</f>
        <v>উল্লেখ কৰা হৈছে</v>
      </c>
      <c r="H698" s="2" t="str">
        <f>IFERROR(__xludf.DUMMYFUNCTION("""COMPUTED_VALUE"""),"સંદર્ભ આપવો")</f>
        <v>સંદર્ભ આપવો</v>
      </c>
      <c r="I698" s="2" t="str">
        <f>IFERROR(__xludf.DUMMYFUNCTION("""COMPUTED_VALUE"""),"संदर्भित")</f>
        <v>संदर्भित</v>
      </c>
      <c r="J698" s="2" t="str">
        <f>IFERROR(__xludf.DUMMYFUNCTION("""COMPUTED_VALUE"""),"പരാമർശിക്കപ്പെടുന്നു")</f>
        <v>പരാമർശിക്കപ്പെടുന്നു</v>
      </c>
      <c r="K698" s="2" t="str">
        <f>IFERROR(__xludf.DUMMYFUNCTION("""COMPUTED_VALUE"""),"ਜ਼ਿਕਰ")</f>
        <v>ਜ਼ਿਕਰ</v>
      </c>
      <c r="L698" s="2" t="str">
        <f>IFERROR(__xludf.DUMMYFUNCTION("""COMPUTED_VALUE"""),"குறிப்பிடப்படுகிறது")</f>
        <v>குறிப்பிடப்படுகிறது</v>
      </c>
      <c r="M698" s="2" t="str">
        <f>IFERROR(__xludf.DUMMYFUNCTION("""COMPUTED_VALUE"""),"ఆర్డర్")</f>
        <v>ఆర్డర్</v>
      </c>
    </row>
    <row r="699">
      <c r="A699" s="2" t="str">
        <f>Master_en!A699</f>
        <v>invite</v>
      </c>
      <c r="B699" s="2" t="str">
        <f>Master_en!B699</f>
        <v>Invite</v>
      </c>
      <c r="C699" s="2" t="str">
        <f>IFERROR(__xludf.DUMMYFUNCTION("""COMPUTED_VALUE"""),"আমন্ত্রণ")</f>
        <v>আমন্ত্রণ</v>
      </c>
      <c r="D699" s="2" t="str">
        <f>IFERROR(__xludf.DUMMYFUNCTION("""COMPUTED_VALUE"""),"आमंत्रित करना")</f>
        <v>आमंत्रित करना</v>
      </c>
      <c r="E699" s="2" t="str">
        <f>IFERROR(__xludf.DUMMYFUNCTION("""COMPUTED_VALUE"""),"ಆಹ್ವಾನಿಸು")</f>
        <v>ಆಹ್ವಾನಿಸು</v>
      </c>
      <c r="F699" s="2" t="str">
        <f>IFERROR(__xludf.DUMMYFUNCTION("""COMPUTED_VALUE"""),"ନିମନ୍ତ୍ରଣ")</f>
        <v>ନିମନ୍ତ୍ରଣ</v>
      </c>
      <c r="G699" s="2" t="str">
        <f>IFERROR(__xludf.DUMMYFUNCTION("""COMPUTED_VALUE"""),"আমন্ত্ৰণ")</f>
        <v>আমন্ত্ৰণ</v>
      </c>
      <c r="H699" s="2" t="str">
        <f>IFERROR(__xludf.DUMMYFUNCTION("""COMPUTED_VALUE"""),"આમંત્રિત")</f>
        <v>આમંત્રિત</v>
      </c>
      <c r="I699" s="2" t="str">
        <f>IFERROR(__xludf.DUMMYFUNCTION("""COMPUTED_VALUE"""),"आमंत्रित करा")</f>
        <v>आमंत्रित करा</v>
      </c>
      <c r="J699" s="2" t="str">
        <f>IFERROR(__xludf.DUMMYFUNCTION("""COMPUTED_VALUE"""),"ക്ഷണിക്കുക")</f>
        <v>ക്ഷണിക്കുക</v>
      </c>
      <c r="K699" s="2" t="str">
        <f>IFERROR(__xludf.DUMMYFUNCTION("""COMPUTED_VALUE"""),"ਸੱਦਾ")</f>
        <v>ਸੱਦਾ</v>
      </c>
      <c r="L699" s="2" t="str">
        <f>IFERROR(__xludf.DUMMYFUNCTION("""COMPUTED_VALUE"""),"அழைக்கவும்")</f>
        <v>அழைக்கவும்</v>
      </c>
      <c r="M699" s="2" t="str">
        <f>IFERROR(__xludf.DUMMYFUNCTION("""COMPUTED_VALUE"""),"ఆహ్వానించండి")</f>
        <v>ఆహ్వానించండి</v>
      </c>
    </row>
    <row r="700">
      <c r="A700" s="2" t="str">
        <f>Master_en!A700</f>
        <v>Instruction </v>
      </c>
      <c r="B700" s="2" t="str">
        <f>Master_en!B700</f>
        <v>Instruction </v>
      </c>
      <c r="C700" s="2" t="str">
        <f>IFERROR(__xludf.DUMMYFUNCTION("""COMPUTED_VALUE"""),"নির্দেশ")</f>
        <v>নির্দেশ</v>
      </c>
      <c r="D700" s="2" t="str">
        <f>IFERROR(__xludf.DUMMYFUNCTION("""COMPUTED_VALUE"""),"अनुदेश")</f>
        <v>अनुदेश</v>
      </c>
      <c r="E700" s="2" t="str">
        <f>IFERROR(__xludf.DUMMYFUNCTION("""COMPUTED_VALUE"""),"ಸೂಚನಾ")</f>
        <v>ಸೂಚನಾ</v>
      </c>
      <c r="F700" s="2" t="str">
        <f>IFERROR(__xludf.DUMMYFUNCTION("""COMPUTED_VALUE"""),"ନିର୍ଦ୍ଦେଶ")</f>
        <v>ନିର୍ଦ୍ଦେଶ</v>
      </c>
      <c r="G700" s="2" t="str">
        <f>IFERROR(__xludf.DUMMYFUNCTION("""COMPUTED_VALUE"""),"নিৰ্দেশনা")</f>
        <v>নিৰ্দেশনা</v>
      </c>
      <c r="H700" s="2" t="str">
        <f>IFERROR(__xludf.DUMMYFUNCTION("""COMPUTED_VALUE"""),"સૂચના")</f>
        <v>સૂચના</v>
      </c>
      <c r="I700" s="2" t="str">
        <f>IFERROR(__xludf.DUMMYFUNCTION("""COMPUTED_VALUE"""),"सूचना")</f>
        <v>सूचना</v>
      </c>
      <c r="J700" s="2" t="str">
        <f>IFERROR(__xludf.DUMMYFUNCTION("""COMPUTED_VALUE"""),"നിര്ദ്ദേശം")</f>
        <v>നിര്ദ്ദേശം</v>
      </c>
      <c r="K700" s="2" t="str">
        <f>IFERROR(__xludf.DUMMYFUNCTION("""COMPUTED_VALUE"""),"ਹਦਾਇਤ")</f>
        <v>ਹਦਾਇਤ</v>
      </c>
      <c r="L700" s="2" t="str">
        <f>IFERROR(__xludf.DUMMYFUNCTION("""COMPUTED_VALUE"""),"வழிமுறைகள்")</f>
        <v>வழிமுறைகள்</v>
      </c>
      <c r="M700" s="2" t="str">
        <f>IFERROR(__xludf.DUMMYFUNCTION("""COMPUTED_VALUE"""),"సూచన")</f>
        <v>సూచన</v>
      </c>
    </row>
    <row r="701">
      <c r="A701" s="2" t="str">
        <f>Master_en!A701</f>
        <v>Deliveryvalet</v>
      </c>
      <c r="B701" s="2" t="str">
        <f>Master_en!B701</f>
        <v>Delivery Valet</v>
      </c>
      <c r="C701" s="2" t="str">
        <f>IFERROR(__xludf.DUMMYFUNCTION("""COMPUTED_VALUE"""),"ডেলিভারি ভ্যালেট")</f>
        <v>ডেলিভারি ভ্যালেট</v>
      </c>
      <c r="D701" s="2" t="str">
        <f>IFERROR(__xludf.DUMMYFUNCTION("""COMPUTED_VALUE"""),"सुपुर्दगी")</f>
        <v>सुपुर्दगी</v>
      </c>
      <c r="E701" s="2" t="str">
        <f>IFERROR(__xludf.DUMMYFUNCTION("""COMPUTED_VALUE"""),"ವಿತರಣಾ ವ್ಯಾಲೆಟ್")</f>
        <v>ವಿತರಣಾ ವ್ಯಾಲೆಟ್</v>
      </c>
      <c r="F701" s="2" t="str">
        <f>IFERROR(__xludf.DUMMYFUNCTION("""COMPUTED_VALUE"""),"ବିତରଣ ଭାଲେଟ୍ |")</f>
        <v>ବିତରଣ ଭାଲେଟ୍ |</v>
      </c>
      <c r="G701" s="2" t="str">
        <f>IFERROR(__xludf.DUMMYFUNCTION("""COMPUTED_VALUE"""),"ডেলিভাৰী ভেলেট")</f>
        <v>ডেলিভাৰী ভেলেট</v>
      </c>
      <c r="H701" s="2" t="str">
        <f>IFERROR(__xludf.DUMMYFUNCTION("""COMPUTED_VALUE"""),"ડિલિવરી વેલેટ")</f>
        <v>ડિલિવરી વેલેટ</v>
      </c>
      <c r="I701" s="2" t="str">
        <f>IFERROR(__xludf.DUMMYFUNCTION("""COMPUTED_VALUE"""),"वितरण वॉलेट")</f>
        <v>वितरण वॉलेट</v>
      </c>
      <c r="J701" s="2" t="str">
        <f>IFERROR(__xludf.DUMMYFUNCTION("""COMPUTED_VALUE"""),"ഡെലിവറി വാലറ്റ്")</f>
        <v>ഡെലിവറി വാലറ്റ്</v>
      </c>
      <c r="K701" s="2" t="str">
        <f>IFERROR(__xludf.DUMMYFUNCTION("""COMPUTED_VALUE"""),"ਡਿਲਿਵਰੀ ਵੈਲਿਟ")</f>
        <v>ਡਿਲਿਵਰੀ ਵੈਲਿਟ</v>
      </c>
      <c r="L701" s="2" t="str">
        <f>IFERROR(__xludf.DUMMYFUNCTION("""COMPUTED_VALUE"""),"டெலிவரி வாலட்")</f>
        <v>டெலிவரி வாலட்</v>
      </c>
      <c r="M701" s="2" t="str">
        <f>IFERROR(__xludf.DUMMYFUNCTION("""COMPUTED_VALUE"""),"డెలివరీ వాలెట్")</f>
        <v>డెలివరీ వాలెట్</v>
      </c>
    </row>
    <row r="702">
      <c r="A702" s="2" t="str">
        <f>Master_en!A702</f>
        <v>Wholeseller</v>
      </c>
      <c r="B702" s="2" t="str">
        <f>Master_en!B702</f>
        <v>Wholesaler</v>
      </c>
      <c r="C702" s="2" t="str">
        <f>IFERROR(__xludf.DUMMYFUNCTION("""COMPUTED_VALUE"""),"পাইকার")</f>
        <v>পাইকার</v>
      </c>
      <c r="D702" s="2" t="str">
        <f>IFERROR(__xludf.DUMMYFUNCTION("""COMPUTED_VALUE"""),"थोक विक्रेता")</f>
        <v>थोक विक्रेता</v>
      </c>
      <c r="E702" s="2" t="str">
        <f>IFERROR(__xludf.DUMMYFUNCTION("""COMPUTED_VALUE"""),"ಸಗಟು ವ್ಯಾಪಾರಿ")</f>
        <v>ಸಗಟು ವ್ಯಾಪಾರಿ</v>
      </c>
      <c r="F702" s="2" t="str">
        <f>IFERROR(__xludf.DUMMYFUNCTION("""COMPUTED_VALUE"""),"Hoolsalealer")</f>
        <v>Hoolsalealer</v>
      </c>
      <c r="G702" s="2" t="str">
        <f>IFERROR(__xludf.DUMMYFUNCTION("""COMPUTED_VALUE"""),"পাইকাৰী বিক্ৰেতা")</f>
        <v>পাইকাৰী বিক্ৰেতা</v>
      </c>
      <c r="H702" s="2" t="str">
        <f>IFERROR(__xludf.DUMMYFUNCTION("""COMPUTED_VALUE"""),"જથ્થાબંધ વેપારી")</f>
        <v>જથ્થાબંધ વેપારી</v>
      </c>
      <c r="I702" s="2" t="str">
        <f>IFERROR(__xludf.DUMMYFUNCTION("""COMPUTED_VALUE"""),"घाऊक विक्रेता")</f>
        <v>घाऊक विक्रेता</v>
      </c>
      <c r="J702" s="2" t="str">
        <f>IFERROR(__xludf.DUMMYFUNCTION("""COMPUTED_VALUE"""),"മൊത്തവാതാവ്")</f>
        <v>മൊത്തവാതാവ്</v>
      </c>
      <c r="K702" s="2" t="str">
        <f>IFERROR(__xludf.DUMMYFUNCTION("""COMPUTED_VALUE"""),"ਖਾਲੀ ਕਰਨ ਵਾਲਾ")</f>
        <v>ਖਾਲੀ ਕਰਨ ਵਾਲਾ</v>
      </c>
      <c r="L702" s="2" t="str">
        <f>IFERROR(__xludf.DUMMYFUNCTION("""COMPUTED_VALUE"""),"மொத்த விற்பனையாளர்")</f>
        <v>மொத்த விற்பனையாளர்</v>
      </c>
      <c r="M702" s="2" t="str">
        <f>IFERROR(__xludf.DUMMYFUNCTION("""COMPUTED_VALUE"""),"టోకు వ్యాపారి")</f>
        <v>టోకు వ్యాపారి</v>
      </c>
    </row>
    <row r="703">
      <c r="A703" s="2" t="str">
        <f>Master_en!A703</f>
        <v>IncreaseEarningBy150</v>
      </c>
      <c r="B703" s="2" t="str">
        <f>Master_en!B703</f>
        <v>Increase Earning By 150% </v>
      </c>
      <c r="C703" s="2" t="str">
        <f>IFERROR(__xludf.DUMMYFUNCTION("""COMPUTED_VALUE"""),"150% উপার্জন বৃদ্ধি করুন")</f>
        <v>150% উপার্জন বৃদ্ধি করুন</v>
      </c>
      <c r="D703" s="2" t="str">
        <f>IFERROR(__xludf.DUMMYFUNCTION("""COMPUTED_VALUE"""),"150% की कमाई में वृद्धि")</f>
        <v>150% की कमाई में वृद्धि</v>
      </c>
      <c r="E703" s="2" t="str">
        <f>IFERROR(__xludf.DUMMYFUNCTION("""COMPUTED_VALUE"""),"ಗಳಿಕೆಯನ್ನು 150% ಹೆಚ್ಚಿಸಿ")</f>
        <v>ಗಳಿಕೆಯನ್ನು 150% ಹೆಚ್ಚಿಸಿ</v>
      </c>
      <c r="F703" s="2" t="str">
        <f>IFERROR(__xludf.DUMMYFUNCTION("""COMPUTED_VALUE"""),"150% ବୃଦ୍ଧି ବୃଦ୍ଧି |")</f>
        <v>150% ବୃଦ୍ଧି ବୃଦ୍ଧି |</v>
      </c>
      <c r="G703" s="2" t="str">
        <f>IFERROR(__xludf.DUMMYFUNCTION("""COMPUTED_VALUE"""),"১৫০% উপাৰ্জন বৃদ্ধি কৰক")</f>
        <v>১৫০% উপাৰ্জন বৃদ্ধি কৰক</v>
      </c>
      <c r="H703" s="2" t="str">
        <f>IFERROR(__xludf.DUMMYFUNCTION("""COMPUTED_VALUE"""),"કમાણીમાં 150% વધારો")</f>
        <v>કમાણીમાં 150% વધારો</v>
      </c>
      <c r="I703" s="2" t="str">
        <f>IFERROR(__xludf.DUMMYFUNCTION("""COMPUTED_VALUE"""),"कमाई 150% ने वाढवा")</f>
        <v>कमाई 150% ने वाढवा</v>
      </c>
      <c r="J703" s="2" t="str">
        <f>IFERROR(__xludf.DUMMYFUNCTION("""COMPUTED_VALUE"""),"150% വരുമാനം വർദ്ധിപ്പിക്കുക")</f>
        <v>150% വരുമാനം വർദ്ധിപ്പിക്കുക</v>
      </c>
      <c r="K703" s="2" t="str">
        <f>IFERROR(__xludf.DUMMYFUNCTION("""COMPUTED_VALUE"""),"150% ਦੀ ਕਮਾਈ ਵਧਾਓ")</f>
        <v>150% ਦੀ ਕਮਾਈ ਵਧਾਓ</v>
      </c>
      <c r="L703" s="2" t="str">
        <f>IFERROR(__xludf.DUMMYFUNCTION("""COMPUTED_VALUE"""),"சம்பாதித்ததை 150% அதிகரிக்கவும்")</f>
        <v>சம்பாதித்ததை 150% அதிகரிக்கவும்</v>
      </c>
      <c r="M703" s="2" t="str">
        <f>IFERROR(__xludf.DUMMYFUNCTION("""COMPUTED_VALUE"""),"సంపాదన 150% పెంచండి")</f>
        <v>సంపాదన 150% పెంచండి</v>
      </c>
    </row>
    <row r="704">
      <c r="A704" s="2" t="str">
        <f>Master_en!A704</f>
        <v>Trader/Broker </v>
      </c>
      <c r="B704" s="2" t="str">
        <f>Master_en!B704</f>
        <v>Trader/Broker </v>
      </c>
      <c r="C704" s="2" t="str">
        <f>IFERROR(__xludf.DUMMYFUNCTION("""COMPUTED_VALUE"""),"ব্যবসায়ী/ব্রোকার")</f>
        <v>ব্যবসায়ী/ব্রোকার</v>
      </c>
      <c r="D704" s="2" t="str">
        <f>IFERROR(__xludf.DUMMYFUNCTION("""COMPUTED_VALUE"""),"व्यापारी/दलाल")</f>
        <v>व्यापारी/दलाल</v>
      </c>
      <c r="E704" s="2" t="str">
        <f>IFERROR(__xludf.DUMMYFUNCTION("""COMPUTED_VALUE"""),"ವ್ಯಾಪಾರಿ/ದಲ್ಲಾಳಿ")</f>
        <v>ವ್ಯಾಪಾರಿ/ದಲ್ಲಾಳಿ</v>
      </c>
      <c r="F704" s="2" t="str">
        <f>IFERROR(__xludf.DUMMYFUNCTION("""COMPUTED_VALUE"""),"ବ୍ୟବସାୟୀ / ଦଲାଲ୍ |")</f>
        <v>ବ୍ୟବସାୟୀ / ଦଲାଲ୍ |</v>
      </c>
      <c r="G704" s="2" t="str">
        <f>IFERROR(__xludf.DUMMYFUNCTION("""COMPUTED_VALUE"""),"ব্যৱসায়ী/দালাল")</f>
        <v>ব্যৱসায়ী/দালাল</v>
      </c>
      <c r="H704" s="2" t="str">
        <f>IFERROR(__xludf.DUMMYFUNCTION("""COMPUTED_VALUE"""),"વેપારી/દલાલ")</f>
        <v>વેપારી/દલાલ</v>
      </c>
      <c r="I704" s="2" t="str">
        <f>IFERROR(__xludf.DUMMYFUNCTION("""COMPUTED_VALUE"""),"व्यापारी/दलाल")</f>
        <v>व्यापारी/दलाल</v>
      </c>
      <c r="J704" s="2" t="str">
        <f>IFERROR(__xludf.DUMMYFUNCTION("""COMPUTED_VALUE"""),"വ്യാപാരി / ബ്രോക്കർ")</f>
        <v>വ്യാപാരി / ബ്രോക്കർ</v>
      </c>
      <c r="K704" s="2" t="str">
        <f>IFERROR(__xludf.DUMMYFUNCTION("""COMPUTED_VALUE"""),"ਵਪਾਰੀ / ਬ੍ਰੋਕਰ")</f>
        <v>ਵਪਾਰੀ / ਬ੍ਰੋਕਰ</v>
      </c>
      <c r="L704" s="2" t="str">
        <f>IFERROR(__xludf.DUMMYFUNCTION("""COMPUTED_VALUE"""),"வர்த்தகர்/தரகர்")</f>
        <v>வர்த்தகர்/தரகர்</v>
      </c>
      <c r="M704" s="2" t="str">
        <f>IFERROR(__xludf.DUMMYFUNCTION("""COMPUTED_VALUE"""),"వ్యాపారి/బ్రోకర్")</f>
        <v>వ్యాపారి/బ్రోకర్</v>
      </c>
    </row>
    <row r="705">
      <c r="A705" s="2" t="str">
        <f>Master_en!A705</f>
        <v>Deliverypartner</v>
      </c>
      <c r="B705" s="2" t="str">
        <f>Master_en!B705</f>
        <v>Delivery Partner</v>
      </c>
      <c r="C705" s="2" t="str">
        <f>IFERROR(__xludf.DUMMYFUNCTION("""COMPUTED_VALUE"""),"বিতরণ অংশীদার")</f>
        <v>বিতরণ অংশীদার</v>
      </c>
      <c r="D705" s="2" t="str">
        <f>IFERROR(__xludf.DUMMYFUNCTION("""COMPUTED_VALUE"""),"वितरण भागीदार")</f>
        <v>वितरण भागीदार</v>
      </c>
      <c r="E705" s="2" t="str">
        <f>IFERROR(__xludf.DUMMYFUNCTION("""COMPUTED_VALUE"""),"ವಿತರಣಾ ಪಾಲುದಾರ")</f>
        <v>ವಿತರಣಾ ಪಾಲುದಾರ</v>
      </c>
      <c r="F705" s="2" t="str">
        <f>IFERROR(__xludf.DUMMYFUNCTION("""COMPUTED_VALUE"""),"ବିତରଣ ସାଥୀ |")</f>
        <v>ବିତରଣ ସାଥୀ |</v>
      </c>
      <c r="G705" s="2" t="str">
        <f>IFERROR(__xludf.DUMMYFUNCTION("""COMPUTED_VALUE"""),"ডেলিভাৰী অংশীদাৰ")</f>
        <v>ডেলিভাৰী অংশীদাৰ</v>
      </c>
      <c r="H705" s="2" t="str">
        <f>IFERROR(__xludf.DUMMYFUNCTION("""COMPUTED_VALUE"""),"વિતરણ ભાગીદાર")</f>
        <v>વિતરણ ભાગીદાર</v>
      </c>
      <c r="I705" s="2" t="str">
        <f>IFERROR(__xludf.DUMMYFUNCTION("""COMPUTED_VALUE"""),"वितरण भागीदार")</f>
        <v>वितरण भागीदार</v>
      </c>
      <c r="J705" s="2" t="str">
        <f>IFERROR(__xludf.DUMMYFUNCTION("""COMPUTED_VALUE"""),"ഡെലിവറി പങ്കാളി")</f>
        <v>ഡെലിവറി പങ്കാളി</v>
      </c>
      <c r="K705" s="2" t="str">
        <f>IFERROR(__xludf.DUMMYFUNCTION("""COMPUTED_VALUE"""),"ਸਪੁਰਦਗੀ ਸਾਥੀ")</f>
        <v>ਸਪੁਰਦਗੀ ਸਾਥੀ</v>
      </c>
      <c r="L705" s="2" t="str">
        <f>IFERROR(__xludf.DUMMYFUNCTION("""COMPUTED_VALUE"""),"விநியோக கூட்டாளர்")</f>
        <v>விநியோக கூட்டாளர்</v>
      </c>
      <c r="M705" s="2" t="str">
        <f>IFERROR(__xludf.DUMMYFUNCTION("""COMPUTED_VALUE"""),"డెలివరీ భాగస్వామి")</f>
        <v>డెలివరీ భాగస్వామి</v>
      </c>
    </row>
    <row r="706">
      <c r="A706" s="2" t="str">
        <f>Master_en!A706</f>
        <v>Inviteesmobilenumber</v>
      </c>
      <c r="B706" s="2" t="str">
        <f>Master_en!B706</f>
        <v>Invitees Mobile Number </v>
      </c>
      <c r="C706" s="2" t="str">
        <f>IFERROR(__xludf.DUMMYFUNCTION("""COMPUTED_VALUE"""),"আমন্ত্রণ মোবাইল নম্বর")</f>
        <v>আমন্ত্রণ মোবাইল নম্বর</v>
      </c>
      <c r="D706" s="2" t="str">
        <f>IFERROR(__xludf.DUMMYFUNCTION("""COMPUTED_VALUE"""),"मोबाइल नंबर आमंत्रित करता है")</f>
        <v>मोबाइल नंबर आमंत्रित करता है</v>
      </c>
      <c r="E706" s="2" t="str">
        <f>IFERROR(__xludf.DUMMYFUNCTION("""COMPUTED_VALUE"""),"ಆಹ್ವಾನಿಸುವ ಮೊಬೈಲ್ ಸಂಖ್ಯೆ")</f>
        <v>ಆಹ್ವಾನಿಸುವ ಮೊಬೈಲ್ ಸಂಖ್ಯೆ</v>
      </c>
      <c r="F706" s="2" t="str">
        <f>IFERROR(__xludf.DUMMYFUNCTION("""COMPUTED_VALUE"""),"ମୋବାଇଲ୍ ନମ୍ବରକୁ ନିମନ୍ତ୍ରଣ କରେ |")</f>
        <v>ମୋବାଇଲ୍ ନମ୍ବରକୁ ନିମନ୍ତ୍ରଣ କରେ |</v>
      </c>
      <c r="G706" s="2" t="str">
        <f>IFERROR(__xludf.DUMMYFUNCTION("""COMPUTED_VALUE"""),"আমন্ত্ৰিত ব্যক্তিৰ মোবাইল নম্বৰ")</f>
        <v>আমন্ত্ৰিত ব্যক্তিৰ মোবাইল নম্বৰ</v>
      </c>
      <c r="H706" s="2" t="str">
        <f>IFERROR(__xludf.DUMMYFUNCTION("""COMPUTED_VALUE"""),"મોબાઇલ નંબર આમંત્રણ")</f>
        <v>મોબાઇલ નંબર આમંત્રણ</v>
      </c>
      <c r="I706" s="2" t="str">
        <f>IFERROR(__xludf.DUMMYFUNCTION("""COMPUTED_VALUE"""),"मोबाइल नंबरला आमंत्रित करते")</f>
        <v>मोबाइल नंबरला आमंत्रित करते</v>
      </c>
      <c r="J706" s="2" t="str">
        <f>IFERROR(__xludf.DUMMYFUNCTION("""COMPUTED_VALUE"""),"മൊബൈൽ നമ്പർ ക്ഷണിക്കുക")</f>
        <v>മൊബൈൽ നമ്പർ ക്ഷണിക്കുക</v>
      </c>
      <c r="K706" s="2" t="str">
        <f>IFERROR(__xludf.DUMMYFUNCTION("""COMPUTED_VALUE"""),"ਮੋਬਾਈਲ ਨੰਬਰ ਨੂੰ ਸੱਦਾ ਦਿੰਦਾ ਹੈ")</f>
        <v>ਮੋਬਾਈਲ ਨੰਬਰ ਨੂੰ ਸੱਦਾ ਦਿੰਦਾ ਹੈ</v>
      </c>
      <c r="L706" s="2" t="str">
        <f>IFERROR(__xludf.DUMMYFUNCTION("""COMPUTED_VALUE"""),"மொபைல் எண்ணை அழைப்பது")</f>
        <v>மொபைல் எண்ணை அழைப்பது</v>
      </c>
      <c r="M706" s="2" t="str">
        <f>IFERROR(__xludf.DUMMYFUNCTION("""COMPUTED_VALUE"""),"మొబైల్ నంబర్‌ను ఆహ్వానిస్తున్నారు")</f>
        <v>మొబైల్ నంబర్‌ను ఆహ్వానిస్తున్నారు</v>
      </c>
    </row>
    <row r="707">
      <c r="A707" s="2" t="str">
        <f>Master_en!A707</f>
        <v>ReferralSMSsendsucessfully</v>
      </c>
      <c r="B707" s="2" t="str">
        <f>Master_en!B707</f>
        <v>Referral SMS Sent Successfully</v>
      </c>
      <c r="C707" s="2" t="str">
        <f>IFERROR(__xludf.DUMMYFUNCTION("""COMPUTED_VALUE"""),"রেফারেল এসএমএস সফলভাবে প্রেরণ করা হয়েছে")</f>
        <v>রেফারেল এসএমএস সফলভাবে প্রেরণ করা হয়েছে</v>
      </c>
      <c r="D707" s="2" t="str">
        <f>IFERROR(__xludf.DUMMYFUNCTION("""COMPUTED_VALUE"""),"रेफ़रल एसएमएस सफलतापूर्वक भेजा गया")</f>
        <v>रेफ़रल एसएमएस सफलतापूर्वक भेजा गया</v>
      </c>
      <c r="E707" s="2" t="str">
        <f>IFERROR(__xludf.DUMMYFUNCTION("""COMPUTED_VALUE"""),"ರೆಫರಲ್ ಎಸ್‌ಎಂಎಸ್ ಯಶಸ್ವಿಯಾಗಿ ಕಳುಹಿಸಲಾಗಿದೆ")</f>
        <v>ರೆಫರಲ್ ಎಸ್‌ಎಂಎಸ್ ಯಶಸ್ವಿಯಾಗಿ ಕಳುಹಿಸಲಾಗಿದೆ</v>
      </c>
      <c r="F707" s="2" t="str">
        <f>IFERROR(__xludf.DUMMYFUNCTION("""COMPUTED_VALUE"""),"ରେଫରାଲ୍ SMଗୁଡିକ ସଫଳତାର ସହିତ ପଠାଗଲା |")</f>
        <v>ରେଫରାଲ୍ SMଗୁଡିକ ସଫଳତାର ସହିତ ପଠାଗଲା |</v>
      </c>
      <c r="G707" s="2" t="str">
        <f>IFERROR(__xludf.DUMMYFUNCTION("""COMPUTED_VALUE"""),"ৰেফাৰেল এছএমএছ সফলতাৰে প্ৰেৰণ কৰক")</f>
        <v>ৰেফাৰেল এছএমএছ সফলতাৰে প্ৰেৰণ কৰক</v>
      </c>
      <c r="H707" s="2" t="str">
        <f>IFERROR(__xludf.DUMMYFUNCTION("""COMPUTED_VALUE"""),"રેફરલ એસએમએસ સફળતાપૂર્વક મોકલ્યો")</f>
        <v>રેફરલ એસએમએસ સફળતાપૂર્વક મોકલ્યો</v>
      </c>
      <c r="I707" s="2" t="str">
        <f>IFERROR(__xludf.DUMMYFUNCTION("""COMPUTED_VALUE"""),"रेफरल एसएमएस यशस्वीरित्या पाठविले")</f>
        <v>रेफरल एसएमएस यशस्वीरित्या पाठविले</v>
      </c>
      <c r="J707" s="2" t="str">
        <f>IFERROR(__xludf.DUMMYFUNCTION("""COMPUTED_VALUE"""),"റഫറൽ SMS വിജയകരമായി അയച്ചു")</f>
        <v>റഫറൽ SMS വിജയകരമായി അയച്ചു</v>
      </c>
      <c r="K707" s="2" t="str">
        <f>IFERROR(__xludf.DUMMYFUNCTION("""COMPUTED_VALUE"""),"ਸਫਲਤਾਪੂਰਵਕ ਰੈਫਰਲ ਐਸਐਮਐਸ ਭੇਜਿਆ ਗਿਆ")</f>
        <v>ਸਫਲਤਾਪੂਰਵਕ ਰੈਫਰਲ ਐਸਐਮਐਸ ਭੇਜਿਆ ਗਿਆ</v>
      </c>
      <c r="L707" s="2" t="str">
        <f>IFERROR(__xludf.DUMMYFUNCTION("""COMPUTED_VALUE"""),"பரிந்துரை எஸ்எம்எஸ் வெற்றிகரமாக அனுப்பப்பட்டது")</f>
        <v>பரிந்துரை எஸ்எம்எஸ் வெற்றிகரமாக அனுப்பப்பட்டது</v>
      </c>
      <c r="M707" s="2" t="str">
        <f>IFERROR(__xludf.DUMMYFUNCTION("""COMPUTED_VALUE"""),"రెఫరల్ SMS విజయవంతంగా పంపబడింది")</f>
        <v>రెఫరల్ SMS విజయవంతంగా పంపబడింది</v>
      </c>
    </row>
    <row r="708">
      <c r="A708" s="2" t="str">
        <f>Master_en!A708</f>
        <v>RequestingReferretoGiveaMissCallon</v>
      </c>
      <c r="B708" s="2" t="str">
        <f>Master_en!B708</f>
        <v>Requesting Referee to Give a Miss Call on</v>
      </c>
      <c r="C708" s="2" t="str">
        <f>IFERROR(__xludf.DUMMYFUNCTION("""COMPUTED_VALUE"""),"রেফারিকে একটি মিস কল দেওয়ার জন্য অনুরোধ করা হচ্ছে")</f>
        <v>রেফারিকে একটি মিস কল দেওয়ার জন্য অনুরোধ করা হচ্ছে</v>
      </c>
      <c r="D708" s="2" t="str">
        <f>IFERROR(__xludf.DUMMYFUNCTION("""COMPUTED_VALUE"""),"रेफरी से अनुरोध करने के लिए एक मिस कॉल देने के लिए")</f>
        <v>रेफरी से अनुरोध करने के लिए एक मिस कॉल देने के लिए</v>
      </c>
      <c r="E708" s="2" t="str">
        <f>IFERROR(__xludf.DUMMYFUNCTION("""COMPUTED_VALUE"""),"ಮಿಸ್ ಕರೆ ಮಾಡಲು ರೆಫರಿ ವಿನಂತಿಸುವುದು")</f>
        <v>ಮಿಸ್ ಕರೆ ಮಾಡಲು ರೆಫರಿ ವಿನಂತಿಸುವುದು</v>
      </c>
      <c r="F708" s="2" t="str">
        <f>IFERROR(__xludf.DUMMYFUNCTION("""COMPUTED_VALUE"""),"ଏକ ମିସ୍ କଲ୍ ଦେବାକୁ ରେଫରିଙ୍କୁ ଅନୁରୋଧ |")</f>
        <v>ଏକ ମିସ୍ କଲ୍ ଦେବାକୁ ରେଫରିଙ୍କୁ ଅନୁରୋଧ |</v>
      </c>
      <c r="G708" s="2" t="str">
        <f>IFERROR(__xludf.DUMMYFUNCTION("""COMPUTED_VALUE"""),"মিছ কল অন দিবলৈ ৰেফাৰ কৰিবলৈ অনুৰোধ কৰা")</f>
        <v>মিছ কল অন দিবলৈ ৰেফাৰ কৰিবলৈ অনুৰোধ কৰা</v>
      </c>
      <c r="H708" s="2" t="str">
        <f>IFERROR(__xludf.DUMMYFUNCTION("""COMPUTED_VALUE"""),"રેફરીને મિસ ક call લ આપવા માટે વિનંતી")</f>
        <v>રેફરીને મિસ ક call લ આપવા માટે વિનંતી</v>
      </c>
      <c r="I708" s="2" t="str">
        <f>IFERROR(__xludf.DUMMYFUNCTION("""COMPUTED_VALUE"""),"रेफरीला विनामत करण्यासाठी विनंती करणे")</f>
        <v>रेफरीला विनामत करण्यासाठी विनंती करणे</v>
      </c>
      <c r="J708" s="2" t="str">
        <f>IFERROR(__xludf.DUMMYFUNCTION("""COMPUTED_VALUE"""),"ഒരു മിസ് കോൾ നൽകാൻ റഫറി അഭ്യർത്ഥിക്കുന്നു")</f>
        <v>ഒരു മിസ് കോൾ നൽകാൻ റഫറി അഭ്യർത്ഥിക്കുന്നു</v>
      </c>
      <c r="K708" s="2" t="str">
        <f>IFERROR(__xludf.DUMMYFUNCTION("""COMPUTED_VALUE"""),"ਮਿਸ ਕਾਲ ਕਰਨ ਲਈ ਰੈਫਰੀ ਦੀ ਬੇਨਤੀ ਕਰਨਾ")</f>
        <v>ਮਿਸ ਕਾਲ ਕਰਨ ਲਈ ਰੈਫਰੀ ਦੀ ਬੇਨਤੀ ਕਰਨਾ</v>
      </c>
      <c r="L708" s="2" t="str">
        <f>IFERROR(__xludf.DUMMYFUNCTION("""COMPUTED_VALUE"""),"ஒரு மிஸ் அழைப்பைக் கொடுக்க நடுவரிடம் கோருகிறது")</f>
        <v>ஒரு மிஸ் அழைப்பைக் கொடுக்க நடுவரிடம் கோருகிறது</v>
      </c>
      <c r="M708" s="2" t="str">
        <f>IFERROR(__xludf.DUMMYFUNCTION("""COMPUTED_VALUE"""),"మిస్ కాల్ ఇవ్వమని రిఫరీని అభ్యర్థిస్తున్నారు")</f>
        <v>మిస్ కాల్ ఇవ్వమని రిఫరీని అభ్యర్థిస్తున్నారు</v>
      </c>
    </row>
    <row r="709">
      <c r="A709" s="2" t="str">
        <f>Master_en!A709</f>
        <v>totalrewardsearn</v>
      </c>
      <c r="B709" s="2" t="str">
        <f>Master_en!B709</f>
        <v>Total Rewards Earn </v>
      </c>
      <c r="C709" s="2" t="str">
        <f>IFERROR(__xludf.DUMMYFUNCTION("""COMPUTED_VALUE"""),"মোট পুরষ্কার উপার্জন")</f>
        <v>মোট পুরষ্কার উপার্জন</v>
      </c>
      <c r="D709" s="2" t="str">
        <f>IFERROR(__xludf.DUMMYFUNCTION("""COMPUTED_VALUE"""),"कुल पुरस्कार अर्जित करें")</f>
        <v>कुल पुरस्कार अर्जित करें</v>
      </c>
      <c r="E709" s="2" t="str">
        <f>IFERROR(__xludf.DUMMYFUNCTION("""COMPUTED_VALUE"""),"ಒಟ್ಟು ಪ್ರತಿಫಲಗಳು ಗಳಿಸುತ್ತವೆ")</f>
        <v>ಒಟ್ಟು ಪ್ರತಿಫಲಗಳು ಗಳಿಸುತ್ತವೆ</v>
      </c>
      <c r="F709" s="2" t="str">
        <f>IFERROR(__xludf.DUMMYFUNCTION("""COMPUTED_VALUE"""),"ସମୁଦାୟ ପୁରସ୍କାର ରୋଜଗାର କରେ |")</f>
        <v>ସମୁଦାୟ ପୁରସ୍କାର ରୋଜଗାର କରେ |</v>
      </c>
      <c r="G709" s="2" t="str">
        <f>IFERROR(__xludf.DUMMYFUNCTION("""COMPUTED_VALUE"""),"মুঠ পুৰস্কাৰ উপাৰ্জন")</f>
        <v>মুঠ পুৰস্কাৰ উপাৰ্জন</v>
      </c>
      <c r="H709" s="2" t="str">
        <f>IFERROR(__xludf.DUMMYFUNCTION("""COMPUTED_VALUE"""),"કુલ પુરસ્કારો કમાય છે")</f>
        <v>કુલ પુરસ્કારો કમાય છે</v>
      </c>
      <c r="I709" s="2" t="str">
        <f>IFERROR(__xludf.DUMMYFUNCTION("""COMPUTED_VALUE"""),"एकूण बक्षिसे कमावतात")</f>
        <v>एकूण बक्षिसे कमावतात</v>
      </c>
      <c r="J709" s="2" t="str">
        <f>IFERROR(__xludf.DUMMYFUNCTION("""COMPUTED_VALUE"""),"ആകെ റിവാർഡുകൾ നേടുന്നു")</f>
        <v>ആകെ റിവാർഡുകൾ നേടുന്നു</v>
      </c>
      <c r="K709" s="2" t="str">
        <f>IFERROR(__xludf.DUMMYFUNCTION("""COMPUTED_VALUE"""),"ਕੁੱਲ ਇਨਾਮ ਕਮਾਉਂਦੇ ਹਨ")</f>
        <v>ਕੁੱਲ ਇਨਾਮ ਕਮਾਉਂਦੇ ਹਨ</v>
      </c>
      <c r="L709" s="2" t="str">
        <f>IFERROR(__xludf.DUMMYFUNCTION("""COMPUTED_VALUE"""),"மொத்த வெகுமதிகள் சம்பாதிக்கின்றன")</f>
        <v>மொத்த வெகுமதிகள் சம்பாதிக்கின்றன</v>
      </c>
      <c r="M709" s="2" t="str">
        <f>IFERROR(__xludf.DUMMYFUNCTION("""COMPUTED_VALUE"""),"మొత్తం రివార్డులు సంపాదిస్తాయి")</f>
        <v>మొత్తం రివార్డులు సంపాదిస్తాయి</v>
      </c>
    </row>
    <row r="710">
      <c r="A710" s="2" t="str">
        <f>Master_en!A710</f>
        <v>MyReferrals</v>
      </c>
      <c r="B710" s="2" t="str">
        <f>Master_en!B710</f>
        <v>My Referrals</v>
      </c>
      <c r="C710" s="2" t="str">
        <f>IFERROR(__xludf.DUMMYFUNCTION("""COMPUTED_VALUE"""),"আমার রেফারেল")</f>
        <v>আমার রেফারেল</v>
      </c>
      <c r="D710" s="2" t="str">
        <f>IFERROR(__xludf.DUMMYFUNCTION("""COMPUTED_VALUE"""),"मेरा सिफ़ारिशें")</f>
        <v>मेरा सिफ़ारिशें</v>
      </c>
      <c r="E710" s="2" t="str">
        <f>IFERROR(__xludf.DUMMYFUNCTION("""COMPUTED_VALUE"""),"ನನ್ನ ಉಲ್ಲೇಖಗಳು")</f>
        <v>ನನ್ನ ಉಲ್ಲೇಖಗಳು</v>
      </c>
      <c r="F710" s="2" t="str">
        <f>IFERROR(__xludf.DUMMYFUNCTION("""COMPUTED_VALUE"""),"ମୋର ରେଫରାଲ୍ |")</f>
        <v>ମୋର ରେଫରାଲ୍ |</v>
      </c>
      <c r="G710" s="2" t="str">
        <f>IFERROR(__xludf.DUMMYFUNCTION("""COMPUTED_VALUE"""),"মোৰ ৰেফাৰেলসমূহ")</f>
        <v>মোৰ ৰেফাৰেলসমূহ</v>
      </c>
      <c r="H710" s="2" t="str">
        <f>IFERROR(__xludf.DUMMYFUNCTION("""COMPUTED_VALUE"""),"મારા સંદર્ભો")</f>
        <v>મારા સંદર્ભો</v>
      </c>
      <c r="I710" s="2" t="str">
        <f>IFERROR(__xludf.DUMMYFUNCTION("""COMPUTED_VALUE"""),"यावर  मिस कॉल देण्याची विनंती करत आहे")</f>
        <v>यावर  मिस कॉल देण्याची विनंती करत आहे</v>
      </c>
      <c r="J710" s="2" t="str">
        <f>IFERROR(__xludf.DUMMYFUNCTION("""COMPUTED_VALUE"""),"എന്റെ റഫറലുകൾ")</f>
        <v>എന്റെ റഫറലുകൾ</v>
      </c>
      <c r="K710" s="2" t="str">
        <f>IFERROR(__xludf.DUMMYFUNCTION("""COMPUTED_VALUE"""),"ਮੇਰੇ ਹਵਾਲੇ")</f>
        <v>ਮੇਰੇ ਹਵਾਲੇ</v>
      </c>
      <c r="L710" s="2" t="str">
        <f>IFERROR(__xludf.DUMMYFUNCTION("""COMPUTED_VALUE"""),"எனது பரிந்துரைகள்")</f>
        <v>எனது பரிந்துரைகள்</v>
      </c>
      <c r="M710" s="2" t="str">
        <f>IFERROR(__xludf.DUMMYFUNCTION("""COMPUTED_VALUE"""),"ఆహ్వానితుల మొబైల్ నంబర్")</f>
        <v>ఆహ్వానితుల మొబైల్ నంబర్</v>
      </c>
    </row>
    <row r="711">
      <c r="A711" s="2" t="str">
        <f>Master_en!A711</f>
        <v>IncreaseEarningBy </v>
      </c>
      <c r="B711" s="2" t="str">
        <f>Master_en!B711</f>
        <v>Increase Earning By </v>
      </c>
      <c r="C711" s="2" t="str">
        <f>IFERROR(__xludf.DUMMYFUNCTION("""COMPUTED_VALUE"""),"দ্বারা উপার্জন বৃদ্ধি")</f>
        <v>দ্বারা উপার্জন বৃদ্ধি</v>
      </c>
      <c r="D711" s="2" t="str">
        <f>IFERROR(__xludf.DUMMYFUNCTION("""COMPUTED_VALUE"""),"द्वारा कमाई में वृद्धि")</f>
        <v>द्वारा कमाई में वृद्धि</v>
      </c>
      <c r="E711" s="2" t="str">
        <f>IFERROR(__xludf.DUMMYFUNCTION("""COMPUTED_VALUE"""),"ಇವರಿಂದ ಗಳಿಕೆಯನ್ನು ಹೆಚ್ಚಿಸಿ")</f>
        <v>ಇವರಿಂದ ಗಳಿಕೆಯನ್ನು ಹೆಚ್ಚಿಸಿ</v>
      </c>
      <c r="F711" s="2" t="str">
        <f>IFERROR(__xludf.DUMMYFUNCTION("""COMPUTED_VALUE"""),"ଦ୍ୱାରା ରୋଜଗାର")</f>
        <v>ଦ୍ୱାରା ରୋଜଗାର</v>
      </c>
      <c r="G711" s="2" t="str">
        <f>IFERROR(__xludf.DUMMYFUNCTION("""COMPUTED_VALUE"""),"উপাৰ্জন বৃদ্ধি কৰক দ্বাৰা")</f>
        <v>উপাৰ্জন বৃদ্ধি কৰক দ্বাৰা</v>
      </c>
      <c r="H711" s="2" t="str">
        <f>IFERROR(__xludf.DUMMYFUNCTION("""COMPUTED_VALUE"""),"આવકમાં વધારો")</f>
        <v>આવકમાં વધારો</v>
      </c>
      <c r="I711" s="2" t="str">
        <f>IFERROR(__xludf.DUMMYFUNCTION("""COMPUTED_VALUE"""),"एकूण मिळवलेली बक्षिसे")</f>
        <v>एकूण मिळवलेली बक्षिसे</v>
      </c>
      <c r="J711" s="2" t="str">
        <f>IFERROR(__xludf.DUMMYFUNCTION("""COMPUTED_VALUE"""),"വരുമാനം വർദ്ധിപ്പിക്കുക")</f>
        <v>വരുമാനം വർദ്ധിപ്പിക്കുക</v>
      </c>
      <c r="K711" s="2" t="str">
        <f>IFERROR(__xludf.DUMMYFUNCTION("""COMPUTED_VALUE"""),"ਦੁਆਰਾ ਕਮਾਈ ਵਧਦੀ ਹੈ")</f>
        <v>ਦੁਆਰਾ ਕਮਾਈ ਵਧਦੀ ਹੈ</v>
      </c>
      <c r="L711" s="2" t="str">
        <f>IFERROR(__xludf.DUMMYFUNCTION("""COMPUTED_VALUE"""),"மூலம் சம்பாதிப்பதை அதிகரிக்கவும்")</f>
        <v>மூலம் சம்பாதிப்பதை அதிகரிக்கவும்</v>
      </c>
      <c r="M711" s="2" t="str">
        <f>IFERROR(__xludf.DUMMYFUNCTION("""COMPUTED_VALUE"""),"రెఫరల్ SMS విజయవంతంగా పంపబడింది")</f>
        <v>రెఫరల్ SMS విజయవంతంగా పంపబడింది</v>
      </c>
    </row>
    <row r="712">
      <c r="A712" s="2" t="str">
        <f>Master_en!A712</f>
        <v>IncreaseReferralEarningonEachsuccessfulinvite</v>
      </c>
      <c r="B712" s="2" t="str">
        <f>Master_en!B712</f>
        <v>Increase Referral Earning On Each Successful Invite</v>
      </c>
      <c r="C712" s="2" t="str">
        <f>IFERROR(__xludf.DUMMYFUNCTION("""COMPUTED_VALUE"""),"প্রতিটি সফল আমন্ত্রণে রেফারেল উপার্জন বৃদ্ধি করুন")</f>
        <v>প্রতিটি সফল আমন্ত্রণে রেফারেল উপার্জন বৃদ্ধি করুন</v>
      </c>
      <c r="D712" s="2" t="str">
        <f>IFERROR(__xludf.DUMMYFUNCTION("""COMPUTED_VALUE"""),"प्रत्येक सफल निमंत्रण पर रेफरल कमाई बढ़ाएं")</f>
        <v>प्रत्येक सफल निमंत्रण पर रेफरल कमाई बढ़ाएं</v>
      </c>
      <c r="E712" s="2" t="str">
        <f>IFERROR(__xludf.DUMMYFUNCTION("""COMPUTED_VALUE"""),"ಪ್ರತಿ ಯಶಸ್ವಿ ಆಹ್ವಾನದಲ್ಲಿ ಉಲ್ಲೇಖಿತ ಗಳಿಕೆಯನ್ನು ಹೆಚ್ಚಿಸಿ")</f>
        <v>ಪ್ರತಿ ಯಶಸ್ವಿ ಆಹ್ವಾನದಲ್ಲಿ ಉಲ್ಲೇಖಿತ ಗಳಿಕೆಯನ್ನು ಹೆಚ್ಚಿಸಿ</v>
      </c>
      <c r="F712" s="2" t="str">
        <f>IFERROR(__xludf.DUMMYFUNCTION("""COMPUTED_VALUE"""),"ପ୍ରତ୍ୟେକ ସଫଳ ନିମନ୍ତ୍ରଣ ଉପରେ ରେଫରାଲ୍ ରୋଜଗାର ବ increasing ାନ୍ତୁ |")</f>
        <v>ପ୍ରତ୍ୟେକ ସଫଳ ନିମନ୍ତ୍ରଣ ଉପରେ ରେଫରାଲ୍ ରୋଜଗାର ବ increasing ାନ୍ତୁ |</v>
      </c>
      <c r="G712" s="2" t="str">
        <f>IFERROR(__xludf.DUMMYFUNCTION("""COMPUTED_VALUE"""),"প্ৰতিটো সফল আমন্ত্ৰণত ৰেফাৰেল উপাৰ্জন বৃদ্ধি কৰক")</f>
        <v>প্ৰতিটো সফল আমন্ত্ৰণত ৰেফাৰেল উপাৰ্জন বৃদ্ধি কৰক</v>
      </c>
      <c r="H712" s="2" t="str">
        <f>IFERROR(__xludf.DUMMYFUNCTION("""COMPUTED_VALUE"""),"દરેક સફળ આમંત્રણ પર રેફરલ કમાણીમાં વધારો")</f>
        <v>દરેક સફળ આમંત્રણ પર રેફરલ કમાણીમાં વધારો</v>
      </c>
      <c r="I712" s="2" t="str">
        <f>IFERROR(__xludf.DUMMYFUNCTION("""COMPUTED_VALUE"""),"माझे संदर्भ")</f>
        <v>माझे संदर्भ</v>
      </c>
      <c r="J712" s="2" t="str">
        <f>IFERROR(__xludf.DUMMYFUNCTION("""COMPUTED_VALUE"""),"വിജയകരമായ ഓരോ ക്ഷണത്തിലും റഫറൽ വരുമാനം വർദ്ധിപ്പിക്കുക")</f>
        <v>വിജയകരമായ ഓരോ ക്ഷണത്തിലും റഫറൽ വരുമാനം വർദ്ധിപ്പിക്കുക</v>
      </c>
      <c r="K712" s="2" t="str">
        <f>IFERROR(__xludf.DUMMYFUNCTION("""COMPUTED_VALUE"""),"ਹਰੇਕ ਸਫਲ ਸੱਦੇ 'ਤੇ ਰੈਫਰਲ ਕਮਾਈ ਵਧਾਓ")</f>
        <v>ਹਰੇਕ ਸਫਲ ਸੱਦੇ 'ਤੇ ਰੈਫਰਲ ਕਮਾਈ ਵਧਾਓ</v>
      </c>
      <c r="L712" s="2" t="str">
        <f>IFERROR(__xludf.DUMMYFUNCTION("""COMPUTED_VALUE"""),"ஒவ்வொரு வெற்றிகரமான அழைப்பிலும் பரிந்துரை சம்பாதியை அதிகரிக்கவும்")</f>
        <v>ஒவ்வொரு வெற்றிகரமான அழைப்பிலும் பரிந்துரை சம்பாதியை அதிகரிக்கவும்</v>
      </c>
      <c r="M712" s="2" t="str">
        <f>IFERROR(__xludf.DUMMYFUNCTION("""COMPUTED_VALUE"""),"మిస్ కాల్ ఇవ్వమని సిఫార్సు చేయమని అభ్యర్థిస్తోంది")</f>
        <v>మిస్ కాల్ ఇవ్వమని సిఫార్సు చేయమని అభ్యర్థిస్తోంది</v>
      </c>
    </row>
    <row r="713">
      <c r="A713" s="2" t="str">
        <f>Master_en!A713</f>
        <v>Youcanwin</v>
      </c>
      <c r="B713" s="2" t="str">
        <f>Master_en!B713</f>
        <v>You Can Win</v>
      </c>
      <c r="C713" s="2" t="str">
        <f>IFERROR(__xludf.DUMMYFUNCTION("""COMPUTED_VALUE"""),"তুমি জিততে পারো")</f>
        <v>তুমি জিততে পারো</v>
      </c>
      <c r="D713" s="2" t="str">
        <f>IFERROR(__xludf.DUMMYFUNCTION("""COMPUTED_VALUE"""),"तुम जीत सकते हो")</f>
        <v>तुम जीत सकते हो</v>
      </c>
      <c r="E713" s="2" t="str">
        <f>IFERROR(__xludf.DUMMYFUNCTION("""COMPUTED_VALUE"""),"ನೀವು ಗೆಲ್ಲಬಹುದು")</f>
        <v>ನೀವು ಗೆಲ್ಲಬಹುದು</v>
      </c>
      <c r="F713" s="2" t="str">
        <f>IFERROR(__xludf.DUMMYFUNCTION("""COMPUTED_VALUE"""),"ତୁମେ ଜିତିବ |")</f>
        <v>ତୁମେ ଜିତିବ |</v>
      </c>
      <c r="G713" s="2" t="str">
        <f>IFERROR(__xludf.DUMMYFUNCTION("""COMPUTED_VALUE"""),"আপুনি জয়ী হ’ব পাৰে")</f>
        <v>আপুনি জয়ী হ’ব পাৰে</v>
      </c>
      <c r="H713" s="2" t="str">
        <f>IFERROR(__xludf.DUMMYFUNCTION("""COMPUTED_VALUE"""),"તમે જીતી શકો છો")</f>
        <v>તમે જીતી શકો છો</v>
      </c>
      <c r="I713" s="2" t="str">
        <f>IFERROR(__xludf.DUMMYFUNCTION("""COMPUTED_VALUE"""),"कमाई वाढवा")</f>
        <v>कमाई वाढवा</v>
      </c>
      <c r="J713" s="2" t="str">
        <f>IFERROR(__xludf.DUMMYFUNCTION("""COMPUTED_VALUE"""),"നിങ്ങൾക്ക് വിജയിക്കാനാകും")</f>
        <v>നിങ്ങൾക്ക് വിജയിക്കാനാകും</v>
      </c>
      <c r="K713" s="2" t="str">
        <f>IFERROR(__xludf.DUMMYFUNCTION("""COMPUTED_VALUE"""),"ਤੁਸੀਂ ਜਿੱਤ ਸਕਦੇ ਹੋ")</f>
        <v>ਤੁਸੀਂ ਜਿੱਤ ਸਕਦੇ ਹੋ</v>
      </c>
      <c r="L713" s="2" t="str">
        <f>IFERROR(__xludf.DUMMYFUNCTION("""COMPUTED_VALUE"""),"நீங்கள் வெல்ல முடியும்")</f>
        <v>நீங்கள் வெல்ல முடியும்</v>
      </c>
      <c r="M713" s="2" t="str">
        <f>IFERROR(__xludf.DUMMYFUNCTION("""COMPUTED_VALUE"""),"మొత్తం రివార్డ్‌లు సంపాదించండి")</f>
        <v>మొత్తం రివార్డ్‌లు సంపాదించండి</v>
      </c>
    </row>
    <row r="714">
      <c r="A714" s="2" t="str">
        <f>Master_en!A714</f>
        <v>YouWon</v>
      </c>
      <c r="B714" s="2" t="str">
        <f>Master_en!B714</f>
        <v>You Won</v>
      </c>
      <c r="C714" s="2" t="str">
        <f>IFERROR(__xludf.DUMMYFUNCTION("""COMPUTED_VALUE"""),"তুমি জিতেছিলে")</f>
        <v>তুমি জিতেছিলে</v>
      </c>
      <c r="D714" s="2" t="str">
        <f>IFERROR(__xludf.DUMMYFUNCTION("""COMPUTED_VALUE"""),"प्रत्येक सफल आमंत्रण पर रेफ़रल आय बढ़ाएँ")</f>
        <v>प्रत्येक सफल आमंत्रण पर रेफ़रल आय बढ़ाएँ</v>
      </c>
      <c r="E714" s="2" t="str">
        <f>IFERROR(__xludf.DUMMYFUNCTION("""COMPUTED_VALUE"""),"ನೀನು ಗೆದ್ದೆ")</f>
        <v>ನೀನು ಗೆದ್ದೆ</v>
      </c>
      <c r="F714" s="2" t="str">
        <f>IFERROR(__xludf.DUMMYFUNCTION("""COMPUTED_VALUE"""),"ତୁମେ ଜିତିଲ")</f>
        <v>ତୁମେ ଜିତିଲ</v>
      </c>
      <c r="G714" s="2" t="str">
        <f>IFERROR(__xludf.DUMMYFUNCTION("""COMPUTED_VALUE"""),"আপুনি জয়ী হ’ল")</f>
        <v>আপুনি জয়ী হ’ল</v>
      </c>
      <c r="H714" s="2" t="str">
        <f>IFERROR(__xludf.DUMMYFUNCTION("""COMPUTED_VALUE"""),"તમે જીત્યા")</f>
        <v>તમે જીત્યા</v>
      </c>
      <c r="I714" s="2" t="str">
        <f>IFERROR(__xludf.DUMMYFUNCTION("""COMPUTED_VALUE"""),"तू जिंकलास")</f>
        <v>तू जिंकलास</v>
      </c>
      <c r="J714" s="2" t="str">
        <f>IFERROR(__xludf.DUMMYFUNCTION("""COMPUTED_VALUE"""),"നീ വിജയിച്ചു")</f>
        <v>നീ വിജയിച്ചു</v>
      </c>
      <c r="K714" s="2" t="str">
        <f>IFERROR(__xludf.DUMMYFUNCTION("""COMPUTED_VALUE"""),"ਤੁਸੀ ਜਿੱਤੇ")</f>
        <v>ਤੁਸੀ ਜਿੱਤੇ</v>
      </c>
      <c r="L714" s="2" t="str">
        <f>IFERROR(__xludf.DUMMYFUNCTION("""COMPUTED_VALUE"""),"நீ வென்றாய்")</f>
        <v>நீ வென்றாய்</v>
      </c>
      <c r="M714" s="2" t="str">
        <f>IFERROR(__xludf.DUMMYFUNCTION("""COMPUTED_VALUE"""),"నువ్వు గెలిచావు")</f>
        <v>నువ్వు గెలిచావు</v>
      </c>
    </row>
    <row r="715">
      <c r="A715" s="2" t="str">
        <f>Master_en!A715</f>
        <v>ByReferring </v>
      </c>
      <c r="B715" s="2" t="str">
        <f>Master_en!B715</f>
        <v>By Referring </v>
      </c>
      <c r="C715" s="2" t="str">
        <f>IFERROR(__xludf.DUMMYFUNCTION("""COMPUTED_VALUE"""),"উল্লেখ করে")</f>
        <v>উল্লেখ করে</v>
      </c>
      <c r="D715" s="2" t="str">
        <f>IFERROR(__xludf.DUMMYFUNCTION("""COMPUTED_VALUE"""),"संदर्भ देकर")</f>
        <v>संदर्भ देकर</v>
      </c>
      <c r="E715" s="2" t="str">
        <f>IFERROR(__xludf.DUMMYFUNCTION("""COMPUTED_VALUE"""),"ಉಲ್ಲೇಖಿಸುವ ಮೂಲಕ")</f>
        <v>ಉಲ್ಲೇಖಿಸುವ ಮೂಲಕ</v>
      </c>
      <c r="F715" s="2" t="str">
        <f>IFERROR(__xludf.DUMMYFUNCTION("""COMPUTED_VALUE"""),"ରେଫରିଂ କରି |")</f>
        <v>ରେଫରିଂ କରି |</v>
      </c>
      <c r="G715" s="2" t="str">
        <f>IFERROR(__xludf.DUMMYFUNCTION("""COMPUTED_VALUE"""),"উল্লেখ কৰি")</f>
        <v>উল্লেখ কৰি</v>
      </c>
      <c r="H715" s="2" t="str">
        <f>IFERROR(__xludf.DUMMYFUNCTION("""COMPUTED_VALUE"""),"ઉલ્લેખ કરીને")</f>
        <v>ઉલ્લેખ કરીને</v>
      </c>
      <c r="I715" s="2" t="str">
        <f>IFERROR(__xludf.DUMMYFUNCTION("""COMPUTED_VALUE"""),"संदर्भ देऊन")</f>
        <v>संदर्भ देऊन</v>
      </c>
      <c r="J715" s="2" t="str">
        <f>IFERROR(__xludf.DUMMYFUNCTION("""COMPUTED_VALUE"""),"പരാമർശിക്കുന്നതിലൂടെ")</f>
        <v>പരാമർശിക്കുന്നതിലൂടെ</v>
      </c>
      <c r="K715" s="2" t="str">
        <f>IFERROR(__xludf.DUMMYFUNCTION("""COMPUTED_VALUE"""),"ਹਵਾਲਾ ਦੇ ਕੇ")</f>
        <v>ਹਵਾਲਾ ਦੇ ਕੇ</v>
      </c>
      <c r="L715" s="2" t="str">
        <f>IFERROR(__xludf.DUMMYFUNCTION("""COMPUTED_VALUE"""),"குறிப்பிடுவதன் மூலம்")</f>
        <v>குறிப்பிடுவதன் மூலம்</v>
      </c>
      <c r="M715" s="2" t="str">
        <f>IFERROR(__xludf.DUMMYFUNCTION("""COMPUTED_VALUE"""),"ద్వారా సంపాదన పెంచండి")</f>
        <v>ద్వారా సంపాదన పెంచండి</v>
      </c>
    </row>
    <row r="716">
      <c r="A716" s="2" t="str">
        <f>Master_en!A716</f>
        <v>Completed</v>
      </c>
      <c r="B716" s="2" t="str">
        <f>Master_en!B716</f>
        <v>Completed</v>
      </c>
      <c r="C716" s="2" t="str">
        <f>IFERROR(__xludf.DUMMYFUNCTION("""COMPUTED_VALUE"""),"সম্পূর্ণ")</f>
        <v>সম্পূর্ণ</v>
      </c>
      <c r="D716" s="2" t="str">
        <f>IFERROR(__xludf.DUMMYFUNCTION("""COMPUTED_VALUE"""),"पुरा होना।")</f>
        <v>पुरा होना।</v>
      </c>
      <c r="E716" s="2" t="str">
        <f>IFERROR(__xludf.DUMMYFUNCTION("""COMPUTED_VALUE"""),"ಪೂರ್ಣಗೊಂಡ")</f>
        <v>ಪೂರ್ಣಗೊಂಡ</v>
      </c>
      <c r="F716" s="2" t="str">
        <f>IFERROR(__xludf.DUMMYFUNCTION("""COMPUTED_VALUE"""),"ସମାପ୍ତ")</f>
        <v>ସମାପ୍ତ</v>
      </c>
      <c r="G716" s="2" t="str">
        <f>IFERROR(__xludf.DUMMYFUNCTION("""COMPUTED_VALUE"""),"সম্পূৰ্ণ হ’ল")</f>
        <v>সম্পূৰ্ণ হ’ল</v>
      </c>
      <c r="H716" s="2" t="str">
        <f>IFERROR(__xludf.DUMMYFUNCTION("""COMPUTED_VALUE"""),"પૂર્ણ")</f>
        <v>પૂર્ણ</v>
      </c>
      <c r="I716" s="2" t="str">
        <f>IFERROR(__xludf.DUMMYFUNCTION("""COMPUTED_VALUE"""),"तुम्ही जिंकलात")</f>
        <v>तुम्ही जिंकलात</v>
      </c>
      <c r="J716" s="2" t="str">
        <f>IFERROR(__xludf.DUMMYFUNCTION("""COMPUTED_VALUE"""),"പൂർത്തിയായ")</f>
        <v>പൂർത്തിയായ</v>
      </c>
      <c r="K716" s="2" t="str">
        <f>IFERROR(__xludf.DUMMYFUNCTION("""COMPUTED_VALUE"""),"ਪੂਰਾ")</f>
        <v>ਪੂਰਾ</v>
      </c>
      <c r="L716" s="2" t="str">
        <f>IFERROR(__xludf.DUMMYFUNCTION("""COMPUTED_VALUE"""),"நிறைவு")</f>
        <v>நிறைவு</v>
      </c>
      <c r="M716" s="2" t="str">
        <f>IFERROR(__xludf.DUMMYFUNCTION("""COMPUTED_VALUE"""),"ప్రతి విజయవంతమైన ఆహ్వానంపై రెఫరల్ ఆదాయాన్ని పెంచండి")</f>
        <v>ప్రతి విజయవంతమైన ఆహ్వానంపై రెఫరల్ ఆదాయాన్ని పెంచండి</v>
      </c>
    </row>
    <row r="717">
      <c r="A717" s="2" t="str">
        <f>Master_en!A717</f>
        <v>Incompleted</v>
      </c>
      <c r="B717" s="2" t="str">
        <f>Master_en!B717</f>
        <v>Incompleted</v>
      </c>
      <c r="C717" s="2" t="str">
        <f>IFERROR(__xludf.DUMMYFUNCTION("""COMPUTED_VALUE"""),"অসম্পূর্ণ")</f>
        <v>অসম্পূর্ণ</v>
      </c>
      <c r="D717" s="2" t="str">
        <f>IFERROR(__xludf.DUMMYFUNCTION("""COMPUTED_VALUE"""),"अपूर्ण")</f>
        <v>अपूर्ण</v>
      </c>
      <c r="E717" s="2" t="str">
        <f>IFERROR(__xludf.DUMMYFUNCTION("""COMPUTED_VALUE"""),"ಅಪೂರ್ಣ")</f>
        <v>ಅಪೂರ್ಣ</v>
      </c>
      <c r="F717" s="2" t="str">
        <f>IFERROR(__xludf.DUMMYFUNCTION("""COMPUTED_VALUE"""),"ଅସମ୍ପୂର୍ଣ୍ଣ")</f>
        <v>ଅସମ୍ପୂର୍ଣ୍ଣ</v>
      </c>
      <c r="G717" s="2" t="str">
        <f>IFERROR(__xludf.DUMMYFUNCTION("""COMPUTED_VALUE"""),"অসম্পূৰ্ণ")</f>
        <v>অসম্পূৰ্ণ</v>
      </c>
      <c r="H717" s="2" t="str">
        <f>IFERROR(__xludf.DUMMYFUNCTION("""COMPUTED_VALUE"""),"અપૂર્ણ")</f>
        <v>અપૂર્ણ</v>
      </c>
      <c r="I717" s="2" t="str">
        <f>IFERROR(__xludf.DUMMYFUNCTION("""COMPUTED_VALUE"""),"अपूर्ण")</f>
        <v>अपूर्ण</v>
      </c>
      <c r="J717" s="2" t="str">
        <f>IFERROR(__xludf.DUMMYFUNCTION("""COMPUTED_VALUE"""),"അപൂർണ്ണമായത്")</f>
        <v>അപൂർണ്ണമായത്</v>
      </c>
      <c r="K717" s="2" t="str">
        <f>IFERROR(__xludf.DUMMYFUNCTION("""COMPUTED_VALUE"""),"ਅਧੂਰਾ")</f>
        <v>ਅਧੂਰਾ</v>
      </c>
      <c r="L717" s="2" t="str">
        <f>IFERROR(__xludf.DUMMYFUNCTION("""COMPUTED_VALUE"""),"முழுமையடையாத")</f>
        <v>முழுமையடையாத</v>
      </c>
      <c r="M717" s="2" t="str">
        <f>IFERROR(__xludf.DUMMYFUNCTION("""COMPUTED_VALUE"""),"మీరు గెలవగలరు")</f>
        <v>మీరు గెలవగలరు</v>
      </c>
    </row>
    <row r="718">
      <c r="A718" s="2" t="str">
        <f>Master_en!A718</f>
        <v>Referralstatus </v>
      </c>
      <c r="B718" s="2" t="str">
        <f>Master_en!B718</f>
        <v>Referral Status </v>
      </c>
      <c r="C718" s="2" t="str">
        <f>IFERROR(__xludf.DUMMYFUNCTION("""COMPUTED_VALUE"""),"রেফারেল স্ট্যাটাস")</f>
        <v>রেফারেল স্ট্যাটাস</v>
      </c>
      <c r="D718" s="2" t="str">
        <f>IFERROR(__xludf.DUMMYFUNCTION("""COMPUTED_VALUE"""),"रेफरल स्थिति")</f>
        <v>रेफरल स्थिति</v>
      </c>
      <c r="E718" s="2" t="str">
        <f>IFERROR(__xludf.DUMMYFUNCTION("""COMPUTED_VALUE"""),"ಉಲ್ಲೇಖಿತ ಸ್ಥಿತಿ")</f>
        <v>ಉಲ್ಲೇಖಿತ ಸ್ಥಿತಿ</v>
      </c>
      <c r="F718" s="2" t="str">
        <f>IFERROR(__xludf.DUMMYFUNCTION("""COMPUTED_VALUE"""),"ରେଫରାଲ୍ ସ୍ଥିତି |")</f>
        <v>ରେଫରାଲ୍ ସ୍ଥିତି |</v>
      </c>
      <c r="G718" s="2" t="str">
        <f>IFERROR(__xludf.DUMMYFUNCTION("""COMPUTED_VALUE"""),"ৰেফাৰেলৰ অৱস্থা")</f>
        <v>ৰেফাৰেলৰ অৱস্থা</v>
      </c>
      <c r="H718" s="2" t="str">
        <f>IFERROR(__xludf.DUMMYFUNCTION("""COMPUTED_VALUE"""),"સંદર્ભની દરજ્જો")</f>
        <v>સંદર્ભની દરજ્જો</v>
      </c>
      <c r="I718" s="2" t="str">
        <f>IFERROR(__xludf.DUMMYFUNCTION("""COMPUTED_VALUE"""),"पूर्ण")</f>
        <v>पूर्ण</v>
      </c>
      <c r="J718" s="2" t="str">
        <f>IFERROR(__xludf.DUMMYFUNCTION("""COMPUTED_VALUE"""),"റഫറൽ നില")</f>
        <v>റഫറൽ നില</v>
      </c>
      <c r="K718" s="2" t="str">
        <f>IFERROR(__xludf.DUMMYFUNCTION("""COMPUTED_VALUE"""),"ਰੈਫਰਲ ਸਥਿਤੀ")</f>
        <v>ਰੈਫਰਲ ਸਥਿਤੀ</v>
      </c>
      <c r="L718" s="2" t="str">
        <f>IFERROR(__xludf.DUMMYFUNCTION("""COMPUTED_VALUE"""),"பரிந்துரை நிலை")</f>
        <v>பரிந்துரை நிலை</v>
      </c>
      <c r="M718" s="2" t="str">
        <f>IFERROR(__xludf.DUMMYFUNCTION("""COMPUTED_VALUE"""),"రెఫరల్ స్థితి")</f>
        <v>రెఫరల్ స్థితి</v>
      </c>
    </row>
    <row r="719">
      <c r="A719" s="2" t="str">
        <f>Master_en!A719</f>
        <v>Ordered </v>
      </c>
      <c r="B719" s="2" t="str">
        <f>Master_en!B719</f>
        <v>Ordered </v>
      </c>
      <c r="C719" s="2" t="str">
        <f>IFERROR(__xludf.DUMMYFUNCTION("""COMPUTED_VALUE"""),"আদেশ")</f>
        <v>আদেশ</v>
      </c>
      <c r="D719" s="2" t="str">
        <f>IFERROR(__xludf.DUMMYFUNCTION("""COMPUTED_VALUE"""),"आदेश दिया")</f>
        <v>आदेश दिया</v>
      </c>
      <c r="E719" s="2" t="str">
        <f>IFERROR(__xludf.DUMMYFUNCTION("""COMPUTED_VALUE"""),"ಆದೇಶಿಸಿದ")</f>
        <v>ಆದೇಶಿಸಿದ</v>
      </c>
      <c r="F719" s="2" t="str">
        <f>IFERROR(__xludf.DUMMYFUNCTION("""COMPUTED_VALUE"""),"ଅର୍ଡର")</f>
        <v>ଅର୍ଡର</v>
      </c>
      <c r="G719" s="2" t="str">
        <f>IFERROR(__xludf.DUMMYFUNCTION("""COMPUTED_VALUE"""),"অৰ্ডাৰ দিলে")</f>
        <v>অৰ্ডাৰ দিলে</v>
      </c>
      <c r="H719" s="2" t="str">
        <f>IFERROR(__xludf.DUMMYFUNCTION("""COMPUTED_VALUE"""),"આદેશ આપ્યો")</f>
        <v>આદેશ આપ્યો</v>
      </c>
      <c r="I719" s="2" t="str">
        <f>IFERROR(__xludf.DUMMYFUNCTION("""COMPUTED_VALUE"""),"आज्ञा केली")</f>
        <v>आज्ञा केली</v>
      </c>
      <c r="J719" s="2" t="str">
        <f>IFERROR(__xludf.DUMMYFUNCTION("""COMPUTED_VALUE"""),"ക്രമീകരിച്ചു")</f>
        <v>ക്രമീകരിച്ചു</v>
      </c>
      <c r="K719" s="2" t="str">
        <f>IFERROR(__xludf.DUMMYFUNCTION("""COMPUTED_VALUE"""),"ਆਰਡਰ ਕੀਤਾ")</f>
        <v>ਆਰਡਰ ਕੀਤਾ</v>
      </c>
      <c r="L719" s="2" t="str">
        <f>IFERROR(__xludf.DUMMYFUNCTION("""COMPUTED_VALUE"""),"ஆர்டர் செய்யப்பட்டது")</f>
        <v>ஆர்டர் செய்யப்பட்டது</v>
      </c>
      <c r="M719" s="2" t="str">
        <f>IFERROR(__xludf.DUMMYFUNCTION("""COMPUTED_VALUE"""),"ఆదేశించారు")</f>
        <v>ఆదేశించారు</v>
      </c>
    </row>
    <row r="720">
      <c r="A720" s="2" t="str">
        <f>Master_en!A720</f>
        <v>Firstorder </v>
      </c>
      <c r="B720" s="2" t="str">
        <f>Master_en!B720</f>
        <v>First order </v>
      </c>
      <c r="C720" s="2" t="str">
        <f>IFERROR(__xludf.DUMMYFUNCTION("""COMPUTED_VALUE"""),"প্রথম আদেশ")</f>
        <v>প্রথম আদেশ</v>
      </c>
      <c r="D720" s="2" t="str">
        <f>IFERROR(__xludf.DUMMYFUNCTION("""COMPUTED_VALUE"""),"पहले के आदेश")</f>
        <v>पहले के आदेश</v>
      </c>
      <c r="E720" s="2" t="str">
        <f>IFERROR(__xludf.DUMMYFUNCTION("""COMPUTED_VALUE"""),"ಮೊದಲ ಕ್ರಮ")</f>
        <v>ಮೊದಲ ಕ್ರಮ</v>
      </c>
      <c r="F720" s="2" t="str">
        <f>IFERROR(__xludf.DUMMYFUNCTION("""COMPUTED_VALUE"""),"ପ୍ରଥମ କ୍ରମ")</f>
        <v>ପ୍ରଥମ କ୍ରମ</v>
      </c>
      <c r="G720" s="2" t="str">
        <f>IFERROR(__xludf.DUMMYFUNCTION("""COMPUTED_VALUE"""),"প্ৰথম অৰ্ডাৰ")</f>
        <v>প্ৰথম অৰ্ডাৰ</v>
      </c>
      <c r="H720" s="2" t="str">
        <f>IFERROR(__xludf.DUMMYFUNCTION("""COMPUTED_VALUE"""),"પ્રથમ ક્રમ")</f>
        <v>પ્રથમ ક્રમ</v>
      </c>
      <c r="I720" s="2" t="str">
        <f>IFERROR(__xludf.DUMMYFUNCTION("""COMPUTED_VALUE"""),"पहिली मागणी")</f>
        <v>पहिली मागणी</v>
      </c>
      <c r="J720" s="2" t="str">
        <f>IFERROR(__xludf.DUMMYFUNCTION("""COMPUTED_VALUE"""),"ആദ്യ ഓർഡർ")</f>
        <v>ആദ്യ ഓർഡർ</v>
      </c>
      <c r="K720" s="2" t="str">
        <f>IFERROR(__xludf.DUMMYFUNCTION("""COMPUTED_VALUE"""),"ਪਹਿਲਾ ਆਰਡਰ")</f>
        <v>ਪਹਿਲਾ ਆਰਡਰ</v>
      </c>
      <c r="L720" s="2" t="str">
        <f>IFERROR(__xludf.DUMMYFUNCTION("""COMPUTED_VALUE"""),"முதல் ஆர்டர்")</f>
        <v>முதல் ஆர்டர்</v>
      </c>
      <c r="M720" s="2" t="str">
        <f>IFERROR(__xludf.DUMMYFUNCTION("""COMPUTED_VALUE"""),"మొదటి ఆర్డర్")</f>
        <v>మొదటి ఆర్డర్</v>
      </c>
    </row>
    <row r="721">
      <c r="A721" s="2" t="str">
        <f>Master_en!A721</f>
        <v>Signup </v>
      </c>
      <c r="B721" s="2" t="str">
        <f>Master_en!B721</f>
        <v>Sign Up </v>
      </c>
      <c r="C721" s="2" t="str">
        <f>IFERROR(__xludf.DUMMYFUNCTION("""COMPUTED_VALUE"""),"নিবন্ধন করুন")</f>
        <v>নিবন্ধন করুন</v>
      </c>
      <c r="D721" s="2" t="str">
        <f>IFERROR(__xludf.DUMMYFUNCTION("""COMPUTED_VALUE"""),"साइन अप करें")</f>
        <v>साइन अप करें</v>
      </c>
      <c r="E721" s="2" t="str">
        <f>IFERROR(__xludf.DUMMYFUNCTION("""COMPUTED_VALUE"""),"ಸೈನ್ ಅಪ್")</f>
        <v>ಸೈನ್ ಅಪ್</v>
      </c>
      <c r="F721" s="2" t="str">
        <f>IFERROR(__xludf.DUMMYFUNCTION("""COMPUTED_VALUE"""),"ସାଇନ୍ ଅପ୍ କରନ୍ତୁ")</f>
        <v>ସାଇନ୍ ଅପ୍ କରନ୍ତୁ</v>
      </c>
      <c r="G721" s="2" t="str">
        <f>IFERROR(__xludf.DUMMYFUNCTION("""COMPUTED_VALUE"""),"চাইন আপ কৰক")</f>
        <v>চাইন আপ কৰক</v>
      </c>
      <c r="H721" s="2" t="str">
        <f>IFERROR(__xludf.DUMMYFUNCTION("""COMPUTED_VALUE"""),"સાઇન અપ કરવું")</f>
        <v>સાઇન અપ કરવું</v>
      </c>
      <c r="I721" s="2" t="str">
        <f>IFERROR(__xludf.DUMMYFUNCTION("""COMPUTED_VALUE"""),"ऑर्डर केली")</f>
        <v>ऑर्डर केली</v>
      </c>
      <c r="J721" s="2" t="str">
        <f>IFERROR(__xludf.DUMMYFUNCTION("""COMPUTED_VALUE"""),"സൈൻ അപ്പ് ചെയ്യുക")</f>
        <v>സൈൻ അപ്പ് ചെയ്യുക</v>
      </c>
      <c r="K721" s="2" t="str">
        <f>IFERROR(__xludf.DUMMYFUNCTION("""COMPUTED_VALUE"""),"ਸਾਇਨ ਅਪ")</f>
        <v>ਸਾਇਨ ਅਪ</v>
      </c>
      <c r="L721" s="2" t="str">
        <f>IFERROR(__xludf.DUMMYFUNCTION("""COMPUTED_VALUE"""),"பதிவு செய்க")</f>
        <v>பதிவு செய்க</v>
      </c>
      <c r="M721" s="2" t="str">
        <f>IFERROR(__xludf.DUMMYFUNCTION("""COMPUTED_VALUE"""),"చేరడం")</f>
        <v>చేరడం</v>
      </c>
    </row>
    <row r="722">
      <c r="A722" s="2" t="str">
        <f>Master_en!A722</f>
        <v>ProfileCompleted</v>
      </c>
      <c r="B722" s="2" t="str">
        <f>Master_en!B722</f>
        <v>Profile Completed</v>
      </c>
      <c r="C722" s="2" t="str">
        <f>IFERROR(__xludf.DUMMYFUNCTION("""COMPUTED_VALUE"""),"প্রোফাইল সম্পূর্ণ")</f>
        <v>প্রোফাইল সম্পূর্ণ</v>
      </c>
      <c r="D722" s="2" t="str">
        <f>IFERROR(__xludf.DUMMYFUNCTION("""COMPUTED_VALUE"""),"प्रोफ़ाइल पूरा हुआ")</f>
        <v>प्रोफ़ाइल पूरा हुआ</v>
      </c>
      <c r="E722" s="2" t="str">
        <f>IFERROR(__xludf.DUMMYFUNCTION("""COMPUTED_VALUE"""),"ಪ್ರೊಫೈಲ್ ಪೂರ್ಣಗೊಂಡಿದೆ")</f>
        <v>ಪ್ರೊಫೈಲ್ ಪೂರ್ಣಗೊಂಡಿದೆ</v>
      </c>
      <c r="F722" s="2" t="str">
        <f>IFERROR(__xludf.DUMMYFUNCTION("""COMPUTED_VALUE"""),"ପ୍ରୋଫାଇଲ୍ ସମାପ୍ତ ହେଲା |")</f>
        <v>ପ୍ରୋଫାଇଲ୍ ସମାପ୍ତ ହେଲା |</v>
      </c>
      <c r="G722" s="2" t="str">
        <f>IFERROR(__xludf.DUMMYFUNCTION("""COMPUTED_VALUE"""),"প্ৰফাইল সম্পূৰ্ণ কৰা হৈছে")</f>
        <v>প্ৰফাইল সম্পূৰ্ণ কৰা হৈছে</v>
      </c>
      <c r="H722" s="2" t="str">
        <f>IFERROR(__xludf.DUMMYFUNCTION("""COMPUTED_VALUE"""),"પ્રોફાઇલ પૂર્ણ")</f>
        <v>પ્રોફાઇલ પૂર્ણ</v>
      </c>
      <c r="I722" s="2" t="str">
        <f>IFERROR(__xludf.DUMMYFUNCTION("""COMPUTED_VALUE"""),"पहिलीऑर्डर")</f>
        <v>पहिलीऑर्डर</v>
      </c>
      <c r="J722" s="2" t="str">
        <f>IFERROR(__xludf.DUMMYFUNCTION("""COMPUTED_VALUE"""),"പ്രൊഫൈൽ പൂർത്തിയായി")</f>
        <v>പ്രൊഫൈൽ പൂർത്തിയായി</v>
      </c>
      <c r="K722" s="2" t="str">
        <f>IFERROR(__xludf.DUMMYFUNCTION("""COMPUTED_VALUE"""),"ਪ੍ਰੋਫਾਈਲ ਪੂਰਾ ਹੋਇਆ")</f>
        <v>ਪ੍ਰੋਫਾਈਲ ਪੂਰਾ ਹੋਇਆ</v>
      </c>
      <c r="L722" s="2" t="str">
        <f>IFERROR(__xludf.DUMMYFUNCTION("""COMPUTED_VALUE"""),"சுயவிவரம் முடிந்தது")</f>
        <v>சுயவிவரம் முடிந்தது</v>
      </c>
      <c r="M722" s="2" t="str">
        <f>IFERROR(__xludf.DUMMYFUNCTION("""COMPUTED_VALUE"""),"ప్రొఫైల్ పూర్తయింది")</f>
        <v>ప్రొఫైల్ పూర్తయింది</v>
      </c>
    </row>
    <row r="723">
      <c r="A723" s="2" t="str">
        <f>Master_en!A723</f>
        <v>Reminder</v>
      </c>
      <c r="B723" s="2" t="str">
        <f>Master_en!B723</f>
        <v>Reminder</v>
      </c>
      <c r="C723" s="2" t="str">
        <f>IFERROR(__xludf.DUMMYFUNCTION("""COMPUTED_VALUE"""),"অনুস্মারক")</f>
        <v>অনুস্মারক</v>
      </c>
      <c r="D723" s="2" t="str">
        <f>IFERROR(__xludf.DUMMYFUNCTION("""COMPUTED_VALUE"""),"अनुस्मारक")</f>
        <v>अनुस्मारक</v>
      </c>
      <c r="E723" s="2" t="str">
        <f>IFERROR(__xludf.DUMMYFUNCTION("""COMPUTED_VALUE"""),"ಜ್ಞಾಪಿಸು")</f>
        <v>ಜ್ಞಾಪಿಸು</v>
      </c>
      <c r="F723" s="2" t="str">
        <f>IFERROR(__xludf.DUMMYFUNCTION("""COMPUTED_VALUE"""),"ସ୍ମରଣ")</f>
        <v>ସ୍ମରଣ</v>
      </c>
      <c r="G723" s="2" t="str">
        <f>IFERROR(__xludf.DUMMYFUNCTION("""COMPUTED_VALUE"""),"স্মাৰক")</f>
        <v>স্মাৰক</v>
      </c>
      <c r="H723" s="2" t="str">
        <f>IFERROR(__xludf.DUMMYFUNCTION("""COMPUTED_VALUE"""),"સ્મૃતિપત્ર")</f>
        <v>સ્મૃતિપત્ર</v>
      </c>
      <c r="I723" s="2" t="str">
        <f>IFERROR(__xludf.DUMMYFUNCTION("""COMPUTED_VALUE"""),"स्मरणपत्र")</f>
        <v>स्मरणपत्र</v>
      </c>
      <c r="J723" s="2" t="str">
        <f>IFERROR(__xludf.DUMMYFUNCTION("""COMPUTED_VALUE"""),"ഓർമ്മപ്പെടുത്തൽ")</f>
        <v>ഓർമ്മപ്പെടുത്തൽ</v>
      </c>
      <c r="K723" s="2" t="str">
        <f>IFERROR(__xludf.DUMMYFUNCTION("""COMPUTED_VALUE"""),"ਯਾਦ")</f>
        <v>ਯਾਦ</v>
      </c>
      <c r="L723" s="2" t="str">
        <f>IFERROR(__xludf.DUMMYFUNCTION("""COMPUTED_VALUE"""),"நினைவூட்டல்")</f>
        <v>நினைவூட்டல்</v>
      </c>
      <c r="M723" s="2" t="str">
        <f>IFERROR(__xludf.DUMMYFUNCTION("""COMPUTED_VALUE"""),"రిమైండర్")</f>
        <v>రిమైండర్</v>
      </c>
    </row>
    <row r="724">
      <c r="A724" s="2" t="str">
        <f>Master_en!A724</f>
        <v>SelectLanguage </v>
      </c>
      <c r="B724" s="2" t="str">
        <f>Master_en!B724</f>
        <v>Select Language </v>
      </c>
      <c r="C724" s="2" t="str">
        <f>IFERROR(__xludf.DUMMYFUNCTION("""COMPUTED_VALUE"""),"ভাষা নির্বাচন কর")</f>
        <v>ভাষা নির্বাচন কর</v>
      </c>
      <c r="D724" s="2" t="str">
        <f>IFERROR(__xludf.DUMMYFUNCTION("""COMPUTED_VALUE"""),"भाषा चुने")</f>
        <v>भाषा चुने</v>
      </c>
      <c r="E724" s="2" t="str">
        <f>IFERROR(__xludf.DUMMYFUNCTION("""COMPUTED_VALUE"""),"ಭಾಷೆಯನ್ನು ಆಯ್ಕೆಮಾಡಿ")</f>
        <v>ಭಾಷೆಯನ್ನು ಆಯ್ಕೆಮಾಡಿ</v>
      </c>
      <c r="F724" s="2" t="str">
        <f>IFERROR(__xludf.DUMMYFUNCTION("""COMPUTED_VALUE"""),"ଭାଷା ଚୟନ କରନ୍ତୁ |")</f>
        <v>ଭାଷା ଚୟନ କରନ୍ତୁ |</v>
      </c>
      <c r="G724" s="2" t="str">
        <f>IFERROR(__xludf.DUMMYFUNCTION("""COMPUTED_VALUE"""),"ভাষা নিৰ্বাচন কৰক")</f>
        <v>ভাষা নিৰ্বাচন কৰক</v>
      </c>
      <c r="H724" s="2" t="str">
        <f>IFERROR(__xludf.DUMMYFUNCTION("""COMPUTED_VALUE"""),"ભાષા પસંદ કરો")</f>
        <v>ભાષા પસંદ કરો</v>
      </c>
      <c r="I724" s="2" t="str">
        <f>IFERROR(__xludf.DUMMYFUNCTION("""COMPUTED_VALUE"""),"भाषा निवडा")</f>
        <v>भाषा निवडा</v>
      </c>
      <c r="J724" s="2" t="str">
        <f>IFERROR(__xludf.DUMMYFUNCTION("""COMPUTED_VALUE"""),"ഭാഷ തിരഞ്ഞെടുക്കുക")</f>
        <v>ഭാഷ തിരഞ്ഞെടുക്കുക</v>
      </c>
      <c r="K724" s="2" t="str">
        <f>IFERROR(__xludf.DUMMYFUNCTION("""COMPUTED_VALUE"""),"ਭਾਸ਼ਾ ਚੁਣੋ")</f>
        <v>ਭਾਸ਼ਾ ਚੁਣੋ</v>
      </c>
      <c r="L724" s="2" t="str">
        <f>IFERROR(__xludf.DUMMYFUNCTION("""COMPUTED_VALUE"""),"மொழியை தேர்ந்தெடுங்கள்")</f>
        <v>மொழியை தேர்ந்தெடுங்கள்</v>
      </c>
      <c r="M724" s="2" t="str">
        <f>IFERROR(__xludf.DUMMYFUNCTION("""COMPUTED_VALUE"""),"భాషను ఎంచుకోండి")</f>
        <v>భాషను ఎంచుకోండి</v>
      </c>
    </row>
    <row r="725">
      <c r="A725" s="2" t="str">
        <f>Master_en!A725</f>
        <v>SearchAddress</v>
      </c>
      <c r="B725" s="2" t="str">
        <f>Master_en!B725</f>
        <v>Search Address</v>
      </c>
      <c r="C725" s="2" t="str">
        <f>IFERROR(__xludf.DUMMYFUNCTION("""COMPUTED_VALUE"""),"অনুসন্ধান ঠিকানা")</f>
        <v>অনুসন্ধান ঠিকানা</v>
      </c>
      <c r="D725" s="2" t="str">
        <f>IFERROR(__xludf.DUMMYFUNCTION("""COMPUTED_VALUE"""),"खोज पता")</f>
        <v>खोज पता</v>
      </c>
      <c r="E725" s="2" t="str">
        <f>IFERROR(__xludf.DUMMYFUNCTION("""COMPUTED_VALUE"""),"ಹುಡುಕಾಟ ವಿಳಾಸ")</f>
        <v>ಹುಡುಕಾಟ ವಿಳಾಸ</v>
      </c>
      <c r="F725" s="2" t="str">
        <f>IFERROR(__xludf.DUMMYFUNCTION("""COMPUTED_VALUE"""),"ସନ୍ଧାନ ଠିକଣା")</f>
        <v>ସନ୍ଧାନ ଠିକଣା</v>
      </c>
      <c r="G725" s="2" t="str">
        <f>IFERROR(__xludf.DUMMYFUNCTION("""COMPUTED_VALUE"""),"সন্ধান ঠিকনা")</f>
        <v>সন্ধান ঠিকনা</v>
      </c>
      <c r="H725" s="2" t="str">
        <f>IFERROR(__xludf.DUMMYFUNCTION("""COMPUTED_VALUE"""),"શોધ સરનામું")</f>
        <v>શોધ સરનામું</v>
      </c>
      <c r="I725" s="2" t="str">
        <f>IFERROR(__xludf.DUMMYFUNCTION("""COMPUTED_VALUE"""),"शोध पत्ता")</f>
        <v>शोध पत्ता</v>
      </c>
      <c r="J725" s="2" t="str">
        <f>IFERROR(__xludf.DUMMYFUNCTION("""COMPUTED_VALUE"""),"വിലാസം തിരയുക")</f>
        <v>വിലാസം തിരയുക</v>
      </c>
      <c r="K725" s="2" t="str">
        <f>IFERROR(__xludf.DUMMYFUNCTION("""COMPUTED_VALUE"""),"ਖੋਜ ਦਾ ਪਤਾ")</f>
        <v>ਖੋਜ ਦਾ ਪਤਾ</v>
      </c>
      <c r="L725" s="2" t="str">
        <f>IFERROR(__xludf.DUMMYFUNCTION("""COMPUTED_VALUE"""),"தேடல் முகவரி")</f>
        <v>தேடல் முகவரி</v>
      </c>
      <c r="M725" s="2" t="str">
        <f>IFERROR(__xludf.DUMMYFUNCTION("""COMPUTED_VALUE"""),"శోధన చిరునామా")</f>
        <v>శోధన చిరునామా</v>
      </c>
    </row>
    <row r="726">
      <c r="A726" s="2" t="str">
        <f>Master_en!A726</f>
        <v>InvitePeopleandearnCashRewards </v>
      </c>
      <c r="B726" s="2" t="str">
        <f>Master_en!B726</f>
        <v>Invite People and earn Cash Rewards </v>
      </c>
      <c r="C726" s="2" t="str">
        <f>IFERROR(__xludf.DUMMYFUNCTION("""COMPUTED_VALUE"""),"মানুষকে আমন্ত্রণ জানান এবং নগদ পুরষ্কার অর্জন করুন")</f>
        <v>মানুষকে আমন্ত্রণ জানান এবং নগদ পুরষ্কার অর্জন করুন</v>
      </c>
      <c r="D726" s="2" t="str">
        <f>IFERROR(__xludf.DUMMYFUNCTION("""COMPUTED_VALUE"""),"लोगों को आमंत्रित करें और नकद पुरस्कार अर्जित करें")</f>
        <v>लोगों को आमंत्रित करें और नकद पुरस्कार अर्जित करें</v>
      </c>
      <c r="E726" s="2" t="str">
        <f>IFERROR(__xludf.DUMMYFUNCTION("""COMPUTED_VALUE"""),"ಜನರನ್ನು ಆಹ್ವಾನಿಸಿ ಮತ್ತು ನಗದು ಪ್ರತಿಫಲವನ್ನು ಗಳಿಸಿ")</f>
        <v>ಜನರನ್ನು ಆಹ್ವಾನಿಸಿ ಮತ್ತು ನಗದು ಪ್ರತಿಫಲವನ್ನು ಗಳಿಸಿ</v>
      </c>
      <c r="F726" s="2" t="str">
        <f>IFERROR(__xludf.DUMMYFUNCTION("""COMPUTED_VALUE"""),"ଲୋକଙ୍କୁ ନିମନ୍ତ୍ରଣ କର ଏବଂ ନଗଦ ପୁରସ୍କାର ରୋଜଗାର କର |")</f>
        <v>ଲୋକଙ୍କୁ ନିମନ୍ତ୍ରଣ କର ଏବଂ ନଗଦ ପୁରସ୍କାର ରୋଜଗାର କର |</v>
      </c>
      <c r="G726" s="2" t="str">
        <f>IFERROR(__xludf.DUMMYFUNCTION("""COMPUTED_VALUE"""),"মানুহক নিমন্ত্ৰণ কৰক আৰু নগদ পুৰস্কাৰ লাভ কৰক")</f>
        <v>মানুহক নিমন্ত্ৰণ কৰক আৰু নগদ পুৰস্কাৰ লাভ কৰক</v>
      </c>
      <c r="H726" s="2" t="str">
        <f>IFERROR(__xludf.DUMMYFUNCTION("""COMPUTED_VALUE"""),"લોકોને આમંત્રણ આપો અને રોકડ પુરસ્કારો કમાવો")</f>
        <v>લોકોને આમંત્રણ આપો અને રોકડ પુરસ્કારો કમાવો</v>
      </c>
      <c r="I726" s="2" t="str">
        <f>IFERROR(__xludf.DUMMYFUNCTION("""COMPUTED_VALUE"""),"भाषा निवडा")</f>
        <v>भाषा निवडा</v>
      </c>
      <c r="J726" s="2" t="str">
        <f>IFERROR(__xludf.DUMMYFUNCTION("""COMPUTED_VALUE"""),"ആളുകളെ ക്ഷണിച്ച് ക്യാഷ് റിവാർഡുകൾ നേടുക")</f>
        <v>ആളുകളെ ക്ഷണിച്ച് ക്യാഷ് റിവാർഡുകൾ നേടുക</v>
      </c>
      <c r="K726" s="2" t="str">
        <f>IFERROR(__xludf.DUMMYFUNCTION("""COMPUTED_VALUE"""),"ਲੋਕਾਂ ਨੂੰ ਸੱਦਾ ਦਿਓ ਅਤੇ ਨਕਦ ਇਨਾਮ ਕਮਾਓ")</f>
        <v>ਲੋਕਾਂ ਨੂੰ ਸੱਦਾ ਦਿਓ ਅਤੇ ਨਕਦ ਇਨਾਮ ਕਮਾਓ</v>
      </c>
      <c r="L726" s="2" t="str">
        <f>IFERROR(__xludf.DUMMYFUNCTION("""COMPUTED_VALUE"""),"மக்களை அழைக்கவும், பண வெகுமதிகளைப் பெறவும்")</f>
        <v>மக்களை அழைக்கவும், பண வெகுமதிகளைப் பெறவும்</v>
      </c>
      <c r="M726" s="2" t="str">
        <f>IFERROR(__xludf.DUMMYFUNCTION("""COMPUTED_VALUE"""),"ప్రజలను ఆహ్వానించండి మరియు నగదు రివార్డులు సంపాదించండి")</f>
        <v>ప్రజలను ఆహ్వానించండి మరియు నగదు రివార్డులు సంపాదించండి</v>
      </c>
    </row>
    <row r="727">
      <c r="A727" s="2" t="str">
        <f>Master_en!A727</f>
        <v>SMSSendSucessfully </v>
      </c>
      <c r="B727" s="2" t="str">
        <f>Master_en!B727</f>
        <v>SMS Sent Successfully </v>
      </c>
      <c r="C727" s="2" t="str">
        <f>IFERROR(__xludf.DUMMYFUNCTION("""COMPUTED_VALUE"""),"এসএমএস সফলভাবে প্রেরণ")</f>
        <v>এসএমএস সফলভাবে প্রেরণ</v>
      </c>
      <c r="D727" s="2" t="str">
        <f>IFERROR(__xludf.DUMMYFUNCTION("""COMPUTED_VALUE"""),"एसएमएस सफलतापूर्वक भेजा गया")</f>
        <v>एसएमएस सफलतापूर्वक भेजा गया</v>
      </c>
      <c r="E727" s="2" t="str">
        <f>IFERROR(__xludf.DUMMYFUNCTION("""COMPUTED_VALUE"""),"SMS ಯಶಸ್ವಿಯಾಗಿ ಕಳುಹಿಸಲಾಗಿದೆ")</f>
        <v>SMS ಯಶಸ್ವಿಯಾಗಿ ಕಳುಹಿಸಲಾಗಿದೆ</v>
      </c>
      <c r="F727" s="2" t="str">
        <f>IFERROR(__xludf.DUMMYFUNCTION("""COMPUTED_VALUE"""),"SMS ସଫଳତାର ସହିତ ପଠାଇଲେ |")</f>
        <v>SMS ସଫଳତାର ସହିତ ପଠାଇଲେ |</v>
      </c>
      <c r="G727" s="2" t="str">
        <f>IFERROR(__xludf.DUMMYFUNCTION("""COMPUTED_VALUE"""),"SMS সফলভাৱে প্ৰেৰণ কৰক")</f>
        <v>SMS সফলভাৱে প্ৰেৰণ কৰক</v>
      </c>
      <c r="H727" s="2" t="str">
        <f>IFERROR(__xludf.DUMMYFUNCTION("""COMPUTED_VALUE"""),"એસએમએસ સફળતાપૂર્વક મોકલ્યો")</f>
        <v>એસએમએસ સફળતાપૂર્વક મોકલ્યો</v>
      </c>
      <c r="I727" s="2" t="str">
        <f>IFERROR(__xludf.DUMMYFUNCTION("""COMPUTED_VALUE"""),"पत्ता शोधा")</f>
        <v>पत्ता शोधा</v>
      </c>
      <c r="J727" s="2" t="str">
        <f>IFERROR(__xludf.DUMMYFUNCTION("""COMPUTED_VALUE"""),"SMS വിജയകരമായി അയച്ചു")</f>
        <v>SMS വിജയകരമായി അയച്ചു</v>
      </c>
      <c r="K727" s="2" t="str">
        <f>IFERROR(__xludf.DUMMYFUNCTION("""COMPUTED_VALUE"""),"SMS ਸਫਲਤਾਪੂਰਵਕ ਭੇਜਿਆ ਗਿਆ")</f>
        <v>SMS ਸਫਲਤਾਪੂਰਵਕ ਭੇਜਿਆ ਗਿਆ</v>
      </c>
      <c r="L727" s="2" t="str">
        <f>IFERROR(__xludf.DUMMYFUNCTION("""COMPUTED_VALUE"""),"எஸ்எம்எஸ் வெற்றிகரமாக அனுப்பப்பட்டது")</f>
        <v>எஸ்எம்எஸ் வெற்றிகரமாக அனுப்பப்பட்டது</v>
      </c>
      <c r="M727" s="2" t="str">
        <f>IFERROR(__xludf.DUMMYFUNCTION("""COMPUTED_VALUE"""),"గుర్తు చేయడం")</f>
        <v>గుర్తు చేయడం</v>
      </c>
    </row>
    <row r="728">
      <c r="A728" s="2" t="str">
        <f>Master_en!A728</f>
        <v>IncreaseEarningoncashinvite</v>
      </c>
      <c r="B728" s="2" t="str">
        <f>Master_en!B728</f>
        <v>Increase Earning on cash  invite</v>
      </c>
      <c r="C728" s="2" t="str">
        <f>IFERROR(__xludf.DUMMYFUNCTION("""COMPUTED_VALUE"""),"নগদ আমন্ত্রণে উপার্জন বৃদ্ধি")</f>
        <v>নগদ আমন্ত্রণে উপার্জন বৃদ্ধি</v>
      </c>
      <c r="D728" s="2" t="str">
        <f>IFERROR(__xludf.DUMMYFUNCTION("""COMPUTED_VALUE"""),"नकद आमंत्रित पर कमाई में वृद्धि")</f>
        <v>नकद आमंत्रित पर कमाई में वृद्धि</v>
      </c>
      <c r="E728" s="2" t="str">
        <f>IFERROR(__xludf.DUMMYFUNCTION("""COMPUTED_VALUE"""),"ನಗದು ಆಹ್ವಾನದಲ್ಲಿ ಗಳಿಕೆಯನ್ನು ಹೆಚ್ಚಿಸಿ")</f>
        <v>ನಗದು ಆಹ್ವಾನದಲ್ಲಿ ಗಳಿಕೆಯನ್ನು ಹೆಚ್ಚಿಸಿ</v>
      </c>
      <c r="F728" s="2" t="str">
        <f>IFERROR(__xludf.DUMMYFUNCTION("""COMPUTED_VALUE"""),"ନଗଦ ନିମନ୍ତ୍ରଣ ଉପରେ ରୋଜଗାର କରିବା ବୃଦ୍ଧି |")</f>
        <v>ନଗଦ ନିମନ୍ତ୍ରଣ ଉପରେ ରୋଜଗାର କରିବା ବୃଦ୍ଧି |</v>
      </c>
      <c r="G728" s="2" t="str">
        <f>IFERROR(__xludf.DUMMYFUNCTION("""COMPUTED_VALUE"""),"নগদ আমন্ত্ৰণত উপাৰ্জন বৃদ্ধি কৰক")</f>
        <v>নগদ আমন্ত্ৰণত উপাৰ্জন বৃদ্ধি কৰক</v>
      </c>
      <c r="H728" s="2" t="str">
        <f>IFERROR(__xludf.DUMMYFUNCTION("""COMPUTED_VALUE"""),"રોકડ આમંત્રણ પર કમાણી વધારો")</f>
        <v>રોકડ આમંત્રણ પર કમાણી વધારો</v>
      </c>
      <c r="I728" s="2" t="str">
        <f>IFERROR(__xludf.DUMMYFUNCTION("""COMPUTED_VALUE"""),"लोकांना आमंत्रित करा आणि रोख बक्षिसे मिळवा")</f>
        <v>लोकांना आमंत्रित करा आणि रोख बक्षिसे मिळवा</v>
      </c>
      <c r="J728" s="2" t="str">
        <f>IFERROR(__xludf.DUMMYFUNCTION("""COMPUTED_VALUE"""),"ക്യാഷ് ക്ഷണത്തിൽ വരുമാനം വർദ്ധിപ്പിക്കുക")</f>
        <v>ക്യാഷ് ക്ഷണത്തിൽ വരുമാനം വർദ്ധിപ്പിക്കുക</v>
      </c>
      <c r="K728" s="2" t="str">
        <f>IFERROR(__xludf.DUMMYFUNCTION("""COMPUTED_VALUE"""),"ਨਕਦ ਸੱਦੇ 'ਤੇ ਕਮਾਈ ਵਧਾਓ")</f>
        <v>ਨਕਦ ਸੱਦੇ 'ਤੇ ਕਮਾਈ ਵਧਾਓ</v>
      </c>
      <c r="L728" s="2" t="str">
        <f>IFERROR(__xludf.DUMMYFUNCTION("""COMPUTED_VALUE"""),"பண அழைப்பில் சம்பாதிப்பது அதிகரிக்கும்")</f>
        <v>பண அழைப்பில் சம்பாதிப்பது அதிகரிக்கும்</v>
      </c>
      <c r="M728" s="2" t="str">
        <f>IFERROR(__xludf.DUMMYFUNCTION("""COMPUTED_VALUE"""),"నగదు ఆహ్వానంపై సంపాదన పెంచండి")</f>
        <v>నగదు ఆహ్వానంపై సంపాదన పెంచండి</v>
      </c>
    </row>
    <row r="729">
      <c r="A729" s="2" t="str">
        <f>Master_en!A729</f>
        <v>Profile </v>
      </c>
      <c r="B729" s="2" t="str">
        <f>Master_en!B729</f>
        <v>Profile </v>
      </c>
      <c r="C729" s="2" t="str">
        <f>IFERROR(__xludf.DUMMYFUNCTION("""COMPUTED_VALUE"""),"প্রোফাইল")</f>
        <v>প্রোফাইল</v>
      </c>
      <c r="D729" s="2" t="str">
        <f>IFERROR(__xludf.DUMMYFUNCTION("""COMPUTED_VALUE"""),"प्रोफ़ाइल")</f>
        <v>प्रोफ़ाइल</v>
      </c>
      <c r="E729" s="2" t="str">
        <f>IFERROR(__xludf.DUMMYFUNCTION("""COMPUTED_VALUE"""),"ಪ್ರಚಾರ")</f>
        <v>ಪ್ರಚಾರ</v>
      </c>
      <c r="F729" s="2" t="str">
        <f>IFERROR(__xludf.DUMMYFUNCTION("""COMPUTED_VALUE"""),"ପ୍ରୋଫାଇଲ୍")</f>
        <v>ପ୍ରୋଫାଇଲ୍</v>
      </c>
      <c r="G729" s="2" t="str">
        <f>IFERROR(__xludf.DUMMYFUNCTION("""COMPUTED_VALUE"""),"ৰূপৰেখা")</f>
        <v>ৰূপৰেখা</v>
      </c>
      <c r="H729" s="2" t="str">
        <f>IFERROR(__xludf.DUMMYFUNCTION("""COMPUTED_VALUE"""),"રૂપરેખા")</f>
        <v>રૂપરેખા</v>
      </c>
      <c r="I729" s="2" t="str">
        <f>IFERROR(__xludf.DUMMYFUNCTION("""COMPUTED_VALUE"""),"एस एम एस यशस्वीपणे पाठविलेला आहे")</f>
        <v>एस एम एस यशस्वीपणे पाठविलेला आहे</v>
      </c>
      <c r="J729" s="2" t="str">
        <f>IFERROR(__xludf.DUMMYFUNCTION("""COMPUTED_VALUE"""),"പ്രൊഫൈൽ")</f>
        <v>പ്രൊഫൈൽ</v>
      </c>
      <c r="K729" s="2" t="str">
        <f>IFERROR(__xludf.DUMMYFUNCTION("""COMPUTED_VALUE"""),"ਪਰੋਫਾਈਲ")</f>
        <v>ਪਰੋਫਾਈਲ</v>
      </c>
      <c r="L729" s="2" t="str">
        <f>IFERROR(__xludf.DUMMYFUNCTION("""COMPUTED_VALUE"""),"சுயவிவரம்")</f>
        <v>சுயவிவரம்</v>
      </c>
      <c r="M729" s="2" t="str">
        <f>IFERROR(__xludf.DUMMYFUNCTION("""COMPUTED_VALUE"""),"చిరునామాను శోధించండి")</f>
        <v>చిరునామాను శోధించండి</v>
      </c>
    </row>
    <row r="730">
      <c r="A730" s="2" t="str">
        <f>Master_en!A730</f>
        <v>Subscribed</v>
      </c>
      <c r="B730" s="2" t="str">
        <f>Master_en!B730</f>
        <v>Subscribed</v>
      </c>
      <c r="C730" s="2" t="str">
        <f>IFERROR(__xludf.DUMMYFUNCTION("""COMPUTED_VALUE"""),"সাবস্ক্রাইব")</f>
        <v>সাবস্ক্রাইব</v>
      </c>
      <c r="D730" s="2" t="str">
        <f>IFERROR(__xludf.DUMMYFUNCTION("""COMPUTED_VALUE"""),"सदस्यता लिया")</f>
        <v>सदस्यता लिया</v>
      </c>
      <c r="E730" s="2" t="str">
        <f>IFERROR(__xludf.DUMMYFUNCTION("""COMPUTED_VALUE"""),"ಚಂದಾದಾರಿಕೆ")</f>
        <v>ಚಂದಾದಾರಿಕೆ</v>
      </c>
      <c r="F730" s="2" t="str">
        <f>IFERROR(__xludf.DUMMYFUNCTION("""COMPUTED_VALUE"""),"ସଦସ୍ୟତା |")</f>
        <v>ସଦସ୍ୟତା |</v>
      </c>
      <c r="G730" s="2" t="str">
        <f>IFERROR(__xludf.DUMMYFUNCTION("""COMPUTED_VALUE"""),"চাবস্ক্ৰাইব কৰা হৈছে")</f>
        <v>চাবস্ক্ৰাইব কৰা হৈছে</v>
      </c>
      <c r="H730" s="2" t="str">
        <f>IFERROR(__xludf.DUMMYFUNCTION("""COMPUTED_VALUE"""),"નોંધાયેલું")</f>
        <v>નોંધાયેલું</v>
      </c>
      <c r="I730" s="2" t="str">
        <f>IFERROR(__xludf.DUMMYFUNCTION("""COMPUTED_VALUE"""),"रोख आमंत्रणावर कमाई वाढवा")</f>
        <v>रोख आमंत्रणावर कमाई वाढवा</v>
      </c>
      <c r="J730" s="2" t="str">
        <f>IFERROR(__xludf.DUMMYFUNCTION("""COMPUTED_VALUE"""),"സബ്സ്ക്രൈബുചെയ്തു")</f>
        <v>സബ്സ്ക്രൈബുചെയ്തു</v>
      </c>
      <c r="K730" s="2" t="str">
        <f>IFERROR(__xludf.DUMMYFUNCTION("""COMPUTED_VALUE"""),"ਸਬਸਕ੍ਰਾਈਬ")</f>
        <v>ਸਬਸਕ੍ਰਾਈਬ</v>
      </c>
      <c r="L730" s="2" t="str">
        <f>IFERROR(__xludf.DUMMYFUNCTION("""COMPUTED_VALUE"""),"சந்தா")</f>
        <v>சந்தா</v>
      </c>
      <c r="M730" s="2" t="str">
        <f>IFERROR(__xludf.DUMMYFUNCTION("""COMPUTED_VALUE"""),"వ్యక్తులను ఆహ్వానించండి మరియు నగదు రివార్డ్‌లను సంపాదించండి")</f>
        <v>వ్యక్తులను ఆహ్వానించండి మరియు నగదు రివార్డ్‌లను సంపాదించండి</v>
      </c>
    </row>
    <row r="731">
      <c r="A731" s="2" t="str">
        <f>Master_en!A731</f>
        <v>Unsubscribed </v>
      </c>
      <c r="B731" s="2" t="str">
        <f>Master_en!B731</f>
        <v>Unsubscribed</v>
      </c>
      <c r="C731" s="2" t="str">
        <f>IFERROR(__xludf.DUMMYFUNCTION("""COMPUTED_VALUE"""),"সাবস্ক্রাইবড")</f>
        <v>সাবস্ক্রাইবড</v>
      </c>
      <c r="D731" s="2" t="str">
        <f>IFERROR(__xludf.DUMMYFUNCTION("""COMPUTED_VALUE"""),"सदस्यता छोड़ दी गई")</f>
        <v>सदस्यता छोड़ दी गई</v>
      </c>
      <c r="E731" s="2" t="str">
        <f>IFERROR(__xludf.DUMMYFUNCTION("""COMPUTED_VALUE"""),"ಸಂಕ್ಷಿಪ್ತ ವ್ಯಕ್ತಿಚಿತ್ರ")</f>
        <v>ಸಂಕ್ಷಿಪ್ತ ವ್ಯಕ್ತಿಚಿತ್ರ</v>
      </c>
      <c r="F731" s="2" t="str">
        <f>IFERROR(__xludf.DUMMYFUNCTION("""COMPUTED_VALUE"""),"ସଦସ୍ୟତା ମିଳିତ |")</f>
        <v>ସଦସ୍ୟତା ମିଳିତ |</v>
      </c>
      <c r="G731" s="2" t="str">
        <f>IFERROR(__xludf.DUMMYFUNCTION("""COMPUTED_VALUE"""),"আনচাবস্ক্ৰাইব কৰা হৈছে")</f>
        <v>আনচাবস্ক্ৰাইব কৰা হৈছে</v>
      </c>
      <c r="H731" s="2" t="str">
        <f>IFERROR(__xludf.DUMMYFUNCTION("""COMPUTED_VALUE"""),"અનુચિત")</f>
        <v>અનુચિત</v>
      </c>
      <c r="I731" s="2" t="str">
        <f>IFERROR(__xludf.DUMMYFUNCTION("""COMPUTED_VALUE"""),"प्रोफाइल")</f>
        <v>प्रोफाइल</v>
      </c>
      <c r="J731" s="2" t="str">
        <f>IFERROR(__xludf.DUMMYFUNCTION("""COMPUTED_VALUE"""),"അൺസബ്സ്ക്രൈബുചെയ്തു")</f>
        <v>അൺസബ്സ്ക്രൈബുചെയ്തു</v>
      </c>
      <c r="K731" s="2" t="str">
        <f>IFERROR(__xludf.DUMMYFUNCTION("""COMPUTED_VALUE"""),"ਗਾਹਕੀ ਰੱਦ")</f>
        <v>ਗਾਹਕੀ ਰੱਦ</v>
      </c>
      <c r="L731" s="2" t="str">
        <f>IFERROR(__xludf.DUMMYFUNCTION("""COMPUTED_VALUE"""),"குழுவிலகப்பட்டது")</f>
        <v>குழுவிலகப்பட்டது</v>
      </c>
      <c r="M731" s="2" t="str">
        <f>IFERROR(__xludf.DUMMYFUNCTION("""COMPUTED_VALUE"""),"SMS విజయవంతంగా పంపబడింది")</f>
        <v>SMS విజయవంతంగా పంపబడింది</v>
      </c>
    </row>
    <row r="732">
      <c r="A732" s="2" t="str">
        <f>Master_en!A732</f>
        <v>IncreaseEarningoneachinvite</v>
      </c>
      <c r="B732" s="2" t="str">
        <f>Master_en!B732</f>
        <v>Increase earning on each invite</v>
      </c>
      <c r="C732" s="2" t="str">
        <f>IFERROR(__xludf.DUMMYFUNCTION("""COMPUTED_VALUE"""),"প্রতিটি আমন্ত্রণে উপার্জন বৃদ্ধি করুন")</f>
        <v>প্রতিটি আমন্ত্রণে উপার্জন বৃদ্ধি করুন</v>
      </c>
      <c r="D732" s="2" t="str">
        <f>IFERROR(__xludf.DUMMYFUNCTION("""COMPUTED_VALUE"""),"प्रत्येक आमंत्रित पर कमाई बढ़ाना")</f>
        <v>प्रत्येक आमंत्रित पर कमाई बढ़ाना</v>
      </c>
      <c r="E732" s="2" t="str">
        <f>IFERROR(__xludf.DUMMYFUNCTION("""COMPUTED_VALUE"""),"ಪ್ರತಿ ಆಹ್ವಾನದಲ್ಲಿ ಗಳಿಕೆಯನ್ನು ಹೆಚ್ಚಿಸಿ")</f>
        <v>ಪ್ರತಿ ಆಹ್ವಾನದಲ್ಲಿ ಗಳಿಕೆಯನ್ನು ಹೆಚ್ಚಿಸಿ</v>
      </c>
      <c r="F732" s="2" t="str">
        <f>IFERROR(__xludf.DUMMYFUNCTION("""COMPUTED_VALUE"""),"ପ୍ରତ୍ୟେକ ନିମନ୍ତ୍ରଣ ଉପରେ ରୋଜଗାର ବୃଦ୍ଧି |")</f>
        <v>ପ୍ରତ୍ୟେକ ନିମନ୍ତ୍ରଣ ଉପରେ ରୋଜଗାର ବୃଦ୍ଧି |</v>
      </c>
      <c r="G732" s="2" t="str">
        <f>IFERROR(__xludf.DUMMYFUNCTION("""COMPUTED_VALUE"""),"প্ৰতিটো আমন্ত্ৰণত উপাৰ্জন বৃদ্ধি কৰক")</f>
        <v>প্ৰতিটো আমন্ত্ৰণত উপাৰ্জন বৃদ্ধি কৰক</v>
      </c>
      <c r="H732" s="2" t="str">
        <f>IFERROR(__xludf.DUMMYFUNCTION("""COMPUTED_VALUE"""),"દરેક આમંત્રણ પર કમાણી વધારો")</f>
        <v>દરેક આમંત્રણ પર કમાણી વધારો</v>
      </c>
      <c r="I732" s="2" t="str">
        <f>IFERROR(__xludf.DUMMYFUNCTION("""COMPUTED_VALUE"""),"सदस्यता स्विकारणे")</f>
        <v>सदस्यता स्विकारणे</v>
      </c>
      <c r="J732" s="2" t="str">
        <f>IFERROR(__xludf.DUMMYFUNCTION("""COMPUTED_VALUE"""),"ഓരോ ക്ഷണത്തിലും വരുമാനം വർദ്ധിപ്പിക്കുക")</f>
        <v>ഓരോ ക്ഷണത്തിലും വരുമാനം വർദ്ധിപ്പിക്കുക</v>
      </c>
      <c r="K732" s="2" t="str">
        <f>IFERROR(__xludf.DUMMYFUNCTION("""COMPUTED_VALUE"""),"ਹਰ ਸੱਦੇ 'ਤੇ ਕਮਾਈ ਵਧਾਓ")</f>
        <v>ਹਰ ਸੱਦੇ 'ਤੇ ਕਮਾਈ ਵਧਾਓ</v>
      </c>
      <c r="L732" s="2" t="str">
        <f>IFERROR(__xludf.DUMMYFUNCTION("""COMPUTED_VALUE"""),"ஒவ்வொரு அழைப்பிலும் சம்பாதிப்பது அதிகரிக்கும்")</f>
        <v>ஒவ்வொரு அழைப்பிலும் சம்பாதிப்பது அதிகரிக்கும்</v>
      </c>
      <c r="M732" s="2" t="str">
        <f>IFERROR(__xludf.DUMMYFUNCTION("""COMPUTED_VALUE"""),"నగదు ఆహ్వానంపై ఆదాయాన్ని పెంచండి")</f>
        <v>నగదు ఆహ్వానంపై ఆదాయాన్ని పెంచండి</v>
      </c>
    </row>
    <row r="733">
      <c r="A733" s="2" t="str">
        <f>Master_en!A733</f>
        <v>ProductorCategory </v>
      </c>
      <c r="B733" s="2" t="str">
        <f>Master_en!B733</f>
        <v>Product or Category </v>
      </c>
      <c r="C733" s="2" t="str">
        <f>IFERROR(__xludf.DUMMYFUNCTION("""COMPUTED_VALUE"""),"পণ্য বা বিভাগ")</f>
        <v>পণ্য বা বিভাগ</v>
      </c>
      <c r="D733" s="2" t="str">
        <f>IFERROR(__xludf.DUMMYFUNCTION("""COMPUTED_VALUE"""),"प्रोफ़ाइल")</f>
        <v>प्रोफ़ाइल</v>
      </c>
      <c r="E733" s="2" t="str">
        <f>IFERROR(__xludf.DUMMYFUNCTION("""COMPUTED_VALUE"""),"ಉತ್ಪನ್ನ ಅಥವಾ ವರ್ಗ")</f>
        <v>ಉತ್ಪನ್ನ ಅಥವಾ ವರ್ಗ</v>
      </c>
      <c r="F733" s="2" t="str">
        <f>IFERROR(__xludf.DUMMYFUNCTION("""COMPUTED_VALUE"""),"ଉତ୍ପାଦ କିମ୍ବା ବର୍ଗ")</f>
        <v>ଉତ୍ପାଦ କିମ୍ବା ବର୍ଗ</v>
      </c>
      <c r="G733" s="2" t="str">
        <f>IFERROR(__xludf.DUMMYFUNCTION("""COMPUTED_VALUE"""),"পণ্য বা শ্ৰেণী")</f>
        <v>পণ্য বা শ্ৰেণী</v>
      </c>
      <c r="H733" s="2" t="str">
        <f>IFERROR(__xludf.DUMMYFUNCTION("""COMPUTED_VALUE"""),"ઉત્પાદન અથવા વર્ગ")</f>
        <v>ઉત્પાદન અથવા વર્ગ</v>
      </c>
      <c r="I733" s="2" t="str">
        <f>IFERROR(__xludf.DUMMYFUNCTION("""COMPUTED_VALUE"""),"सदस्यता नाकारणे")</f>
        <v>सदस्यता नाकारणे</v>
      </c>
      <c r="J733" s="2" t="str">
        <f>IFERROR(__xludf.DUMMYFUNCTION("""COMPUTED_VALUE"""),"ഉൽപ്പന്നം അല്ലെങ്കിൽ വിഭാഗം")</f>
        <v>ഉൽപ്പന്നം അല്ലെങ്കിൽ വിഭാഗം</v>
      </c>
      <c r="K733" s="2" t="str">
        <f>IFERROR(__xludf.DUMMYFUNCTION("""COMPUTED_VALUE"""),"ਉਤਪਾਦ ਜਾਂ ਸ਼੍ਰੇਣੀ")</f>
        <v>ਉਤਪਾਦ ਜਾਂ ਸ਼੍ਰੇਣੀ</v>
      </c>
      <c r="L733" s="2" t="str">
        <f>IFERROR(__xludf.DUMMYFUNCTION("""COMPUTED_VALUE"""),"பொருள் அல்லது வகை")</f>
        <v>பொருள் அல்லது வகை</v>
      </c>
      <c r="M733" s="2" t="str">
        <f>IFERROR(__xludf.DUMMYFUNCTION("""COMPUTED_VALUE"""),"ఉత్పత్తి లేదా వర్గం")</f>
        <v>ఉత్పత్తి లేదా వర్గం</v>
      </c>
    </row>
    <row r="734">
      <c r="A734" s="2" t="str">
        <f>Master_en!A734</f>
        <v/>
      </c>
      <c r="B734" s="2" t="str">
        <f>Master_en!B734</f>
        <v/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>
      <c r="A735" s="2" t="str">
        <f>Master_en!A735</f>
        <v>catalogmanagement </v>
      </c>
      <c r="B735" s="2" t="str">
        <f>Master_en!B735</f>
        <v>Catalog Management </v>
      </c>
      <c r="C735" s="2" t="str">
        <f>IFERROR(__xludf.DUMMYFUNCTION("""COMPUTED_VALUE"""),"ক্যাটালগ পরিচালনা")</f>
        <v>ক্যাটালগ পরিচালনা</v>
      </c>
      <c r="D735" s="2" t="str">
        <f>IFERROR(__xludf.DUMMYFUNCTION("""COMPUTED_VALUE"""),"सदस्यता वापस ले ली")</f>
        <v>सदस्यता वापस ले ली</v>
      </c>
      <c r="E735" s="2" t="str">
        <f>IFERROR(__xludf.DUMMYFUNCTION("""COMPUTED_VALUE"""),"ಪಟ್ಟಿ ನಿರ್ವಹಣೆ")</f>
        <v>ಪಟ್ಟಿ ನಿರ್ವಹಣೆ</v>
      </c>
      <c r="F735" s="2" t="str">
        <f>IFERROR(__xludf.DUMMYFUNCTION("""COMPUTED_VALUE"""),"କାଟାଲଗ୍ ପରିଚାଳନା")</f>
        <v>କାଟାଲଗ୍ ପରିଚାଳନା</v>
      </c>
      <c r="G735" s="2" t="str">
        <f>IFERROR(__xludf.DUMMYFUNCTION("""COMPUTED_VALUE"""),"কেটেলগ ব্যৱস্থাপনা")</f>
        <v>কেটেলগ ব্যৱস্থাপনা</v>
      </c>
      <c r="H735" s="2" t="str">
        <f>IFERROR(__xludf.DUMMYFUNCTION("""COMPUTED_VALUE"""),"સૂચિ વ્યવસ્થાપન")</f>
        <v>સૂચિ વ્યવસ્થાપન</v>
      </c>
      <c r="I735" s="2" t="str">
        <f>IFERROR(__xludf.DUMMYFUNCTION("""COMPUTED_VALUE"""),"कॅटलॉग व्यवस्थापन")</f>
        <v>कॅटलॉग व्यवस्थापन</v>
      </c>
      <c r="J735" s="2" t="str">
        <f>IFERROR(__xludf.DUMMYFUNCTION("""COMPUTED_VALUE"""),"കാറ്റലോഗ് മാനേജുമെന്റ്")</f>
        <v>കാറ്റലോഗ് മാനേജുമെന്റ്</v>
      </c>
      <c r="K735" s="2" t="str">
        <f>IFERROR(__xludf.DUMMYFUNCTION("""COMPUTED_VALUE"""),"ਕੈਟਾਲਾਗ ਮੈਨੇਜਮੈਂਟ")</f>
        <v>ਕੈਟਾਲਾਗ ਮੈਨੇਜਮੈਂਟ</v>
      </c>
      <c r="L735" s="2" t="str">
        <f>IFERROR(__xludf.DUMMYFUNCTION("""COMPUTED_VALUE"""),"அட்டவணை மேலாண்மை")</f>
        <v>அட்டவணை மேலாண்மை</v>
      </c>
      <c r="M735" s="2" t="str">
        <f>IFERROR(__xludf.DUMMYFUNCTION("""COMPUTED_VALUE"""),"కేటలాగ్ నిర్వహణ")</f>
        <v>కేటలాగ్ నిర్వహణ</v>
      </c>
    </row>
    <row r="736">
      <c r="A736" s="2" t="str">
        <f>Master_en!A736</f>
        <v>PaymentManagement</v>
      </c>
      <c r="B736" s="2" t="str">
        <f>Master_en!B736</f>
        <v>Payment Management</v>
      </c>
      <c r="C736" s="2" t="str">
        <f>IFERROR(__xludf.DUMMYFUNCTION("""COMPUTED_VALUE"""),"পেমেন্ট ম্যানেজমেন্ট")</f>
        <v>পেমেন্ট ম্যানেজমেন্ট</v>
      </c>
      <c r="D736" s="2" t="str">
        <f>IFERROR(__xludf.DUMMYFUNCTION("""COMPUTED_VALUE"""),"भुगतान प्रबंधन")</f>
        <v>भुगतान प्रबंधन</v>
      </c>
      <c r="E736" s="2" t="str">
        <f>IFERROR(__xludf.DUMMYFUNCTION("""COMPUTED_VALUE"""),"ಪಾವತಿ ನಿರ್ವಹಣೆ")</f>
        <v>ಪಾವತಿ ನಿರ್ವಹಣೆ</v>
      </c>
      <c r="F736" s="2" t="str">
        <f>IFERROR(__xludf.DUMMYFUNCTION("""COMPUTED_VALUE"""),"ଦେୟ ପରିଚାଳନା")</f>
        <v>ଦେୟ ପରିଚାଳନା</v>
      </c>
      <c r="G736" s="2" t="str">
        <f>IFERROR(__xludf.DUMMYFUNCTION("""COMPUTED_VALUE"""),"পেমেন্ট মেনেজমেণ্ট")</f>
        <v>পেমেন্ট মেনেজমেণ্ট</v>
      </c>
      <c r="H736" s="2" t="str">
        <f>IFERROR(__xludf.DUMMYFUNCTION("""COMPUTED_VALUE"""),"ચુકવણી સંચાલન")</f>
        <v>ચુકવણી સંચાલન</v>
      </c>
      <c r="I736" s="2" t="str">
        <f>IFERROR(__xludf.DUMMYFUNCTION("""COMPUTED_VALUE"""),"संदर्भ व्यवस्थापन")</f>
        <v>संदर्भ व्यवस्थापन</v>
      </c>
      <c r="J736" s="2" t="str">
        <f>IFERROR(__xludf.DUMMYFUNCTION("""COMPUTED_VALUE"""),"പേയ്മെന്റ് മാനേജുമെന്റ്")</f>
        <v>പേയ്മെന്റ് മാനേജുമെന്റ്</v>
      </c>
      <c r="K736" s="2" t="str">
        <f>IFERROR(__xludf.DUMMYFUNCTION("""COMPUTED_VALUE"""),"ਭੁਗਤਾਨ ਪ੍ਰਬੰਧਨ")</f>
        <v>ਭੁਗਤਾਨ ਪ੍ਰਬੰਧਨ</v>
      </c>
      <c r="L736" s="2" t="str">
        <f>IFERROR(__xludf.DUMMYFUNCTION("""COMPUTED_VALUE"""),"கட்டண மேலாண்மை")</f>
        <v>கட்டண மேலாண்மை</v>
      </c>
      <c r="M736" s="2" t="str">
        <f>IFERROR(__xludf.DUMMYFUNCTION("""COMPUTED_VALUE"""),"రెఫరల్ నిర్వహణ")</f>
        <v>రెఫరల్ నిర్వహణ</v>
      </c>
    </row>
    <row r="737">
      <c r="A737" s="2" t="str">
        <f>Master_en!A737</f>
        <v>DeliveryManagement </v>
      </c>
      <c r="B737" s="2" t="str">
        <f>Master_en!B737</f>
        <v>Delivery Management </v>
      </c>
      <c r="C737" s="2" t="str">
        <f>IFERROR(__xludf.DUMMYFUNCTION("""COMPUTED_VALUE"""),"বিতরণ ব্যবস্থাপনা")</f>
        <v>বিতরণ ব্যবস্থাপনা</v>
      </c>
      <c r="D737" s="2" t="str">
        <f>IFERROR(__xludf.DUMMYFUNCTION("""COMPUTED_VALUE"""),"वितरण प्रबंधन")</f>
        <v>वितरण प्रबंधन</v>
      </c>
      <c r="E737" s="2" t="str">
        <f>IFERROR(__xludf.DUMMYFUNCTION("""COMPUTED_VALUE"""),"ವಿತರಣಾ ನಿರ್ವಹಣೆ")</f>
        <v>ವಿತರಣಾ ನಿರ್ವಹಣೆ</v>
      </c>
      <c r="F737" s="2" t="str">
        <f>IFERROR(__xludf.DUMMYFUNCTION("""COMPUTED_VALUE"""),"ବିତରଣ ପରିଚାଳନା")</f>
        <v>ବିତରଣ ପରିଚାଳନା</v>
      </c>
      <c r="G737" s="2" t="str">
        <f>IFERROR(__xludf.DUMMYFUNCTION("""COMPUTED_VALUE"""),"ডেলিভাৰী ব্যৱস্থাপনা")</f>
        <v>ডেলিভাৰী ব্যৱস্থাপনা</v>
      </c>
      <c r="H737" s="2" t="str">
        <f>IFERROR(__xludf.DUMMYFUNCTION("""COMPUTED_VALUE"""),"વિતરણ સંચાલન")</f>
        <v>વિતરણ સંચાલન</v>
      </c>
      <c r="I737" s="2" t="str">
        <f>IFERROR(__xludf.DUMMYFUNCTION("""COMPUTED_VALUE"""),"वितरण व्यवस्थापन")</f>
        <v>वितरण व्यवस्थापन</v>
      </c>
      <c r="J737" s="2" t="str">
        <f>IFERROR(__xludf.DUMMYFUNCTION("""COMPUTED_VALUE"""),"ഡെലിവറി മാനേജുമെന്റ്")</f>
        <v>ഡെലിവറി മാനേജുമെന്റ്</v>
      </c>
      <c r="K737" s="2" t="str">
        <f>IFERROR(__xludf.DUMMYFUNCTION("""COMPUTED_VALUE"""),"ਡਿਲਿਵਰੀ ਪ੍ਰਬੰਧਨ")</f>
        <v>ਡਿਲਿਵਰੀ ਪ੍ਰਬੰਧਨ</v>
      </c>
      <c r="L737" s="2" t="str">
        <f>IFERROR(__xludf.DUMMYFUNCTION("""COMPUTED_VALUE"""),"விநியோக மேலாண்மை")</f>
        <v>விநியோக மேலாண்மை</v>
      </c>
      <c r="M737" s="2" t="str">
        <f>IFERROR(__xludf.DUMMYFUNCTION("""COMPUTED_VALUE"""),"డెలివరీ నిర్వహణ")</f>
        <v>డెలివరీ నిర్వహణ</v>
      </c>
    </row>
    <row r="738">
      <c r="A738" s="2" t="str">
        <f>Master_en!A738</f>
        <v>OrderManagement </v>
      </c>
      <c r="B738" s="2" t="str">
        <f>Master_en!B738</f>
        <v>Order Management </v>
      </c>
      <c r="C738" s="2" t="str">
        <f>IFERROR(__xludf.DUMMYFUNCTION("""COMPUTED_VALUE"""),"নির্দেশ ব্যাবস্থাপনা")</f>
        <v>নির্দেশ ব্যাবস্থাপনা</v>
      </c>
      <c r="D738" s="2" t="str">
        <f>IFERROR(__xludf.DUMMYFUNCTION("""COMPUTED_VALUE"""),"प्रबंधन को आदेश दें")</f>
        <v>प्रबंधन को आदेश दें</v>
      </c>
      <c r="E738" s="2" t="str">
        <f>IFERROR(__xludf.DUMMYFUNCTION("""COMPUTED_VALUE"""),"ಆದೇಶ ನಿರ್ವಹಣೆ")</f>
        <v>ಆದೇಶ ನಿರ್ವಹಣೆ</v>
      </c>
      <c r="F738" s="2" t="str">
        <f>IFERROR(__xludf.DUMMYFUNCTION("""COMPUTED_VALUE"""),"କ୍ରମ ପରିଚାଳନା")</f>
        <v>କ୍ରମ ପରିଚାଳନା</v>
      </c>
      <c r="G738" s="2" t="str">
        <f>IFERROR(__xludf.DUMMYFUNCTION("""COMPUTED_VALUE"""),"অৰ্ডাৰ ব্যৱস্থাপনা")</f>
        <v>অৰ্ডাৰ ব্যৱস্থাপনা</v>
      </c>
      <c r="H738" s="2" t="str">
        <f>IFERROR(__xludf.DUMMYFUNCTION("""COMPUTED_VALUE"""),"હુકમનું સંચાલન")</f>
        <v>હુકમનું સંચાલન</v>
      </c>
      <c r="I738" s="2" t="str">
        <f>IFERROR(__xludf.DUMMYFUNCTION("""COMPUTED_VALUE"""),"पेमेंट व्यवस्थापन")</f>
        <v>पेमेंट व्यवस्थापन</v>
      </c>
      <c r="J738" s="2" t="str">
        <f>IFERROR(__xludf.DUMMYFUNCTION("""COMPUTED_VALUE"""),"ഓർഡർ മാനേജുമെന്റ്")</f>
        <v>ഓർഡർ മാനേജുമെന്റ്</v>
      </c>
      <c r="K738" s="2" t="str">
        <f>IFERROR(__xludf.DUMMYFUNCTION("""COMPUTED_VALUE"""),"ਆਰਡਰ ਪ੍ਰਬੰਧਨ")</f>
        <v>ਆਰਡਰ ਪ੍ਰਬੰਧਨ</v>
      </c>
      <c r="L738" s="2" t="str">
        <f>IFERROR(__xludf.DUMMYFUNCTION("""COMPUTED_VALUE"""),"ஒழுங்கு மேலாண்மை")</f>
        <v>ஒழுங்கு மேலாண்மை</v>
      </c>
      <c r="M738" s="2" t="str">
        <f>IFERROR(__xludf.DUMMYFUNCTION("""COMPUTED_VALUE"""),"ఆర్డర్ నిర్వహణ")</f>
        <v>ఆర్డర్ నిర్వహణ</v>
      </c>
    </row>
    <row r="739">
      <c r="A739" s="2" t="str">
        <f>Master_en!A739</f>
        <v>CustomerService </v>
      </c>
      <c r="B739" s="2" t="str">
        <f>Master_en!B739</f>
        <v>Customer Service </v>
      </c>
      <c r="C739" s="2" t="str">
        <f>IFERROR(__xludf.DUMMYFUNCTION("""COMPUTED_VALUE"""),"গ্রাহক সেবা")</f>
        <v>গ্রাহক সেবা</v>
      </c>
      <c r="D739" s="2" t="str">
        <f>IFERROR(__xludf.DUMMYFUNCTION("""COMPUTED_VALUE"""),"ग्राहक सेवा")</f>
        <v>ग्राहक सेवा</v>
      </c>
      <c r="E739" s="2" t="str">
        <f>IFERROR(__xludf.DUMMYFUNCTION("""COMPUTED_VALUE"""),"ಗ್ರಾಹಕ ಸೇವೆ")</f>
        <v>ಗ್ರಾಹಕ ಸೇವೆ</v>
      </c>
      <c r="F739" s="2" t="str">
        <f>IFERROR(__xludf.DUMMYFUNCTION("""COMPUTED_VALUE"""),"ଗ୍ରାହକ ସେବା")</f>
        <v>ଗ୍ରାହକ ସେବା</v>
      </c>
      <c r="G739" s="2" t="str">
        <f>IFERROR(__xludf.DUMMYFUNCTION("""COMPUTED_VALUE"""),"গ্ৰাহক সেৱা")</f>
        <v>গ্ৰাহক সেৱা</v>
      </c>
      <c r="H739" s="2" t="str">
        <f>IFERROR(__xludf.DUMMYFUNCTION("""COMPUTED_VALUE"""),"ગ્રાહક સેવા")</f>
        <v>ગ્રાહક સેવા</v>
      </c>
      <c r="I739" s="2" t="str">
        <f>IFERROR(__xludf.DUMMYFUNCTION("""COMPUTED_VALUE"""),"ग्राहक सेवा")</f>
        <v>ग्राहक सेवा</v>
      </c>
      <c r="J739" s="2" t="str">
        <f>IFERROR(__xludf.DUMMYFUNCTION("""COMPUTED_VALUE"""),"കസ്റ്റമർ സർവീസ്")</f>
        <v>കസ്റ്റമർ സർവീസ്</v>
      </c>
      <c r="K739" s="2" t="str">
        <f>IFERROR(__xludf.DUMMYFUNCTION("""COMPUTED_VALUE"""),"ਗਾਹਕ ਦੀ ਸੇਵਾ")</f>
        <v>ਗਾਹਕ ਦੀ ਸੇਵਾ</v>
      </c>
      <c r="L739" s="2" t="str">
        <f>IFERROR(__xludf.DUMMYFUNCTION("""COMPUTED_VALUE"""),"வாடிக்கையாளர் சேவை")</f>
        <v>வாடிக்கையாளர் சேவை</v>
      </c>
      <c r="M739" s="2" t="str">
        <f>IFERROR(__xludf.DUMMYFUNCTION("""COMPUTED_VALUE"""),"వినియోగదారుల సేవ")</f>
        <v>వినియోగదారుల సేవ</v>
      </c>
    </row>
    <row r="740">
      <c r="A740" s="2" t="str">
        <f>Master_en!A740</f>
        <v>Neworderdetails</v>
      </c>
      <c r="B740" s="2" t="str">
        <f>Master_en!B740</f>
        <v>New Order Details</v>
      </c>
      <c r="C740" s="2" t="str">
        <f>IFERROR(__xludf.DUMMYFUNCTION("""COMPUTED_VALUE"""),"নতুন অর্ডার বিশদ")</f>
        <v>নতুন অর্ডার বিশদ</v>
      </c>
      <c r="D740" s="2" t="str">
        <f>IFERROR(__xludf.DUMMYFUNCTION("""COMPUTED_VALUE"""),"नया आदेश विवरण")</f>
        <v>नया आदेश विवरण</v>
      </c>
      <c r="E740" s="2" t="str">
        <f>IFERROR(__xludf.DUMMYFUNCTION("""COMPUTED_VALUE"""),"ಹೊಸ ಆದೇಶದ ವಿವರಗಳು")</f>
        <v>ಹೊಸ ಆದೇಶದ ವಿವರಗಳು</v>
      </c>
      <c r="F740" s="2" t="str">
        <f>IFERROR(__xludf.DUMMYFUNCTION("""COMPUTED_VALUE"""),"ନୂତନ ଅର୍ଡର ବିବରଣୀ |")</f>
        <v>ନୂତନ ଅର୍ଡର ବିବରଣୀ |</v>
      </c>
      <c r="G740" s="2" t="str">
        <f>IFERROR(__xludf.DUMMYFUNCTION("""COMPUTED_VALUE"""),"নতুন অৰ্ডাৰৰ বিৱৰণ")</f>
        <v>নতুন অৰ্ডাৰৰ বিৱৰণ</v>
      </c>
      <c r="H740" s="2" t="str">
        <f>IFERROR(__xludf.DUMMYFUNCTION("""COMPUTED_VALUE"""),"નવી ઓર્ડર વિગતો")</f>
        <v>નવી ઓર્ડર વિગતો</v>
      </c>
      <c r="I740" s="2" t="str">
        <f>IFERROR(__xludf.DUMMYFUNCTION("""COMPUTED_VALUE"""),"नवीन ऑर्डर तपशील")</f>
        <v>नवीन ऑर्डर तपशील</v>
      </c>
      <c r="J740" s="2" t="str">
        <f>IFERROR(__xludf.DUMMYFUNCTION("""COMPUTED_VALUE"""),"പുതിയ ഓർഡർ വിശദാംശങ്ങൾ")</f>
        <v>പുതിയ ഓർഡർ വിശദാംശങ്ങൾ</v>
      </c>
      <c r="K740" s="2" t="str">
        <f>IFERROR(__xludf.DUMMYFUNCTION("""COMPUTED_VALUE"""),"ਨਵੇਂ ਆਰਡਰ ਵੇਰਵੇ")</f>
        <v>ਨਵੇਂ ਆਰਡਰ ਵੇਰਵੇ</v>
      </c>
      <c r="L740" s="2" t="str">
        <f>IFERROR(__xludf.DUMMYFUNCTION("""COMPUTED_VALUE"""),"புதிய ஆர்டர் விவரங்கள்")</f>
        <v>புதிய ஆர்டர் விவரங்கள்</v>
      </c>
      <c r="M740" s="2" t="str">
        <f>IFERROR(__xludf.DUMMYFUNCTION("""COMPUTED_VALUE"""),"కొత్త ఆర్డర్ వివరాలు")</f>
        <v>కొత్త ఆర్డర్ వివరాలు</v>
      </c>
    </row>
    <row r="741">
      <c r="A741" s="2" t="str">
        <f>Master_en!A741</f>
        <v>ExpensesManagement </v>
      </c>
      <c r="B741" s="2" t="str">
        <f>Master_en!B741</f>
        <v>Expenses Management </v>
      </c>
      <c r="C741" s="2" t="str">
        <f>IFERROR(__xludf.DUMMYFUNCTION("""COMPUTED_VALUE"""),"ব্যয় পরিচালনা")</f>
        <v>ব্যয় পরিচালনা</v>
      </c>
      <c r="D741" s="2" t="str">
        <f>IFERROR(__xludf.DUMMYFUNCTION("""COMPUTED_VALUE"""),"व्यय प्रबंधन")</f>
        <v>व्यय प्रबंधन</v>
      </c>
      <c r="E741" s="2" t="str">
        <f>IFERROR(__xludf.DUMMYFUNCTION("""COMPUTED_VALUE"""),"ವೆಚ್ಚಗಳ ನಿರ್ವಹಣೆ")</f>
        <v>ವೆಚ್ಚಗಳ ನಿರ್ವಹಣೆ</v>
      </c>
      <c r="F741" s="2" t="str">
        <f>IFERROR(__xludf.DUMMYFUNCTION("""COMPUTED_VALUE"""),"ଖର୍ଚ୍ଚ ପରିଚାଳନା")</f>
        <v>ଖର୍ଚ୍ଚ ପରିଚାଳନା</v>
      </c>
      <c r="G741" s="2" t="str">
        <f>IFERROR(__xludf.DUMMYFUNCTION("""COMPUTED_VALUE"""),"খৰচ ব্যৱস্থাপনা")</f>
        <v>খৰচ ব্যৱস্থাপনা</v>
      </c>
      <c r="H741" s="2" t="str">
        <f>IFERROR(__xludf.DUMMYFUNCTION("""COMPUTED_VALUE"""),"ખર્ચનું સંચાલન")</f>
        <v>ખર્ચનું સંચાલન</v>
      </c>
      <c r="I741" s="2" t="str">
        <f>IFERROR(__xludf.DUMMYFUNCTION("""COMPUTED_VALUE"""),"खर्च व्यवस्थापन")</f>
        <v>खर्च व्यवस्थापन</v>
      </c>
      <c r="J741" s="2" t="str">
        <f>IFERROR(__xludf.DUMMYFUNCTION("""COMPUTED_VALUE"""),"ചെലവ് മാനേജുമെന്റ്")</f>
        <v>ചെലവ് മാനേജുമെന്റ്</v>
      </c>
      <c r="K741" s="2" t="str">
        <f>IFERROR(__xludf.DUMMYFUNCTION("""COMPUTED_VALUE"""),"ਖਰਚੇ ਪ੍ਰਬੰਧਨ")</f>
        <v>ਖਰਚੇ ਪ੍ਰਬੰਧਨ</v>
      </c>
      <c r="L741" s="2" t="str">
        <f>IFERROR(__xludf.DUMMYFUNCTION("""COMPUTED_VALUE"""),"செலவு மேலாண்மை")</f>
        <v>செலவு மேலாண்மை</v>
      </c>
      <c r="M741" s="2" t="str">
        <f>IFERROR(__xludf.DUMMYFUNCTION("""COMPUTED_VALUE"""),"ఖర్చుల నిర్వహణ")</f>
        <v>ఖర్చుల నిర్వహణ</v>
      </c>
    </row>
    <row r="742">
      <c r="A742" s="2" t="str">
        <f>Master_en!A742</f>
        <v>InventoryManagement </v>
      </c>
      <c r="B742" s="2" t="str">
        <f>Master_en!B742</f>
        <v>Inventory Management </v>
      </c>
      <c r="C742" s="2" t="str">
        <f>IFERROR(__xludf.DUMMYFUNCTION("""COMPUTED_VALUE"""),"ইনভেন্টরি ম্যানেজমেন্ট")</f>
        <v>ইনভেন্টরি ম্যানেজমেন্ট</v>
      </c>
      <c r="D742" s="2" t="str">
        <f>IFERROR(__xludf.DUMMYFUNCTION("""COMPUTED_VALUE"""),"सूची प्रबंधन")</f>
        <v>सूची प्रबंधन</v>
      </c>
      <c r="E742" s="2" t="str">
        <f>IFERROR(__xludf.DUMMYFUNCTION("""COMPUTED_VALUE"""),"ದಾಸ್ತಾನು ನಿರ್ವಹಣೆ")</f>
        <v>ದಾಸ್ತಾನು ನಿರ್ವಹಣೆ</v>
      </c>
      <c r="F742" s="2" t="str">
        <f>IFERROR(__xludf.DUMMYFUNCTION("""COMPUTED_VALUE"""),"ଇନଭେଣ୍ଟୋରୀ ମ୍ୟାନେଜମେଣ୍ଟ")</f>
        <v>ଇନଭେଣ୍ଟୋରୀ ମ୍ୟାନେଜମେଣ୍ଟ</v>
      </c>
      <c r="G742" s="2" t="str">
        <f>IFERROR(__xludf.DUMMYFUNCTION("""COMPUTED_VALUE"""),"তথ্য ব্যৱস্থাপনা")</f>
        <v>তথ্য ব্যৱস্থাপনা</v>
      </c>
      <c r="H742" s="2" t="str">
        <f>IFERROR(__xludf.DUMMYFUNCTION("""COMPUTED_VALUE"""),"યાદી સંચાલન")</f>
        <v>યાદી સંચાલન</v>
      </c>
      <c r="I742" s="2" t="str">
        <f>IFERROR(__xludf.DUMMYFUNCTION("""COMPUTED_VALUE"""),"वस्तुसुची व्यवस्थापन")</f>
        <v>वस्तुसुची व्यवस्थापन</v>
      </c>
      <c r="J742" s="2" t="str">
        <f>IFERROR(__xludf.DUMMYFUNCTION("""COMPUTED_VALUE"""),"ഇൻവെന്ററി മാനേജ്മെന്റ്")</f>
        <v>ഇൻവെന്ററി മാനേജ്മെന്റ്</v>
      </c>
      <c r="K742" s="2" t="str">
        <f>IFERROR(__xludf.DUMMYFUNCTION("""COMPUTED_VALUE"""),"ਵਸਤੂ ਪ੍ਰਬੰਧਨ")</f>
        <v>ਵਸਤੂ ਪ੍ਰਬੰਧਨ</v>
      </c>
      <c r="L742" s="2" t="str">
        <f>IFERROR(__xludf.DUMMYFUNCTION("""COMPUTED_VALUE"""),"சரக்கு மேலாண்மை")</f>
        <v>சரக்கு மேலாண்மை</v>
      </c>
      <c r="M742" s="2" t="str">
        <f>IFERROR(__xludf.DUMMYFUNCTION("""COMPUTED_VALUE"""),"జాబితా నిర్వహణ")</f>
        <v>జాబితా నిర్వహణ</v>
      </c>
    </row>
    <row r="743">
      <c r="A743" s="2" t="str">
        <f>Master_en!A743</f>
        <v>Complain</v>
      </c>
      <c r="B743" s="2" t="str">
        <f>Master_en!B743</f>
        <v>Complain</v>
      </c>
      <c r="C743" s="2" t="str">
        <f>IFERROR(__xludf.DUMMYFUNCTION("""COMPUTED_VALUE"""),"অভিযোগ")</f>
        <v>অভিযোগ</v>
      </c>
      <c r="D743" s="2" t="str">
        <f>IFERROR(__xludf.DUMMYFUNCTION("""COMPUTED_VALUE"""),"शिकायत करना")</f>
        <v>शिकायत करना</v>
      </c>
      <c r="E743" s="2" t="str">
        <f>IFERROR(__xludf.DUMMYFUNCTION("""COMPUTED_VALUE"""),"ದೂರು")</f>
        <v>ದೂರು</v>
      </c>
      <c r="F743" s="2" t="str">
        <f>IFERROR(__xludf.DUMMYFUNCTION("""COMPUTED_VALUE"""),"ଅଭିଯୋଗ କରନ୍ତୁ")</f>
        <v>ଅଭିଯୋଗ କରନ୍ତୁ</v>
      </c>
      <c r="G743" s="2" t="str">
        <f>IFERROR(__xludf.DUMMYFUNCTION("""COMPUTED_VALUE"""),"অভিযোগ কৰা")</f>
        <v>অভিযোগ কৰা</v>
      </c>
      <c r="H743" s="2" t="str">
        <f>IFERROR(__xludf.DUMMYFUNCTION("""COMPUTED_VALUE"""),"ફરિયાદ કરવી")</f>
        <v>ફરિયાદ કરવી</v>
      </c>
      <c r="I743" s="2" t="str">
        <f>IFERROR(__xludf.DUMMYFUNCTION("""COMPUTED_VALUE"""),"तक्रार")</f>
        <v>तक्रार</v>
      </c>
      <c r="J743" s="2" t="str">
        <f>IFERROR(__xludf.DUMMYFUNCTION("""COMPUTED_VALUE"""),"പരാതിപ്പെടുക")</f>
        <v>പരാതിപ്പെടുക</v>
      </c>
      <c r="K743" s="2" t="str">
        <f>IFERROR(__xludf.DUMMYFUNCTION("""COMPUTED_VALUE"""),"ਸ਼ਿਕਾਇਤ")</f>
        <v>ਸ਼ਿਕਾਇਤ</v>
      </c>
      <c r="L743" s="2" t="str">
        <f>IFERROR(__xludf.DUMMYFUNCTION("""COMPUTED_VALUE"""),"புகார்")</f>
        <v>புகார்</v>
      </c>
      <c r="M743" s="2" t="str">
        <f>IFERROR(__xludf.DUMMYFUNCTION("""COMPUTED_VALUE"""),"ఫిర్యాదు")</f>
        <v>ఫిర్యాదు</v>
      </c>
    </row>
    <row r="744">
      <c r="A744" s="2" t="str">
        <f>Master_en!A744</f>
        <v>AccountManager </v>
      </c>
      <c r="B744" s="2" t="str">
        <f>Master_en!B744</f>
        <v>Account manager </v>
      </c>
      <c r="C744" s="2" t="str">
        <f>IFERROR(__xludf.DUMMYFUNCTION("""COMPUTED_VALUE"""),"একাউন্ট ম্যানেজার")</f>
        <v>একাউন্ট ম্যানেজার</v>
      </c>
      <c r="D744" s="2" t="str">
        <f>IFERROR(__xludf.DUMMYFUNCTION("""COMPUTED_VALUE"""),"खाता प्रबंधक")</f>
        <v>खाता प्रबंधक</v>
      </c>
      <c r="E744" s="2" t="str">
        <f>IFERROR(__xludf.DUMMYFUNCTION("""COMPUTED_VALUE"""),"ಖಾತೆ ವ್ಯವಸ್ಥಾಪಕ")</f>
        <v>ಖಾತೆ ವ್ಯವಸ್ಥಾಪಕ</v>
      </c>
      <c r="F744" s="2" t="str">
        <f>IFERROR(__xludf.DUMMYFUNCTION("""COMPUTED_VALUE"""),"ଖାତା ପରିଚାଳକ")</f>
        <v>ଖାତା ପରିଚାଳକ</v>
      </c>
      <c r="G744" s="2" t="str">
        <f>IFERROR(__xludf.DUMMYFUNCTION("""COMPUTED_VALUE"""),"একাউণ্ট মেনেজাৰ")</f>
        <v>একাউণ্ট মেনেজাৰ</v>
      </c>
      <c r="H744" s="2" t="str">
        <f>IFERROR(__xludf.DUMMYFUNCTION("""COMPUTED_VALUE"""),"ખાતા નિયામક")</f>
        <v>ખાતા નિયામક</v>
      </c>
      <c r="I744" s="2" t="str">
        <f>IFERROR(__xludf.DUMMYFUNCTION("""COMPUTED_VALUE"""),"खाते व्यवस्थापक")</f>
        <v>खाते व्यवस्थापक</v>
      </c>
      <c r="J744" s="2" t="str">
        <f>IFERROR(__xludf.DUMMYFUNCTION("""COMPUTED_VALUE"""),"അക്കൗണ്ട് മാനേജർ")</f>
        <v>അക്കൗണ്ട് മാനേജർ</v>
      </c>
      <c r="K744" s="2" t="str">
        <f>IFERROR(__xludf.DUMMYFUNCTION("""COMPUTED_VALUE"""),"ਅਕਾਊਂਟ ਸੰਚਾਲਕ")</f>
        <v>ਅਕਾਊਂਟ ਸੰਚਾਲਕ</v>
      </c>
      <c r="L744" s="2" t="str">
        <f>IFERROR(__xludf.DUMMYFUNCTION("""COMPUTED_VALUE"""),"கணக்கு மேலாளர்")</f>
        <v>கணக்கு மேலாளர்</v>
      </c>
      <c r="M744" s="2" t="str">
        <f>IFERROR(__xludf.DUMMYFUNCTION("""COMPUTED_VALUE"""),"ఖాతా మేనేజర్")</f>
        <v>ఖాతా మేనేజర్</v>
      </c>
    </row>
    <row r="745">
      <c r="A745" s="2" t="str">
        <f>Master_en!A745</f>
        <v>ActiveOrder</v>
      </c>
      <c r="B745" s="2" t="str">
        <f>Master_en!B745</f>
        <v>Active Order</v>
      </c>
      <c r="C745" s="2" t="str">
        <f>IFERROR(__xludf.DUMMYFUNCTION("""COMPUTED_VALUE"""),"সক্রিয় আদেশ")</f>
        <v>সক্রিয় আদেশ</v>
      </c>
      <c r="D745" s="2" t="str">
        <f>IFERROR(__xludf.DUMMYFUNCTION("""COMPUTED_VALUE"""),"सक्रिय आदेश")</f>
        <v>सक्रिय आदेश</v>
      </c>
      <c r="E745" s="2" t="str">
        <f>IFERROR(__xludf.DUMMYFUNCTION("""COMPUTED_VALUE"""),"ಸಕ್ರಿಯ ಕ್ರಮ")</f>
        <v>ಸಕ್ರಿಯ ಕ್ರಮ</v>
      </c>
      <c r="F745" s="2" t="str">
        <f>IFERROR(__xludf.DUMMYFUNCTION("""COMPUTED_VALUE"""),"ସକ୍ରିୟ କ୍ରମ |")</f>
        <v>ସକ୍ରିୟ କ୍ରମ |</v>
      </c>
      <c r="G745" s="2" t="str">
        <f>IFERROR(__xludf.DUMMYFUNCTION("""COMPUTED_VALUE"""),"সক্ৰিয় অৰ্ডাৰ")</f>
        <v>সক্ৰিয় অৰ্ডাৰ</v>
      </c>
      <c r="H745" s="2" t="str">
        <f>IFERROR(__xludf.DUMMYFUNCTION("""COMPUTED_VALUE"""),"સક્રિય હુકમ")</f>
        <v>સક્રિય હુકમ</v>
      </c>
      <c r="I745" s="2" t="str">
        <f>IFERROR(__xludf.DUMMYFUNCTION("""COMPUTED_VALUE"""),"सक्रिय ऑर्डर")</f>
        <v>सक्रिय ऑर्डर</v>
      </c>
      <c r="J745" s="2" t="str">
        <f>IFERROR(__xludf.DUMMYFUNCTION("""COMPUTED_VALUE"""),"സജീവ ഓർഡർ")</f>
        <v>സജീവ ഓർഡർ</v>
      </c>
      <c r="K745" s="2" t="str">
        <f>IFERROR(__xludf.DUMMYFUNCTION("""COMPUTED_VALUE"""),"ਐਕਟਿਵ ਆਰਡਰ")</f>
        <v>ਐਕਟਿਵ ਆਰਡਰ</v>
      </c>
      <c r="L745" s="2" t="str">
        <f>IFERROR(__xludf.DUMMYFUNCTION("""COMPUTED_VALUE"""),"ஆக்ட்டிவ்  ஆர்டர்")</f>
        <v>ஆக்ட்டிவ்  ஆர்டர்</v>
      </c>
      <c r="M745" s="2" t="str">
        <f>IFERROR(__xludf.DUMMYFUNCTION("""COMPUTED_VALUE"""),"యాక్టివ్ ఆర్డర్")</f>
        <v>యాక్టివ్ ఆర్డర్</v>
      </c>
    </row>
    <row r="746">
      <c r="A746" s="2" t="str">
        <f>Master_en!A746</f>
        <v>Refer&amp;earn</v>
      </c>
      <c r="B746" s="2" t="str">
        <f>Master_en!B746</f>
        <v>Refer &amp; Earn</v>
      </c>
      <c r="C746" s="2" t="str">
        <f>IFERROR(__xludf.DUMMYFUNCTION("""COMPUTED_VALUE"""),"পড়ুন এবং উপার্জন করুন")</f>
        <v>পড়ুন এবং উপার্জন করুন</v>
      </c>
      <c r="D746" s="2" t="str">
        <f>IFERROR(__xludf.DUMMYFUNCTION("""COMPUTED_VALUE"""),"देखें और अर्जित करना")</f>
        <v>देखें और अर्जित करना</v>
      </c>
      <c r="E746" s="2" t="str">
        <f>IFERROR(__xludf.DUMMYFUNCTION("""COMPUTED_VALUE"""),"ನೋಡಿ ಮತ್ತು ಸಂಪಾದಿಸಿ")</f>
        <v>ನೋಡಿ ಮತ್ತು ಸಂಪಾದಿಸಿ</v>
      </c>
      <c r="F746" s="2" t="str">
        <f>IFERROR(__xludf.DUMMYFUNCTION("""COMPUTED_VALUE"""),"ରେଫର୍ ଏବଂ ରୋଜଗାର କର |")</f>
        <v>ରେଫର୍ ଏବଂ ରୋଜଗାର କର |</v>
      </c>
      <c r="G746" s="2" t="str">
        <f>IFERROR(__xludf.DUMMYFUNCTION("""COMPUTED_VALUE"""),"ৰেফাৰ কৰক আৰু উপাৰ্জন কৰক")</f>
        <v>ৰেফাৰ কৰক আৰু উপাৰ্জন কৰক</v>
      </c>
      <c r="H746" s="2" t="str">
        <f>IFERROR(__xludf.DUMMYFUNCTION("""COMPUTED_VALUE"""),"સંદર્ભ લો અને કમાણી")</f>
        <v>સંદર્ભ લો અને કમાણી</v>
      </c>
      <c r="I746" s="2" t="str">
        <f>IFERROR(__xludf.DUMMYFUNCTION("""COMPUTED_VALUE"""),"संदर्भ घ्या आणि कमवा")</f>
        <v>संदर्भ घ्या आणि कमवा</v>
      </c>
      <c r="J746" s="2" t="str">
        <f>IFERROR(__xludf.DUMMYFUNCTION("""COMPUTED_VALUE"""),"റഫർ ചെയ്യുക &amp; നേടുക")</f>
        <v>റഫർ ചെയ്യുക &amp; നേടുക</v>
      </c>
      <c r="K746" s="2" t="str">
        <f>IFERROR(__xludf.DUMMYFUNCTION("""COMPUTED_VALUE"""),"ਵੇਖੋ ਅਤੇ ਕਮਾਈ ਕਰੋ")</f>
        <v>ਵੇਖੋ ਅਤੇ ਕਮਾਈ ਕਰੋ</v>
      </c>
      <c r="L746" s="2" t="str">
        <f>IFERROR(__xludf.DUMMYFUNCTION("""COMPUTED_VALUE"""),"பார்க்கவும் மற்றும் சம்பாதிக்கவும்")</f>
        <v>பார்க்கவும் மற்றும் சம்பாதிக்கவும்</v>
      </c>
      <c r="M746" s="2" t="str">
        <f>IFERROR(__xludf.DUMMYFUNCTION("""COMPUTED_VALUE"""),"ఖాతా నిర్వాహకుడు")</f>
        <v>ఖాతా నిర్వాహకుడు</v>
      </c>
    </row>
    <row r="747">
      <c r="A747" s="2" t="str">
        <f>Master_en!A747</f>
        <v>gstin </v>
      </c>
      <c r="B747" s="2" t="str">
        <f>Master_en!B747</f>
        <v>GSTIN</v>
      </c>
      <c r="C747" s="2" t="str">
        <f>IFERROR(__xludf.DUMMYFUNCTION("""COMPUTED_VALUE"""),"গাস্টিন")</f>
        <v>গাস্টিন</v>
      </c>
      <c r="D747" s="2" t="str">
        <f>IFERROR(__xludf.DUMMYFUNCTION("""COMPUTED_VALUE"""),"जीएसटी आई एन
")</f>
        <v>जीएसटी आई एन
</v>
      </c>
      <c r="E747" s="2" t="str">
        <f>IFERROR(__xludf.DUMMYFUNCTION("""COMPUTED_VALUE"""),"ಜಿಎಸ್ಟಿ ಐಎ ಎನ್")</f>
        <v>ಜಿಎಸ್ಟಿ ಐಎ ಎನ್</v>
      </c>
      <c r="F747" s="2" t="str">
        <f>IFERROR(__xludf.DUMMYFUNCTION("""COMPUTED_VALUE"""),"ଜିଏସିନ୍ |")</f>
        <v>ଜିଏସିନ୍ |</v>
      </c>
      <c r="G747" s="2" t="str">
        <f>IFERROR(__xludf.DUMMYFUNCTION("""COMPUTED_VALUE"""),"GSTIN")</f>
        <v>GSTIN</v>
      </c>
      <c r="H747" s="2" t="str">
        <f>IFERROR(__xludf.DUMMYFUNCTION("""COMPUTED_VALUE"""),"જાડું")</f>
        <v>જાડું</v>
      </c>
      <c r="I747" s="2" t="str">
        <f>IFERROR(__xludf.DUMMYFUNCTION("""COMPUTED_VALUE"""),"Gstin")</f>
        <v>Gstin</v>
      </c>
      <c r="J747" s="2" t="str">
        <f>IFERROR(__xludf.DUMMYFUNCTION("""COMPUTED_VALUE"""),"ജിസ്റ്റിൻ")</f>
        <v>ജിസ്റ്റിൻ</v>
      </c>
      <c r="K747" s="2" t="str">
        <f>IFERROR(__xludf.DUMMYFUNCTION("""COMPUTED_VALUE"""),"Gstin")</f>
        <v>Gstin</v>
      </c>
      <c r="L747" s="2" t="str">
        <f>IFERROR(__xludf.DUMMYFUNCTION("""COMPUTED_VALUE"""),"ஜிஸ்டின்")</f>
        <v>ஜிஸ்டின்</v>
      </c>
      <c r="M747" s="2" t="str">
        <f>IFERROR(__xludf.DUMMYFUNCTION("""COMPUTED_VALUE"""),"Gstin")</f>
        <v>Gstin</v>
      </c>
    </row>
    <row r="748">
      <c r="A748" s="2" t="str">
        <f>Master_en!A748</f>
        <v>ActivePlan</v>
      </c>
      <c r="B748" s="2" t="str">
        <f>Master_en!B748</f>
        <v>Active Plan</v>
      </c>
      <c r="C748" s="2" t="str">
        <f>IFERROR(__xludf.DUMMYFUNCTION("""COMPUTED_VALUE"""),"সক্রিয় পরিকল্পনা")</f>
        <v>সক্রিয় পরিকল্পনা</v>
      </c>
      <c r="D748" s="2" t="str">
        <f>IFERROR(__xludf.DUMMYFUNCTION("""COMPUTED_VALUE"""),"सक्रिय योजना")</f>
        <v>सक्रिय योजना</v>
      </c>
      <c r="E748" s="2" t="str">
        <f>IFERROR(__xludf.DUMMYFUNCTION("""COMPUTED_VALUE"""),"ಸಕ್ರಿಯ ಯೋಜನೆ")</f>
        <v>ಸಕ್ರಿಯ ಯೋಜನೆ</v>
      </c>
      <c r="F748" s="2" t="str">
        <f>IFERROR(__xludf.DUMMYFUNCTION("""COMPUTED_VALUE"""),"ସକ୍ରିୟ ଯୋଜନା")</f>
        <v>ସକ୍ରିୟ ଯୋଜନା</v>
      </c>
      <c r="G748" s="2" t="str">
        <f>IFERROR(__xludf.DUMMYFUNCTION("""COMPUTED_VALUE"""),"সক্ৰিয় পৰিকল্পনা")</f>
        <v>সক্ৰিয় পৰিকল্পনা</v>
      </c>
      <c r="H748" s="2" t="str">
        <f>IFERROR(__xludf.DUMMYFUNCTION("""COMPUTED_VALUE"""),"સક્રિય યોજના")</f>
        <v>સક્રિય યોજના</v>
      </c>
      <c r="I748" s="2" t="str">
        <f>IFERROR(__xludf.DUMMYFUNCTION("""COMPUTED_VALUE"""),"सक्रिय योजना")</f>
        <v>सक्रिय योजना</v>
      </c>
      <c r="J748" s="2" t="str">
        <f>IFERROR(__xludf.DUMMYFUNCTION("""COMPUTED_VALUE"""),"സജീവ പദ്ധതി")</f>
        <v>സജീവ പദ്ധതി</v>
      </c>
      <c r="K748" s="2" t="str">
        <f>IFERROR(__xludf.DUMMYFUNCTION("""COMPUTED_VALUE"""),"ਐਕਟਿਵ ਪਲਾਨ")</f>
        <v>ਐਕਟਿਵ ਪਲਾਨ</v>
      </c>
      <c r="L748" s="2" t="str">
        <f>IFERROR(__xludf.DUMMYFUNCTION("""COMPUTED_VALUE"""),"செயலில் திட்டம்")</f>
        <v>செயலில் திட்டம்</v>
      </c>
      <c r="M748" s="2" t="str">
        <f>IFERROR(__xludf.DUMMYFUNCTION("""COMPUTED_VALUE"""),"సూచించండి మరియు సంపాదించండి")</f>
        <v>సూచించండి మరియు సంపాదించండి</v>
      </c>
    </row>
    <row r="749">
      <c r="A749" s="2" t="str">
        <f>Master_en!A749</f>
        <v>Expiresin20days </v>
      </c>
      <c r="B749" s="2" t="str">
        <f>Master_en!B749</f>
        <v>Expires in 20 days </v>
      </c>
      <c r="C749" s="2" t="str">
        <f>IFERROR(__xludf.DUMMYFUNCTION("""COMPUTED_VALUE"""),"20 দিনের মধ্যে শেষ হয়")</f>
        <v>20 দিনের মধ্যে শেষ হয়</v>
      </c>
      <c r="D749" s="2" t="str">
        <f>IFERROR(__xludf.DUMMYFUNCTION("""COMPUTED_VALUE"""),"जीएसटीआईएन")</f>
        <v>जीएसटीआईएन</v>
      </c>
      <c r="E749" s="2" t="str">
        <f>IFERROR(__xludf.DUMMYFUNCTION("""COMPUTED_VALUE"""),"ಜಿಎಸ್ಟಿಐಎನ್")</f>
        <v>ಜಿಎಸ್ಟಿಐಎನ್</v>
      </c>
      <c r="F749" s="2" t="str">
        <f>IFERROR(__xludf.DUMMYFUNCTION("""COMPUTED_VALUE"""),"20 ଦିନରେ ସମାପ୍ତ ହେବ |")</f>
        <v>20 ଦିନରେ ସମାପ୍ତ ହେବ |</v>
      </c>
      <c r="G749" s="2" t="str">
        <f>IFERROR(__xludf.DUMMYFUNCTION("""COMPUTED_VALUE"""),"২০ দিনৰ পিছত ম্যাদ উকলিব")</f>
        <v>২০ দিনৰ পিছত ম্যাদ উকলিব</v>
      </c>
      <c r="H749" s="2" t="str">
        <f>IFERROR(__xludf.DUMMYFUNCTION("""COMPUTED_VALUE"""),"20 દિવસમાં સમાપ્ત થાય છે")</f>
        <v>20 દિવસમાં સમાપ્ત થાય છે</v>
      </c>
      <c r="I749" s="2" t="str">
        <f>IFERROR(__xludf.DUMMYFUNCTION("""COMPUTED_VALUE"""),"GSTIN")</f>
        <v>GSTIN</v>
      </c>
      <c r="J749" s="2" t="str">
        <f>IFERROR(__xludf.DUMMYFUNCTION("""COMPUTED_VALUE"""),"20 ദിവസത്തിനുള്ളിൽ കാലഹരണപ്പെടും")</f>
        <v>20 ദിവസത്തിനുള്ളിൽ കാലഹരണപ്പെടും</v>
      </c>
      <c r="K749" s="2" t="str">
        <f>IFERROR(__xludf.DUMMYFUNCTION("""COMPUTED_VALUE"""),"20 ਦਿਨਾਂ ਵਿਚ ਖਤਮ ਹੋ ਜਾਂਦਾ ਹੈ")</f>
        <v>20 ਦਿਨਾਂ ਵਿਚ ਖਤਮ ਹੋ ਜਾਂਦਾ ਹੈ</v>
      </c>
      <c r="L749" s="2" t="str">
        <f>IFERROR(__xludf.DUMMYFUNCTION("""COMPUTED_VALUE"""),"20 நாட்களில் காலாவதியாகிறது")</f>
        <v>20 நாட்களில் காலாவதியாகிறது</v>
      </c>
      <c r="M749" s="2" t="str">
        <f>IFERROR(__xludf.DUMMYFUNCTION("""COMPUTED_VALUE"""),"20 రోజుల్లో ముగుస్తుంది")</f>
        <v>20 రోజుల్లో ముగుస్తుంది</v>
      </c>
    </row>
    <row r="750">
      <c r="A750" s="2" t="str">
        <f>Master_en!A750</f>
        <v>Invoice</v>
      </c>
      <c r="B750" s="2" t="str">
        <f>Master_en!B750</f>
        <v>Invoice</v>
      </c>
      <c r="C750" s="2" t="str">
        <f>IFERROR(__xludf.DUMMYFUNCTION("""COMPUTED_VALUE"""),"চালান")</f>
        <v>চালান</v>
      </c>
      <c r="D750" s="2" t="str">
        <f>IFERROR(__xludf.DUMMYFUNCTION("""COMPUTED_VALUE"""),"इनवॉइस")</f>
        <v>इनवॉइस</v>
      </c>
      <c r="E750" s="2" t="str">
        <f>IFERROR(__xludf.DUMMYFUNCTION("""COMPUTED_VALUE"""),"ಸರಕುಪಟ್ಟಿ")</f>
        <v>ಸರಕುಪಟ್ಟಿ</v>
      </c>
      <c r="F750" s="2" t="str">
        <f>IFERROR(__xludf.DUMMYFUNCTION("""COMPUTED_VALUE"""),"ଇନଭଏସ୍ |")</f>
        <v>ଇନଭଏସ୍ |</v>
      </c>
      <c r="G750" s="2" t="str">
        <f>IFERROR(__xludf.DUMMYFUNCTION("""COMPUTED_VALUE"""),"চালান")</f>
        <v>চালান</v>
      </c>
      <c r="H750" s="2" t="str">
        <f>IFERROR(__xludf.DUMMYFUNCTION("""COMPUTED_VALUE"""),"ભરતિયું")</f>
        <v>ભરતિયું</v>
      </c>
      <c r="I750" s="2" t="str">
        <f>IFERROR(__xludf.DUMMYFUNCTION("""COMPUTED_VALUE"""),"बीजक")</f>
        <v>बीजक</v>
      </c>
      <c r="J750" s="2" t="str">
        <f>IFERROR(__xludf.DUMMYFUNCTION("""COMPUTED_VALUE"""),"വികയപതം")</f>
        <v>വികയപതം</v>
      </c>
      <c r="K750" s="2" t="str">
        <f>IFERROR(__xludf.DUMMYFUNCTION("""COMPUTED_VALUE"""),"ਚਲਾਨ")</f>
        <v>ਚਲਾਨ</v>
      </c>
      <c r="L750" s="2" t="str">
        <f>IFERROR(__xludf.DUMMYFUNCTION("""COMPUTED_VALUE"""),"விலைப்பட்டியல்")</f>
        <v>விலைப்பட்டியல்</v>
      </c>
      <c r="M750" s="2" t="str">
        <f>IFERROR(__xludf.DUMMYFUNCTION("""COMPUTED_VALUE"""),"ఇన్వాయిస్")</f>
        <v>ఇన్వాయిస్</v>
      </c>
    </row>
    <row r="751">
      <c r="A751" s="2" t="str">
        <f>Master_en!A751</f>
        <v>LastSubscriptionOn </v>
      </c>
      <c r="B751" s="2" t="str">
        <f>Master_en!B751</f>
        <v>Last Subscription On </v>
      </c>
      <c r="C751" s="2" t="str">
        <f>IFERROR(__xludf.DUMMYFUNCTION("""COMPUTED_VALUE"""),"শেষ সাবস্ক্রিপশন চালু")</f>
        <v>শেষ সাবস্ক্রিপশন চালু</v>
      </c>
      <c r="D751" s="2" t="str">
        <f>IFERROR(__xludf.DUMMYFUNCTION("""COMPUTED_VALUE"""),"पर अंतिम सदस्यता")</f>
        <v>पर अंतिम सदस्यता</v>
      </c>
      <c r="E751" s="2" t="str">
        <f>IFERROR(__xludf.DUMMYFUNCTION("""COMPUTED_VALUE"""),"ಕೊನೆಯ ಚಂದಾದಾರಿಕೆ")</f>
        <v>ಕೊನೆಯ ಚಂದಾದಾರಿಕೆ</v>
      </c>
      <c r="F751" s="2" t="str">
        <f>IFERROR(__xludf.DUMMYFUNCTION("""COMPUTED_VALUE"""),"ଶେଷରେ ସବସ୍କ୍ରିପସନ୍ |")</f>
        <v>ଶେଷରେ ସବସ୍କ୍ରିପସନ୍ |</v>
      </c>
      <c r="G751" s="2" t="str">
        <f>IFERROR(__xludf.DUMMYFUNCTION("""COMPUTED_VALUE"""),"শেষ চাবস্ক্ৰিপচন অন")</f>
        <v>শেষ চাবস্ক্ৰিপচন অন</v>
      </c>
      <c r="H751" s="2" t="str">
        <f>IFERROR(__xludf.DUMMYFUNCTION("""COMPUTED_VALUE"""),"પર છેલ્લું સબ્સ્ક્રિપ્શન")</f>
        <v>પર છેલ્લું સબ્સ્ક્રિપ્શન</v>
      </c>
      <c r="I751" s="2" t="str">
        <f>IFERROR(__xludf.DUMMYFUNCTION("""COMPUTED_VALUE"""),"शेवटची सदस्यता")</f>
        <v>शेवटची सदस्यता</v>
      </c>
      <c r="J751" s="2" t="str">
        <f>IFERROR(__xludf.DUMMYFUNCTION("""COMPUTED_VALUE"""),"അവസാന സബ്സ്ക്രിപ്ഷൻ ഓണാണ്")</f>
        <v>അവസാന സബ്സ്ക്രിപ്ഷൻ ഓണാണ്</v>
      </c>
      <c r="K751" s="2" t="str">
        <f>IFERROR(__xludf.DUMMYFUNCTION("""COMPUTED_VALUE"""),"'ਤੇ ਆਖਰੀ ਗਾਹਕੀ")</f>
        <v>'ਤੇ ਆਖਰੀ ਗਾਹਕੀ</v>
      </c>
      <c r="L751" s="2" t="str">
        <f>IFERROR(__xludf.DUMMYFUNCTION("""COMPUTED_VALUE"""),"கடைசி சந்தா")</f>
        <v>கடைசி சந்தா</v>
      </c>
      <c r="M751" s="2" t="str">
        <f>IFERROR(__xludf.DUMMYFUNCTION("""COMPUTED_VALUE"""),"చివరి చందా")</f>
        <v>చివరి చందా</v>
      </c>
    </row>
    <row r="752">
      <c r="A752" s="2" t="str">
        <f>Master_en!A752</f>
        <v>RenewPlan </v>
      </c>
      <c r="B752" s="2" t="str">
        <f>Master_en!B752</f>
        <v>Renew Plan </v>
      </c>
      <c r="C752" s="2" t="str">
        <f>IFERROR(__xludf.DUMMYFUNCTION("""COMPUTED_VALUE"""),"পুনর্নবীকরণ পরিকল্পনা")</f>
        <v>পুনর্নবীকরণ পরিকল্পনা</v>
      </c>
      <c r="D752" s="2" t="str">
        <f>IFERROR(__xludf.DUMMYFUNCTION("""COMPUTED_VALUE"""),"नवीनीकरण योजना")</f>
        <v>नवीनीकरण योजना</v>
      </c>
      <c r="E752" s="2" t="str">
        <f>IFERROR(__xludf.DUMMYFUNCTION("""COMPUTED_VALUE"""),"ಯೋಜನೆಯನ್ನು ನವೀಕರಿಸಿ")</f>
        <v>ಯೋಜನೆಯನ್ನು ನವೀಕರಿಸಿ</v>
      </c>
      <c r="F752" s="2" t="str">
        <f>IFERROR(__xludf.DUMMYFUNCTION("""COMPUTED_VALUE"""),"ନବୀକରଣ ଯୋଜନା")</f>
        <v>ନବୀକରଣ ଯୋଜନା</v>
      </c>
      <c r="G752" s="2" t="str">
        <f>IFERROR(__xludf.DUMMYFUNCTION("""COMPUTED_VALUE"""),"পৰিকল্পনা নবীকৰণ কৰক")</f>
        <v>পৰিকল্পনা নবীকৰণ কৰক</v>
      </c>
      <c r="H752" s="2" t="str">
        <f>IFERROR(__xludf.DUMMYFUNCTION("""COMPUTED_VALUE"""),"નવીકરણ યોજના")</f>
        <v>નવીકરણ યોજના</v>
      </c>
      <c r="I752" s="2" t="str">
        <f>IFERROR(__xludf.DUMMYFUNCTION("""COMPUTED_VALUE"""),"पावती")</f>
        <v>पावती</v>
      </c>
      <c r="J752" s="2" t="str">
        <f>IFERROR(__xludf.DUMMYFUNCTION("""COMPUTED_VALUE"""),"പ്ലാൻ പുതുക്കുക")</f>
        <v>പ്ലാൻ പുതുക്കുക</v>
      </c>
      <c r="K752" s="2" t="str">
        <f>IFERROR(__xludf.DUMMYFUNCTION("""COMPUTED_VALUE"""),"ਨਵੀਨੀਕਰਣ")</f>
        <v>ਨਵੀਨੀਕਰਣ</v>
      </c>
      <c r="L752" s="2" t="str">
        <f>IFERROR(__xludf.DUMMYFUNCTION("""COMPUTED_VALUE"""),"திட்டத்தை புதுப்பிக்கவும்")</f>
        <v>திட்டத்தை புதுப்பிக்கவும்</v>
      </c>
      <c r="M752" s="2" t="str">
        <f>IFERROR(__xludf.DUMMYFUNCTION("""COMPUTED_VALUE"""),"పునరుద్ధరణ ప్రణాళిక")</f>
        <v>పునరుద్ధరణ ప్రణాళిక</v>
      </c>
    </row>
    <row r="753">
      <c r="A753" s="2" t="str">
        <f>Master_en!A753</f>
        <v>ViewOtherPlans</v>
      </c>
      <c r="B753" s="2" t="str">
        <f>Master_en!B753</f>
        <v>View Other Plans</v>
      </c>
      <c r="C753" s="2" t="str">
        <f>IFERROR(__xludf.DUMMYFUNCTION("""COMPUTED_VALUE"""),"অন্যান্য পরিকল্পনা দেখুন")</f>
        <v>অন্যান্য পরিকল্পনা দেখুন</v>
      </c>
      <c r="D753" s="2" t="str">
        <f>IFERROR(__xludf.DUMMYFUNCTION("""COMPUTED_VALUE"""),"अन्य योजनाएं देखें")</f>
        <v>अन्य योजनाएं देखें</v>
      </c>
      <c r="E753" s="2" t="str">
        <f>IFERROR(__xludf.DUMMYFUNCTION("""COMPUTED_VALUE"""),"ಇತರ ಯೋಜನೆಗಳನ್ನು ವೀಕ್ಷಿಸಿ")</f>
        <v>ಇತರ ಯೋಜನೆಗಳನ್ನು ವೀಕ್ಷಿಸಿ</v>
      </c>
      <c r="F753" s="2" t="str">
        <f>IFERROR(__xludf.DUMMYFUNCTION("""COMPUTED_VALUE"""),"ଅନ୍ୟ ଯୋଜନାଗୁଡିକ ଦେଖନ୍ତୁ |")</f>
        <v>ଅନ୍ୟ ଯୋଜନାଗୁଡିକ ଦେଖନ୍ତୁ |</v>
      </c>
      <c r="G753" s="2" t="str">
        <f>IFERROR(__xludf.DUMMYFUNCTION("""COMPUTED_VALUE"""),"অন্যান্য পৰিকল্পনাসমূহ চাওক")</f>
        <v>অন্যান্য পৰিকল্পনাসমূহ চাওক</v>
      </c>
      <c r="H753" s="2" t="str">
        <f>IFERROR(__xludf.DUMMYFUNCTION("""COMPUTED_VALUE"""),"અન્ય યોજનાઓ જુઓ")</f>
        <v>અન્ય યોજનાઓ જુઓ</v>
      </c>
      <c r="I753" s="2" t="str">
        <f>IFERROR(__xludf.DUMMYFUNCTION("""COMPUTED_VALUE"""),"इतर योजना पहा")</f>
        <v>इतर योजना पहा</v>
      </c>
      <c r="J753" s="2" t="str">
        <f>IFERROR(__xludf.DUMMYFUNCTION("""COMPUTED_VALUE"""),"മറ്റ് പദ്ധതികൾ കാണുക")</f>
        <v>മറ്റ് പദ്ധതികൾ കാണുക</v>
      </c>
      <c r="K753" s="2" t="str">
        <f>IFERROR(__xludf.DUMMYFUNCTION("""COMPUTED_VALUE"""),"ਹੋਰ ਯੋਜਨਾਵਾਂ ਵੇਖੋ")</f>
        <v>ਹੋਰ ਯੋਜਨਾਵਾਂ ਵੇਖੋ</v>
      </c>
      <c r="L753" s="2" t="str">
        <f>IFERROR(__xludf.DUMMYFUNCTION("""COMPUTED_VALUE"""),"பிற திட்டங்களைக் காண்க")</f>
        <v>பிற திட்டங்களைக் காண்க</v>
      </c>
      <c r="M753" s="2" t="str">
        <f>IFERROR(__xludf.DUMMYFUNCTION("""COMPUTED_VALUE"""),"చివరి సభ్యత్వం")</f>
        <v>చివరి సభ్యత్వం</v>
      </c>
    </row>
    <row r="754">
      <c r="A754" s="2" t="str">
        <f>Master_en!A754</f>
        <v>Offer </v>
      </c>
      <c r="B754" s="2" t="str">
        <f>Master_en!B754</f>
        <v>Offer </v>
      </c>
      <c r="C754" s="2" t="str">
        <f>IFERROR(__xludf.DUMMYFUNCTION("""COMPUTED_VALUE"""),"অফার")</f>
        <v>অফার</v>
      </c>
      <c r="D754" s="2" t="str">
        <f>IFERROR(__xludf.DUMMYFUNCTION("""COMPUTED_VALUE"""),"प्रस्ताव")</f>
        <v>प्रस्ताव</v>
      </c>
      <c r="E754" s="2" t="str">
        <f>IFERROR(__xludf.DUMMYFUNCTION("""COMPUTED_VALUE"""),"ಅರ್ಪಿಸು")</f>
        <v>ಅರ್ಪಿಸು</v>
      </c>
      <c r="F754" s="2" t="str">
        <f>IFERROR(__xludf.DUMMYFUNCTION("""COMPUTED_VALUE"""),"ଅଫର୍")</f>
        <v>ଅଫର୍</v>
      </c>
      <c r="G754" s="2" t="str">
        <f>IFERROR(__xludf.DUMMYFUNCTION("""COMPUTED_VALUE"""),"অফাৰ")</f>
        <v>অফাৰ</v>
      </c>
      <c r="H754" s="2" t="str">
        <f>IFERROR(__xludf.DUMMYFUNCTION("""COMPUTED_VALUE"""),"અર્પણ કરવું")</f>
        <v>અર્પણ કરવું</v>
      </c>
      <c r="I754" s="2" t="str">
        <f>IFERROR(__xludf.DUMMYFUNCTION("""COMPUTED_VALUE"""),"योजना नूतनीकरण करा")</f>
        <v>योजना नूतनीकरण करा</v>
      </c>
      <c r="J754" s="2" t="str">
        <f>IFERROR(__xludf.DUMMYFUNCTION("""COMPUTED_VALUE"""),"വാഗ്ദാനം")</f>
        <v>വാഗ്ദാനം</v>
      </c>
      <c r="K754" s="2" t="str">
        <f>IFERROR(__xludf.DUMMYFUNCTION("""COMPUTED_VALUE"""),"ਪੇਸ਼ਕਸ਼")</f>
        <v>ਪੇਸ਼ਕਸ਼</v>
      </c>
      <c r="L754" s="2" t="str">
        <f>IFERROR(__xludf.DUMMYFUNCTION("""COMPUTED_VALUE"""),"சலுகை")</f>
        <v>சலுகை</v>
      </c>
      <c r="M754" s="2" t="str">
        <f>IFERROR(__xludf.DUMMYFUNCTION("""COMPUTED_VALUE"""),"ప్రణాళికను పునరుద్ధరించండి")</f>
        <v>ప్రణాళికను పునరుద్ధరించండి</v>
      </c>
    </row>
    <row r="755">
      <c r="A755" s="2" t="str">
        <f>Master_en!A755</f>
        <v>EntryName </v>
      </c>
      <c r="B755" s="2" t="str">
        <f>Master_en!B755</f>
        <v>Entry Name </v>
      </c>
      <c r="C755" s="2" t="str">
        <f>IFERROR(__xludf.DUMMYFUNCTION("""COMPUTED_VALUE"""),"প্রবেশের নাম")</f>
        <v>প্রবেশের নাম</v>
      </c>
      <c r="D755" s="2" t="str">
        <f>IFERROR(__xludf.DUMMYFUNCTION("""COMPUTED_VALUE"""),"प्रवेश नाम")</f>
        <v>प्रवेश नाम</v>
      </c>
      <c r="E755" s="2" t="str">
        <f>IFERROR(__xludf.DUMMYFUNCTION("""COMPUTED_VALUE"""),"ಪ್ರವೇಶದ ಹೆಸರು")</f>
        <v>ಪ್ರವೇಶದ ಹೆಸರು</v>
      </c>
      <c r="F755" s="2" t="str">
        <f>IFERROR(__xludf.DUMMYFUNCTION("""COMPUTED_VALUE"""),"ପ୍ରବେଶ ନାମ")</f>
        <v>ପ୍ରବେଶ ନାମ</v>
      </c>
      <c r="G755" s="2" t="str">
        <f>IFERROR(__xludf.DUMMYFUNCTION("""COMPUTED_VALUE"""),"প্ৰৱেশৰ নাম")</f>
        <v>প্ৰৱেশৰ নাম</v>
      </c>
      <c r="H755" s="2" t="str">
        <f>IFERROR(__xludf.DUMMYFUNCTION("""COMPUTED_VALUE"""),"પ્રવેશ નામ")</f>
        <v>પ્રવેશ નામ</v>
      </c>
      <c r="I755" s="2" t="str">
        <f>IFERROR(__xludf.DUMMYFUNCTION("""COMPUTED_VALUE"""),"प्रवेश नाव")</f>
        <v>प्रवेश नाव</v>
      </c>
      <c r="J755" s="2" t="str">
        <f>IFERROR(__xludf.DUMMYFUNCTION("""COMPUTED_VALUE"""),"എൻട്രി പേര്")</f>
        <v>എൻട്രി പേര്</v>
      </c>
      <c r="K755" s="2" t="str">
        <f>IFERROR(__xludf.DUMMYFUNCTION("""COMPUTED_VALUE"""),"ਇੰਦਰਾਜ਼ ਦਾ ਨਾਮ")</f>
        <v>ਇੰਦਰਾਜ਼ ਦਾ ਨਾਮ</v>
      </c>
      <c r="L755" s="2" t="str">
        <f>IFERROR(__xludf.DUMMYFUNCTION("""COMPUTED_VALUE"""),"நுழைவு பெயர்")</f>
        <v>நுழைவு பெயர்</v>
      </c>
      <c r="M755" s="2" t="str">
        <f>IFERROR(__xludf.DUMMYFUNCTION("""COMPUTED_VALUE"""),"ఇతర ప్రణాళికలను వీక్షించండి")</f>
        <v>ఇతర ప్రణాళికలను వీక్షించండి</v>
      </c>
    </row>
    <row r="756">
      <c r="A756" s="2" t="str">
        <f>Master_en!A756</f>
        <v>GSTINNumber </v>
      </c>
      <c r="B756" s="2" t="str">
        <f>Master_en!B756</f>
        <v>GSTIN Number </v>
      </c>
      <c r="C756" s="2" t="str">
        <f>IFERROR(__xludf.DUMMYFUNCTION("""COMPUTED_VALUE"""),"জিএসটিন নম্বর")</f>
        <v>জিএসটিন নম্বর</v>
      </c>
      <c r="D756" s="2" t="str">
        <f>IFERROR(__xludf.DUMMYFUNCTION("""COMPUTED_VALUE"""),"जीएसटी आई एन संख्या")</f>
        <v>जीएसटी आई एन संख्या</v>
      </c>
      <c r="E756" s="2" t="str">
        <f>IFERROR(__xludf.DUMMYFUNCTION("""COMPUTED_VALUE"""),"ಜಿಎಸ್ಟಿ ಐಎ ಎನ್  ಸಂಖ್ಯೆ")</f>
        <v>ಜಿಎಸ್ಟಿ ಐಎ ಎನ್  ಸಂಖ್ಯೆ</v>
      </c>
      <c r="F756" s="2" t="str">
        <f>IFERROR(__xludf.DUMMYFUNCTION("""COMPUTED_VALUE"""),"Gstin ସଂଖ୍ୟା")</f>
        <v>Gstin ସଂଖ୍ୟା</v>
      </c>
      <c r="G756" s="2" t="str">
        <f>IFERROR(__xludf.DUMMYFUNCTION("""COMPUTED_VALUE"""),"GSTIN নম্বৰ")</f>
        <v>GSTIN নম্বৰ</v>
      </c>
      <c r="H756" s="2" t="str">
        <f>IFERROR(__xludf.DUMMYFUNCTION("""COMPUTED_VALUE"""),"Gાળ")</f>
        <v>Gાળ</v>
      </c>
      <c r="I756" s="2" t="str">
        <f>IFERROR(__xludf.DUMMYFUNCTION("""COMPUTED_VALUE"""),"Gstin क्रमांक")</f>
        <v>Gstin क्रमांक</v>
      </c>
      <c r="J756" s="2" t="str">
        <f>IFERROR(__xludf.DUMMYFUNCTION("""COMPUTED_VALUE"""),"ജിസ്റ്റിൻ നമ്പർ")</f>
        <v>ജിസ്റ്റിൻ നമ്പർ</v>
      </c>
      <c r="K756" s="2" t="str">
        <f>IFERROR(__xludf.DUMMYFUNCTION("""COMPUTED_VALUE"""),"Gstin ਨੰਬਰ")</f>
        <v>Gstin ਨੰਬਰ</v>
      </c>
      <c r="L756" s="2" t="str">
        <f>IFERROR(__xludf.DUMMYFUNCTION("""COMPUTED_VALUE"""),"GSTIN எண்")</f>
        <v>GSTIN எண்</v>
      </c>
      <c r="M756" s="2" t="str">
        <f>IFERROR(__xludf.DUMMYFUNCTION("""COMPUTED_VALUE"""),"GSTIN సంఖ్య")</f>
        <v>GSTIN సంఖ్య</v>
      </c>
    </row>
    <row r="757">
      <c r="A757" s="2" t="str">
        <f>Master_en!A757</f>
        <v>BasicSubscription </v>
      </c>
      <c r="B757" s="2" t="str">
        <f>Master_en!B757</f>
        <v>Basic Subscription </v>
      </c>
      <c r="C757" s="2" t="str">
        <f>IFERROR(__xludf.DUMMYFUNCTION("""COMPUTED_VALUE"""),"বেসিক সাবস্ক্রিপশন")</f>
        <v>বেসিক সাবস্ক্রিপশন</v>
      </c>
      <c r="D757" s="2" t="str">
        <f>IFERROR(__xludf.DUMMYFUNCTION("""COMPUTED_VALUE"""),"मूल सदस्यता")</f>
        <v>मूल सदस्यता</v>
      </c>
      <c r="E757" s="2" t="str">
        <f>IFERROR(__xludf.DUMMYFUNCTION("""COMPUTED_VALUE"""),"ಮೂಲ ಚಂದಾದಾರಿಕೆ")</f>
        <v>ಮೂಲ ಚಂದಾದಾರಿಕೆ</v>
      </c>
      <c r="F757" s="2" t="str">
        <f>IFERROR(__xludf.DUMMYFUNCTION("""COMPUTED_VALUE"""),"ମ Basicେଣ୍ଟ ସଦସ୍ୟତା")</f>
        <v>ମ Basicେଣ୍ଟ ସଦସ୍ୟତା</v>
      </c>
      <c r="G757" s="2" t="str">
        <f>IFERROR(__xludf.DUMMYFUNCTION("""COMPUTED_VALUE"""),"মূল চাবস্ক্ৰিপচন")</f>
        <v>মূল চাবস্ক্ৰিপচন</v>
      </c>
      <c r="H757" s="2" t="str">
        <f>IFERROR(__xludf.DUMMYFUNCTION("""COMPUTED_VALUE"""),"મૂળભૂત લવાજમ")</f>
        <v>મૂળભૂત લવાજમ</v>
      </c>
      <c r="I757" s="2" t="str">
        <f>IFERROR(__xludf.DUMMYFUNCTION("""COMPUTED_VALUE"""),"मूलभूत सदस्यता")</f>
        <v>मूलभूत सदस्यता</v>
      </c>
      <c r="J757" s="2" t="str">
        <f>IFERROR(__xludf.DUMMYFUNCTION("""COMPUTED_VALUE"""),"അടിസ്ഥാന സബ്സ്ക്രിപ്ഷൻ")</f>
        <v>അടിസ്ഥാന സബ്സ്ക്രിപ്ഷൻ</v>
      </c>
      <c r="K757" s="2" t="str">
        <f>IFERROR(__xludf.DUMMYFUNCTION("""COMPUTED_VALUE"""),"ਮੁ Sc ਲੀ ਗਾਹਕੀ")</f>
        <v>ਮੁ Sc ਲੀ ਗਾਹਕੀ</v>
      </c>
      <c r="L757" s="2" t="str">
        <f>IFERROR(__xludf.DUMMYFUNCTION("""COMPUTED_VALUE"""),"அடிப்படை சந்தா")</f>
        <v>அடிப்படை சந்தா</v>
      </c>
      <c r="M757" s="2" t="str">
        <f>IFERROR(__xludf.DUMMYFUNCTION("""COMPUTED_VALUE"""),"ప్రాథమిక చందా")</f>
        <v>ప్రాథమిక చందా</v>
      </c>
    </row>
    <row r="758">
      <c r="A758" s="2" t="str">
        <f>Master_en!A758</f>
        <v>GST</v>
      </c>
      <c r="B758" s="2" t="str">
        <f>Master_en!B758</f>
        <v>GST</v>
      </c>
      <c r="C758" s="2" t="str">
        <f>IFERROR(__xludf.DUMMYFUNCTION("""COMPUTED_VALUE"""),"জিএসটি")</f>
        <v>জিএসটি</v>
      </c>
      <c r="D758" s="2" t="str">
        <f>IFERROR(__xludf.DUMMYFUNCTION("""COMPUTED_VALUE"""),"जीएसटीआईएन नंबर")</f>
        <v>जीएसटीआईएन नंबर</v>
      </c>
      <c r="E758" s="2" t="str">
        <f>IFERROR(__xludf.DUMMYFUNCTION("""COMPUTED_VALUE"""),"ಜಿಎಸ್ಟಿ")</f>
        <v>ಜಿಎಸ್ಟಿ</v>
      </c>
      <c r="F758" s="2" t="str">
        <f>IFERROR(__xludf.DUMMYFUNCTION("""COMPUTED_VALUE"""),"Gst")</f>
        <v>Gst</v>
      </c>
      <c r="G758" s="2" t="str">
        <f>IFERROR(__xludf.DUMMYFUNCTION("""COMPUTED_VALUE"""),"জি এছ টি")</f>
        <v>জি এছ টি</v>
      </c>
      <c r="H758" s="2" t="str">
        <f>IFERROR(__xludf.DUMMYFUNCTION("""COMPUTED_VALUE"""),"જી.એસ.ટી.")</f>
        <v>જી.એસ.ટી.</v>
      </c>
      <c r="I758" s="2" t="str">
        <f>IFERROR(__xludf.DUMMYFUNCTION("""COMPUTED_VALUE"""),"GSTIN  क्रमांक")</f>
        <v>GSTIN  क्रमांक</v>
      </c>
      <c r="J758" s="2" t="str">
        <f>IFERROR(__xludf.DUMMYFUNCTION("""COMPUTED_VALUE"""),"ജിഎസ്ടി")</f>
        <v>ജിഎസ്ടി</v>
      </c>
      <c r="K758" s="2" t="str">
        <f>IFERROR(__xludf.DUMMYFUNCTION("""COMPUTED_VALUE"""),"ਜੀਐਸਟੀ")</f>
        <v>ਜੀਐਸਟੀ</v>
      </c>
      <c r="L758" s="2" t="str">
        <f>IFERROR(__xludf.DUMMYFUNCTION("""COMPUTED_VALUE"""),"ஜிஎஸ்டி")</f>
        <v>ஜிஎஸ்டி</v>
      </c>
      <c r="M758" s="2" t="str">
        <f>IFERROR(__xludf.DUMMYFUNCTION("""COMPUTED_VALUE"""),"Gst")</f>
        <v>Gst</v>
      </c>
    </row>
    <row r="759">
      <c r="A759" s="2" t="str">
        <f>Master_en!A759</f>
        <v>TotalAmount </v>
      </c>
      <c r="B759" s="2" t="str">
        <f>Master_en!B759</f>
        <v>Total Amount </v>
      </c>
      <c r="C759" s="2" t="str">
        <f>IFERROR(__xludf.DUMMYFUNCTION("""COMPUTED_VALUE"""),"সর্বমোট পরিমাণ")</f>
        <v>সর্বমোট পরিমাণ</v>
      </c>
      <c r="D759" s="2" t="str">
        <f>IFERROR(__xludf.DUMMYFUNCTION("""COMPUTED_VALUE"""),"कुल राशि")</f>
        <v>कुल राशि</v>
      </c>
      <c r="E759" s="2" t="str">
        <f>IFERROR(__xludf.DUMMYFUNCTION("""COMPUTED_VALUE"""),"ಒಟ್ಟು ಮೊತ್ತ")</f>
        <v>ಒಟ್ಟು ಮೊತ್ತ</v>
      </c>
      <c r="F759" s="2" t="str">
        <f>IFERROR(__xludf.DUMMYFUNCTION("""COMPUTED_VALUE"""),"ମୋଟ ରାଶି")</f>
        <v>ମୋଟ ରାଶି</v>
      </c>
      <c r="G759" s="2" t="str">
        <f>IFERROR(__xludf.DUMMYFUNCTION("""COMPUTED_VALUE"""),"মুঠ ধনৰাশি")</f>
        <v>মুঠ ধনৰাশি</v>
      </c>
      <c r="H759" s="2" t="str">
        <f>IFERROR(__xludf.DUMMYFUNCTION("""COMPUTED_VALUE"""),"કુલ રકમ")</f>
        <v>કુલ રકમ</v>
      </c>
      <c r="I759" s="2" t="str">
        <f>IFERROR(__xludf.DUMMYFUNCTION("""COMPUTED_VALUE"""),"एकूण रक्कम")</f>
        <v>एकूण रक्कम</v>
      </c>
      <c r="J759" s="2" t="str">
        <f>IFERROR(__xludf.DUMMYFUNCTION("""COMPUTED_VALUE"""),"മൊത്തം തുക")</f>
        <v>മൊത്തം തുക</v>
      </c>
      <c r="K759" s="2" t="str">
        <f>IFERROR(__xludf.DUMMYFUNCTION("""COMPUTED_VALUE"""),"ਕੁੱਲ ਮਾਤਰਾ")</f>
        <v>ਕੁੱਲ ਮਾਤਰਾ</v>
      </c>
      <c r="L759" s="2" t="str">
        <f>IFERROR(__xludf.DUMMYFUNCTION("""COMPUTED_VALUE"""),"மொத்த தொகை")</f>
        <v>மொத்த தொகை</v>
      </c>
      <c r="M759" s="2" t="str">
        <f>IFERROR(__xludf.DUMMYFUNCTION("""COMPUTED_VALUE"""),"ప్రాథమిక సభ్యత్వం")</f>
        <v>ప్రాథమిక సభ్యత్వం</v>
      </c>
    </row>
    <row r="760">
      <c r="A760" s="2" t="str">
        <f>Master_en!A760</f>
        <v>AddProduct </v>
      </c>
      <c r="B760" s="2" t="str">
        <f>Master_en!B760</f>
        <v>Add Product </v>
      </c>
      <c r="C760" s="2" t="str">
        <f>IFERROR(__xludf.DUMMYFUNCTION("""COMPUTED_VALUE"""),"পণ্য যুক্ত করুন")</f>
        <v>পণ্য যুক্ত করুন</v>
      </c>
      <c r="D760" s="2" t="str">
        <f>IFERROR(__xludf.DUMMYFUNCTION("""COMPUTED_VALUE"""),"उत्पाद जोड़ें")</f>
        <v>उत्पाद जोड़ें</v>
      </c>
      <c r="E760" s="2" t="str">
        <f>IFERROR(__xludf.DUMMYFUNCTION("""COMPUTED_VALUE"""),"ಉತ್ಪನ್ನವನ್ನು ಸೇರಿಸಿ")</f>
        <v>ಉತ್ಪನ್ನವನ್ನು ಸೇರಿಸಿ</v>
      </c>
      <c r="F760" s="2" t="str">
        <f>IFERROR(__xludf.DUMMYFUNCTION("""COMPUTED_VALUE"""),"ଉତ୍ପାଦ ଯୋଡନ୍ତୁ |")</f>
        <v>ଉତ୍ପାଦ ଯୋଡନ୍ତୁ |</v>
      </c>
      <c r="G760" s="2" t="str">
        <f>IFERROR(__xludf.DUMMYFUNCTION("""COMPUTED_VALUE"""),"প্ৰডাক্ট যোগ কৰক")</f>
        <v>প্ৰডাক্ট যোগ কৰক</v>
      </c>
      <c r="H760" s="2" t="str">
        <f>IFERROR(__xludf.DUMMYFUNCTION("""COMPUTED_VALUE"""),"ઉત્પાદન ઉમેરો")</f>
        <v>ઉત્પાદન ઉમેરો</v>
      </c>
      <c r="I760" s="2" t="str">
        <f>IFERROR(__xludf.DUMMYFUNCTION("""COMPUTED_VALUE"""),"उत्पादन जोडा")</f>
        <v>उत्पादन जोडा</v>
      </c>
      <c r="J760" s="2" t="str">
        <f>IFERROR(__xludf.DUMMYFUNCTION("""COMPUTED_VALUE"""),"ഉൽപ്പന്നം ചേർക്കുക")</f>
        <v>ഉൽപ്പന്നം ചേർക്കുക</v>
      </c>
      <c r="K760" s="2" t="str">
        <f>IFERROR(__xludf.DUMMYFUNCTION("""COMPUTED_VALUE"""),"ਉਤਪਾਦ ਸ਼ਾਮਲ ਕਰੋ")</f>
        <v>ਉਤਪਾਦ ਸ਼ਾਮਲ ਕਰੋ</v>
      </c>
      <c r="L760" s="2" t="str">
        <f>IFERROR(__xludf.DUMMYFUNCTION("""COMPUTED_VALUE"""),"தயாரிப்பு சேர்க்கவும்")</f>
        <v>தயாரிப்பு சேர்க்கவும்</v>
      </c>
      <c r="M760" s="2" t="str">
        <f>IFERROR(__xludf.DUMMYFUNCTION("""COMPUTED_VALUE"""),"ఉత్పత్తిని జోడించండి")</f>
        <v>ఉత్పత్తిని జోడించండి</v>
      </c>
    </row>
    <row r="761">
      <c r="A761" s="2" t="str">
        <f>Master_en!A761</f>
        <v>UpdateProduct</v>
      </c>
      <c r="B761" s="2" t="str">
        <f>Master_en!B761</f>
        <v>Update Product</v>
      </c>
      <c r="C761" s="2" t="str">
        <f>IFERROR(__xludf.DUMMYFUNCTION("""COMPUTED_VALUE"""),"পণ্য আপডেট করুন")</f>
        <v>পণ্য আপডেট করুন</v>
      </c>
      <c r="D761" s="2" t="str">
        <f>IFERROR(__xludf.DUMMYFUNCTION("""COMPUTED_VALUE"""),"अद्यतन उत्पाद")</f>
        <v>अद्यतन उत्पाद</v>
      </c>
      <c r="E761" s="2" t="str">
        <f>IFERROR(__xludf.DUMMYFUNCTION("""COMPUTED_VALUE"""),"ಉತ್ಪನ್ನವನ್ನು ನವೀಕರಿಸಿ")</f>
        <v>ಉತ್ಪನ್ನವನ್ನು ನವೀಕರಿಸಿ</v>
      </c>
      <c r="F761" s="2" t="str">
        <f>IFERROR(__xludf.DUMMYFUNCTION("""COMPUTED_VALUE"""),"ଉତ୍ପାଦ ଅଦ୍ୟତନ କରନ୍ତୁ |")</f>
        <v>ଉତ୍ପାଦ ଅଦ୍ୟତନ କରନ୍ତୁ |</v>
      </c>
      <c r="G761" s="2" t="str">
        <f>IFERROR(__xludf.DUMMYFUNCTION("""COMPUTED_VALUE"""),"প্ৰডাক্ট আপডেইট কৰক")</f>
        <v>প্ৰডাক্ট আপডেইট কৰক</v>
      </c>
      <c r="H761" s="2" t="str">
        <f>IFERROR(__xludf.DUMMYFUNCTION("""COMPUTED_VALUE"""),"અપડેટ")</f>
        <v>અપડેટ</v>
      </c>
      <c r="I761" s="2" t="str">
        <f>IFERROR(__xludf.DUMMYFUNCTION("""COMPUTED_VALUE"""),"उत्पादन अद्यतनित करा")</f>
        <v>उत्पादन अद्यतनित करा</v>
      </c>
      <c r="J761" s="2" t="str">
        <f>IFERROR(__xludf.DUMMYFUNCTION("""COMPUTED_VALUE"""),"ഉൽപ്പന്നം അപ്ഡേറ്റുചെയ്യുക")</f>
        <v>ഉൽപ്പന്നം അപ്ഡേറ്റുചെയ്യുക</v>
      </c>
      <c r="K761" s="2" t="str">
        <f>IFERROR(__xludf.DUMMYFUNCTION("""COMPUTED_VALUE"""),"ਉਤਪਾਦ ਨੂੰ ਅਪਡੇਟ ਕਰੋ")</f>
        <v>ਉਤਪਾਦ ਨੂੰ ਅਪਡੇਟ ਕਰੋ</v>
      </c>
      <c r="L761" s="2" t="str">
        <f>IFERROR(__xludf.DUMMYFUNCTION("""COMPUTED_VALUE"""),"தயாரிப்பு புதுப்பிக்கவும்")</f>
        <v>தயாரிப்பு புதுப்பிக்கவும்</v>
      </c>
      <c r="M761" s="2" t="str">
        <f>IFERROR(__xludf.DUMMYFUNCTION("""COMPUTED_VALUE"""),"ఉత్పత్తిని నవీకరించండి")</f>
        <v>ఉత్పత్తిని నవీకరించండి</v>
      </c>
    </row>
    <row r="762">
      <c r="A762" s="2" t="str">
        <f>Master_en!A762</f>
        <v>RecommendedProduct </v>
      </c>
      <c r="B762" s="2" t="str">
        <f>Master_en!B762</f>
        <v>Recommended Product </v>
      </c>
      <c r="C762" s="2" t="str">
        <f>IFERROR(__xludf.DUMMYFUNCTION("""COMPUTED_VALUE"""),"প্রস্তাবিত পণ্য")</f>
        <v>প্রস্তাবিত পণ্য</v>
      </c>
      <c r="D762" s="2" t="str">
        <f>IFERROR(__xludf.DUMMYFUNCTION("""COMPUTED_VALUE"""),"अनुशंसित उत्पाद")</f>
        <v>अनुशंसित उत्पाद</v>
      </c>
      <c r="E762" s="2" t="str">
        <f>IFERROR(__xludf.DUMMYFUNCTION("""COMPUTED_VALUE"""),"ಶಿಫಾರಸು ಮಾಡಿದ ಉತ್ಪನ್ನ")</f>
        <v>ಶಿಫಾರಸು ಮಾಡಿದ ಉತ್ಪನ್ನ</v>
      </c>
      <c r="F762" s="2" t="str">
        <f>IFERROR(__xludf.DUMMYFUNCTION("""COMPUTED_VALUE"""),"ସୁପାରିଶ କରାଯାଇଥିବା ଉତ୍ପାଦ |")</f>
        <v>ସୁପାରିଶ କରାଯାଇଥିବା ଉତ୍ପାଦ |</v>
      </c>
      <c r="G762" s="2" t="str">
        <f>IFERROR(__xludf.DUMMYFUNCTION("""COMPUTED_VALUE"""),"পৰামৰ্শ দিয়া সামগ্ৰী")</f>
        <v>পৰামৰ্শ দিয়া সামগ্ৰী</v>
      </c>
      <c r="H762" s="2" t="str">
        <f>IFERROR(__xludf.DUMMYFUNCTION("""COMPUTED_VALUE"""),"ભલામણ કરેલ ઉત્પાદન")</f>
        <v>ભલામણ કરેલ ઉત્પાદન</v>
      </c>
      <c r="I762" s="2" t="str">
        <f>IFERROR(__xludf.DUMMYFUNCTION("""COMPUTED_VALUE"""),"शिफारस केलेले उत्पादन")</f>
        <v>शिफारस केलेले उत्पादन</v>
      </c>
      <c r="J762" s="2" t="str">
        <f>IFERROR(__xludf.DUMMYFUNCTION("""COMPUTED_VALUE"""),"ശുപാർശ ചെയ്യുന്ന ഉൽപ്പന്നം")</f>
        <v>ശുപാർശ ചെയ്യുന്ന ഉൽപ്പന്നം</v>
      </c>
      <c r="K762" s="2" t="str">
        <f>IFERROR(__xludf.DUMMYFUNCTION("""COMPUTED_VALUE"""),"ਸਿਫਾਰਸ਼ ਕੀਤੀ ਉਤਪਾਦ")</f>
        <v>ਸਿਫਾਰਸ਼ ਕੀਤੀ ਉਤਪਾਦ</v>
      </c>
      <c r="L762" s="2" t="str">
        <f>IFERROR(__xludf.DUMMYFUNCTION("""COMPUTED_VALUE"""),"பரிந்துரைக்கப்பட்ட தயாரிப்பு")</f>
        <v>பரிந்துரைக்கப்பட்ட தயாரிப்பு</v>
      </c>
      <c r="M762" s="2" t="str">
        <f>IFERROR(__xludf.DUMMYFUNCTION("""COMPUTED_VALUE"""),"సిఫార్సు చేసిన ఉత్పత్తి")</f>
        <v>సిఫార్సు చేసిన ఉత్పత్తి</v>
      </c>
    </row>
    <row r="763">
      <c r="A763" s="2" t="str">
        <f>Master_en!A763</f>
        <v>Mycatalog </v>
      </c>
      <c r="B763" s="2" t="str">
        <f>Master_en!B763</f>
        <v>My Catalog </v>
      </c>
      <c r="C763" s="2" t="str">
        <f>IFERROR(__xludf.DUMMYFUNCTION("""COMPUTED_VALUE"""),"আমার ক্যাটালগ")</f>
        <v>আমার ক্যাটালগ</v>
      </c>
      <c r="D763" s="2" t="str">
        <f>IFERROR(__xludf.DUMMYFUNCTION("""COMPUTED_VALUE"""),"मेरी सूची")</f>
        <v>मेरी सूची</v>
      </c>
      <c r="E763" s="2" t="str">
        <f>IFERROR(__xludf.DUMMYFUNCTION("""COMPUTED_VALUE"""),"ನನ್ನ ಕ್ಯಾಟಲಾಗ್")</f>
        <v>ನನ್ನ ಕ್ಯಾಟಲಾಗ್</v>
      </c>
      <c r="F763" s="2" t="str">
        <f>IFERROR(__xludf.DUMMYFUNCTION("""COMPUTED_VALUE"""),"ମୋର କାଟାଲଗ୍ |")</f>
        <v>ମୋର କାଟାଲଗ୍ |</v>
      </c>
      <c r="G763" s="2" t="str">
        <f>IFERROR(__xludf.DUMMYFUNCTION("""COMPUTED_VALUE"""),"মোৰ কেটেলগ")</f>
        <v>মোৰ কেটেলগ</v>
      </c>
      <c r="H763" s="2" t="str">
        <f>IFERROR(__xludf.DUMMYFUNCTION("""COMPUTED_VALUE"""),"મારી સૂચિ")</f>
        <v>મારી સૂચિ</v>
      </c>
      <c r="I763" s="2" t="str">
        <f>IFERROR(__xludf.DUMMYFUNCTION("""COMPUTED_VALUE"""),"उत्पादन अपडेट करा")</f>
        <v>उत्पादन अपडेट करा</v>
      </c>
      <c r="J763" s="2" t="str">
        <f>IFERROR(__xludf.DUMMYFUNCTION("""COMPUTED_VALUE"""),"എന്റെ കാറ്റലോഗ്")</f>
        <v>എന്റെ കാറ്റലോഗ്</v>
      </c>
      <c r="K763" s="2" t="str">
        <f>IFERROR(__xludf.DUMMYFUNCTION("""COMPUTED_VALUE"""),"ਮੇਰੀ ਕੈਟਾਲਾਗ")</f>
        <v>ਮੇਰੀ ਕੈਟਾਲਾਗ</v>
      </c>
      <c r="L763" s="2" t="str">
        <f>IFERROR(__xludf.DUMMYFUNCTION("""COMPUTED_VALUE"""),"எனது பட்டியல்")</f>
        <v>எனது பட்டியல்</v>
      </c>
      <c r="M763" s="2" t="str">
        <f>IFERROR(__xludf.DUMMYFUNCTION("""COMPUTED_VALUE"""),"నా కేటలాగ్")</f>
        <v>నా కేటలాగ్</v>
      </c>
    </row>
    <row r="764">
      <c r="A764" s="2" t="str">
        <f>Master_en!A764</f>
        <v>SelectProducts </v>
      </c>
      <c r="B764" s="2" t="str">
        <f>Master_en!B764</f>
        <v>Select Products </v>
      </c>
      <c r="C764" s="2" t="str">
        <f>IFERROR(__xludf.DUMMYFUNCTION("""COMPUTED_VALUE"""),"পণ্য নির্বাচন করুন")</f>
        <v>পণ্য নির্বাচন করুন</v>
      </c>
      <c r="D764" s="2" t="str">
        <f>IFERROR(__xludf.DUMMYFUNCTION("""COMPUTED_VALUE"""),"उत्पादों का चयन करें")</f>
        <v>उत्पादों का चयन करें</v>
      </c>
      <c r="E764" s="2" t="str">
        <f>IFERROR(__xludf.DUMMYFUNCTION("""COMPUTED_VALUE"""),"ಉತ್ಪನ್ನಗಳನ್ನು ಆಯ್ಕೆಮಾಡಿ")</f>
        <v>ಉತ್ಪನ್ನಗಳನ್ನು ಆಯ್ಕೆಮಾಡಿ</v>
      </c>
      <c r="F764" s="2" t="str">
        <f>IFERROR(__xludf.DUMMYFUNCTION("""COMPUTED_VALUE"""),"ଉତ୍ପାଦଗୁଡିକ ଚୟନ କରନ୍ତୁ |")</f>
        <v>ଉତ୍ପାଦଗୁଡିକ ଚୟନ କରନ୍ତୁ |</v>
      </c>
      <c r="G764" s="2" t="str">
        <f>IFERROR(__xludf.DUMMYFUNCTION("""COMPUTED_VALUE"""),"পণ্যসমূহ নিৰ্বাচন কৰক")</f>
        <v>পণ্যসমূহ নিৰ্বাচন কৰক</v>
      </c>
      <c r="H764" s="2" t="str">
        <f>IFERROR(__xludf.DUMMYFUNCTION("""COMPUTED_VALUE"""),"ઉત્પાદનો પસંદ કરો")</f>
        <v>ઉત્પાદનો પસંદ કરો</v>
      </c>
      <c r="I764" s="2" t="str">
        <f>IFERROR(__xludf.DUMMYFUNCTION("""COMPUTED_VALUE"""),"उत्पादने निवडा")</f>
        <v>उत्पादने निवडा</v>
      </c>
      <c r="J764" s="2" t="str">
        <f>IFERROR(__xludf.DUMMYFUNCTION("""COMPUTED_VALUE"""),"ഉൽപ്പന്നങ്ങൾ തിരഞ്ഞെടുക്കുക")</f>
        <v>ഉൽപ്പന്നങ്ങൾ തിരഞ്ഞെടുക്കുക</v>
      </c>
      <c r="K764" s="2" t="str">
        <f>IFERROR(__xludf.DUMMYFUNCTION("""COMPUTED_VALUE"""),"ਉਤਪਾਦ ਚੁਣੋ")</f>
        <v>ਉਤਪਾਦ ਚੁਣੋ</v>
      </c>
      <c r="L764" s="2" t="str">
        <f>IFERROR(__xludf.DUMMYFUNCTION("""COMPUTED_VALUE"""),"தயாரிப்புகளைத் தேர்ந்தெடுக்கவும்")</f>
        <v>தயாரிப்புகளைத் தேர்ந்தெடுக்கவும்</v>
      </c>
      <c r="M764" s="2" t="str">
        <f>IFERROR(__xludf.DUMMYFUNCTION("""COMPUTED_VALUE"""),"సిఫార్సు చేయబడిన ఉత్పత్తి")</f>
        <v>సిఫార్సు చేయబడిన ఉత్పత్తి</v>
      </c>
    </row>
    <row r="765">
      <c r="A765" s="2" t="str">
        <f>Master_en!A765</f>
        <v>Selectall</v>
      </c>
      <c r="B765" s="2" t="str">
        <f>Master_en!B765</f>
        <v>Select All</v>
      </c>
      <c r="C765" s="2" t="str">
        <f>IFERROR(__xludf.DUMMYFUNCTION("""COMPUTED_VALUE"""),"সমস্ত নির্বাচন করুন")</f>
        <v>সমস্ত নির্বাচন করুন</v>
      </c>
      <c r="D765" s="2" t="str">
        <f>IFERROR(__xludf.DUMMYFUNCTION("""COMPUTED_VALUE"""),"सबका चयन करें")</f>
        <v>सबका चयन करें</v>
      </c>
      <c r="E765" s="2" t="str">
        <f>IFERROR(__xludf.DUMMYFUNCTION("""COMPUTED_VALUE"""),"ಎಲ್ಲವನ್ನು ಆರಿಸು")</f>
        <v>ಎಲ್ಲವನ್ನು ಆರಿಸು</v>
      </c>
      <c r="F765" s="2" t="str">
        <f>IFERROR(__xludf.DUMMYFUNCTION("""COMPUTED_VALUE"""),"ସବୁ ବାଛ")</f>
        <v>ସବୁ ବାଛ</v>
      </c>
      <c r="G765" s="2" t="str">
        <f>IFERROR(__xludf.DUMMYFUNCTION("""COMPUTED_VALUE"""),"সকলো নিৰ্বাচন কৰক")</f>
        <v>সকলো নিৰ্বাচন কৰক</v>
      </c>
      <c r="H765" s="2" t="str">
        <f>IFERROR(__xludf.DUMMYFUNCTION("""COMPUTED_VALUE"""),"બધા પસંદ કરો")</f>
        <v>બધા પસંદ કરો</v>
      </c>
      <c r="I765" s="2" t="str">
        <f>IFERROR(__xludf.DUMMYFUNCTION("""COMPUTED_VALUE"""),"सर्व निवडा")</f>
        <v>सर्व निवडा</v>
      </c>
      <c r="J765" s="2" t="str">
        <f>IFERROR(__xludf.DUMMYFUNCTION("""COMPUTED_VALUE"""),"എല്ലാം തിരഞ്ഞെടുക്കുക")</f>
        <v>എല്ലാം തിരഞ്ഞെടുക്കുക</v>
      </c>
      <c r="K765" s="2" t="str">
        <f>IFERROR(__xludf.DUMMYFUNCTION("""COMPUTED_VALUE"""),"ਸਾਰਿਆ ਨੂੰ ਚੁਣੋ")</f>
        <v>ਸਾਰਿਆ ਨੂੰ ਚੁਣੋ</v>
      </c>
      <c r="L765" s="2" t="str">
        <f>IFERROR(__xludf.DUMMYFUNCTION("""COMPUTED_VALUE"""),"அனைத்தையும் தெரிவுசெய்")</f>
        <v>அனைத்தையும் தெரிவுசெய்</v>
      </c>
      <c r="M765" s="2" t="str">
        <f>IFERROR(__xludf.DUMMYFUNCTION("""COMPUTED_VALUE"""),"అన్ని ఎంచుకోండి")</f>
        <v>అన్ని ఎంచుకోండి</v>
      </c>
    </row>
    <row r="766">
      <c r="A766" s="2" t="str">
        <f>Master_en!A766</f>
        <v>Unpublished </v>
      </c>
      <c r="B766" s="2" t="str">
        <f>Master_en!B766</f>
        <v>Unpublished </v>
      </c>
      <c r="C766" s="2" t="str">
        <f>IFERROR(__xludf.DUMMYFUNCTION("""COMPUTED_VALUE"""),"অপ্রকাশিত")</f>
        <v>অপ্রকাশিত</v>
      </c>
      <c r="D766" s="2" t="str">
        <f>IFERROR(__xludf.DUMMYFUNCTION("""COMPUTED_VALUE"""),"अप्रकाशित")</f>
        <v>अप्रकाशित</v>
      </c>
      <c r="E766" s="2" t="str">
        <f>IFERROR(__xludf.DUMMYFUNCTION("""COMPUTED_VALUE"""),"ಅಪ್ರಕಟಿತ")</f>
        <v>ಅಪ್ರಕಟಿತ</v>
      </c>
      <c r="F766" s="2" t="str">
        <f>IFERROR(__xludf.DUMMYFUNCTION("""COMPUTED_VALUE"""),"ଖୋଲାଯାଇଥିବା")</f>
        <v>ଖୋଲାଯାଇଥିବା</v>
      </c>
      <c r="G766" s="2" t="str">
        <f>IFERROR(__xludf.DUMMYFUNCTION("""COMPUTED_VALUE"""),"অপ্ৰকাশিত")</f>
        <v>অপ্ৰকাশিত</v>
      </c>
      <c r="H766" s="2" t="str">
        <f>IFERROR(__xludf.DUMMYFUNCTION("""COMPUTED_VALUE"""),"અપ્રગટ")</f>
        <v>અપ્રગટ</v>
      </c>
      <c r="I766" s="2" t="str">
        <f>IFERROR(__xludf.DUMMYFUNCTION("""COMPUTED_VALUE"""),"उत्पादन निवडा")</f>
        <v>उत्पादन निवडा</v>
      </c>
      <c r="J766" s="2" t="str">
        <f>IFERROR(__xludf.DUMMYFUNCTION("""COMPUTED_VALUE"""),"പ്രസിദ്ധീകരിച്ചിട്ടില്ല")</f>
        <v>പ്രസിദ്ധീകരിച്ചിട്ടില്ല</v>
      </c>
      <c r="K766" s="2" t="str">
        <f>IFERROR(__xludf.DUMMYFUNCTION("""COMPUTED_VALUE"""),"ਅਣਪ੍ਰਕਾਸ਼ਿਤ")</f>
        <v>ਅਣਪ੍ਰਕਾਸ਼ਿਤ</v>
      </c>
      <c r="L766" s="2" t="str">
        <f>IFERROR(__xludf.DUMMYFUNCTION("""COMPUTED_VALUE"""),"வெளியிடப்படாதது")</f>
        <v>வெளியிடப்படாதது</v>
      </c>
      <c r="M766" s="2" t="str">
        <f>IFERROR(__xludf.DUMMYFUNCTION("""COMPUTED_VALUE"""),"ప్రచురించబడలేదు")</f>
        <v>ప్రచురించబడలేదు</v>
      </c>
    </row>
    <row r="767">
      <c r="A767" s="2" t="str">
        <f>Master_en!A767</f>
        <v>PreOrder </v>
      </c>
      <c r="B767" s="2" t="str">
        <f>Master_en!B767</f>
        <v>Pre Order </v>
      </c>
      <c r="C767" s="2" t="str">
        <f>IFERROR(__xludf.DUMMYFUNCTION("""COMPUTED_VALUE"""),"পূর্বাদেশ")</f>
        <v>পূর্বাদেশ</v>
      </c>
      <c r="D767" s="2" t="str">
        <f>IFERROR(__xludf.DUMMYFUNCTION("""COMPUTED_VALUE"""),"पूर्व आदेश")</f>
        <v>पूर्व आदेश</v>
      </c>
      <c r="E767" s="2" t="str">
        <f>IFERROR(__xludf.DUMMYFUNCTION("""COMPUTED_VALUE"""),"ಮುಂಚಿನ ಕ್ರಮ")</f>
        <v>ಮುಂಚಿನ ಕ್ರಮ</v>
      </c>
      <c r="F767" s="2" t="str">
        <f>IFERROR(__xludf.DUMMYFUNCTION("""COMPUTED_VALUE"""),"ପୂର୍ବ ଆଦେଶ")</f>
        <v>ପୂର୍ବ ଆଦେଶ</v>
      </c>
      <c r="G767" s="2" t="str">
        <f>IFERROR(__xludf.DUMMYFUNCTION("""COMPUTED_VALUE"""),"প্ৰি অৰ্ডাৰ")</f>
        <v>প্ৰি অৰ্ডাৰ</v>
      </c>
      <c r="H767" s="2" t="str">
        <f>IFERROR(__xludf.DUMMYFUNCTION("""COMPUTED_VALUE"""),"પૂર્વ -હુકમ")</f>
        <v>પૂર્વ -હુકમ</v>
      </c>
      <c r="I767" s="2" t="str">
        <f>IFERROR(__xludf.DUMMYFUNCTION("""COMPUTED_VALUE"""),"प्री ऑर्डर")</f>
        <v>प्री ऑर्डर</v>
      </c>
      <c r="J767" s="2" t="str">
        <f>IFERROR(__xludf.DUMMYFUNCTION("""COMPUTED_VALUE"""),"പ്രി ഓർഡർ")</f>
        <v>പ്രി ഓർഡർ</v>
      </c>
      <c r="K767" s="2" t="str">
        <f>IFERROR(__xludf.DUMMYFUNCTION("""COMPUTED_VALUE"""),"ਪੂਰਵ ਆਦੇਸ਼")</f>
        <v>ਪੂਰਵ ਆਦੇਸ਼</v>
      </c>
      <c r="L767" s="2" t="str">
        <f>IFERROR(__xludf.DUMMYFUNCTION("""COMPUTED_VALUE"""),"முன்பதிவு")</f>
        <v>முன்பதிவு</v>
      </c>
      <c r="M767" s="2" t="str">
        <f>IFERROR(__xludf.DUMMYFUNCTION("""COMPUTED_VALUE"""),"ముందస్తు ఉత్తర్వులు")</f>
        <v>ముందస్తు ఉత్తర్వులు</v>
      </c>
    </row>
    <row r="768">
      <c r="A768" s="2" t="str">
        <f>Master_en!A768</f>
        <v>SellingPrice </v>
      </c>
      <c r="B768" s="2" t="str">
        <f>Master_en!B768</f>
        <v>Selling Price </v>
      </c>
      <c r="C768" s="2" t="str">
        <f>IFERROR(__xludf.DUMMYFUNCTION("""COMPUTED_VALUE"""),"বিক্রয় মূল্য")</f>
        <v>বিক্রয় মূল্য</v>
      </c>
      <c r="D768" s="2" t="str">
        <f>IFERROR(__xludf.DUMMYFUNCTION("""COMPUTED_VALUE"""),"विक्रय मूल्य")</f>
        <v>विक्रय मूल्य</v>
      </c>
      <c r="E768" s="2" t="str">
        <f>IFERROR(__xludf.DUMMYFUNCTION("""COMPUTED_VALUE"""),"ಮಾರಾಟ ಬೆಲೆ")</f>
        <v>ಮಾರಾಟ ಬೆಲೆ</v>
      </c>
      <c r="F768" s="2" t="str">
        <f>IFERROR(__xludf.DUMMYFUNCTION("""COMPUTED_VALUE"""),"ମୂଲ୍ୟ ବିକ୍ରୟ |")</f>
        <v>ମୂଲ୍ୟ ବିକ୍ରୟ |</v>
      </c>
      <c r="G768" s="2" t="str">
        <f>IFERROR(__xludf.DUMMYFUNCTION("""COMPUTED_VALUE"""),"বিক্ৰীৰ মূল্য")</f>
        <v>বিক্ৰীৰ মূল্য</v>
      </c>
      <c r="H768" s="2" t="str">
        <f>IFERROR(__xludf.DUMMYFUNCTION("""COMPUTED_VALUE"""),"વેચાણ કિંમત")</f>
        <v>વેચાણ કિંમત</v>
      </c>
      <c r="I768" s="2" t="str">
        <f>IFERROR(__xludf.DUMMYFUNCTION("""COMPUTED_VALUE"""),"विक्री किंमत")</f>
        <v>विक्री किंमत</v>
      </c>
      <c r="J768" s="2" t="str">
        <f>IFERROR(__xludf.DUMMYFUNCTION("""COMPUTED_VALUE"""),"വില വിൽക്കുന്നു")</f>
        <v>വില വിൽക്കുന്നു</v>
      </c>
      <c r="K768" s="2" t="str">
        <f>IFERROR(__xludf.DUMMYFUNCTION("""COMPUTED_VALUE"""),"ਵੇਚਣ ਦੀ ਕੀਮਤ")</f>
        <v>ਵੇਚਣ ਦੀ ਕੀਮਤ</v>
      </c>
      <c r="L768" s="2" t="str">
        <f>IFERROR(__xludf.DUMMYFUNCTION("""COMPUTED_VALUE"""),"விற்பனை விலை")</f>
        <v>விற்பனை விலை</v>
      </c>
      <c r="M768" s="2" t="str">
        <f>IFERROR(__xludf.DUMMYFUNCTION("""COMPUTED_VALUE"""),"అమ్మకం ధర")</f>
        <v>అమ్మకం ధర</v>
      </c>
    </row>
    <row r="769">
      <c r="A769" s="2" t="str">
        <f>Master_en!A769</f>
        <v>SoldBy </v>
      </c>
      <c r="B769" s="2" t="str">
        <f>Master_en!B769</f>
        <v>Sold By </v>
      </c>
      <c r="C769" s="2" t="str">
        <f>IFERROR(__xludf.DUMMYFUNCTION("""COMPUTED_VALUE"""),"বিক্রিত")</f>
        <v>বিক্রিত</v>
      </c>
      <c r="D769" s="2" t="str">
        <f>IFERROR(__xludf.DUMMYFUNCTION("""COMPUTED_VALUE"""),"द्वारा बेचा")</f>
        <v>द्वारा बेचा</v>
      </c>
      <c r="E769" s="2" t="str">
        <f>IFERROR(__xludf.DUMMYFUNCTION("""COMPUTED_VALUE"""),"ಮಾರಾಟ ಮಾಡಿದೆ")</f>
        <v>ಮಾರಾಟ ಮಾಡಿದೆ</v>
      </c>
      <c r="F769" s="2" t="str">
        <f>IFERROR(__xludf.DUMMYFUNCTION("""COMPUTED_VALUE"""),"ଦ୍ୱାରା ବିକ୍ରି")</f>
        <v>ଦ୍ୱାରା ବିକ୍ରି</v>
      </c>
      <c r="G769" s="2" t="str">
        <f>IFERROR(__xludf.DUMMYFUNCTION("""COMPUTED_VALUE"""),"বিক্ৰী কৰা হৈছে")</f>
        <v>বিক্ৰী কৰা হৈছে</v>
      </c>
      <c r="H769" s="2" t="str">
        <f>IFERROR(__xludf.DUMMYFUNCTION("""COMPUTED_VALUE"""),"ના દ્વારા વેચાણ")</f>
        <v>ના દ્વારા વેચાણ</v>
      </c>
      <c r="I769" s="2" t="str">
        <f>IFERROR(__xludf.DUMMYFUNCTION("""COMPUTED_VALUE"""),"पूर्व ऑर्डर")</f>
        <v>पूर्व ऑर्डर</v>
      </c>
      <c r="J769" s="2" t="str">
        <f>IFERROR(__xludf.DUMMYFUNCTION("""COMPUTED_VALUE"""),"വിറ്റു")</f>
        <v>വിറ്റു</v>
      </c>
      <c r="K769" s="2" t="str">
        <f>IFERROR(__xludf.DUMMYFUNCTION("""COMPUTED_VALUE"""),"ਦੁਆਰਾ ਵੇਚਿਆ")</f>
        <v>ਦੁਆਰਾ ਵੇਚਿਆ</v>
      </c>
      <c r="L769" s="2" t="str">
        <f>IFERROR(__xludf.DUMMYFUNCTION("""COMPUTED_VALUE"""),"விற்றவர்")</f>
        <v>விற்றவர்</v>
      </c>
      <c r="M769" s="2" t="str">
        <f>IFERROR(__xludf.DUMMYFUNCTION("""COMPUTED_VALUE"""),"ముందస్తు ఆర్డర్")</f>
        <v>ముందస్తు ఆర్డర్</v>
      </c>
    </row>
    <row r="770">
      <c r="A770" s="2" t="str">
        <f>Master_en!A770</f>
        <v>Liter </v>
      </c>
      <c r="B770" s="2" t="str">
        <f>Master_en!B770</f>
        <v>Liter </v>
      </c>
      <c r="C770" s="2" t="str">
        <f>IFERROR(__xludf.DUMMYFUNCTION("""COMPUTED_VALUE"""),"লিটার")</f>
        <v>লিটার</v>
      </c>
      <c r="D770" s="2" t="str">
        <f>IFERROR(__xludf.DUMMYFUNCTION("""COMPUTED_VALUE"""),"लीटर")</f>
        <v>लीटर</v>
      </c>
      <c r="E770" s="2" t="str">
        <f>IFERROR(__xludf.DUMMYFUNCTION("""COMPUTED_VALUE"""),"ಲೀಟರ್")</f>
        <v>ಲೀಟರ್</v>
      </c>
      <c r="F770" s="2" t="str">
        <f>IFERROR(__xludf.DUMMYFUNCTION("""COMPUTED_VALUE"""),"ଲିଟର")</f>
        <v>ଲିଟର</v>
      </c>
      <c r="G770" s="2" t="str">
        <f>IFERROR(__xludf.DUMMYFUNCTION("""COMPUTED_VALUE"""),"লিটাৰ")</f>
        <v>লিটাৰ</v>
      </c>
      <c r="H770" s="2" t="str">
        <f>IFERROR(__xludf.DUMMYFUNCTION("""COMPUTED_VALUE"""),"લિટર")</f>
        <v>લિટર</v>
      </c>
      <c r="I770" s="2" t="str">
        <f>IFERROR(__xludf.DUMMYFUNCTION("""COMPUTED_VALUE"""),"लिटर")</f>
        <v>लिटर</v>
      </c>
      <c r="J770" s="2" t="str">
        <f>IFERROR(__xludf.DUMMYFUNCTION("""COMPUTED_VALUE"""),"ലിറ്റർ")</f>
        <v>ലിറ്റർ</v>
      </c>
      <c r="K770" s="2" t="str">
        <f>IFERROR(__xludf.DUMMYFUNCTION("""COMPUTED_VALUE"""),"ਲੀਟਰ")</f>
        <v>ਲੀਟਰ</v>
      </c>
      <c r="L770" s="2" t="str">
        <f>IFERROR(__xludf.DUMMYFUNCTION("""COMPUTED_VALUE"""),"லிட்டர்")</f>
        <v>லிட்டர்</v>
      </c>
      <c r="M770" s="2" t="str">
        <f>IFERROR(__xludf.DUMMYFUNCTION("""COMPUTED_VALUE"""),"లీటరు")</f>
        <v>లీటరు</v>
      </c>
    </row>
    <row r="771">
      <c r="A771" s="2" t="str">
        <f>Master_en!A771</f>
        <v>Weight </v>
      </c>
      <c r="B771" s="2" t="str">
        <f>Master_en!B771</f>
        <v>Weight </v>
      </c>
      <c r="C771" s="2" t="str">
        <f>IFERROR(__xludf.DUMMYFUNCTION("""COMPUTED_VALUE"""),"ওজন")</f>
        <v>ওজন</v>
      </c>
      <c r="D771" s="2" t="str">
        <f>IFERROR(__xludf.DUMMYFUNCTION("""COMPUTED_VALUE"""),"वज़न")</f>
        <v>वज़न</v>
      </c>
      <c r="E771" s="2" t="str">
        <f>IFERROR(__xludf.DUMMYFUNCTION("""COMPUTED_VALUE"""),"ತೂಕ")</f>
        <v>ತೂಕ</v>
      </c>
      <c r="F771" s="2" t="str">
        <f>IFERROR(__xludf.DUMMYFUNCTION("""COMPUTED_VALUE"""),"ଓଜନ")</f>
        <v>ଓଜନ</v>
      </c>
      <c r="G771" s="2" t="str">
        <f>IFERROR(__xludf.DUMMYFUNCTION("""COMPUTED_VALUE"""),"ওজন")</f>
        <v>ওজন</v>
      </c>
      <c r="H771" s="2" t="str">
        <f>IFERROR(__xludf.DUMMYFUNCTION("""COMPUTED_VALUE"""),"વજન")</f>
        <v>વજન</v>
      </c>
      <c r="I771" s="2" t="str">
        <f>IFERROR(__xludf.DUMMYFUNCTION("""COMPUTED_VALUE"""),"द्वारे विकले")</f>
        <v>द्वारे विकले</v>
      </c>
      <c r="J771" s="2" t="str">
        <f>IFERROR(__xludf.DUMMYFUNCTION("""COMPUTED_VALUE"""),"ഭാരം")</f>
        <v>ഭാരം</v>
      </c>
      <c r="K771" s="2" t="str">
        <f>IFERROR(__xludf.DUMMYFUNCTION("""COMPUTED_VALUE"""),"ਭਾਰ")</f>
        <v>ਭਾਰ</v>
      </c>
      <c r="L771" s="2" t="str">
        <f>IFERROR(__xludf.DUMMYFUNCTION("""COMPUTED_VALUE"""),"எடை")</f>
        <v>எடை</v>
      </c>
      <c r="M771" s="2" t="str">
        <f>IFERROR(__xludf.DUMMYFUNCTION("""COMPUTED_VALUE"""),"ద్వారా విక్రయించబడింది")</f>
        <v>ద్వారా విక్రయించబడింది</v>
      </c>
    </row>
    <row r="772">
      <c r="A772" s="2" t="str">
        <f>Master_en!A772</f>
        <v>Grading </v>
      </c>
      <c r="B772" s="2" t="str">
        <f>Master_en!B772</f>
        <v>Grading </v>
      </c>
      <c r="C772" s="2" t="str">
        <f>IFERROR(__xludf.DUMMYFUNCTION("""COMPUTED_VALUE"""),"গ্রেডিং")</f>
        <v>গ্রেডিং</v>
      </c>
      <c r="D772" s="2" t="str">
        <f>IFERROR(__xludf.DUMMYFUNCTION("""COMPUTED_VALUE"""),"ग्रेडिंग")</f>
        <v>ग्रेडिंग</v>
      </c>
      <c r="E772" s="2" t="str">
        <f>IFERROR(__xludf.DUMMYFUNCTION("""COMPUTED_VALUE"""),"ಶ್ರೇಣಗೀತೆ")</f>
        <v>ಶ್ರೇಣಗೀತೆ</v>
      </c>
      <c r="F772" s="2" t="str">
        <f>IFERROR(__xludf.DUMMYFUNCTION("""COMPUTED_VALUE"""),"ଗ୍ରେଡିଂ")</f>
        <v>ଗ୍ରେଡିଂ</v>
      </c>
      <c r="G772" s="2" t="str">
        <f>IFERROR(__xludf.DUMMYFUNCTION("""COMPUTED_VALUE"""),"গ্ৰেডিং")</f>
        <v>গ্ৰেডিং</v>
      </c>
      <c r="H772" s="2" t="str">
        <f>IFERROR(__xludf.DUMMYFUNCTION("""COMPUTED_VALUE"""),"ક્રમ")</f>
        <v>ક્રમ</v>
      </c>
      <c r="I772" s="2" t="str">
        <f>IFERROR(__xludf.DUMMYFUNCTION("""COMPUTED_VALUE"""),"ग्रेडिंग")</f>
        <v>ग्रेडिंग</v>
      </c>
      <c r="J772" s="2" t="str">
        <f>IFERROR(__xludf.DUMMYFUNCTION("""COMPUTED_VALUE"""),"ഗ്രേഡിംഗ്")</f>
        <v>ഗ്രേഡിംഗ്</v>
      </c>
      <c r="K772" s="2" t="str">
        <f>IFERROR(__xludf.DUMMYFUNCTION("""COMPUTED_VALUE"""),"ਗਰੇਡਿੰਗ")</f>
        <v>ਗਰੇਡਿੰਗ</v>
      </c>
      <c r="L772" s="2" t="str">
        <f>IFERROR(__xludf.DUMMYFUNCTION("""COMPUTED_VALUE"""),"தரப்படுத்தல்")</f>
        <v>தரப்படுத்தல்</v>
      </c>
      <c r="M772" s="2" t="str">
        <f>IFERROR(__xludf.DUMMYFUNCTION("""COMPUTED_VALUE"""),"గ్రేడింగ్")</f>
        <v>గ్రేడింగ్</v>
      </c>
    </row>
    <row r="773">
      <c r="A773" s="2" t="str">
        <f>Master_en!A773</f>
        <v>PendingApproval</v>
      </c>
      <c r="B773" s="2" t="str">
        <f>Master_en!B773</f>
        <v>Pending Approval</v>
      </c>
      <c r="C773" s="2" t="str">
        <f>IFERROR(__xludf.DUMMYFUNCTION("""COMPUTED_VALUE"""),"অনুমোদন অপেক্ষারত")</f>
        <v>অনুমোদন অপেক্ষারত</v>
      </c>
      <c r="D773" s="2" t="str">
        <f>IFERROR(__xludf.DUMMYFUNCTION("""COMPUTED_VALUE"""),"लंबित अनुमोदन")</f>
        <v>लंबित अनुमोदन</v>
      </c>
      <c r="E773" s="2" t="str">
        <f>IFERROR(__xludf.DUMMYFUNCTION("""COMPUTED_VALUE"""),"ಒಪ್ಪಿಗೆಗಾಗಿ ಕಾದಿರುವ")</f>
        <v>ಒಪ್ಪಿಗೆಗಾಗಿ ಕಾದಿರುವ</v>
      </c>
      <c r="F773" s="2" t="str">
        <f>IFERROR(__xludf.DUMMYFUNCTION("""COMPUTED_VALUE"""),"ଅନୁମୋଦନ ବିଚାରାଧୀନ |")</f>
        <v>ଅନୁମୋଦନ ବିଚାରାଧୀନ |</v>
      </c>
      <c r="G773" s="2" t="str">
        <f>IFERROR(__xludf.DUMMYFUNCTION("""COMPUTED_VALUE"""),"অনুমোদনৰ বাকী আছে")</f>
        <v>অনুমোদনৰ বাকী আছে</v>
      </c>
      <c r="H773" s="2" t="str">
        <f>IFERROR(__xludf.DUMMYFUNCTION("""COMPUTED_VALUE"""),"મંજૂરી બાકી હોવી")</f>
        <v>મંજૂરી બાકી હોવી</v>
      </c>
      <c r="I773" s="2" t="str">
        <f>IFERROR(__xludf.DUMMYFUNCTION("""COMPUTED_VALUE"""),"मंजूरीसाठी प्रलंबित")</f>
        <v>मंजूरीसाठी प्रलंबित</v>
      </c>
      <c r="J773" s="2" t="str">
        <f>IFERROR(__xludf.DUMMYFUNCTION("""COMPUTED_VALUE"""),"പരിധിക്കല്ല്")</f>
        <v>പരിധിക്കല്ല്</v>
      </c>
      <c r="K773" s="2" t="str">
        <f>IFERROR(__xludf.DUMMYFUNCTION("""COMPUTED_VALUE"""),"ਬਕਾਇਆ ਪ੍ਰਵਾਨਗੀ")</f>
        <v>ਬਕਾਇਆ ਪ੍ਰਵਾਨਗੀ</v>
      </c>
      <c r="L773" s="2" t="str">
        <f>IFERROR(__xludf.DUMMYFUNCTION("""COMPUTED_VALUE"""),"நிலுவையிலுள்ள ஒப்புதல்")</f>
        <v>நிலுவையிலுள்ள ஒப்புதல்</v>
      </c>
      <c r="M773" s="2" t="str">
        <f>IFERROR(__xludf.DUMMYFUNCTION("""COMPUTED_VALUE"""),"పెండింగ్ ఆమోదం")</f>
        <v>పెండింగ్ ఆమోదం</v>
      </c>
    </row>
    <row r="774">
      <c r="A774" s="2" t="str">
        <f>Master_en!A774</f>
        <v>Approved</v>
      </c>
      <c r="B774" s="2" t="str">
        <f>Master_en!B774</f>
        <v>Approved</v>
      </c>
      <c r="C774" s="2" t="str">
        <f>IFERROR(__xludf.DUMMYFUNCTION("""COMPUTED_VALUE"""),"অনুমোদিত")</f>
        <v>অনুমোদিত</v>
      </c>
      <c r="D774" s="2" t="str">
        <f>IFERROR(__xludf.DUMMYFUNCTION("""COMPUTED_VALUE"""),"अनुमत")</f>
        <v>अनुमत</v>
      </c>
      <c r="E774" s="2" t="str">
        <f>IFERROR(__xludf.DUMMYFUNCTION("""COMPUTED_VALUE"""),"ಅನುಮೋದಿಸಿದ")</f>
        <v>ಅನುಮೋದಿಸಿದ</v>
      </c>
      <c r="F774" s="2" t="str">
        <f>IFERROR(__xludf.DUMMYFUNCTION("""COMPUTED_VALUE"""),"ଅନୁମୋଦିତ |")</f>
        <v>ଅନୁମୋଦିତ |</v>
      </c>
      <c r="G774" s="2" t="str">
        <f>IFERROR(__xludf.DUMMYFUNCTION("""COMPUTED_VALUE"""),"অনুমোদিত")</f>
        <v>অনুমোদিত</v>
      </c>
      <c r="H774" s="2" t="str">
        <f>IFERROR(__xludf.DUMMYFUNCTION("""COMPUTED_VALUE"""),"માન્ય")</f>
        <v>માન્ય</v>
      </c>
      <c r="I774" s="2" t="str">
        <f>IFERROR(__xludf.DUMMYFUNCTION("""COMPUTED_VALUE"""),"मंजूर")</f>
        <v>मंजूर</v>
      </c>
      <c r="J774" s="2" t="str">
        <f>IFERROR(__xludf.DUMMYFUNCTION("""COMPUTED_VALUE"""),"അംഗീകരിച്ചു")</f>
        <v>അംഗീകരിച്ചു</v>
      </c>
      <c r="K774" s="2" t="str">
        <f>IFERROR(__xludf.DUMMYFUNCTION("""COMPUTED_VALUE"""),"ਮਨਜ਼ੂਰ")</f>
        <v>ਮਨਜ਼ੂਰ</v>
      </c>
      <c r="L774" s="2" t="str">
        <f>IFERROR(__xludf.DUMMYFUNCTION("""COMPUTED_VALUE"""),"அங்கீகரிக்கப்பட்டது")</f>
        <v>அங்கீகரிக்கப்பட்டது</v>
      </c>
      <c r="M774" s="2" t="str">
        <f>IFERROR(__xludf.DUMMYFUNCTION("""COMPUTED_VALUE"""),"ఆమోదించబడింది")</f>
        <v>ఆమోదించబడింది</v>
      </c>
    </row>
    <row r="775">
      <c r="A775" s="2" t="str">
        <f>Master_en!A775</f>
        <v>Rejected </v>
      </c>
      <c r="B775" s="2" t="str">
        <f>Master_en!B775</f>
        <v>Rejected </v>
      </c>
      <c r="C775" s="2" t="str">
        <f>IFERROR(__xludf.DUMMYFUNCTION("""COMPUTED_VALUE"""),"প্রত্যাখ্যাত")</f>
        <v>প্রত্যাখ্যাত</v>
      </c>
      <c r="D775" s="2" t="str">
        <f>IFERROR(__xludf.DUMMYFUNCTION("""COMPUTED_VALUE"""),"अस्वीकार कर दिया")</f>
        <v>अस्वीकार कर दिया</v>
      </c>
      <c r="E775" s="2" t="str">
        <f>IFERROR(__xludf.DUMMYFUNCTION("""COMPUTED_VALUE"""),"ತಿರಸ್ಕರಿಸಿದ")</f>
        <v>ತಿರಸ್ಕರಿಸಿದ</v>
      </c>
      <c r="F775" s="2" t="str">
        <f>IFERROR(__xludf.DUMMYFUNCTION("""COMPUTED_VALUE"""),"ପ୍ରତ୍ୟାଖ୍ୟାନ")</f>
        <v>ପ୍ରତ୍ୟାଖ୍ୟାନ</v>
      </c>
      <c r="G775" s="2" t="str">
        <f>IFERROR(__xludf.DUMMYFUNCTION("""COMPUTED_VALUE"""),"নাকচ কৰা হৈছে")</f>
        <v>নাকচ কৰা হৈছে</v>
      </c>
      <c r="H775" s="2" t="str">
        <f>IFERROR(__xludf.DUMMYFUNCTION("""COMPUTED_VALUE"""),"અસ્વીકૃત")</f>
        <v>અસ્વીકૃત</v>
      </c>
      <c r="I775" s="2" t="str">
        <f>IFERROR(__xludf.DUMMYFUNCTION("""COMPUTED_VALUE"""),"नाकारले")</f>
        <v>नाकारले</v>
      </c>
      <c r="J775" s="2" t="str">
        <f>IFERROR(__xludf.DUMMYFUNCTION("""COMPUTED_VALUE"""),"നിരസിച്ചു")</f>
        <v>നിരസിച്ചു</v>
      </c>
      <c r="K775" s="2" t="str">
        <f>IFERROR(__xludf.DUMMYFUNCTION("""COMPUTED_VALUE"""),"ਰੱਦ ਕਰ ਦਿੱਤਾ")</f>
        <v>ਰੱਦ ਕਰ ਦਿੱਤਾ</v>
      </c>
      <c r="L775" s="2" t="str">
        <f>IFERROR(__xludf.DUMMYFUNCTION("""COMPUTED_VALUE"""),"நிராகரிக்கப்பட்டது")</f>
        <v>நிராகரிக்கப்பட்டது</v>
      </c>
      <c r="M775" s="2" t="str">
        <f>IFERROR(__xludf.DUMMYFUNCTION("""COMPUTED_VALUE"""),"తిరస్కరించబడింది")</f>
        <v>తిరస్కరించబడింది</v>
      </c>
    </row>
    <row r="776">
      <c r="A776" s="2" t="str">
        <f>Master_en!A776</f>
        <v>Customized</v>
      </c>
      <c r="B776" s="2" t="str">
        <f>Master_en!B776</f>
        <v>Customized</v>
      </c>
      <c r="C776" s="2" t="str">
        <f>IFERROR(__xludf.DUMMYFUNCTION("""COMPUTED_VALUE"""),"কাস্টমাইজড")</f>
        <v>কাস্টমাইজড</v>
      </c>
      <c r="D776" s="2" t="str">
        <f>IFERROR(__xludf.DUMMYFUNCTION("""COMPUTED_VALUE"""),"स्वनिर्धारित")</f>
        <v>स्वनिर्धारित</v>
      </c>
      <c r="E776" s="2" t="str">
        <f>IFERROR(__xludf.DUMMYFUNCTION("""COMPUTED_VALUE"""),"ಕಸ್ಟಮೈಸ್ ಮಾಡಿದ")</f>
        <v>ಕಸ್ಟಮೈಸ್ ಮಾಡಿದ</v>
      </c>
      <c r="F776" s="2" t="str">
        <f>IFERROR(__xludf.DUMMYFUNCTION("""COMPUTED_VALUE"""),"କଷ୍ଟମାଇଜ୍ ହୋଇଛି |")</f>
        <v>କଷ୍ଟମାଇଜ୍ ହୋଇଛି |</v>
      </c>
      <c r="G776" s="2" t="str">
        <f>IFERROR(__xludf.DUMMYFUNCTION("""COMPUTED_VALUE"""),"কাষ্টমাইজড")</f>
        <v>কাষ্টমাইজড</v>
      </c>
      <c r="H776" s="2" t="str">
        <f>IFERROR(__xludf.DUMMYFUNCTION("""COMPUTED_VALUE"""),"ક customિયટ કરેલું")</f>
        <v>ક customિયટ કરેલું</v>
      </c>
      <c r="I776" s="2" t="str">
        <f>IFERROR(__xludf.DUMMYFUNCTION("""COMPUTED_VALUE"""),"सानुकूलित")</f>
        <v>सानुकूलित</v>
      </c>
      <c r="J776" s="2" t="str">
        <f>IFERROR(__xludf.DUMMYFUNCTION("""COMPUTED_VALUE"""),"ഇഷ്ടാനുസൃതമാക്കി")</f>
        <v>ഇഷ്ടാനുസൃതമാക്കി</v>
      </c>
      <c r="K776" s="2" t="str">
        <f>IFERROR(__xludf.DUMMYFUNCTION("""COMPUTED_VALUE"""),"ਅਨੁਕੂਲਿਤ")</f>
        <v>ਅਨੁਕੂਲਿਤ</v>
      </c>
      <c r="L776" s="2" t="str">
        <f>IFERROR(__xludf.DUMMYFUNCTION("""COMPUTED_VALUE"""),"தனிப்பயனாக்கப்பட்டது")</f>
        <v>தனிப்பயனாக்கப்பட்டது</v>
      </c>
      <c r="M776" s="2" t="str">
        <f>IFERROR(__xludf.DUMMYFUNCTION("""COMPUTED_VALUE"""),"అనుకూలీకరించబడింది")</f>
        <v>అనుకూలీకరించబడింది</v>
      </c>
    </row>
    <row r="777">
      <c r="A777" s="2" t="str">
        <f>Master_en!A777</f>
        <v>Favouriteshop</v>
      </c>
      <c r="B777" s="2" t="str">
        <f>Master_en!B777</f>
        <v>Favourite Shop</v>
      </c>
      <c r="C777" s="2" t="str">
        <f>IFERROR(__xludf.DUMMYFUNCTION("""COMPUTED_VALUE"""),"প্রিয় দোকান")</f>
        <v>প্রিয় দোকান</v>
      </c>
      <c r="D777" s="2" t="str">
        <f>IFERROR(__xludf.DUMMYFUNCTION("""COMPUTED_VALUE"""),"पसंदीदा दुकान")</f>
        <v>पसंदीदा दुकान</v>
      </c>
      <c r="E777" s="2" t="str">
        <f>IFERROR(__xludf.DUMMYFUNCTION("""COMPUTED_VALUE"""),"ಮೆಚ್ಚಿನ ಅಂಗಡಿ")</f>
        <v>ಮೆಚ್ಚಿನ ಅಂಗಡಿ</v>
      </c>
      <c r="F777" s="2" t="str">
        <f>IFERROR(__xludf.DUMMYFUNCTION("""COMPUTED_VALUE"""),"ପ୍ରିୟ ଦୋକାନ")</f>
        <v>ପ୍ରିୟ ଦୋକାନ</v>
      </c>
      <c r="G777" s="2" t="str">
        <f>IFERROR(__xludf.DUMMYFUNCTION("""COMPUTED_VALUE"""),"প্ৰিয় দোকান")</f>
        <v>প্ৰিয় দোকান</v>
      </c>
      <c r="H777" s="2" t="str">
        <f>IFERROR(__xludf.DUMMYFUNCTION("""COMPUTED_VALUE"""),"મનપસંદ દુકાન")</f>
        <v>મનપસંદ દુકાન</v>
      </c>
      <c r="I777" s="2" t="str">
        <f>IFERROR(__xludf.DUMMYFUNCTION("""COMPUTED_VALUE"""),"आवडते दुकान")</f>
        <v>आवडते दुकान</v>
      </c>
      <c r="J777" s="2" t="str">
        <f>IFERROR(__xludf.DUMMYFUNCTION("""COMPUTED_VALUE"""),"പ്രിയപ്പെട്ട കട")</f>
        <v>പ്രിയപ്പെട്ട കട</v>
      </c>
      <c r="K777" s="2" t="str">
        <f>IFERROR(__xludf.DUMMYFUNCTION("""COMPUTED_VALUE"""),"ਮਨਪਸੰਦ ਦੁਕਾਨ")</f>
        <v>ਮਨਪਸੰਦ ਦੁਕਾਨ</v>
      </c>
      <c r="L777" s="2" t="str">
        <f>IFERROR(__xludf.DUMMYFUNCTION("""COMPUTED_VALUE"""),"பிடித்த கடை")</f>
        <v>பிடித்த கடை</v>
      </c>
      <c r="M777" s="2" t="str">
        <f>IFERROR(__xludf.DUMMYFUNCTION("""COMPUTED_VALUE"""),"ఇష్టమైన దుకాణం")</f>
        <v>ఇష్టమైన దుకాణం</v>
      </c>
    </row>
    <row r="778">
      <c r="A778" s="2" t="str">
        <f>Master_en!A778</f>
        <v>ShopByCategories </v>
      </c>
      <c r="B778" s="2" t="str">
        <f>Master_en!B778</f>
        <v>Shop By Categories </v>
      </c>
      <c r="C778" s="2" t="str">
        <f>IFERROR(__xludf.DUMMYFUNCTION("""COMPUTED_VALUE"""),"বিভাগ দ্বারা কেনাকাটা")</f>
        <v>বিভাগ দ্বারা কেনাকাটা</v>
      </c>
      <c r="D778" s="2" t="str">
        <f>IFERROR(__xludf.DUMMYFUNCTION("""COMPUTED_VALUE"""),"श्रेणियों द्वारा दुकान")</f>
        <v>श्रेणियों द्वारा दुकान</v>
      </c>
      <c r="E778" s="2" t="str">
        <f>IFERROR(__xludf.DUMMYFUNCTION("""COMPUTED_VALUE"""),"ವರ್ಗಗಳ ಪ್ರಕಾರ ಶಾಪಿಂಗ್ ಮಾಡಿ")</f>
        <v>ವರ್ಗಗಳ ಪ್ರಕಾರ ಶಾಪಿಂಗ್ ಮಾಡಿ</v>
      </c>
      <c r="F778" s="2" t="str">
        <f>IFERROR(__xludf.DUMMYFUNCTION("""COMPUTED_VALUE"""),"ବର୍ଗଗୁଡିକ ଦ୍ୱାରା କିଣନ୍ତୁ |")</f>
        <v>ବର୍ଗଗୁଡିକ ଦ୍ୱାରା କିଣନ୍ତୁ |</v>
      </c>
      <c r="G778" s="2" t="str">
        <f>IFERROR(__xludf.DUMMYFUNCTION("""COMPUTED_VALUE"""),"শ্রেণী অনুযায়ী দোকান")</f>
        <v>শ্রেণী অনুযায়ী দোকান</v>
      </c>
      <c r="H778" s="2" t="str">
        <f>IFERROR(__xludf.DUMMYFUNCTION("""COMPUTED_VALUE"""),"શ્રેણીઓ દ્વારા ખરીદી")</f>
        <v>શ્રેણીઓ દ્વારા ખરીદી</v>
      </c>
      <c r="I778" s="2" t="str">
        <f>IFERROR(__xludf.DUMMYFUNCTION("""COMPUTED_VALUE"""),"श्रेणीनुसार खरेदी करा")</f>
        <v>श्रेणीनुसार खरेदी करा</v>
      </c>
      <c r="J778" s="2" t="str">
        <f>IFERROR(__xludf.DUMMYFUNCTION("""COMPUTED_VALUE"""),"വിഭാഗങ്ങളിലൂടെ ഷോപ്പുചെയ്യുക")</f>
        <v>വിഭാഗങ്ങളിലൂടെ ഷോപ്പുചെയ്യുക</v>
      </c>
      <c r="K778" s="2" t="str">
        <f>IFERROR(__xludf.DUMMYFUNCTION("""COMPUTED_VALUE"""),"ਵਰਗ ਦੁਆਰਾ ਖਰੀਦਦਾਰੀ ਕਰੋ")</f>
        <v>ਵਰਗ ਦੁਆਰਾ ਖਰੀਦਦਾਰੀ ਕਰੋ</v>
      </c>
      <c r="L778" s="2" t="str">
        <f>IFERROR(__xludf.DUMMYFUNCTION("""COMPUTED_VALUE"""),"வகைகளின்படி ஷாப்பிங்")</f>
        <v>வகைகளின்படி ஷாப்பிங்</v>
      </c>
      <c r="M778" s="2" t="str">
        <f>IFERROR(__xludf.DUMMYFUNCTION("""COMPUTED_VALUE"""),"వర్గాల వారీగా షాపింగ్ చేయండి")</f>
        <v>వర్గాల వారీగా షాపింగ్ చేయండి</v>
      </c>
    </row>
    <row r="779">
      <c r="A779" s="2" t="str">
        <f>Master_en!A779</f>
        <v>Grocery </v>
      </c>
      <c r="B779" s="2" t="str">
        <f>Master_en!B779</f>
        <v>Grocery </v>
      </c>
      <c r="C779" s="2" t="str">
        <f>IFERROR(__xludf.DUMMYFUNCTION("""COMPUTED_VALUE"""),"মুদিখানা")</f>
        <v>মুদিখানা</v>
      </c>
      <c r="D779" s="2" t="str">
        <f>IFERROR(__xludf.DUMMYFUNCTION("""COMPUTED_VALUE"""),"किराना")</f>
        <v>किराना</v>
      </c>
      <c r="E779" s="2" t="str">
        <f>IFERROR(__xludf.DUMMYFUNCTION("""COMPUTED_VALUE"""),"ಆಪರಸಿ")</f>
        <v>ಆಪರಸಿ</v>
      </c>
      <c r="F779" s="2" t="str">
        <f>IFERROR(__xludf.DUMMYFUNCTION("""COMPUTED_VALUE"""),"ସଉଦା")</f>
        <v>ସଉଦା</v>
      </c>
      <c r="G779" s="2" t="str">
        <f>IFERROR(__xludf.DUMMYFUNCTION("""COMPUTED_VALUE"""),"গেলামালৰ দোকান")</f>
        <v>গেলামালৰ দোকান</v>
      </c>
      <c r="H779" s="2" t="str">
        <f>IFERROR(__xludf.DUMMYFUNCTION("""COMPUTED_VALUE"""),"કરિયાણા")</f>
        <v>કરિયાણા</v>
      </c>
      <c r="I779" s="2" t="str">
        <f>IFERROR(__xludf.DUMMYFUNCTION("""COMPUTED_VALUE"""),"किराणा किराणा")</f>
        <v>किराणा किराणा</v>
      </c>
      <c r="J779" s="2" t="str">
        <f>IFERROR(__xludf.DUMMYFUNCTION("""COMPUTED_VALUE"""),"പലചരക്ക്")</f>
        <v>പലചരക്ക്</v>
      </c>
      <c r="K779" s="2" t="str">
        <f>IFERROR(__xludf.DUMMYFUNCTION("""COMPUTED_VALUE"""),"ਕਰਿਆਨੇ")</f>
        <v>ਕਰਿਆਨੇ</v>
      </c>
      <c r="L779" s="2" t="str">
        <f>IFERROR(__xludf.DUMMYFUNCTION("""COMPUTED_VALUE"""),"மளிகை")</f>
        <v>மளிகை</v>
      </c>
      <c r="M779" s="2" t="str">
        <f>IFERROR(__xludf.DUMMYFUNCTION("""COMPUTED_VALUE"""),"కిరాణా")</f>
        <v>కిరాణా</v>
      </c>
    </row>
    <row r="780">
      <c r="A780" s="2" t="str">
        <f>Master_en!A780</f>
        <v>Fish</v>
      </c>
      <c r="B780" s="2" t="str">
        <f>Master_en!B780</f>
        <v>Fish</v>
      </c>
      <c r="C780" s="2" t="str">
        <f>IFERROR(__xludf.DUMMYFUNCTION("""COMPUTED_VALUE"""),"মাছ")</f>
        <v>মাছ</v>
      </c>
      <c r="D780" s="2" t="str">
        <f>IFERROR(__xludf.DUMMYFUNCTION("""COMPUTED_VALUE"""),"मछली")</f>
        <v>मछली</v>
      </c>
      <c r="E780" s="2" t="str">
        <f>IFERROR(__xludf.DUMMYFUNCTION("""COMPUTED_VALUE"""),"ಮೀನು")</f>
        <v>ಮೀನು</v>
      </c>
      <c r="F780" s="2" t="str">
        <f>IFERROR(__xludf.DUMMYFUNCTION("""COMPUTED_VALUE"""),"ମାଛ |")</f>
        <v>ମାଛ |</v>
      </c>
      <c r="G780" s="2" t="str">
        <f>IFERROR(__xludf.DUMMYFUNCTION("""COMPUTED_VALUE"""),"মাছ")</f>
        <v>মাছ</v>
      </c>
      <c r="H780" s="2" t="str">
        <f>IFERROR(__xludf.DUMMYFUNCTION("""COMPUTED_VALUE"""),"માછલી")</f>
        <v>માછલી</v>
      </c>
      <c r="I780" s="2" t="str">
        <f>IFERROR(__xludf.DUMMYFUNCTION("""COMPUTED_VALUE"""),"मासे")</f>
        <v>मासे</v>
      </c>
      <c r="J780" s="2" t="str">
        <f>IFERROR(__xludf.DUMMYFUNCTION("""COMPUTED_VALUE"""),"മത്സം")</f>
        <v>മത്സം</v>
      </c>
      <c r="K780" s="2" t="str">
        <f>IFERROR(__xludf.DUMMYFUNCTION("""COMPUTED_VALUE"""),"ਮੱਛੀ")</f>
        <v>ਮੱਛੀ</v>
      </c>
      <c r="L780" s="2" t="str">
        <f>IFERROR(__xludf.DUMMYFUNCTION("""COMPUTED_VALUE"""),"மீன்")</f>
        <v>மீன்</v>
      </c>
      <c r="M780" s="2" t="str">
        <f>IFERROR(__xludf.DUMMYFUNCTION("""COMPUTED_VALUE"""),"చేప")</f>
        <v>చేప</v>
      </c>
    </row>
    <row r="781">
      <c r="A781" s="2" t="str">
        <f>Master_en!A781</f>
        <v>Flower </v>
      </c>
      <c r="B781" s="2" t="str">
        <f>Master_en!B781</f>
        <v>Flower </v>
      </c>
      <c r="C781" s="2" t="str">
        <f>IFERROR(__xludf.DUMMYFUNCTION("""COMPUTED_VALUE"""),"ফুল")</f>
        <v>ফুল</v>
      </c>
      <c r="D781" s="2" t="str">
        <f>IFERROR(__xludf.DUMMYFUNCTION("""COMPUTED_VALUE"""),"फूल")</f>
        <v>फूल</v>
      </c>
      <c r="E781" s="2" t="str">
        <f>IFERROR(__xludf.DUMMYFUNCTION("""COMPUTED_VALUE"""),"ಹೂಳು")</f>
        <v>ಹೂಳು</v>
      </c>
      <c r="F781" s="2" t="str">
        <f>IFERROR(__xludf.DUMMYFUNCTION("""COMPUTED_VALUE"""),"ଫୁଲ")</f>
        <v>ଫୁଲ</v>
      </c>
      <c r="G781" s="2" t="str">
        <f>IFERROR(__xludf.DUMMYFUNCTION("""COMPUTED_VALUE"""),"ফুল")</f>
        <v>ফুল</v>
      </c>
      <c r="H781" s="2" t="str">
        <f>IFERROR(__xludf.DUMMYFUNCTION("""COMPUTED_VALUE"""),"ફૂલ")</f>
        <v>ફૂલ</v>
      </c>
      <c r="I781" s="2" t="str">
        <f>IFERROR(__xludf.DUMMYFUNCTION("""COMPUTED_VALUE"""),"फ्लॉवर")</f>
        <v>फ्लॉवर</v>
      </c>
      <c r="J781" s="2" t="str">
        <f>IFERROR(__xludf.DUMMYFUNCTION("""COMPUTED_VALUE"""),"പൂവ്")</f>
        <v>പൂവ്</v>
      </c>
      <c r="K781" s="2" t="str">
        <f>IFERROR(__xludf.DUMMYFUNCTION("""COMPUTED_VALUE"""),"ਫੁੱਲ")</f>
        <v>ਫੁੱਲ</v>
      </c>
      <c r="L781" s="2" t="str">
        <f>IFERROR(__xludf.DUMMYFUNCTION("""COMPUTED_VALUE"""),"பூ")</f>
        <v>பூ</v>
      </c>
      <c r="M781" s="2" t="str">
        <f>IFERROR(__xludf.DUMMYFUNCTION("""COMPUTED_VALUE"""),"పువ్వు")</f>
        <v>పువ్వు</v>
      </c>
    </row>
    <row r="782">
      <c r="A782" s="2" t="str">
        <f>Master_en!A782</f>
        <v>Preference </v>
      </c>
      <c r="B782" s="2" t="str">
        <f>Master_en!B782</f>
        <v>Preference </v>
      </c>
      <c r="C782" s="2" t="str">
        <f>IFERROR(__xludf.DUMMYFUNCTION("""COMPUTED_VALUE"""),"পছন্দ")</f>
        <v>পছন্দ</v>
      </c>
      <c r="D782" s="2" t="str">
        <f>IFERROR(__xludf.DUMMYFUNCTION("""COMPUTED_VALUE"""),"पसंद")</f>
        <v>पसंद</v>
      </c>
      <c r="E782" s="2" t="str">
        <f>IFERROR(__xludf.DUMMYFUNCTION("""COMPUTED_VALUE"""),"ಆದ್ಯತೆ")</f>
        <v>ಆದ್ಯತೆ</v>
      </c>
      <c r="F782" s="2" t="str">
        <f>IFERROR(__xludf.DUMMYFUNCTION("""COMPUTED_VALUE"""),"ପସନ୍ଦ")</f>
        <v>ପସନ୍ଦ</v>
      </c>
      <c r="G782" s="2" t="str">
        <f>IFERROR(__xludf.DUMMYFUNCTION("""COMPUTED_VALUE"""),"প্ৰাথমিক পছন্দ")</f>
        <v>প্ৰাথমিক পছন্দ</v>
      </c>
      <c r="H782" s="2" t="str">
        <f>IFERROR(__xludf.DUMMYFUNCTION("""COMPUTED_VALUE"""),"અગ્રતા")</f>
        <v>અગ્રતા</v>
      </c>
      <c r="I782" s="2" t="str">
        <f>IFERROR(__xludf.DUMMYFUNCTION("""COMPUTED_VALUE"""),"प्राधान्य")</f>
        <v>प्राधान्य</v>
      </c>
      <c r="J782" s="2" t="str">
        <f>IFERROR(__xludf.DUMMYFUNCTION("""COMPUTED_VALUE"""),"മുൻഗണന")</f>
        <v>മുൻഗണന</v>
      </c>
      <c r="K782" s="2" t="str">
        <f>IFERROR(__xludf.DUMMYFUNCTION("""COMPUTED_VALUE"""),"ਪਸੰਦ")</f>
        <v>ਪਸੰਦ</v>
      </c>
      <c r="L782" s="2" t="str">
        <f>IFERROR(__xludf.DUMMYFUNCTION("""COMPUTED_VALUE"""),"விருப்பம்")</f>
        <v>விருப்பம்</v>
      </c>
      <c r="M782" s="2" t="str">
        <f>IFERROR(__xludf.DUMMYFUNCTION("""COMPUTED_VALUE"""),"ప్రాధాన్యత")</f>
        <v>ప్రాధాన్యత</v>
      </c>
    </row>
    <row r="783">
      <c r="A783" s="2" t="str">
        <f>Master_en!A783</f>
        <v>SelectPreference </v>
      </c>
      <c r="B783" s="2" t="str">
        <f>Master_en!B783</f>
        <v>Select Preference </v>
      </c>
      <c r="C783" s="2" t="str">
        <f>IFERROR(__xludf.DUMMYFUNCTION("""COMPUTED_VALUE"""),"পছন্দ নির্বাচন করুন")</f>
        <v>পছন্দ নির্বাচন করুন</v>
      </c>
      <c r="D783" s="2" t="str">
        <f>IFERROR(__xludf.DUMMYFUNCTION("""COMPUTED_VALUE"""),"वरीयता का चयन करें")</f>
        <v>वरीयता का चयन करें</v>
      </c>
      <c r="E783" s="2" t="str">
        <f>IFERROR(__xludf.DUMMYFUNCTION("""COMPUTED_VALUE"""),"ಆದ್ಯತೆಯನ್ನು ಆಯ್ಕೆಮಾಡಿ")</f>
        <v>ಆದ್ಯತೆಯನ್ನು ಆಯ್ಕೆಮಾಡಿ</v>
      </c>
      <c r="F783" s="2" t="str">
        <f>IFERROR(__xludf.DUMMYFUNCTION("""COMPUTED_VALUE"""),"ପସନ୍ଦ ଚୟନ କରନ୍ତୁ |")</f>
        <v>ପସନ୍ଦ ଚୟନ କରନ୍ତୁ |</v>
      </c>
      <c r="G783" s="2" t="str">
        <f>IFERROR(__xludf.DUMMYFUNCTION("""COMPUTED_VALUE"""),"পছন্দ নিৰ্ব্বাচন কৰক")</f>
        <v>পছন্দ নিৰ্ব্বাচন কৰক</v>
      </c>
      <c r="H783" s="2" t="str">
        <f>IFERROR(__xludf.DUMMYFUNCTION("""COMPUTED_VALUE"""),"પસંદગી પસંદ કરો")</f>
        <v>પસંદગી પસંદ કરો</v>
      </c>
      <c r="I783" s="2" t="str">
        <f>IFERROR(__xludf.DUMMYFUNCTION("""COMPUTED_VALUE"""),"फुले")</f>
        <v>फुले</v>
      </c>
      <c r="J783" s="2" t="str">
        <f>IFERROR(__xludf.DUMMYFUNCTION("""COMPUTED_VALUE"""),"മുൻഗണന തിരഞ്ഞെടുക്കുക")</f>
        <v>മുൻഗണന തിരഞ്ഞെടുക്കുക</v>
      </c>
      <c r="K783" s="2" t="str">
        <f>IFERROR(__xludf.DUMMYFUNCTION("""COMPUTED_VALUE"""),"ਪਸੰਦ ਦੀ ਚੋਣ ਕਰੋ")</f>
        <v>ਪਸੰਦ ਦੀ ਚੋਣ ਕਰੋ</v>
      </c>
      <c r="L783" s="2" t="str">
        <f>IFERROR(__xludf.DUMMYFUNCTION("""COMPUTED_VALUE"""),"விருப்பத்தைத் தேர்ந்தெடுக்கவும்")</f>
        <v>விருப்பத்தைத் தேர்ந்தெடுக்கவும்</v>
      </c>
      <c r="M783" s="2" t="str">
        <f>IFERROR(__xludf.DUMMYFUNCTION("""COMPUTED_VALUE"""),"ప్రాధాన్యతను ఎంచుకోండి")</f>
        <v>ప్రాధాన్యతను ఎంచుకోండి</v>
      </c>
    </row>
    <row r="784">
      <c r="A784" s="2" t="str">
        <f>Master_en!A784</f>
        <v>FruitsShop</v>
      </c>
      <c r="B784" s="2" t="str">
        <f>Master_en!B784</f>
        <v>Fruits Shop</v>
      </c>
      <c r="C784" s="2" t="str">
        <f>IFERROR(__xludf.DUMMYFUNCTION("""COMPUTED_VALUE"""),"ফলের দোকান")</f>
        <v>ফলের দোকান</v>
      </c>
      <c r="D784" s="2" t="str">
        <f>IFERROR(__xludf.DUMMYFUNCTION("""COMPUTED_VALUE"""),"फलों की दुकान")</f>
        <v>फलों की दुकान</v>
      </c>
      <c r="E784" s="2" t="str">
        <f>IFERROR(__xludf.DUMMYFUNCTION("""COMPUTED_VALUE"""),"ಹಣ್ಣುಗಳ ಅಂಗಡಿ")</f>
        <v>ಹಣ್ಣುಗಳ ಅಂಗಡಿ</v>
      </c>
      <c r="F784" s="2" t="str">
        <f>IFERROR(__xludf.DUMMYFUNCTION("""COMPUTED_VALUE"""),"ଫଳ ଦୋକାନ")</f>
        <v>ଫଳ ଦୋକାନ</v>
      </c>
      <c r="G784" s="2" t="str">
        <f>IFERROR(__xludf.DUMMYFUNCTION("""COMPUTED_VALUE"""),"ফলৰ দোকান")</f>
        <v>ফলৰ দোকান</v>
      </c>
      <c r="H784" s="2" t="str">
        <f>IFERROR(__xludf.DUMMYFUNCTION("""COMPUTED_VALUE"""),"ફળો")</f>
        <v>ફળો</v>
      </c>
      <c r="I784" s="2" t="str">
        <f>IFERROR(__xludf.DUMMYFUNCTION("""COMPUTED_VALUE"""),"फळे दुकान")</f>
        <v>फळे दुकान</v>
      </c>
      <c r="J784" s="2" t="str">
        <f>IFERROR(__xludf.DUMMYFUNCTION("""COMPUTED_VALUE"""),"പഴങ്ങൾ കട")</f>
        <v>പഴങ്ങൾ കട</v>
      </c>
      <c r="K784" s="2" t="str">
        <f>IFERROR(__xludf.DUMMYFUNCTION("""COMPUTED_VALUE"""),"ਫਲ ਦੀ ਦੁਕਾਨ")</f>
        <v>ਫਲ ਦੀ ਦੁਕਾਨ</v>
      </c>
      <c r="L784" s="2" t="str">
        <f>IFERROR(__xludf.DUMMYFUNCTION("""COMPUTED_VALUE"""),"பழங்கள் கடை")</f>
        <v>பழங்கள் கடை</v>
      </c>
      <c r="M784" s="2" t="str">
        <f>IFERROR(__xludf.DUMMYFUNCTION("""COMPUTED_VALUE"""),"పండ్ల దుకాణం")</f>
        <v>పండ్ల దుకాణం</v>
      </c>
    </row>
    <row r="785">
      <c r="A785" s="2" t="str">
        <f>Master_en!A785</f>
        <v>LocalGarden</v>
      </c>
      <c r="B785" s="2" t="str">
        <f>Master_en!B785</f>
        <v>Local Garden</v>
      </c>
      <c r="C785" s="2" t="str">
        <f>IFERROR(__xludf.DUMMYFUNCTION("""COMPUTED_VALUE"""),"স্থানীয় বাগান")</f>
        <v>স্থানীয় বাগান</v>
      </c>
      <c r="D785" s="2" t="str">
        <f>IFERROR(__xludf.DUMMYFUNCTION("""COMPUTED_VALUE"""),"स्थानीय उद्यान")</f>
        <v>स्थानीय उद्यान</v>
      </c>
      <c r="E785" s="2" t="str">
        <f>IFERROR(__xludf.DUMMYFUNCTION("""COMPUTED_VALUE"""),"ಸ್ಥಳೀಯ ಉದ್ಯಾನ")</f>
        <v>ಸ್ಥಳೀಯ ಉದ್ಯಾನ</v>
      </c>
      <c r="F785" s="2" t="str">
        <f>IFERROR(__xludf.DUMMYFUNCTION("""COMPUTED_VALUE"""),"ସ୍ଥାନୀୟ ଉଦ୍ୟାନ")</f>
        <v>ସ୍ଥାନୀୟ ଉଦ୍ୟାନ</v>
      </c>
      <c r="G785" s="2" t="str">
        <f>IFERROR(__xludf.DUMMYFUNCTION("""COMPUTED_VALUE"""),"স্থানীয় বাগিচা")</f>
        <v>স্থানীয় বাগিচা</v>
      </c>
      <c r="H785" s="2" t="str">
        <f>IFERROR(__xludf.DUMMYFUNCTION("""COMPUTED_VALUE"""),"સ્થાનિક બાગ")</f>
        <v>સ્થાનિક બાગ</v>
      </c>
      <c r="I785" s="2" t="str">
        <f>IFERROR(__xludf.DUMMYFUNCTION("""COMPUTED_VALUE"""),"प्राधान्य निवडा")</f>
        <v>प्राधान्य निवडा</v>
      </c>
      <c r="J785" s="2" t="str">
        <f>IFERROR(__xludf.DUMMYFUNCTION("""COMPUTED_VALUE"""),"പ്രാദേശിക പൂന്തോട്ടം")</f>
        <v>പ്രാദേശിക പൂന്തോട്ടം</v>
      </c>
      <c r="K785" s="2" t="str">
        <f>IFERROR(__xludf.DUMMYFUNCTION("""COMPUTED_VALUE"""),"ਸਥਾਨਕ ਬਾਗ")</f>
        <v>ਸਥਾਨਕ ਬਾਗ</v>
      </c>
      <c r="L785" s="2" t="str">
        <f>IFERROR(__xludf.DUMMYFUNCTION("""COMPUTED_VALUE"""),"உள்ளூர் தோட்டம்")</f>
        <v>உள்ளூர் தோட்டம்</v>
      </c>
      <c r="M785" s="2" t="str">
        <f>IFERROR(__xludf.DUMMYFUNCTION("""COMPUTED_VALUE"""),"ప్రాధాన్యతను ఎంచుకోండి")</f>
        <v>ప్రాధాన్యతను ఎంచుకోండి</v>
      </c>
    </row>
    <row r="786">
      <c r="A786" s="2" t="str">
        <f>Master_en!A786</f>
        <v>Nonveg </v>
      </c>
      <c r="B786" s="2" t="str">
        <f>Master_en!B786</f>
        <v>Non veg </v>
      </c>
      <c r="C786" s="2" t="str">
        <f>IFERROR(__xludf.DUMMYFUNCTION("""COMPUTED_VALUE"""),"নন ভেজি")</f>
        <v>নন ভেজি</v>
      </c>
      <c r="D786" s="2" t="str">
        <f>IFERROR(__xludf.DUMMYFUNCTION("""COMPUTED_VALUE"""),"मांसाहारी")</f>
        <v>मांसाहारी</v>
      </c>
      <c r="E786" s="2" t="str">
        <f>IFERROR(__xludf.DUMMYFUNCTION("""COMPUTED_VALUE"""),"ಸಸ್ಯಾಹಾರಿ ಅಲ್ಲ")</f>
        <v>ಸಸ್ಯಾಹಾರಿ ಅಲ್ಲ</v>
      </c>
      <c r="F786" s="2" t="str">
        <f>IFERROR(__xludf.DUMMYFUNCTION("""COMPUTED_VALUE"""),"ଅଣ ଭେଜି |")</f>
        <v>ଅଣ ଭେଜି |</v>
      </c>
      <c r="G786" s="2" t="str">
        <f>IFERROR(__xludf.DUMMYFUNCTION("""COMPUTED_VALUE"""),"নন ভেজ")</f>
        <v>নন ভেজ</v>
      </c>
      <c r="H786" s="2" t="str">
        <f>IFERROR(__xludf.DUMMYFUNCTION("""COMPUTED_VALUE"""),"શાકાહારી નથી")</f>
        <v>શાકાહારી નથી</v>
      </c>
      <c r="I786" s="2" t="str">
        <f>IFERROR(__xludf.DUMMYFUNCTION("""COMPUTED_VALUE"""),"फळांचे दुकान")</f>
        <v>फळांचे दुकान</v>
      </c>
      <c r="J786" s="2" t="str">
        <f>IFERROR(__xludf.DUMMYFUNCTION("""COMPUTED_VALUE"""),"വെജ് നോൺ")</f>
        <v>വെജ് നോൺ</v>
      </c>
      <c r="K786" s="2" t="str">
        <f>IFERROR(__xludf.DUMMYFUNCTION("""COMPUTED_VALUE"""),"ਸ਼ਾਕਾਹਾਰੀ ਨਹੀਂ")</f>
        <v>ਸ਼ਾਕਾਹਾਰੀ ਨਹੀਂ</v>
      </c>
      <c r="L786" s="2" t="str">
        <f>IFERROR(__xludf.DUMMYFUNCTION("""COMPUTED_VALUE"""),"அசைவம்")</f>
        <v>அசைவம்</v>
      </c>
      <c r="M786" s="2" t="str">
        <f>IFERROR(__xludf.DUMMYFUNCTION("""COMPUTED_VALUE"""),"నాన్ వెజ్")</f>
        <v>నాన్ వెజ్</v>
      </c>
    </row>
    <row r="787">
      <c r="A787" s="2" t="str">
        <f>Master_en!A787</f>
        <v>Simple </v>
      </c>
      <c r="B787" s="2" t="str">
        <f>Master_en!B787</f>
        <v>Simple </v>
      </c>
      <c r="C787" s="2" t="str">
        <f>IFERROR(__xludf.DUMMYFUNCTION("""COMPUTED_VALUE"""),"সহজ")</f>
        <v>সহজ</v>
      </c>
      <c r="D787" s="2" t="str">
        <f>IFERROR(__xludf.DUMMYFUNCTION("""COMPUTED_VALUE"""),"सरल")</f>
        <v>सरल</v>
      </c>
      <c r="E787" s="2" t="str">
        <f>IFERROR(__xludf.DUMMYFUNCTION("""COMPUTED_VALUE"""),"ಸರಳವಾದ")</f>
        <v>ಸರಳವಾದ</v>
      </c>
      <c r="F787" s="2" t="str">
        <f>IFERROR(__xludf.DUMMYFUNCTION("""COMPUTED_VALUE"""),"ସରଳ")</f>
        <v>ସରଳ</v>
      </c>
      <c r="G787" s="2" t="str">
        <f>IFERROR(__xludf.DUMMYFUNCTION("""COMPUTED_VALUE"""),"সাধাৰণ")</f>
        <v>সাধাৰণ</v>
      </c>
      <c r="H787" s="2" t="str">
        <f>IFERROR(__xludf.DUMMYFUNCTION("""COMPUTED_VALUE"""),"સાદા")</f>
        <v>સાદા</v>
      </c>
      <c r="I787" s="2" t="str">
        <f>IFERROR(__xludf.DUMMYFUNCTION("""COMPUTED_VALUE"""),"सोपे")</f>
        <v>सोपे</v>
      </c>
      <c r="J787" s="2" t="str">
        <f>IFERROR(__xludf.DUMMYFUNCTION("""COMPUTED_VALUE"""),"ലഘുവായ")</f>
        <v>ലഘുവായ</v>
      </c>
      <c r="K787" s="2" t="str">
        <f>IFERROR(__xludf.DUMMYFUNCTION("""COMPUTED_VALUE"""),"ਆਸਾਨ")</f>
        <v>ਆਸਾਨ</v>
      </c>
      <c r="L787" s="2" t="str">
        <f>IFERROR(__xludf.DUMMYFUNCTION("""COMPUTED_VALUE"""),"எளிய")</f>
        <v>எளிய</v>
      </c>
      <c r="M787" s="2" t="str">
        <f>IFERROR(__xludf.DUMMYFUNCTION("""COMPUTED_VALUE"""),"సాధారణ")</f>
        <v>సాధారణ</v>
      </c>
    </row>
    <row r="788">
      <c r="A788" s="2" t="str">
        <f>Master_en!A788</f>
        <v>Aggregate </v>
      </c>
      <c r="B788" s="2" t="str">
        <f>Master_en!B788</f>
        <v>Aggregate </v>
      </c>
      <c r="C788" s="2" t="str">
        <f>IFERROR(__xludf.DUMMYFUNCTION("""COMPUTED_VALUE"""),"সমষ্টি")</f>
        <v>সমষ্টি</v>
      </c>
      <c r="D788" s="2" t="str">
        <f>IFERROR(__xludf.DUMMYFUNCTION("""COMPUTED_VALUE"""),"सकल")</f>
        <v>सकल</v>
      </c>
      <c r="E788" s="2" t="str">
        <f>IFERROR(__xludf.DUMMYFUNCTION("""COMPUTED_VALUE"""),"ಒಟ್ಟು")</f>
        <v>ಒಟ್ಟು</v>
      </c>
      <c r="F788" s="2" t="str">
        <f>IFERROR(__xludf.DUMMYFUNCTION("""COMPUTED_VALUE"""),"ସମୁଦାୟ")</f>
        <v>ସମୁଦାୟ</v>
      </c>
      <c r="G788" s="2" t="str">
        <f>IFERROR(__xludf.DUMMYFUNCTION("""COMPUTED_VALUE"""),"গোট খোৱা")</f>
        <v>গোট খোৱা</v>
      </c>
      <c r="H788" s="2" t="str">
        <f>IFERROR(__xludf.DUMMYFUNCTION("""COMPUTED_VALUE"""),"એકંદર")</f>
        <v>એકંદર</v>
      </c>
      <c r="I788" s="2" t="str">
        <f>IFERROR(__xludf.DUMMYFUNCTION("""COMPUTED_VALUE"""),"मांसाहारी")</f>
        <v>मांसाहारी</v>
      </c>
      <c r="J788" s="2" t="str">
        <f>IFERROR(__xludf.DUMMYFUNCTION("""COMPUTED_VALUE"""),"ആകെത്തുകയായുള്ള")</f>
        <v>ആകെത്തുകയായുള്ള</v>
      </c>
      <c r="K788" s="2" t="str">
        <f>IFERROR(__xludf.DUMMYFUNCTION("""COMPUTED_VALUE"""),"ਸਮੁੱਚੀ")</f>
        <v>ਸਮੁੱਚੀ</v>
      </c>
      <c r="L788" s="2" t="str">
        <f>IFERROR(__xludf.DUMMYFUNCTION("""COMPUTED_VALUE"""),"மதிப்பீட்டு")</f>
        <v>மதிப்பீட்டு</v>
      </c>
      <c r="M788" s="2" t="str">
        <f>IFERROR(__xludf.DUMMYFUNCTION("""COMPUTED_VALUE"""),"నాన్ వెజ్")</f>
        <v>నాన్ వెజ్</v>
      </c>
    </row>
    <row r="789">
      <c r="A789" s="2" t="str">
        <f>Master_en!A789</f>
        <v>MultipleFruits </v>
      </c>
      <c r="B789" s="2" t="str">
        <f>Master_en!B789</f>
        <v>Multiple Fruits </v>
      </c>
      <c r="C789" s="2" t="str">
        <f>IFERROR(__xludf.DUMMYFUNCTION("""COMPUTED_VALUE"""),"একাধিক ফল")</f>
        <v>একাধিক ফল</v>
      </c>
      <c r="D789" s="2" t="str">
        <f>IFERROR(__xludf.DUMMYFUNCTION("""COMPUTED_VALUE"""),"कई फल")</f>
        <v>कई फल</v>
      </c>
      <c r="E789" s="2" t="str">
        <f>IFERROR(__xludf.DUMMYFUNCTION("""COMPUTED_VALUE"""),"ಬಹು ಹಣ್ಣುಗಳು")</f>
        <v>ಬಹು ಹಣ್ಣುಗಳು</v>
      </c>
      <c r="F789" s="2" t="str">
        <f>IFERROR(__xludf.DUMMYFUNCTION("""COMPUTED_VALUE"""),"ଏକାଧିକ ଫଳ |")</f>
        <v>ଏକାଧିକ ଫଳ |</v>
      </c>
      <c r="G789" s="2" t="str">
        <f>IFERROR(__xludf.DUMMYFUNCTION("""COMPUTED_VALUE"""),"একাধিক ফল")</f>
        <v>একাধিক ফল</v>
      </c>
      <c r="H789" s="2" t="str">
        <f>IFERROR(__xludf.DUMMYFUNCTION("""COMPUTED_VALUE"""),"બહુવિધ ફળો")</f>
        <v>બહુવિધ ફળો</v>
      </c>
      <c r="I789" s="2" t="str">
        <f>IFERROR(__xludf.DUMMYFUNCTION("""COMPUTED_VALUE"""),"एकाधिक फळे")</f>
        <v>एकाधिक फळे</v>
      </c>
      <c r="J789" s="2" t="str">
        <f>IFERROR(__xludf.DUMMYFUNCTION("""COMPUTED_VALUE"""),"ഒന്നിലധികം പഴങ്ങൾ")</f>
        <v>ഒന്നിലധികം പഴങ്ങൾ</v>
      </c>
      <c r="K789" s="2" t="str">
        <f>IFERROR(__xludf.DUMMYFUNCTION("""COMPUTED_VALUE"""),"ਕਈ ਫਲ")</f>
        <v>ਕਈ ਫਲ</v>
      </c>
      <c r="L789" s="2" t="str">
        <f>IFERROR(__xludf.DUMMYFUNCTION("""COMPUTED_VALUE"""),"பல பழங்கள்")</f>
        <v>பல பழங்கள்</v>
      </c>
      <c r="M789" s="2" t="str">
        <f>IFERROR(__xludf.DUMMYFUNCTION("""COMPUTED_VALUE"""),"సాధారణ")</f>
        <v>సాధారణ</v>
      </c>
    </row>
    <row r="790">
      <c r="A790" s="2" t="str">
        <f>Master_en!A790</f>
        <v>AddAddress</v>
      </c>
      <c r="B790" s="2" t="str">
        <f>Master_en!B790</f>
        <v>Add Address</v>
      </c>
      <c r="C790" s="2" t="str">
        <f>IFERROR(__xludf.DUMMYFUNCTION("""COMPUTED_VALUE"""),"ঠিকানা যোগ করুন")</f>
        <v>ঠিকানা যোগ করুন</v>
      </c>
      <c r="D790" s="2" t="str">
        <f>IFERROR(__xludf.DUMMYFUNCTION("""COMPUTED_VALUE"""),"पता जोड़ें")</f>
        <v>पता जोड़ें</v>
      </c>
      <c r="E790" s="2" t="str">
        <f>IFERROR(__xludf.DUMMYFUNCTION("""COMPUTED_VALUE"""),"ವಿಳಾಸ ಸೇರಿಸಿ")</f>
        <v>ವಿಳಾಸ ಸೇರಿಸಿ</v>
      </c>
      <c r="F790" s="2" t="str">
        <f>IFERROR(__xludf.DUMMYFUNCTION("""COMPUTED_VALUE"""),"ଠିକଣା ଯୋଡନ୍ତୁ")</f>
        <v>ଠିକଣା ଯୋଡନ୍ତୁ</v>
      </c>
      <c r="G790" s="2" t="str">
        <f>IFERROR(__xludf.DUMMYFUNCTION("""COMPUTED_VALUE"""),"ঠিকনা যোগ কৰক")</f>
        <v>ঠিকনা যোগ কৰক</v>
      </c>
      <c r="H790" s="2" t="str">
        <f>IFERROR(__xludf.DUMMYFUNCTION("""COMPUTED_VALUE"""),"સરનામું ઉમેરો")</f>
        <v>સરનામું ઉમેરો</v>
      </c>
      <c r="I790" s="2" t="str">
        <f>IFERROR(__xludf.DUMMYFUNCTION("""COMPUTED_VALUE"""),"पत्ता जोडा")</f>
        <v>पत्ता जोडा</v>
      </c>
      <c r="J790" s="2" t="str">
        <f>IFERROR(__xludf.DUMMYFUNCTION("""COMPUTED_VALUE"""),"വിലാസം ചേർക്കുക")</f>
        <v>വിലാസം ചേർക്കുക</v>
      </c>
      <c r="K790" s="2" t="str">
        <f>IFERROR(__xludf.DUMMYFUNCTION("""COMPUTED_VALUE"""),"ਪਤਾ ਸ਼ਾਮਲ ਕਰੋ")</f>
        <v>ਪਤਾ ਸ਼ਾਮਲ ਕਰੋ</v>
      </c>
      <c r="L790" s="2" t="str">
        <f>IFERROR(__xludf.DUMMYFUNCTION("""COMPUTED_VALUE"""),"முகவரியைச் சேர்க்கவும்")</f>
        <v>முகவரியைச் சேர்க்கவும்</v>
      </c>
      <c r="M790" s="2" t="str">
        <f>IFERROR(__xludf.DUMMYFUNCTION("""COMPUTED_VALUE"""),"చిరునామాను జోడించండి")</f>
        <v>చిరునామాను జోడించండి</v>
      </c>
    </row>
    <row r="791">
      <c r="A791" s="2" t="str">
        <f>Master_en!A791</f>
        <v>Seasonal </v>
      </c>
      <c r="B791" s="2" t="str">
        <f>Master_en!B791</f>
        <v>Seasonal </v>
      </c>
      <c r="C791" s="2" t="str">
        <f>IFERROR(__xludf.DUMMYFUNCTION("""COMPUTED_VALUE"""),"মৌসুমী")</f>
        <v>মৌসুমী</v>
      </c>
      <c r="D791" s="2" t="str">
        <f>IFERROR(__xludf.DUMMYFUNCTION("""COMPUTED_VALUE"""),"मौसमी")</f>
        <v>मौसमी</v>
      </c>
      <c r="E791" s="2" t="str">
        <f>IFERROR(__xludf.DUMMYFUNCTION("""COMPUTED_VALUE"""),"ಕಾಲಕ್ಕೆ ಸಂಬಂಧಿಸಿದ")</f>
        <v>ಕಾಲಕ್ಕೆ ಸಂಬಂಧಿಸಿದ</v>
      </c>
      <c r="F791" s="2" t="str">
        <f>IFERROR(__xludf.DUMMYFUNCTION("""COMPUTED_VALUE"""),"ମ al ସୁମୀ")</f>
        <v>ମ al ସୁମୀ</v>
      </c>
      <c r="G791" s="2" t="str">
        <f>IFERROR(__xludf.DUMMYFUNCTION("""COMPUTED_VALUE"""),"ঋতুভিত্তিক")</f>
        <v>ঋতুভিত্তিক</v>
      </c>
      <c r="H791" s="2" t="str">
        <f>IFERROR(__xludf.DUMMYFUNCTION("""COMPUTED_VALUE"""),"મોસમી")</f>
        <v>મોસમી</v>
      </c>
      <c r="I791" s="2" t="str">
        <f>IFERROR(__xludf.DUMMYFUNCTION("""COMPUTED_VALUE"""),"अनेक फळे")</f>
        <v>अनेक फळे</v>
      </c>
      <c r="J791" s="2" t="str">
        <f>IFERROR(__xludf.DUMMYFUNCTION("""COMPUTED_VALUE"""),"കാലികമായ")</f>
        <v>കാലികമായ</v>
      </c>
      <c r="K791" s="2" t="str">
        <f>IFERROR(__xludf.DUMMYFUNCTION("""COMPUTED_VALUE"""),"ਮੌਸਮੀ")</f>
        <v>ਮੌਸਮੀ</v>
      </c>
      <c r="L791" s="2" t="str">
        <f>IFERROR(__xludf.DUMMYFUNCTION("""COMPUTED_VALUE"""),"பருவகால")</f>
        <v>பருவகால</v>
      </c>
      <c r="M791" s="2" t="str">
        <f>IFERROR(__xludf.DUMMYFUNCTION("""COMPUTED_VALUE"""),"కాలానుగుణ")</f>
        <v>కాలానుగుణ</v>
      </c>
    </row>
    <row r="792">
      <c r="A792" s="2" t="str">
        <f>Master_en!A792</f>
        <v>Items </v>
      </c>
      <c r="B792" s="2" t="str">
        <f>Master_en!B792</f>
        <v>Items </v>
      </c>
      <c r="C792" s="2" t="str">
        <f>IFERROR(__xludf.DUMMYFUNCTION("""COMPUTED_VALUE"""),"আইটেম")</f>
        <v>আইটেম</v>
      </c>
      <c r="D792" s="2" t="str">
        <f>IFERROR(__xludf.DUMMYFUNCTION("""COMPUTED_VALUE"""),"सामान")</f>
        <v>सामान</v>
      </c>
      <c r="E792" s="2" t="str">
        <f>IFERROR(__xludf.DUMMYFUNCTION("""COMPUTED_VALUE"""),"ವಸ್ತುಗಳು")</f>
        <v>ವಸ್ತುಗಳು</v>
      </c>
      <c r="F792" s="2" t="str">
        <f>IFERROR(__xludf.DUMMYFUNCTION("""COMPUTED_VALUE"""),"ବସ୍ତୁଗୁଡ଼ିକ")</f>
        <v>ବସ୍ତୁଗୁଡ଼ିକ</v>
      </c>
      <c r="G792" s="2" t="str">
        <f>IFERROR(__xludf.DUMMYFUNCTION("""COMPUTED_VALUE"""),"সামগ্ৰী")</f>
        <v>সামগ্ৰী</v>
      </c>
      <c r="H792" s="2" t="str">
        <f>IFERROR(__xludf.DUMMYFUNCTION("""COMPUTED_VALUE"""),"વસ્તુઓ")</f>
        <v>વસ્તુઓ</v>
      </c>
      <c r="I792" s="2" t="str">
        <f>IFERROR(__xludf.DUMMYFUNCTION("""COMPUTED_VALUE"""),"आयटम")</f>
        <v>आयटम</v>
      </c>
      <c r="J792" s="2" t="str">
        <f>IFERROR(__xludf.DUMMYFUNCTION("""COMPUTED_VALUE"""),"ഇനങ്ങൾ")</f>
        <v>ഇനങ്ങൾ</v>
      </c>
      <c r="K792" s="2" t="str">
        <f>IFERROR(__xludf.DUMMYFUNCTION("""COMPUTED_VALUE"""),"ਇਕਾਈ")</f>
        <v>ਇਕਾਈ</v>
      </c>
      <c r="L792" s="2" t="str">
        <f>IFERROR(__xludf.DUMMYFUNCTION("""COMPUTED_VALUE"""),"பொருட்கள்")</f>
        <v>பொருட்கள்</v>
      </c>
      <c r="M792" s="2" t="str">
        <f>IFERROR(__xludf.DUMMYFUNCTION("""COMPUTED_VALUE"""),"అంశాలు")</f>
        <v>అంశాలు</v>
      </c>
    </row>
    <row r="793">
      <c r="A793" s="2" t="str">
        <f>Master_en!A793</f>
        <v>Employee/partner </v>
      </c>
      <c r="B793" s="2" t="str">
        <f>Master_en!B793</f>
        <v>Employee/partner </v>
      </c>
      <c r="C793" s="2" t="str">
        <f>IFERROR(__xludf.DUMMYFUNCTION("""COMPUTED_VALUE"""),"কর্মচারী/অংশীদার")</f>
        <v>কর্মচারী/অংশীদার</v>
      </c>
      <c r="D793" s="2" t="str">
        <f>IFERROR(__xludf.DUMMYFUNCTION("""COMPUTED_VALUE"""),"कर्मचारी/भागीदार")</f>
        <v>कर्मचारी/भागीदार</v>
      </c>
      <c r="E793" s="2" t="str">
        <f>IFERROR(__xludf.DUMMYFUNCTION("""COMPUTED_VALUE"""),"ಉದ್ಯೋಗಿ/ಪಾಲುದಾರ")</f>
        <v>ಉದ್ಯೋಗಿ/ಪಾಲುದಾರ</v>
      </c>
      <c r="F793" s="2" t="str">
        <f>IFERROR(__xludf.DUMMYFUNCTION("""COMPUTED_VALUE"""),"କର୍ମଚାରୀ / ସାଥୀ |")</f>
        <v>କର୍ମଚାରୀ / ସାଥୀ |</v>
      </c>
      <c r="G793" s="2" t="str">
        <f>IFERROR(__xludf.DUMMYFUNCTION("""COMPUTED_VALUE"""),"কৰ্মচাৰী/অংশীদাৰ")</f>
        <v>কৰ্মচাৰী/অংশীদাৰ</v>
      </c>
      <c r="H793" s="2" t="str">
        <f>IFERROR(__xludf.DUMMYFUNCTION("""COMPUTED_VALUE"""),"ભાગીદાર")</f>
        <v>ભાગીદાર</v>
      </c>
      <c r="I793" s="2" t="str">
        <f>IFERROR(__xludf.DUMMYFUNCTION("""COMPUTED_VALUE"""),"कर्मचारी/भागीदार")</f>
        <v>कर्मचारी/भागीदार</v>
      </c>
      <c r="J793" s="2" t="str">
        <f>IFERROR(__xludf.DUMMYFUNCTION("""COMPUTED_VALUE"""),"ജീവനക്കാരൻ / പങ്കാളി")</f>
        <v>ജീവനക്കാരൻ / പങ്കാളി</v>
      </c>
      <c r="K793" s="2" t="str">
        <f>IFERROR(__xludf.DUMMYFUNCTION("""COMPUTED_VALUE"""),"ਕਰਮਚਾਰੀ / ਸਾਥੀ")</f>
        <v>ਕਰਮਚਾਰੀ / ਸਾਥੀ</v>
      </c>
      <c r="L793" s="2" t="str">
        <f>IFERROR(__xludf.DUMMYFUNCTION("""COMPUTED_VALUE"""),"பணியாளர்/பங்குதாரர்")</f>
        <v>பணியாளர்/பங்குதாரர்</v>
      </c>
      <c r="M793" s="2" t="str">
        <f>IFERROR(__xludf.DUMMYFUNCTION("""COMPUTED_VALUE"""),"కాలానుగుణమైన")</f>
        <v>కాలానుగుణమైన</v>
      </c>
    </row>
    <row r="794">
      <c r="A794" s="2" t="str">
        <f>Master_en!A794</f>
        <v>Refer </v>
      </c>
      <c r="B794" s="2" t="str">
        <f>Master_en!B794</f>
        <v>Refer </v>
      </c>
      <c r="C794" s="2" t="str">
        <f>IFERROR(__xludf.DUMMYFUNCTION("""COMPUTED_VALUE"""),"উল্লেখ করুন")</f>
        <v>উল্লেখ করুন</v>
      </c>
      <c r="D794" s="2" t="str">
        <f>IFERROR(__xludf.DUMMYFUNCTION("""COMPUTED_VALUE"""),"उद्घृत करना")</f>
        <v>उद्घृत करना</v>
      </c>
      <c r="E794" s="2" t="str">
        <f>IFERROR(__xludf.DUMMYFUNCTION("""COMPUTED_VALUE"""),"ಉಲ್ಲೇಖಿಸು")</f>
        <v>ಉಲ್ಲೇಖಿಸು</v>
      </c>
      <c r="F794" s="2" t="str">
        <f>IFERROR(__xludf.DUMMYFUNCTION("""COMPUTED_VALUE"""),"ଅନୁସରଣ କରନ୍ତୁ |")</f>
        <v>ଅନୁସରଣ କରନ୍ତୁ |</v>
      </c>
      <c r="G794" s="2" t="str">
        <f>IFERROR(__xludf.DUMMYFUNCTION("""COMPUTED_VALUE"""),"উল্লেখ")</f>
        <v>উল্লেখ</v>
      </c>
      <c r="H794" s="2" t="str">
        <f>IFERROR(__xludf.DUMMYFUNCTION("""COMPUTED_VALUE"""),"સંદર્ભ આપવો")</f>
        <v>સંદર્ભ આપવો</v>
      </c>
      <c r="I794" s="2" t="str">
        <f>IFERROR(__xludf.DUMMYFUNCTION("""COMPUTED_VALUE"""),"वस्तू")</f>
        <v>वस्तू</v>
      </c>
      <c r="J794" s="2" t="str">
        <f>IFERROR(__xludf.DUMMYFUNCTION("""COMPUTED_VALUE"""),"അവലംബിക്കുക")</f>
        <v>അവലംബിക്കുക</v>
      </c>
      <c r="K794" s="2" t="str">
        <f>IFERROR(__xludf.DUMMYFUNCTION("""COMPUTED_VALUE"""),"ਵੇਖੋ")</f>
        <v>ਵੇਖੋ</v>
      </c>
      <c r="L794" s="2" t="str">
        <f>IFERROR(__xludf.DUMMYFUNCTION("""COMPUTED_VALUE"""),"பரிந்துறை")</f>
        <v>பரிந்துறை</v>
      </c>
      <c r="M794" s="2" t="str">
        <f>IFERROR(__xludf.DUMMYFUNCTION("""COMPUTED_VALUE"""),"అంశాలు")</f>
        <v>అంశాలు</v>
      </c>
    </row>
    <row r="795">
      <c r="A795" s="2" t="str">
        <f>Master_en!A795</f>
        <v>Employeemanagement </v>
      </c>
      <c r="B795" s="2" t="str">
        <f>Master_en!B795</f>
        <v>Employee Management</v>
      </c>
      <c r="C795" s="2" t="str">
        <f>IFERROR(__xludf.DUMMYFUNCTION("""COMPUTED_VALUE"""),"কর্মচারী ব্যবস্থাপনা")</f>
        <v>কর্মচারী ব্যবস্থাপনা</v>
      </c>
      <c r="D795" s="2" t="str">
        <f>IFERROR(__xludf.DUMMYFUNCTION("""COMPUTED_VALUE"""),"कर्मचारी प्रबंधन")</f>
        <v>कर्मचारी प्रबंधन</v>
      </c>
      <c r="E795" s="2" t="str">
        <f>IFERROR(__xludf.DUMMYFUNCTION("""COMPUTED_VALUE"""),"ನೌಕರರ ನಿರ್ವಹಣೆ")</f>
        <v>ನೌಕರರ ನಿರ್ವಹಣೆ</v>
      </c>
      <c r="F795" s="2" t="str">
        <f>IFERROR(__xludf.DUMMYFUNCTION("""COMPUTED_VALUE"""),"କର୍ମଚାରୀ ପରିଚାଳନା")</f>
        <v>କର୍ମଚାରୀ ପରିଚାଳନା</v>
      </c>
      <c r="G795" s="2" t="str">
        <f>IFERROR(__xludf.DUMMYFUNCTION("""COMPUTED_VALUE"""),"কৰ্মচাৰী ব্যৱস্থাপনা")</f>
        <v>কৰ্মচাৰী ব্যৱস্থাপনা</v>
      </c>
      <c r="H795" s="2" t="str">
        <f>IFERROR(__xludf.DUMMYFUNCTION("""COMPUTED_VALUE"""),"કર્મચારી વ્યવસ્થા")</f>
        <v>કર્મચારી વ્યવસ્થા</v>
      </c>
      <c r="I795" s="2" t="str">
        <f>IFERROR(__xludf.DUMMYFUNCTION("""COMPUTED_VALUE"""),"कर्मचारी व्यवस्थापन")</f>
        <v>कर्मचारी व्यवस्थापन</v>
      </c>
      <c r="J795" s="2" t="str">
        <f>IFERROR(__xludf.DUMMYFUNCTION("""COMPUTED_VALUE"""),"ജീവനക്കാരുടെ മാനേജ്മെന്റ്")</f>
        <v>ജീവനക്കാരുടെ മാനേജ്മെന്റ്</v>
      </c>
      <c r="K795" s="2" t="str">
        <f>IFERROR(__xludf.DUMMYFUNCTION("""COMPUTED_VALUE"""),"ਕਰਮਚਾਰੀ ਪ੍ਰਬੰਧਨ")</f>
        <v>ਕਰਮਚਾਰੀ ਪ੍ਰਬੰਧਨ</v>
      </c>
      <c r="L795" s="2" t="str">
        <f>IFERROR(__xludf.DUMMYFUNCTION("""COMPUTED_VALUE"""),"பணியாளர் மேலாண்மை")</f>
        <v>பணியாளர் மேலாண்மை</v>
      </c>
      <c r="M795" s="2" t="str">
        <f>IFERROR(__xludf.DUMMYFUNCTION("""COMPUTED_VALUE"""),"ఉద్యోగుల నిర్వహణ")</f>
        <v>ఉద్యోగుల నిర్వహణ</v>
      </c>
    </row>
    <row r="796">
      <c r="A796" s="2" t="str">
        <f>Master_en!A796</f>
        <v>StateHead</v>
      </c>
      <c r="B796" s="2" t="str">
        <f>Master_en!B796</f>
        <v>State Head</v>
      </c>
      <c r="C796" s="2" t="str">
        <f>IFERROR(__xludf.DUMMYFUNCTION("""COMPUTED_VALUE"""),"রাষ্ট্রীয় মাথা")</f>
        <v>রাষ্ট্রীয় মাথা</v>
      </c>
      <c r="D796" s="2" t="str">
        <f>IFERROR(__xludf.DUMMYFUNCTION("""COMPUTED_VALUE"""),"राज्य -प्रधान")</f>
        <v>राज्य -प्रधान</v>
      </c>
      <c r="E796" s="2" t="str">
        <f>IFERROR(__xludf.DUMMYFUNCTION("""COMPUTED_VALUE"""),"ರಾಜ್ಯ")</f>
        <v>ರಾಜ್ಯ</v>
      </c>
      <c r="F796" s="2" t="str">
        <f>IFERROR(__xludf.DUMMYFUNCTION("""COMPUTED_VALUE"""),"ରାଜ୍ୟ ମୁଖ୍ୟ")</f>
        <v>ରାଜ୍ୟ ମୁଖ୍ୟ</v>
      </c>
      <c r="G796" s="2" t="str">
        <f>IFERROR(__xludf.DUMMYFUNCTION("""COMPUTED_VALUE"""),"ৰাজ্যিক মুৰব্বী")</f>
        <v>ৰাজ্যিক মুৰব্বী</v>
      </c>
      <c r="H796" s="2" t="str">
        <f>IFERROR(__xludf.DUMMYFUNCTION("""COMPUTED_VALUE"""),"રાજ્યનું વડા")</f>
        <v>રાજ્યનું વડા</v>
      </c>
      <c r="I796" s="2" t="str">
        <f>IFERROR(__xludf.DUMMYFUNCTION("""COMPUTED_VALUE"""),"राज्य डोके")</f>
        <v>राज्य डोके</v>
      </c>
      <c r="J796" s="2" t="str">
        <f>IFERROR(__xludf.DUMMYFUNCTION("""COMPUTED_VALUE"""),"സംസ്ഥാന തല")</f>
        <v>സംസ്ഥാന തല</v>
      </c>
      <c r="K796" s="2" t="str">
        <f>IFERROR(__xludf.DUMMYFUNCTION("""COMPUTED_VALUE"""),"ਰਾਜ ਦੇ ਸਿਰ")</f>
        <v>ਰਾਜ ਦੇ ਸਿਰ</v>
      </c>
      <c r="L796" s="2" t="str">
        <f>IFERROR(__xludf.DUMMYFUNCTION("""COMPUTED_VALUE"""),"மாநில தலைவர்")</f>
        <v>மாநில தலைவர்</v>
      </c>
      <c r="M796" s="2" t="str">
        <f>IFERROR(__xludf.DUMMYFUNCTION("""COMPUTED_VALUE"""),"సూచించండి")</f>
        <v>సూచించండి</v>
      </c>
    </row>
    <row r="797">
      <c r="A797" s="2" t="str">
        <f>Master_en!A797</f>
        <v>AddEmployee</v>
      </c>
      <c r="B797" s="2" t="str">
        <f>Master_en!B797</f>
        <v>Add Employee</v>
      </c>
      <c r="C797" s="2" t="str">
        <f>IFERROR(__xludf.DUMMYFUNCTION("""COMPUTED_VALUE"""),"কর্মচারী যুক্ত করুন")</f>
        <v>কর্মচারী যুক্ত করুন</v>
      </c>
      <c r="D797" s="2" t="str">
        <f>IFERROR(__xludf.DUMMYFUNCTION("""COMPUTED_VALUE"""),"कर्मचारी जोड़ें")</f>
        <v>कर्मचारी जोड़ें</v>
      </c>
      <c r="E797" s="2" t="str">
        <f>IFERROR(__xludf.DUMMYFUNCTION("""COMPUTED_VALUE"""),"ನೌಕರನನ್ನು ಸೇರಿಸಿ")</f>
        <v>ನೌಕರನನ್ನು ಸೇರಿಸಿ</v>
      </c>
      <c r="F797" s="2" t="str">
        <f>IFERROR(__xludf.DUMMYFUNCTION("""COMPUTED_VALUE"""),"କର୍ମଚାରୀ ଯୋଡନ୍ତୁ |")</f>
        <v>କର୍ମଚାରୀ ଯୋଡନ୍ତୁ |</v>
      </c>
      <c r="G797" s="2" t="str">
        <f>IFERROR(__xludf.DUMMYFUNCTION("""COMPUTED_VALUE"""),"কৰ্মচাৰী যোগ কৰক")</f>
        <v>কৰ্মচাৰী যোগ কৰক</v>
      </c>
      <c r="H797" s="2" t="str">
        <f>IFERROR(__xludf.DUMMYFUNCTION("""COMPUTED_VALUE"""),"કર્મચારી ઉમેરો")</f>
        <v>કર્મચારી ઉમેરો</v>
      </c>
      <c r="I797" s="2" t="str">
        <f>IFERROR(__xludf.DUMMYFUNCTION("""COMPUTED_VALUE"""),"कर्मचारी जोडा")</f>
        <v>कर्मचारी जोडा</v>
      </c>
      <c r="J797" s="2" t="str">
        <f>IFERROR(__xludf.DUMMYFUNCTION("""COMPUTED_VALUE"""),"ജീവനക്കാരനെ ചേർക്കുക")</f>
        <v>ജീവനക്കാരനെ ചേർക്കുക</v>
      </c>
      <c r="K797" s="2" t="str">
        <f>IFERROR(__xludf.DUMMYFUNCTION("""COMPUTED_VALUE"""),"ਕਰਮਚਾਰੀ ਸ਼ਾਮਲ ਕਰੋ")</f>
        <v>ਕਰਮਚਾਰੀ ਸ਼ਾਮਲ ਕਰੋ</v>
      </c>
      <c r="L797" s="2" t="str">
        <f>IFERROR(__xludf.DUMMYFUNCTION("""COMPUTED_VALUE"""),"பணியாளரைச் சேர்க்கவும்")</f>
        <v>பணியாளரைச் சேர்க்கவும்</v>
      </c>
      <c r="M797" s="2" t="str">
        <f>IFERROR(__xludf.DUMMYFUNCTION("""COMPUTED_VALUE"""),"ఉద్యోగి నిర్వహణ")</f>
        <v>ఉద్యోగి నిర్వహణ</v>
      </c>
    </row>
    <row r="798">
      <c r="A798" s="2" t="str">
        <f>Master_en!A798</f>
        <v>ManagerId </v>
      </c>
      <c r="B798" s="2" t="str">
        <f>Master_en!B798</f>
        <v>Manager ID</v>
      </c>
      <c r="C798" s="2" t="str">
        <f>IFERROR(__xludf.DUMMYFUNCTION("""COMPUTED_VALUE"""),"ম্যানেজার আইডি")</f>
        <v>ম্যানেজার আইডি</v>
      </c>
      <c r="D798" s="2" t="str">
        <f>IFERROR(__xludf.DUMMYFUNCTION("""COMPUTED_VALUE"""),"प्रबंधक आईडी")</f>
        <v>प्रबंधक आईडी</v>
      </c>
      <c r="E798" s="2" t="str">
        <f>IFERROR(__xludf.DUMMYFUNCTION("""COMPUTED_VALUE"""),"ವ್ಯವಸ್ಥಾಪಕ ಐಡಿ")</f>
        <v>ವ್ಯವಸ್ಥಾಪಕ ಐಡಿ</v>
      </c>
      <c r="F798" s="2" t="str">
        <f>IFERROR(__xludf.DUMMYFUNCTION("""COMPUTED_VALUE"""),"ମ୍ୟାନେଜର୍ ID")</f>
        <v>ମ୍ୟାନେଜର୍ ID</v>
      </c>
      <c r="G798" s="2" t="str">
        <f>IFERROR(__xludf.DUMMYFUNCTION("""COMPUTED_VALUE"""),"মেনেজাৰ আইডি")</f>
        <v>মেনেজাৰ আইডি</v>
      </c>
      <c r="H798" s="2" t="str">
        <f>IFERROR(__xludf.DUMMYFUNCTION("""COMPUTED_VALUE"""),"ઈશ્વરી")</f>
        <v>ઈશ્વરી</v>
      </c>
      <c r="I798" s="2" t="str">
        <f>IFERROR(__xludf.DUMMYFUNCTION("""COMPUTED_VALUE"""),"राज्य प्रमुख")</f>
        <v>राज्य प्रमुख</v>
      </c>
      <c r="J798" s="2" t="str">
        <f>IFERROR(__xludf.DUMMYFUNCTION("""COMPUTED_VALUE"""),"മാനേജർ ഐഡി")</f>
        <v>മാനേജർ ഐഡി</v>
      </c>
      <c r="K798" s="2" t="str">
        <f>IFERROR(__xludf.DUMMYFUNCTION("""COMPUTED_VALUE"""),"ਮੈਨੇਜਰ ID")</f>
        <v>ਮੈਨੇਜਰ ID</v>
      </c>
      <c r="L798" s="2" t="str">
        <f>IFERROR(__xludf.DUMMYFUNCTION("""COMPUTED_VALUE"""),"மேலாளர் ஐடி")</f>
        <v>மேலாளர் ஐடி</v>
      </c>
      <c r="M798" s="2" t="str">
        <f>IFERROR(__xludf.DUMMYFUNCTION("""COMPUTED_VALUE"""),"రాష్ట్ర అధినేత")</f>
        <v>రాష్ట్ర అధినేత</v>
      </c>
    </row>
    <row r="799">
      <c r="A799" s="2" t="str">
        <f>Master_en!A799</f>
        <v>OrgId</v>
      </c>
      <c r="B799" s="2" t="str">
        <f>Master_en!B799</f>
        <v>Org ID</v>
      </c>
      <c r="C799" s="2" t="str">
        <f>IFERROR(__xludf.DUMMYFUNCTION("""COMPUTED_VALUE"""),"Org আইডি")</f>
        <v>Org আইডি</v>
      </c>
      <c r="D799" s="2" t="str">
        <f>IFERROR(__xludf.DUMMYFUNCTION("""COMPUTED_VALUE"""),"संगठन आईडी")</f>
        <v>संगठन आईडी</v>
      </c>
      <c r="E799" s="2" t="str">
        <f>IFERROR(__xludf.DUMMYFUNCTION("""COMPUTED_VALUE"""),"ಆರ್ಗ್ ಐಡಿ")</f>
        <v>ಆರ್ಗ್ ಐಡಿ</v>
      </c>
      <c r="F799" s="2" t="str">
        <f>IFERROR(__xludf.DUMMYFUNCTION("""COMPUTED_VALUE"""),"Org id")</f>
        <v>Org id</v>
      </c>
      <c r="G799" s="2" t="str">
        <f>IFERROR(__xludf.DUMMYFUNCTION("""COMPUTED_VALUE"""),"Org Id")</f>
        <v>Org Id</v>
      </c>
      <c r="H799" s="2" t="str">
        <f>IFERROR(__xludf.DUMMYFUNCTION("""COMPUTED_VALUE"""),"Org આઈડી")</f>
        <v>Org આઈડી</v>
      </c>
      <c r="I799" s="2" t="str">
        <f>IFERROR(__xludf.DUMMYFUNCTION("""COMPUTED_VALUE"""),"Org आयडी")</f>
        <v>Org आयडी</v>
      </c>
      <c r="J799" s="2" t="str">
        <f>IFERROR(__xludf.DUMMYFUNCTION("""COMPUTED_VALUE"""),"ഓർഗ് ഐഡി")</f>
        <v>ഓർഗ് ഐഡി</v>
      </c>
      <c r="K799" s="2" t="str">
        <f>IFERROR(__xludf.DUMMYFUNCTION("""COMPUTED_VALUE"""),"Org ID")</f>
        <v>Org ID</v>
      </c>
      <c r="L799" s="2" t="str">
        <f>IFERROR(__xludf.DUMMYFUNCTION("""COMPUTED_VALUE"""),"Org ஐடி")</f>
        <v>Org ஐடி</v>
      </c>
      <c r="M799" s="2" t="str">
        <f>IFERROR(__xludf.DUMMYFUNCTION("""COMPUTED_VALUE"""),"ఆర్గ్ ఐడి")</f>
        <v>ఆర్గ్ ఐడి</v>
      </c>
    </row>
    <row r="800">
      <c r="A800" s="2" t="str">
        <f>Master_en!A800</f>
        <v>AssignRole</v>
      </c>
      <c r="B800" s="2" t="str">
        <f>Master_en!B800</f>
        <v>Assign Role</v>
      </c>
      <c r="C800" s="2" t="str">
        <f>IFERROR(__xludf.DUMMYFUNCTION("""COMPUTED_VALUE"""),"ভূমিকা অর্পণ")</f>
        <v>ভূমিকা অর্পণ</v>
      </c>
      <c r="D800" s="2" t="str">
        <f>IFERROR(__xludf.DUMMYFUNCTION("""COMPUTED_VALUE"""),"भूमिका निभाना")</f>
        <v>भूमिका निभाना</v>
      </c>
      <c r="E800" s="2" t="str">
        <f>IFERROR(__xludf.DUMMYFUNCTION("""COMPUTED_VALUE"""),"ಪಾತ್ರವನ್ನು ನಿಯೋಜಿಸಿ")</f>
        <v>ಪಾತ್ರವನ್ನು ನಿಯೋಜಿಸಿ</v>
      </c>
      <c r="F800" s="2" t="str">
        <f>IFERROR(__xludf.DUMMYFUNCTION("""COMPUTED_VALUE"""),"ଭୂମିକା ନ୍ୟସ୍ତ କରନ୍ତୁ |")</f>
        <v>ଭୂମିକା ନ୍ୟସ୍ତ କରନ୍ତୁ |</v>
      </c>
      <c r="G800" s="2" t="str">
        <f>IFERROR(__xludf.DUMMYFUNCTION("""COMPUTED_VALUE"""),"ভূমিকা নিযুক্তি দিয়ক")</f>
        <v>ভূমিকা নিযুক্তি দিয়ক</v>
      </c>
      <c r="H800" s="2" t="str">
        <f>IFERROR(__xludf.DUMMYFUNCTION("""COMPUTED_VALUE"""),"ભૂમિકા ભજવવી")</f>
        <v>ભૂમિકા ભજવવી</v>
      </c>
      <c r="I800" s="2" t="str">
        <f>IFERROR(__xludf.DUMMYFUNCTION("""COMPUTED_VALUE"""),"भूमिका नियुक्त करा")</f>
        <v>भूमिका नियुक्त करा</v>
      </c>
      <c r="J800" s="2" t="str">
        <f>IFERROR(__xludf.DUMMYFUNCTION("""COMPUTED_VALUE"""),"ചുമതലപ്പെടുത്തുക")</f>
        <v>ചുമതലപ്പെടുത്തുക</v>
      </c>
      <c r="K800" s="2" t="str">
        <f>IFERROR(__xludf.DUMMYFUNCTION("""COMPUTED_VALUE"""),"ਭੂਮਿਕਾ ਨਿਰਧਾਰਤ ਕਰੋ")</f>
        <v>ਭੂਮਿਕਾ ਨਿਰਧਾਰਤ ਕਰੋ</v>
      </c>
      <c r="L800" s="2" t="str">
        <f>IFERROR(__xludf.DUMMYFUNCTION("""COMPUTED_VALUE"""),"பங்கு ஒதுக்க")</f>
        <v>பங்கு ஒதுக்க</v>
      </c>
      <c r="M800" s="2" t="str">
        <f>IFERROR(__xludf.DUMMYFUNCTION("""COMPUTED_VALUE"""),"పాత్రను కేటాయించండి")</f>
        <v>పాత్రను కేటాయించండి</v>
      </c>
    </row>
    <row r="801">
      <c r="A801" s="2" t="str">
        <f>Master_en!A801</f>
        <v>CityOfficer </v>
      </c>
      <c r="B801" s="2" t="str">
        <f>Master_en!B801</f>
        <v>City Officer </v>
      </c>
      <c r="C801" s="2" t="str">
        <f>IFERROR(__xludf.DUMMYFUNCTION("""COMPUTED_VALUE"""),"নগর কর্মকর্তা")</f>
        <v>নগর কর্মকর্তা</v>
      </c>
      <c r="D801" s="2" t="str">
        <f>IFERROR(__xludf.DUMMYFUNCTION("""COMPUTED_VALUE"""),"नगर अधिकारी")</f>
        <v>नगर अधिकारी</v>
      </c>
      <c r="E801" s="2" t="str">
        <f>IFERROR(__xludf.DUMMYFUNCTION("""COMPUTED_VALUE"""),"ನಗರಾಧಿಕಾರಿ")</f>
        <v>ನಗರಾಧಿಕಾರಿ</v>
      </c>
      <c r="F801" s="2" t="str">
        <f>IFERROR(__xludf.DUMMYFUNCTION("""COMPUTED_VALUE"""),"ସହରର ଅଧିକାରୀ")</f>
        <v>ସହରର ଅଧିକାରୀ</v>
      </c>
      <c r="G801" s="2" t="str">
        <f>IFERROR(__xludf.DUMMYFUNCTION("""COMPUTED_VALUE"""),"চহৰৰ বিষয়া")</f>
        <v>চহৰৰ বিষয়া</v>
      </c>
      <c r="H801" s="2" t="str">
        <f>IFERROR(__xludf.DUMMYFUNCTION("""COMPUTED_VALUE"""),"શહેર અધિકારી")</f>
        <v>શહેર અધિકારી</v>
      </c>
      <c r="I801" s="2" t="str">
        <f>IFERROR(__xludf.DUMMYFUNCTION("""COMPUTED_VALUE"""),"शहर अधिकारी")</f>
        <v>शहर अधिकारी</v>
      </c>
      <c r="J801" s="2" t="str">
        <f>IFERROR(__xludf.DUMMYFUNCTION("""COMPUTED_VALUE"""),"സിറ്റി ഓഫീസർ")</f>
        <v>സിറ്റി ഓഫീസർ</v>
      </c>
      <c r="K801" s="2" t="str">
        <f>IFERROR(__xludf.DUMMYFUNCTION("""COMPUTED_VALUE"""),"ਸ਼ਹਿਰ ਅਧਿਕਾਰੀ")</f>
        <v>ਸ਼ਹਿਰ ਅਧਿਕਾਰੀ</v>
      </c>
      <c r="L801" s="2" t="str">
        <f>IFERROR(__xludf.DUMMYFUNCTION("""COMPUTED_VALUE"""),"நகர அதிகாரி")</f>
        <v>நகர அதிகாரி</v>
      </c>
      <c r="M801" s="2" t="str">
        <f>IFERROR(__xludf.DUMMYFUNCTION("""COMPUTED_VALUE"""),"సంస్థ ఐడి")</f>
        <v>సంస్థ ఐడి</v>
      </c>
    </row>
    <row r="802">
      <c r="A802" s="2" t="str">
        <f>Master_en!A802</f>
        <v>FrontlineOfficer </v>
      </c>
      <c r="B802" s="2" t="str">
        <f>Master_en!B802</f>
        <v>Frontline Officer </v>
      </c>
      <c r="C802" s="2" t="str">
        <f>IFERROR(__xludf.DUMMYFUNCTION("""COMPUTED_VALUE"""),"ফ্রন্টলাইন অফিসার")</f>
        <v>ফ্রন্টলাইন অফিসার</v>
      </c>
      <c r="D802" s="2" t="str">
        <f>IFERROR(__xludf.DUMMYFUNCTION("""COMPUTED_VALUE"""),"सीमा -सीमा अधिकारी")</f>
        <v>सीमा -सीमा अधिकारी</v>
      </c>
      <c r="E802" s="2" t="str">
        <f>IFERROR(__xludf.DUMMYFUNCTION("""COMPUTED_VALUE"""),"ಮುಂಚೂಣಿ ಅಧಿಕಾರಿ")</f>
        <v>ಮುಂಚೂಣಿ ಅಧಿಕಾರಿ</v>
      </c>
      <c r="F802" s="2" t="str">
        <f>IFERROR(__xludf.DUMMYFUNCTION("""COMPUTED_VALUE"""),"ଫ୍ରଣ୍ଟଲାଇନ ଅଧିକାରୀ |")</f>
        <v>ଫ୍ରଣ୍ଟଲାଇନ ଅଧିକାରୀ |</v>
      </c>
      <c r="G802" s="2" t="str">
        <f>IFERROR(__xludf.DUMMYFUNCTION("""COMPUTED_VALUE"""),"ফ্ৰন্টলাইন অফিচাৰ")</f>
        <v>ফ্ৰন্টলাইন অফিচাৰ</v>
      </c>
      <c r="H802" s="2" t="str">
        <f>IFERROR(__xludf.DUMMYFUNCTION("""COMPUTED_VALUE"""),"આગળનો અધિકારી")</f>
        <v>આગળનો અધિકારી</v>
      </c>
      <c r="I802" s="2" t="str">
        <f>IFERROR(__xludf.DUMMYFUNCTION("""COMPUTED_VALUE"""),"फ्रंटलाइन ऑफिसर")</f>
        <v>फ्रंटलाइन ऑफिसर</v>
      </c>
      <c r="J802" s="2" t="str">
        <f>IFERROR(__xludf.DUMMYFUNCTION("""COMPUTED_VALUE"""),"ഫ്രണ്ട്ലൈൻ ഓഫീസർ")</f>
        <v>ഫ്രണ്ട്ലൈൻ ഓഫീസർ</v>
      </c>
      <c r="K802" s="2" t="str">
        <f>IFERROR(__xludf.DUMMYFUNCTION("""COMPUTED_VALUE"""),"ਫਰੰਟਲਾਈਨ ਅਫਸਰ")</f>
        <v>ਫਰੰਟਲਾਈਨ ਅਫਸਰ</v>
      </c>
      <c r="L802" s="2" t="str">
        <f>IFERROR(__xludf.DUMMYFUNCTION("""COMPUTED_VALUE"""),"முன்னணி அதிகாரி")</f>
        <v>முன்னணி அதிகாரி</v>
      </c>
      <c r="M802" s="2" t="str">
        <f>IFERROR(__xludf.DUMMYFUNCTION("""COMPUTED_VALUE"""),"ఫ్రంట్‌లైన్ ఆఫీసర్")</f>
        <v>ఫ్రంట్‌లైన్ ఆఫీసర్</v>
      </c>
    </row>
    <row r="803">
      <c r="A803" s="2" t="str">
        <f>Master_en!A803</f>
        <v>Employeecreatedsuccessfully</v>
      </c>
      <c r="B803" s="2" t="str">
        <f>Master_en!B803</f>
        <v>Employee Created Successfully YAY!</v>
      </c>
      <c r="C803" s="2" t="str">
        <f>IFERROR(__xludf.DUMMYFUNCTION("""COMPUTED_VALUE"""),"কর্মচারী সফলভাবে ইয়ে তৈরি করেছেন!")</f>
        <v>কর্মচারী সফলভাবে ইয়ে তৈরি করেছেন!</v>
      </c>
      <c r="D803" s="2" t="str">
        <f>IFERROR(__xludf.DUMMYFUNCTION("""COMPUTED_VALUE"""),"कर्मचारी ने सफलतापूर्वक YAY बनाया!")</f>
        <v>कर्मचारी ने सफलतापूर्वक YAY बनाया!</v>
      </c>
      <c r="E803" s="2" t="str">
        <f>IFERROR(__xludf.DUMMYFUNCTION("""COMPUTED_VALUE"""),"ಉದ್ಯೋಗಿ ಯಶಸ್ವಿಯಾಗಿ ರಚಿಸಲಾಗಿದೆ!")</f>
        <v>ಉದ್ಯೋಗಿ ಯಶಸ್ವಿಯಾಗಿ ರಚಿಸಲಾಗಿದೆ!</v>
      </c>
      <c r="F803" s="2" t="str">
        <f>IFERROR(__xludf.DUMMYFUNCTION("""COMPUTED_VALUE"""),"କର୍ମଚାରୀ ସଫଳତାର ସହିତ ସୃଷ୍ଟି କରିଛନ୍ତି!")</f>
        <v>କର୍ମଚାରୀ ସଫଳତାର ସହିତ ସୃଷ୍ଟି କରିଛନ୍ତି!</v>
      </c>
      <c r="G803" s="2" t="str">
        <f>IFERROR(__xludf.DUMMYFUNCTION("""COMPUTED_VALUE"""),"কৰ্মচাৰী সফলতাৰে সৃষ্টি কৰা হৈছে YAY!")</f>
        <v>কৰ্মচাৰী সফলতাৰে সৃষ্টি কৰা হৈছে YAY!</v>
      </c>
      <c r="H803" s="2" t="str">
        <f>IFERROR(__xludf.DUMMYFUNCTION("""COMPUTED_VALUE"""),"કર્મચારીએ સફળતાપૂર્વક યે બનાવ્યું!")</f>
        <v>કર્મચારીએ સફળતાપૂર્વક યે બનાવ્યું!</v>
      </c>
      <c r="I803" s="2" t="str">
        <f>IFERROR(__xludf.DUMMYFUNCTION("""COMPUTED_VALUE"""),"कर्मचार्‍यांनी यशस्वीरित्या तयार केले होय!")</f>
        <v>कर्मचार्‍यांनी यशस्वीरित्या तयार केले होय!</v>
      </c>
      <c r="J803" s="2" t="str">
        <f>IFERROR(__xludf.DUMMYFUNCTION("""COMPUTED_VALUE"""),"ജീവനക്കാരൻ വിജയകരമായി yay സൃഷ്ടിച്ചു!")</f>
        <v>ജീവനക്കാരൻ വിജയകരമായി yay സൃഷ്ടിച്ചു!</v>
      </c>
      <c r="K803" s="2" t="str">
        <f>IFERROR(__xludf.DUMMYFUNCTION("""COMPUTED_VALUE"""),"ਕਰਮਚਾਰੀ ਨੇ ਸਫਲਤਾਪੂਰਵਕ ਤਿਆਰ ਬਣਾਇਆ!")</f>
        <v>ਕਰਮਚਾਰੀ ਨੇ ਸਫਲਤਾਪੂਰਵਕ ਤਿਆਰ ਬਣਾਇਆ!</v>
      </c>
      <c r="L803" s="2" t="str">
        <f>IFERROR(__xludf.DUMMYFUNCTION("""COMPUTED_VALUE"""),"பணியாளர் வெற்றிகரமாக உருவாக்கப்பட்டது")</f>
        <v>பணியாளர் வெற்றிகரமாக உருவாக்கப்பட்டது</v>
      </c>
      <c r="M803" s="2" t="str">
        <f>IFERROR(__xludf.DUMMYFUNCTION("""COMPUTED_VALUE"""),"ఉద్యోగి విజయవంతంగా సృష్టించాడు!")</f>
        <v>ఉద్యోగి విజయవంతంగా సృష్టించాడు!</v>
      </c>
    </row>
    <row r="804">
      <c r="A804" s="2" t="str">
        <f>Master_en!A804</f>
        <v>AlmoniUser </v>
      </c>
      <c r="B804" s="2" t="str">
        <f>Master_en!B804</f>
        <v>Almoni User </v>
      </c>
      <c r="C804" s="2" t="str">
        <f>IFERROR(__xludf.DUMMYFUNCTION("""COMPUTED_VALUE"""),"অ্যালমোনি ব্যবহারকারী")</f>
        <v>অ্যালমোনি ব্যবহারকারী</v>
      </c>
      <c r="D804" s="2" t="str">
        <f>IFERROR(__xludf.DUMMYFUNCTION("""COMPUTED_VALUE"""),"अल्मोनी उपयोगकर्ता")</f>
        <v>अल्मोनी उपयोगकर्ता</v>
      </c>
      <c r="E804" s="2" t="str">
        <f>IFERROR(__xludf.DUMMYFUNCTION("""COMPUTED_VALUE"""),"ಆಲ್ಮೋನಿ ಬಳಕೆದಾರ")</f>
        <v>ಆಲ್ಮೋನಿ ಬಳಕೆದಾರ</v>
      </c>
      <c r="F804" s="2" t="str">
        <f>IFERROR(__xludf.DUMMYFUNCTION("""COMPUTED_VALUE"""),"ଆଲମୋନି ବ୍ୟବହାରକାରୀ |")</f>
        <v>ଆଲମୋନି ବ୍ୟବହାରକାରୀ |</v>
      </c>
      <c r="G804" s="2" t="str">
        <f>IFERROR(__xludf.DUMMYFUNCTION("""COMPUTED_VALUE"""),"Almoni ব্যৱহাৰকাৰী")</f>
        <v>Almoni ব্যৱহাৰকাৰী</v>
      </c>
      <c r="H804" s="2" t="str">
        <f>IFERROR(__xludf.DUMMYFUNCTION("""COMPUTED_VALUE"""),"અલ્ની વપરાશકર્તા")</f>
        <v>અલ્ની વપરાશકર્તા</v>
      </c>
      <c r="I804" s="2" t="str">
        <f>IFERROR(__xludf.DUMMYFUNCTION("""COMPUTED_VALUE"""),"फ्रंटलाइन अधिकारी")</f>
        <v>फ्रंटलाइन अधिकारी</v>
      </c>
      <c r="J804" s="2" t="str">
        <f>IFERROR(__xludf.DUMMYFUNCTION("""COMPUTED_VALUE"""),"അൽമോണി ഉപയോക്താവ്")</f>
        <v>അൽമോണി ഉപയോക്താവ്</v>
      </c>
      <c r="K804" s="2" t="str">
        <f>IFERROR(__xludf.DUMMYFUNCTION("""COMPUTED_VALUE"""),"ਅਲਮੀਨੀ ਉਪਭੋਗਤਾ")</f>
        <v>ਅਲਮੀਨੀ ਉਪਭੋਗਤਾ</v>
      </c>
      <c r="L804" s="2" t="str">
        <f>IFERROR(__xludf.DUMMYFUNCTION("""COMPUTED_VALUE"""),"முன்னாள் மாணவர் பயனர்")</f>
        <v>முன்னாள் மாணவர் பயனர்</v>
      </c>
      <c r="M804" s="2" t="str">
        <f>IFERROR(__xludf.DUMMYFUNCTION("""COMPUTED_VALUE"""),"ముందు వరుస అధికారి")</f>
        <v>ముందు వరుస అధికారి</v>
      </c>
    </row>
    <row r="805">
      <c r="A805" s="2" t="str">
        <f>Master_en!A805</f>
        <v>Undo</v>
      </c>
      <c r="B805" s="2" t="str">
        <f>Master_en!B805</f>
        <v>Undo</v>
      </c>
      <c r="C805" s="2" t="str">
        <f>IFERROR(__xludf.DUMMYFUNCTION("""COMPUTED_VALUE"""),"পূর্বাবস্থায় ফিরিয়ে দেওয়া")</f>
        <v>পূর্বাবস্থায় ফিরিয়ে দেওয়া</v>
      </c>
      <c r="D805" s="2" t="str">
        <f>IFERROR(__xludf.DUMMYFUNCTION("""COMPUTED_VALUE"""),"पूर्ववत")</f>
        <v>पूर्ववत</v>
      </c>
      <c r="E805" s="2" t="str">
        <f>IFERROR(__xludf.DUMMYFUNCTION("""COMPUTED_VALUE"""),"ರದ್ದುಗೊಳಿಸು")</f>
        <v>ರದ್ದುಗೊಳಿಸು</v>
      </c>
      <c r="F805" s="2" t="str">
        <f>IFERROR(__xludf.DUMMYFUNCTION("""COMPUTED_VALUE"""),"ପୂର୍ବବତ୍ କରନ୍ତୁ |")</f>
        <v>ପୂର୍ବବତ୍ କରନ୍ତୁ |</v>
      </c>
      <c r="G805" s="2" t="str">
        <f>IFERROR(__xludf.DUMMYFUNCTION("""COMPUTED_VALUE"""),"পূৰ্বৱৰ্তী অৱস্থালৈ ঘূৰাই আনিব")</f>
        <v>পূৰ্বৱৰ্তী অৱস্থালৈ ঘূৰাই আনিব</v>
      </c>
      <c r="H805" s="2" t="str">
        <f>IFERROR(__xludf.DUMMYFUNCTION("""COMPUTED_VALUE"""),"પૂર્વવત્")</f>
        <v>પૂર્વવત્</v>
      </c>
      <c r="I805" s="2" t="str">
        <f>IFERROR(__xludf.DUMMYFUNCTION("""COMPUTED_VALUE"""),"कर्मचारी यशस्वीरित्या तयार केले आहे")</f>
        <v>कर्मचारी यशस्वीरित्या तयार केले आहे</v>
      </c>
      <c r="J805" s="2" t="str">
        <f>IFERROR(__xludf.DUMMYFUNCTION("""COMPUTED_VALUE"""),"പഴയപടിയാക്കുക")</f>
        <v>പഴയപടിയാക്കുക</v>
      </c>
      <c r="K805" s="2" t="str">
        <f>IFERROR(__xludf.DUMMYFUNCTION("""COMPUTED_VALUE"""),"ਵਾਪਿਸ")</f>
        <v>ਵਾਪਿਸ</v>
      </c>
      <c r="L805" s="2" t="str">
        <f>IFERROR(__xludf.DUMMYFUNCTION("""COMPUTED_VALUE"""),"செயல்தவிர்க்கவும்")</f>
        <v>செயல்தவிர்க்கவும்</v>
      </c>
      <c r="M805" s="2" t="str">
        <f>IFERROR(__xludf.DUMMYFUNCTION("""COMPUTED_VALUE"""),"ఉద్యోగి విజయవంతంగా సృష్టించబడ్డారు అవును!")</f>
        <v>ఉద్యోగి విజయవంతంగా సృష్టించబడ్డారు అవును!</v>
      </c>
    </row>
    <row r="806">
      <c r="A806" s="2" t="str">
        <f>Master_en!A806</f>
        <v>Franchiese </v>
      </c>
      <c r="B806" s="2" t="str">
        <f>Master_en!B806</f>
        <v>Franchise </v>
      </c>
      <c r="C806" s="2" t="str">
        <f>IFERROR(__xludf.DUMMYFUNCTION("""COMPUTED_VALUE"""),"ফ্র্যাঞ্চাইজি")</f>
        <v>ফ্র্যাঞ্চাইজি</v>
      </c>
      <c r="D806" s="2" t="str">
        <f>IFERROR(__xludf.DUMMYFUNCTION("""COMPUTED_VALUE"""),"मताधिकार")</f>
        <v>मताधिकार</v>
      </c>
      <c r="E806" s="2" t="str">
        <f>IFERROR(__xludf.DUMMYFUNCTION("""COMPUTED_VALUE"""),"ಪೂರ್ಣ ಪ್ರಮಾಣದ")</f>
        <v>ಪೂರ್ಣ ಪ್ರಮಾಣದ</v>
      </c>
      <c r="F806" s="2" t="str">
        <f>IFERROR(__xludf.DUMMYFUNCTION("""COMPUTED_VALUE"""),"ଫ୍ରାଞ୍ଚାଇଜ୍")</f>
        <v>ଫ୍ରାଞ୍ଚାଇଜ୍</v>
      </c>
      <c r="G806" s="2" t="str">
        <f>IFERROR(__xludf.DUMMYFUNCTION("""COMPUTED_VALUE"""),"ফ্ৰেঞ্চাইজি")</f>
        <v>ফ্ৰেঞ্চাইজি</v>
      </c>
      <c r="H806" s="2" t="str">
        <f>IFERROR(__xludf.DUMMYFUNCTION("""COMPUTED_VALUE"""),"મતાધિકાર")</f>
        <v>મતાધિકાર</v>
      </c>
      <c r="I806" s="2" t="str">
        <f>IFERROR(__xludf.DUMMYFUNCTION("""COMPUTED_VALUE"""),"फ्रेंचायझी")</f>
        <v>फ्रेंचायझी</v>
      </c>
      <c r="J806" s="2" t="str">
        <f>IFERROR(__xludf.DUMMYFUNCTION("""COMPUTED_VALUE"""),"ഫ്രാഞ്ചൈസി")</f>
        <v>ഫ്രാഞ്ചൈസി</v>
      </c>
      <c r="K806" s="2" t="str">
        <f>IFERROR(__xludf.DUMMYFUNCTION("""COMPUTED_VALUE"""),"ਫਰੈਂਚਾਇਜ਼ੀ")</f>
        <v>ਫਰੈਂਚਾਇਜ਼ੀ</v>
      </c>
      <c r="L806" s="2" t="str">
        <f>IFERROR(__xludf.DUMMYFUNCTION("""COMPUTED_VALUE"""),"உரிமையாளர்")</f>
        <v>உரிமையாளர்</v>
      </c>
      <c r="M806" s="2" t="str">
        <f>IFERROR(__xludf.DUMMYFUNCTION("""COMPUTED_VALUE"""),"అల్మోనీ వినియోగదారు")</f>
        <v>అల్మోనీ వినియోగదారు</v>
      </c>
    </row>
    <row r="807">
      <c r="A807" s="2" t="str">
        <f>Master_en!A807</f>
        <v>Freelancer </v>
      </c>
      <c r="B807" s="2" t="str">
        <f>Master_en!B807</f>
        <v>Freelancer </v>
      </c>
      <c r="C807" s="2" t="str">
        <f>IFERROR(__xludf.DUMMYFUNCTION("""COMPUTED_VALUE"""),"ফ্রিল্যান্সার")</f>
        <v>ফ্রিল্যান্সার</v>
      </c>
      <c r="D807" s="2" t="str">
        <f>IFERROR(__xludf.DUMMYFUNCTION("""COMPUTED_VALUE"""),"फ्रीलांसर")</f>
        <v>फ्रीलांसर</v>
      </c>
      <c r="E807" s="2" t="str">
        <f>IFERROR(__xludf.DUMMYFUNCTION("""COMPUTED_VALUE"""),"ಸ್ವರವಿಗಾರ")</f>
        <v>ಸ್ವರವಿಗಾರ</v>
      </c>
      <c r="F807" s="2" t="str">
        <f>IFERROR(__xludf.DUMMYFUNCTION("""COMPUTED_VALUE"""),"ଫ୍ରିଲାନ୍ସର")</f>
        <v>ଫ୍ରିଲାନ୍ସର</v>
      </c>
      <c r="G807" s="2" t="str">
        <f>IFERROR(__xludf.DUMMYFUNCTION("""COMPUTED_VALUE"""),"ফ্ৰীলান্সাৰ")</f>
        <v>ফ্ৰীলান্সাৰ</v>
      </c>
      <c r="H807" s="2" t="str">
        <f>IFERROR(__xludf.DUMMYFUNCTION("""COMPUTED_VALUE"""),"અફસોસ")</f>
        <v>અફસોસ</v>
      </c>
      <c r="I807" s="2" t="str">
        <f>IFERROR(__xludf.DUMMYFUNCTION("""COMPUTED_VALUE"""),"पूर्ववत करा")</f>
        <v>पूर्ववत करा</v>
      </c>
      <c r="J807" s="2" t="str">
        <f>IFERROR(__xludf.DUMMYFUNCTION("""COMPUTED_VALUE"""),"ഫ്രീലാൻസർ")</f>
        <v>ഫ്രീലാൻസർ</v>
      </c>
      <c r="K807" s="2" t="str">
        <f>IFERROR(__xludf.DUMMYFUNCTION("""COMPUTED_VALUE"""),"ਫ੍ਰੀਲੈਂਸਰ")</f>
        <v>ਫ੍ਰੀਲੈਂਸਰ</v>
      </c>
      <c r="L807" s="2" t="str">
        <f>IFERROR(__xludf.DUMMYFUNCTION("""COMPUTED_VALUE"""),"ஃப்ரீலான்ஸர்")</f>
        <v>ஃப்ரீலான்ஸர்</v>
      </c>
      <c r="M807" s="2" t="str">
        <f>IFERROR(__xludf.DUMMYFUNCTION("""COMPUTED_VALUE"""),"ఫ్రీలాన్సర్")</f>
        <v>ఫ్రీలాన్సర్</v>
      </c>
    </row>
    <row r="808">
      <c r="A808" s="2" t="str">
        <f>Master_en!A808</f>
        <v>January</v>
      </c>
      <c r="B808" s="2" t="str">
        <f>Master_en!B808</f>
        <v>January</v>
      </c>
      <c r="C808" s="2" t="str">
        <f>IFERROR(__xludf.DUMMYFUNCTION("""COMPUTED_VALUE"""),"জানুয়ারী")</f>
        <v>জানুয়ারী</v>
      </c>
      <c r="D808" s="2" t="str">
        <f>IFERROR(__xludf.DUMMYFUNCTION("""COMPUTED_VALUE"""),"जनवरी")</f>
        <v>जनवरी</v>
      </c>
      <c r="E808" s="2" t="str">
        <f>IFERROR(__xludf.DUMMYFUNCTION("""COMPUTED_VALUE"""),"ಜನವರಿ")</f>
        <v>ಜನವರಿ</v>
      </c>
      <c r="F808" s="2" t="str">
        <f>IFERROR(__xludf.DUMMYFUNCTION("""COMPUTED_VALUE"""),"ଜାନୁଆରୀ")</f>
        <v>ଜାନୁଆରୀ</v>
      </c>
      <c r="G808" s="2" t="str">
        <f>IFERROR(__xludf.DUMMYFUNCTION("""COMPUTED_VALUE"""),"জানুৱাৰী")</f>
        <v>জানুৱাৰী</v>
      </c>
      <c r="H808" s="2" t="str">
        <f>IFERROR(__xludf.DUMMYFUNCTION("""COMPUTED_VALUE"""),"જાન્યુઆરી")</f>
        <v>જાન્યુઆરી</v>
      </c>
      <c r="I808" s="2" t="str">
        <f>IFERROR(__xludf.DUMMYFUNCTION("""COMPUTED_VALUE"""),"जानेवारी")</f>
        <v>जानेवारी</v>
      </c>
      <c r="J808" s="2" t="str">
        <f>IFERROR(__xludf.DUMMYFUNCTION("""COMPUTED_VALUE"""),"ജാനുവരി")</f>
        <v>ജാനുവരി</v>
      </c>
      <c r="K808" s="2" t="str">
        <f>IFERROR(__xludf.DUMMYFUNCTION("""COMPUTED_VALUE"""),"ਜਨਵਰੀ")</f>
        <v>ਜਨਵਰੀ</v>
      </c>
      <c r="L808" s="2" t="str">
        <f>IFERROR(__xludf.DUMMYFUNCTION("""COMPUTED_VALUE"""),"ஜனவரி")</f>
        <v>ஜனவரி</v>
      </c>
      <c r="M808" s="2" t="str">
        <f>IFERROR(__xludf.DUMMYFUNCTION("""COMPUTED_VALUE"""),"ఫ్రాంచైజ్")</f>
        <v>ఫ్రాంచైజ్</v>
      </c>
    </row>
    <row r="809">
      <c r="A809" s="2" t="str">
        <f>Master_en!A809</f>
        <v>businessnameisrequired</v>
      </c>
      <c r="B809" s="2" t="str">
        <f>Master_en!B809</f>
        <v>Business Name is Required</v>
      </c>
      <c r="C809" s="2" t="str">
        <f>IFERROR(__xludf.DUMMYFUNCTION("""COMPUTED_VALUE"""),"ব্যবসায়ের নাম প্রয়োজন")</f>
        <v>ব্যবসায়ের নাম প্রয়োজন</v>
      </c>
      <c r="D809" s="2" t="str">
        <f>IFERROR(__xludf.DUMMYFUNCTION("""COMPUTED_VALUE"""),"व्यवसाय का नाम आवश्यक है")</f>
        <v>व्यवसाय का नाम आवश्यक है</v>
      </c>
      <c r="E809" s="2" t="str">
        <f>IFERROR(__xludf.DUMMYFUNCTION("""COMPUTED_VALUE"""),"ವ್ಯವಹಾರದ ಹೆಸರು ಅಗತ್ಯವಿದೆ")</f>
        <v>ವ್ಯವಹಾರದ ಹೆಸರು ಅಗತ್ಯವಿದೆ</v>
      </c>
      <c r="F809" s="2" t="str">
        <f>IFERROR(__xludf.DUMMYFUNCTION("""COMPUTED_VALUE"""),"ବ୍ୟବସାୟ ନାମ ଆବଶ୍ୟକ |")</f>
        <v>ବ୍ୟବସାୟ ନାମ ଆବଶ୍ୟକ |</v>
      </c>
      <c r="G809" s="2" t="str">
        <f>IFERROR(__xludf.DUMMYFUNCTION("""COMPUTED_VALUE"""),"ব্যৱসায়িক নাম প্ৰয়োজনীয়")</f>
        <v>ব্যৱসায়িক নাম প্ৰয়োজনীয়</v>
      </c>
      <c r="H809" s="2" t="str">
        <f>IFERROR(__xludf.DUMMYFUNCTION("""COMPUTED_VALUE"""),"વ્યાપાર નામ જરૂરી છે")</f>
        <v>વ્યાપાર નામ જરૂરી છે</v>
      </c>
      <c r="I809" s="2" t="str">
        <f>IFERROR(__xludf.DUMMYFUNCTION("""COMPUTED_VALUE"""),"व्यवसायाचे नाव आवश्यक आहे")</f>
        <v>व्यवसायाचे नाव आवश्यक आहे</v>
      </c>
      <c r="J809" s="2" t="str">
        <f>IFERROR(__xludf.DUMMYFUNCTION("""COMPUTED_VALUE"""),"ബിസിനസ്സ് പേര് ആവശ്യമാണ്")</f>
        <v>ബിസിനസ്സ് പേര് ആവശ്യമാണ്</v>
      </c>
      <c r="K809" s="2" t="str">
        <f>IFERROR(__xludf.DUMMYFUNCTION("""COMPUTED_VALUE"""),"ਵਪਾਰ ਦਾ ਨਾਮ ਲੋੜੀਂਦਾ ਹੈ")</f>
        <v>ਵਪਾਰ ਦਾ ਨਾਮ ਲੋੜੀਂਦਾ ਹੈ</v>
      </c>
      <c r="L809" s="2" t="str">
        <f>IFERROR(__xludf.DUMMYFUNCTION("""COMPUTED_VALUE"""),"வணிக பெயர் தேவை")</f>
        <v>வணிக பெயர் தேவை</v>
      </c>
      <c r="M809" s="2" t="str">
        <f>IFERROR(__xludf.DUMMYFUNCTION("""COMPUTED_VALUE"""),"వ్యాపార పేరు అవసరం")</f>
        <v>వ్యాపార పేరు అవసరం</v>
      </c>
    </row>
    <row r="810">
      <c r="A810" s="2" t="str">
        <f>Master_en!A810</f>
        <v>nameshouldbemin5charslong.</v>
      </c>
      <c r="B810" s="2" t="str">
        <f>Master_en!B810</f>
        <v>Name should be min 5 chars long.</v>
      </c>
      <c r="C810" s="2" t="str">
        <f>IFERROR(__xludf.DUMMYFUNCTION("""COMPUTED_VALUE"""),"নামটি ন্যূনতম 5 চরগুলি দীর্ঘ হওয়া উচিত।")</f>
        <v>নামটি ন্যূনতম 5 চরগুলি দীর্ঘ হওয়া উচিত।</v>
      </c>
      <c r="D810" s="2" t="str">
        <f>IFERROR(__xludf.DUMMYFUNCTION("""COMPUTED_VALUE"""),"नाम न्यूनतम 5 chars लंबा होना चाहिए।")</f>
        <v>नाम न्यूनतम 5 chars लंबा होना चाहिए।</v>
      </c>
      <c r="E810" s="2" t="str">
        <f>IFERROR(__xludf.DUMMYFUNCTION("""COMPUTED_VALUE"""),"ಹೆಸರು ನಿಮಿಷ 5 ಚಾರ್ಸ್ ಆಗಿರಬೇಕು.")</f>
        <v>ಹೆಸರು ನಿಮಿಷ 5 ಚಾರ್ಸ್ ಆಗಿರಬೇಕು.</v>
      </c>
      <c r="F810" s="2" t="str">
        <f>IFERROR(__xludf.DUMMYFUNCTION("""COMPUTED_VALUE"""),"ନାମ ଅଧିକ 5 ଅକ୍ଷର ଲମ୍ବା ହେବା ଉଚିତ୍ |")</f>
        <v>ନାମ ଅଧିକ 5 ଅକ୍ଷର ଲମ୍ବା ହେବା ଉଚିତ୍ |</v>
      </c>
      <c r="G810" s="2" t="str">
        <f>IFERROR(__xludf.DUMMYFUNCTION("""COMPUTED_VALUE"""),"নাম নূন্যতম ৫ আখৰ দীঘল হ’ব লাগে।")</f>
        <v>নাম নূন্যতম ৫ আখৰ দীঘল হ’ব লাগে।</v>
      </c>
      <c r="H810" s="2" t="str">
        <f>IFERROR(__xludf.DUMMYFUNCTION("""COMPUTED_VALUE"""),"નામ મીન 5 અક્ષરો લાંબા હોવા જોઈએ.")</f>
        <v>નામ મીન 5 અક્ષરો લાંબા હોવા જોઈએ.</v>
      </c>
      <c r="I810" s="2" t="str">
        <f>IFERROR(__xludf.DUMMYFUNCTION("""COMPUTED_VALUE"""),"नाव किमान 5 चार लांब असावे.")</f>
        <v>नाव किमान 5 चार लांब असावे.</v>
      </c>
      <c r="J810" s="2" t="str">
        <f>IFERROR(__xludf.DUMMYFUNCTION("""COMPUTED_VALUE"""),"പേര് കുറഞ്ഞ 5 പ്രതീകങ്ങളായിരിക്കണം.")</f>
        <v>പേര് കുറഞ്ഞ 5 പ്രതീകങ്ങളായിരിക്കണം.</v>
      </c>
      <c r="K810" s="2" t="str">
        <f>IFERROR(__xludf.DUMMYFUNCTION("""COMPUTED_VALUE"""),"ਨਾਮ ਘੱਟੋ ਘੱਟ 5 ਅੱਖਰ ਲੰਬਾ ਹੋਣਾ ਚਾਹੀਦਾ ਹੈ.")</f>
        <v>ਨਾਮ ਘੱਟੋ ਘੱਟ 5 ਅੱਖਰ ਲੰਬਾ ਹੋਣਾ ਚਾਹੀਦਾ ਹੈ.</v>
      </c>
      <c r="L810" s="2" t="str">
        <f>IFERROR(__xludf.DUMMYFUNCTION("""COMPUTED_VALUE"""),"பெயர் நிமிடம் 5 எழுத்துக்கள் நீளமாக இருக்க வேண்டும்.")</f>
        <v>பெயர் நிமிடம் 5 எழுத்துக்கள் நீளமாக இருக்க வேண்டும்.</v>
      </c>
      <c r="M810" s="2" t="str">
        <f>IFERROR(__xludf.DUMMYFUNCTION("""COMPUTED_VALUE"""),"జనవరి")</f>
        <v>జనవరి</v>
      </c>
    </row>
    <row r="811">
      <c r="A811" s="2" t="str">
        <f>Master_en!A811</f>
        <v>shopno.isrequired.</v>
      </c>
      <c r="B811" s="2" t="str">
        <f>Master_en!B811</f>
        <v>Shop no.is required.</v>
      </c>
      <c r="C811" s="2" t="str">
        <f>IFERROR(__xludf.DUMMYFUNCTION("""COMPUTED_VALUE"""),"দোকান নং প্রয়োজন।")</f>
        <v>দোকান নং প্রয়োজন।</v>
      </c>
      <c r="D811" s="2" t="str">
        <f>IFERROR(__xludf.DUMMYFUNCTION("""COMPUTED_VALUE"""),"शॉप नंबर की आवश्यकता है।")</f>
        <v>शॉप नंबर की आवश्यकता है।</v>
      </c>
      <c r="E811" s="2" t="str">
        <f>IFERROR(__xludf.DUMMYFUNCTION("""COMPUTED_VALUE"""),"ಅಂಗಡಿ ಸಂಖ್ಯೆ ಅಗತ್ಯವಿದೆ.")</f>
        <v>ಅಂಗಡಿ ಸಂಖ್ಯೆ ಅಗತ್ಯವಿದೆ.</v>
      </c>
      <c r="F811" s="2" t="str">
        <f>IFERROR(__xludf.DUMMYFUNCTION("""COMPUTED_VALUE"""),"ଦୋକାନ ନାଭି ଆବଶ୍ୟକ |")</f>
        <v>ଦୋକାନ ନାଭି ଆବଶ୍ୟକ |</v>
      </c>
      <c r="G811" s="2" t="str">
        <f>IFERROR(__xludf.DUMMYFUNCTION("""COMPUTED_VALUE"""),"দোকান নং প্ৰয়োজন।")</f>
        <v>দোকান নং প্ৰয়োজন।</v>
      </c>
      <c r="H811" s="2" t="str">
        <f>IFERROR(__xludf.DUMMYFUNCTION("""COMPUTED_VALUE"""),"દુકાન નંબર જરૂરી છે.")</f>
        <v>દુકાન નંબર જરૂરી છે.</v>
      </c>
      <c r="I811" s="2" t="str">
        <f>IFERROR(__xludf.DUMMYFUNCTION("""COMPUTED_VALUE"""),"दुकान नाही आवश्यक आहे.")</f>
        <v>दुकान नाही आवश्यक आहे.</v>
      </c>
      <c r="J811" s="2" t="str">
        <f>IFERROR(__xludf.DUMMYFUNCTION("""COMPUTED_VALUE"""),"ഷോപ്പ് നമ്പർ ആവശ്യമാണ്.")</f>
        <v>ഷോപ്പ് നമ്പർ ആവശ്യമാണ്.</v>
      </c>
      <c r="K811" s="2" t="str">
        <f>IFERROR(__xludf.DUMMYFUNCTION("""COMPUTED_VALUE"""),"ਦੁਕਾਨਾਂ ਦੀ ਲੋੜ ਸੀ.")</f>
        <v>ਦੁਕਾਨਾਂ ਦੀ ਲੋੜ ਸੀ.</v>
      </c>
      <c r="L811" s="2" t="str">
        <f>IFERROR(__xludf.DUMMYFUNCTION("""COMPUTED_VALUE"""),"கடை எண் தேவை.")</f>
        <v>கடை எண் தேவை.</v>
      </c>
      <c r="M811" s="2" t="str">
        <f>IFERROR(__xludf.DUMMYFUNCTION("""COMPUTED_VALUE"""),"షాప్ నెం.")</f>
        <v>షాప్ నెం.</v>
      </c>
    </row>
    <row r="812">
      <c r="A812" s="2" t="str">
        <f>Master_en!A812</f>
        <v>streetno.isrequired</v>
      </c>
      <c r="B812" s="2" t="str">
        <f>Master_en!B812</f>
        <v>Street no.is required.</v>
      </c>
      <c r="C812" s="2" t="str">
        <f>IFERROR(__xludf.DUMMYFUNCTION("""COMPUTED_VALUE"""),"রাস্তার নং প্রয়োজন।")</f>
        <v>রাস্তার নং প্রয়োজন।</v>
      </c>
      <c r="D812" s="2" t="str">
        <f>IFERROR(__xludf.DUMMYFUNCTION("""COMPUTED_VALUE"""),"स्ट्रीट नंबर की आवश्यकता है।")</f>
        <v>स्ट्रीट नंबर की आवश्यकता है।</v>
      </c>
      <c r="E812" s="2" t="str">
        <f>IFERROR(__xludf.DUMMYFUNCTION("""COMPUTED_VALUE"""),"ರಸ್ತೆ ನಂ.")</f>
        <v>ರಸ್ತೆ ನಂ.</v>
      </c>
      <c r="F812" s="2" t="str">
        <f>IFERROR(__xludf.DUMMYFUNCTION("""COMPUTED_VALUE"""),"ଷ୍ଟ୍ରିଟ୍ ନମ୍ବର ଆବଶ୍ୟକ |")</f>
        <v>ଷ୍ଟ୍ରିଟ୍ ନମ୍ବର ଆବଶ୍ୟକ |</v>
      </c>
      <c r="G812" s="2" t="str">
        <f>IFERROR(__xludf.DUMMYFUNCTION("""COMPUTED_VALUE"""),"ষ্ট্ৰীট নং.ৰ প্ৰয়োজন।")</f>
        <v>ষ্ট্ৰীট নং.ৰ প্ৰয়োজন।</v>
      </c>
      <c r="H812" s="2" t="str">
        <f>IFERROR(__xludf.DUMMYFUNCTION("""COMPUTED_VALUE"""),"શેરી નંબર જરૂરી છે.")</f>
        <v>શેરી નંબર જરૂરી છે.</v>
      </c>
      <c r="I812" s="2" t="str">
        <f>IFERROR(__xludf.DUMMYFUNCTION("""COMPUTED_VALUE"""),"रस्ता क्रमांक आवश्यक आहे.")</f>
        <v>रस्ता क्रमांक आवश्यक आहे.</v>
      </c>
      <c r="J812" s="2" t="str">
        <f>IFERROR(__xludf.DUMMYFUNCTION("""COMPUTED_VALUE"""),"തെരുവ് ഇല്ല.")</f>
        <v>തെരുവ് ഇല്ല.</v>
      </c>
      <c r="K812" s="2" t="str">
        <f>IFERROR(__xludf.DUMMYFUNCTION("""COMPUTED_VALUE"""),"ਸਟ੍ਰੀਟ ਨੰਬਰ ਦੀ ਲੋੜ ਹੈ.")</f>
        <v>ਸਟ੍ਰੀਟ ਨੰਬਰ ਦੀ ਲੋੜ ਹੈ.</v>
      </c>
      <c r="L812" s="2" t="str">
        <f>IFERROR(__xludf.DUMMYFUNCTION("""COMPUTED_VALUE"""),"தெரு எண் தேவை.")</f>
        <v>தெரு எண் தேவை.</v>
      </c>
      <c r="M812" s="2" t="str">
        <f>IFERROR(__xludf.DUMMYFUNCTION("""COMPUTED_VALUE"""),"వీధి నెం. అవసరం.")</f>
        <v>వీధి నెం. అవసరం.</v>
      </c>
    </row>
    <row r="813">
      <c r="A813" s="2" t="str">
        <f>Master_en!A813</f>
        <v>landmarkisrequired</v>
      </c>
      <c r="B813" s="2" t="str">
        <f>Master_en!B813</f>
        <v>landmark is required.</v>
      </c>
      <c r="C813" s="2" t="str">
        <f>IFERROR(__xludf.DUMMYFUNCTION("""COMPUTED_VALUE"""),"ল্যান্ডমার্ক প্রয়োজন।")</f>
        <v>ল্যান্ডমার্ক প্রয়োজন।</v>
      </c>
      <c r="D813" s="2" t="str">
        <f>IFERROR(__xludf.DUMMYFUNCTION("""COMPUTED_VALUE"""),"लैंडमार्क की आवश्यकता है।")</f>
        <v>लैंडमार्क की आवश्यकता है।</v>
      </c>
      <c r="E813" s="2" t="str">
        <f>IFERROR(__xludf.DUMMYFUNCTION("""COMPUTED_VALUE"""),"ಹೆಗ್ಗುರುತು ಅಗತ್ಯವಿದೆ.")</f>
        <v>ಹೆಗ್ಗುರುತು ಅಗತ್ಯವಿದೆ.</v>
      </c>
      <c r="F813" s="2" t="str">
        <f>IFERROR(__xludf.DUMMYFUNCTION("""COMPUTED_VALUE"""),"ଲ୍ୟାଣ୍ଡମାର୍କ ଆବଶ୍ୟକ |")</f>
        <v>ଲ୍ୟାଣ୍ଡମାର୍କ ଆବଶ୍ୟକ |</v>
      </c>
      <c r="G813" s="2" t="str">
        <f>IFERROR(__xludf.DUMMYFUNCTION("""COMPUTED_VALUE"""),"লেণ্ডমাৰ্কৰ প্ৰয়োজন।")</f>
        <v>লেণ্ডমাৰ্কৰ প্ৰয়োজন।</v>
      </c>
      <c r="H813" s="2" t="str">
        <f>IFERROR(__xludf.DUMMYFUNCTION("""COMPUTED_VALUE"""),"સીમાચિહ્ન જરૂરી છે.")</f>
        <v>સીમાચિહ્ન જરૂરી છે.</v>
      </c>
      <c r="I813" s="2" t="str">
        <f>IFERROR(__xludf.DUMMYFUNCTION("""COMPUTED_VALUE"""),"लँडमार्क आवश्यक आहे.")</f>
        <v>लँडमार्क आवश्यक आहे.</v>
      </c>
      <c r="J813" s="2" t="str">
        <f>IFERROR(__xludf.DUMMYFUNCTION("""COMPUTED_VALUE"""),"ലാൻഡ്മാർക്ക് ആവശ്യമാണ്.")</f>
        <v>ലാൻഡ്മാർക്ക് ആവശ്യമാണ്.</v>
      </c>
      <c r="K813" s="2" t="str">
        <f>IFERROR(__xludf.DUMMYFUNCTION("""COMPUTED_VALUE"""),"ਨਿਸ਼ਾਨ ਦੀ ਲੋੜ ਹੈ.")</f>
        <v>ਨਿਸ਼ਾਨ ਦੀ ਲੋੜ ਹੈ.</v>
      </c>
      <c r="L813" s="2" t="str">
        <f>IFERROR(__xludf.DUMMYFUNCTION("""COMPUTED_VALUE"""),"மைல்கல் தேவை.")</f>
        <v>மைல்கல் தேவை.</v>
      </c>
      <c r="M813" s="2" t="str">
        <f>IFERROR(__xludf.DUMMYFUNCTION("""COMPUTED_VALUE"""),"మైలురాయి అవసరం.")</f>
        <v>మైలురాయి అవసరం.</v>
      </c>
    </row>
    <row r="814">
      <c r="A814" s="2" t="str">
        <f>Master_en!A814</f>
        <v>cityisrequired</v>
      </c>
      <c r="B814" s="2" t="str">
        <f>Master_en!B814</f>
        <v>City is required.</v>
      </c>
      <c r="C814" s="2" t="str">
        <f>IFERROR(__xludf.DUMMYFUNCTION("""COMPUTED_VALUE"""),"শহর প্রয়োজন।")</f>
        <v>শহর প্রয়োজন।</v>
      </c>
      <c r="D814" s="2" t="str">
        <f>IFERROR(__xludf.DUMMYFUNCTION("""COMPUTED_VALUE"""),"शहर की आवश्यकता है।")</f>
        <v>शहर की आवश्यकता है।</v>
      </c>
      <c r="E814" s="2" t="str">
        <f>IFERROR(__xludf.DUMMYFUNCTION("""COMPUTED_VALUE"""),"ನಗರ ಅಗತ್ಯವಿದೆ.")</f>
        <v>ನಗರ ಅಗತ್ಯವಿದೆ.</v>
      </c>
      <c r="F814" s="2" t="str">
        <f>IFERROR(__xludf.DUMMYFUNCTION("""COMPUTED_VALUE"""),"ସହର ଆବଶ୍ୟକ |")</f>
        <v>ସହର ଆବଶ୍ୟକ |</v>
      </c>
      <c r="G814" s="2" t="str">
        <f>IFERROR(__xludf.DUMMYFUNCTION("""COMPUTED_VALUE"""),"চহৰৰ প্ৰয়োজন।")</f>
        <v>চহৰৰ প্ৰয়োজন।</v>
      </c>
      <c r="H814" s="2" t="str">
        <f>IFERROR(__xludf.DUMMYFUNCTION("""COMPUTED_VALUE"""),"શહેર જરૂરી છે.")</f>
        <v>શહેર જરૂરી છે.</v>
      </c>
      <c r="I814" s="2" t="str">
        <f>IFERROR(__xludf.DUMMYFUNCTION("""COMPUTED_VALUE"""),"शहर आवश्यक आहे.")</f>
        <v>शहर आवश्यक आहे.</v>
      </c>
      <c r="J814" s="2" t="str">
        <f>IFERROR(__xludf.DUMMYFUNCTION("""COMPUTED_VALUE"""),"നഗരം ആവശ്യമാണ്.")</f>
        <v>നഗരം ആവശ്യമാണ്.</v>
      </c>
      <c r="K814" s="2" t="str">
        <f>IFERROR(__xludf.DUMMYFUNCTION("""COMPUTED_VALUE"""),"ਸ਼ਹਿਰ ਦੀ ਲੋੜ ਹੈ.")</f>
        <v>ਸ਼ਹਿਰ ਦੀ ਲੋੜ ਹੈ.</v>
      </c>
      <c r="L814" s="2" t="str">
        <f>IFERROR(__xludf.DUMMYFUNCTION("""COMPUTED_VALUE"""),"நகரம் தேவை.")</f>
        <v>நகரம் தேவை.</v>
      </c>
      <c r="M814" s="2" t="str">
        <f>IFERROR(__xludf.DUMMYFUNCTION("""COMPUTED_VALUE"""),"నగరం అవసరం.")</f>
        <v>నగరం అవసరం.</v>
      </c>
    </row>
    <row r="815">
      <c r="A815" s="2" t="str">
        <f>Master_en!A815</f>
        <v>pincodeisrequired</v>
      </c>
      <c r="B815" s="2" t="str">
        <f>Master_en!B815</f>
        <v>Pincode is required.</v>
      </c>
      <c r="C815" s="2" t="str">
        <f>IFERROR(__xludf.DUMMYFUNCTION("""COMPUTED_VALUE"""),"পিনকোড প্রয়োজন।")</f>
        <v>পিনকোড প্রয়োজন।</v>
      </c>
      <c r="D815" s="2" t="str">
        <f>IFERROR(__xludf.DUMMYFUNCTION("""COMPUTED_VALUE"""),"पिनकोड की आवश्यकता है।")</f>
        <v>पिनकोड की आवश्यकता है।</v>
      </c>
      <c r="E815" s="2" t="str">
        <f>IFERROR(__xludf.DUMMYFUNCTION("""COMPUTED_VALUE"""),"ಪಿಂಕೋಡ್ ಅಗತ್ಯವಿದೆ.")</f>
        <v>ಪಿಂಕೋಡ್ ಅಗತ್ಯವಿದೆ.</v>
      </c>
      <c r="F815" s="2" t="str">
        <f>IFERROR(__xludf.DUMMYFUNCTION("""COMPUTED_VALUE"""),"ପିନକୋଡ୍ ଆବଶ୍ୟକ |")</f>
        <v>ପିନକୋଡ୍ ଆବଶ୍ୟକ |</v>
      </c>
      <c r="G815" s="2" t="str">
        <f>IFERROR(__xludf.DUMMYFUNCTION("""COMPUTED_VALUE"""),"পিনকোডৰ প্ৰয়োজন।")</f>
        <v>পিনকোডৰ প্ৰয়োজন।</v>
      </c>
      <c r="H815" s="2" t="str">
        <f>IFERROR(__xludf.DUMMYFUNCTION("""COMPUTED_VALUE"""),"પિનકોડ જરૂરી છે.")</f>
        <v>પિનકોડ જરૂરી છે.</v>
      </c>
      <c r="I815" s="2" t="str">
        <f>IFERROR(__xludf.DUMMYFUNCTION("""COMPUTED_VALUE"""),"पिनकोड आवश्यक आहे.")</f>
        <v>पिनकोड आवश्यक आहे.</v>
      </c>
      <c r="J815" s="2" t="str">
        <f>IFERROR(__xludf.DUMMYFUNCTION("""COMPUTED_VALUE"""),"പിങ്കോഡ് ആവശ്യമാണ്.")</f>
        <v>പിങ്കോഡ് ആവശ്യമാണ്.</v>
      </c>
      <c r="K815" s="2" t="str">
        <f>IFERROR(__xludf.DUMMYFUNCTION("""COMPUTED_VALUE"""),"ਪਿਨਕੋਡ ਲੋੜੀਂਦਾ ਹੈ.")</f>
        <v>ਪਿਨਕੋਡ ਲੋੜੀਂਦਾ ਹੈ.</v>
      </c>
      <c r="L815" s="2" t="str">
        <f>IFERROR(__xludf.DUMMYFUNCTION("""COMPUTED_VALUE"""),"பின்கோட் தேவை.")</f>
        <v>பின்கோட் தேவை.</v>
      </c>
      <c r="M815" s="2" t="str">
        <f>IFERROR(__xludf.DUMMYFUNCTION("""COMPUTED_VALUE"""),"పిన్‌కోడ్ అవసరం.")</f>
        <v>పిన్‌కోడ్ అవసరం.</v>
      </c>
    </row>
    <row r="816">
      <c r="A816" s="2" t="str">
        <f>Master_en!A816</f>
        <v>updategstin</v>
      </c>
      <c r="B816" s="2" t="str">
        <f>Master_en!B816</f>
        <v>Update GSTIN</v>
      </c>
      <c r="C816" s="2" t="str">
        <f>IFERROR(__xludf.DUMMYFUNCTION("""COMPUTED_VALUE"""),"জিএসটিন আপডেট করুন")</f>
        <v>জিএসটিন আপডেট করুন</v>
      </c>
      <c r="D816" s="2" t="str">
        <f>IFERROR(__xludf.DUMMYFUNCTION("""COMPUTED_VALUE"""),"जीएसटीएन अपडेट करें")</f>
        <v>जीएसटीएन अपडेट करें</v>
      </c>
      <c r="E816" s="2" t="str">
        <f>IFERROR(__xludf.DUMMYFUNCTION("""COMPUTED_VALUE"""),"ಜಿಎಸ್ಟಿ ಐಎ ಎನ್  ಅನ್ನು ನವೀಕರಿಸಿ
")</f>
        <v>ಜಿಎಸ್ಟಿ ಐಎ ಎನ್  ಅನ್ನು ನವೀಕರಿಸಿ
</v>
      </c>
      <c r="F816" s="2" t="str">
        <f>IFERROR(__xludf.DUMMYFUNCTION("""COMPUTED_VALUE"""),"GStin ଅଦ୍ୟତନ କରନ୍ତୁ |")</f>
        <v>GStin ଅଦ୍ୟତନ କରନ୍ତୁ |</v>
      </c>
      <c r="G816" s="2" t="str">
        <f>IFERROR(__xludf.DUMMYFUNCTION("""COMPUTED_VALUE"""),"GSTIN আপডেট কৰক")</f>
        <v>GSTIN আপডেট কৰক</v>
      </c>
      <c r="H816" s="2" t="str">
        <f>IFERROR(__xludf.DUMMYFUNCTION("""COMPUTED_VALUE"""),"Gstin અપડેટ કરો")</f>
        <v>Gstin અપડેટ કરો</v>
      </c>
      <c r="I816" s="2" t="str">
        <f>IFERROR(__xludf.DUMMYFUNCTION("""COMPUTED_VALUE"""),"जीएसटीन अद्यतनित करा")</f>
        <v>जीएसटीन अद्यतनित करा</v>
      </c>
      <c r="J816" s="2" t="str">
        <f>IFERROR(__xludf.DUMMYFUNCTION("""COMPUTED_VALUE"""),"Gstin അപ്ഡേറ്റുചെയ്യുക")</f>
        <v>Gstin അപ്ഡേറ്റുചെയ്യുക</v>
      </c>
      <c r="K816" s="2" t="str">
        <f>IFERROR(__xludf.DUMMYFUNCTION("""COMPUTED_VALUE"""),"GSTIN ਨੂੰ ਅਪਡੇਟ ਕਰੋ")</f>
        <v>GSTIN ਨੂੰ ਅਪਡੇਟ ਕਰੋ</v>
      </c>
      <c r="L816" s="2" t="str">
        <f>IFERROR(__xludf.DUMMYFUNCTION("""COMPUTED_VALUE"""),"GSTIN ஐப் புதுப்பிக்கவும்")</f>
        <v>GSTIN ஐப் புதுப்பிக்கவும்</v>
      </c>
      <c r="M816" s="2" t="str">
        <f>IFERROR(__xludf.DUMMYFUNCTION("""COMPUTED_VALUE"""),"GSTIN ని నవీకరించండి")</f>
        <v>GSTIN ని నవీకరించండి</v>
      </c>
    </row>
    <row r="817">
      <c r="A817" s="2" t="str">
        <f>Master_en!A817</f>
        <v>Pancardno.isrequired</v>
      </c>
      <c r="B817" s="2" t="str">
        <f>Master_en!B817</f>
        <v>PAN Card No. is required .</v>
      </c>
      <c r="C817" s="2" t="str">
        <f>IFERROR(__xludf.DUMMYFUNCTION("""COMPUTED_VALUE"""),"প্যান কার্ড নং প্রয়োজন।")</f>
        <v>প্যান কার্ড নং প্রয়োজন।</v>
      </c>
      <c r="D817" s="2" t="str">
        <f>IFERROR(__xludf.DUMMYFUNCTION("""COMPUTED_VALUE"""),"पैन कार्ड नंबर की आवश्यकता है।")</f>
        <v>पैन कार्ड नंबर की आवश्यकता है।</v>
      </c>
      <c r="E817" s="2" t="str">
        <f>IFERROR(__xludf.DUMMYFUNCTION("""COMPUTED_VALUE"""),"ಪ್ಯಾನ್ ಕಾರ್ಡ್ ಸಂಖ್ಯೆ ಅಗತ್ಯವಿದೆ.")</f>
        <v>ಪ್ಯಾನ್ ಕಾರ್ಡ್ ಸಂಖ್ಯೆ ಅಗತ್ಯವಿದೆ.</v>
      </c>
      <c r="F817" s="2" t="str">
        <f>IFERROR(__xludf.DUMMYFUNCTION("""COMPUTED_VALUE"""),"ପାନ୍ କାର୍ଡ ନମ୍ବର ଆବଶ୍ୟକ |")</f>
        <v>ପାନ୍ କାର୍ଡ ନମ୍ବର ଆବଶ୍ୟକ |</v>
      </c>
      <c r="G817" s="2" t="str">
        <f>IFERROR(__xludf.DUMMYFUNCTION("""COMPUTED_VALUE"""),"পান কাৰ্ড নং। প্ৰয়োজনীয় ৷")</f>
        <v>পান কাৰ্ড নং। প্ৰয়োজনীয় ৷</v>
      </c>
      <c r="H817" s="2" t="str">
        <f>IFERROR(__xludf.DUMMYFUNCTION("""COMPUTED_VALUE"""),"પાન કાર્ડ નંબર જરૂરી છે.")</f>
        <v>પાન કાર્ડ નંબર જરૂરી છે.</v>
      </c>
      <c r="I817" s="2" t="str">
        <f>IFERROR(__xludf.DUMMYFUNCTION("""COMPUTED_VALUE"""),"पॅन कार्ड क्रमांक आवश्यक आहे.")</f>
        <v>पॅन कार्ड क्रमांक आवश्यक आहे.</v>
      </c>
      <c r="J817" s="2" t="str">
        <f>IFERROR(__xludf.DUMMYFUNCTION("""COMPUTED_VALUE"""),"പാൻ കാർഡ് നമ്പർ ആവശ്യമാണ്.")</f>
        <v>പാൻ കാർഡ് നമ്പർ ആവശ്യമാണ്.</v>
      </c>
      <c r="K817" s="2" t="str">
        <f>IFERROR(__xludf.DUMMYFUNCTION("""COMPUTED_VALUE"""),"ਪੈਨ ਕਾਰਡ ਨੰ.")</f>
        <v>ਪੈਨ ਕਾਰਡ ਨੰ.</v>
      </c>
      <c r="L817" s="2" t="str">
        <f>IFERROR(__xludf.DUMMYFUNCTION("""COMPUTED_VALUE"""),"பான் கார்டு எண் தேவை.")</f>
        <v>பான் கார்டு எண் தேவை.</v>
      </c>
      <c r="M817" s="2" t="str">
        <f>IFERROR(__xludf.DUMMYFUNCTION("""COMPUTED_VALUE"""),"పాన్ కార్డ్ నం అవసరం.")</f>
        <v>పాన్ కార్డ్ నం అవసరం.</v>
      </c>
    </row>
    <row r="818">
      <c r="A818" s="2" t="str">
        <f>Master_en!A818</f>
        <v>Region</v>
      </c>
      <c r="B818" s="2" t="str">
        <f>Master_en!B818</f>
        <v>Region</v>
      </c>
      <c r="C818" s="2" t="str">
        <f>IFERROR(__xludf.DUMMYFUNCTION("""COMPUTED_VALUE"""),"অঞ্চল")</f>
        <v>অঞ্চল</v>
      </c>
      <c r="D818" s="2" t="str">
        <f>IFERROR(__xludf.DUMMYFUNCTION("""COMPUTED_VALUE"""),"जीएसटीआईएन अपडेट करें")</f>
        <v>जीएसटीआईएन अपडेट करें</v>
      </c>
      <c r="E818" s="2" t="str">
        <f>IFERROR(__xludf.DUMMYFUNCTION("""COMPUTED_VALUE"""),"ಪ್ರದೇಶ")</f>
        <v>ಪ್ರದೇಶ</v>
      </c>
      <c r="F818" s="2" t="str">
        <f>IFERROR(__xludf.DUMMYFUNCTION("""COMPUTED_VALUE"""),"ଅଞ୍ଚଳ")</f>
        <v>ଅଞ୍ଚଳ</v>
      </c>
      <c r="G818" s="2" t="str">
        <f>IFERROR(__xludf.DUMMYFUNCTION("""COMPUTED_VALUE"""),"অঞ্চল")</f>
        <v>অঞ্চল</v>
      </c>
      <c r="H818" s="2" t="str">
        <f>IFERROR(__xludf.DUMMYFUNCTION("""COMPUTED_VALUE"""),"પ્રદેશ")</f>
        <v>પ્રદેશ</v>
      </c>
      <c r="I818" s="2" t="str">
        <f>IFERROR(__xludf.DUMMYFUNCTION("""COMPUTED_VALUE"""),"प्रदेश")</f>
        <v>प्रदेश</v>
      </c>
      <c r="J818" s="2" t="str">
        <f>IFERROR(__xludf.DUMMYFUNCTION("""COMPUTED_VALUE"""),"പ്രദേശം")</f>
        <v>പ്രദേശം</v>
      </c>
      <c r="K818" s="2" t="str">
        <f>IFERROR(__xludf.DUMMYFUNCTION("""COMPUTED_VALUE"""),"ਖੇਤਰ")</f>
        <v>ਖੇਤਰ</v>
      </c>
      <c r="L818" s="2" t="str">
        <f>IFERROR(__xludf.DUMMYFUNCTION("""COMPUTED_VALUE"""),"பகுதி")</f>
        <v>பகுதி</v>
      </c>
      <c r="M818" s="2" t="str">
        <f>IFERROR(__xludf.DUMMYFUNCTION("""COMPUTED_VALUE"""),"ప్రాంతం")</f>
        <v>ప్రాంతం</v>
      </c>
    </row>
    <row r="819">
      <c r="A819" s="2" t="str">
        <f>Master_en!A819</f>
        <v>Doyouwanttocontinuewiththisnumber?</v>
      </c>
      <c r="B819" s="2" t="str">
        <f>Master_en!B819</f>
        <v>Do you want to continue with this number?</v>
      </c>
      <c r="C819" s="2" t="str">
        <f>IFERROR(__xludf.DUMMYFUNCTION("""COMPUTED_VALUE"""),"আপনি কি এই নম্বরটি চালিয়ে যেতে চান?")</f>
        <v>আপনি কি এই নম্বরটি চালিয়ে যেতে চান?</v>
      </c>
      <c r="D819" s="2" t="str">
        <f>IFERROR(__xludf.DUMMYFUNCTION("""COMPUTED_VALUE"""),"क्या आप इस नंबर के साथ जारी रखना चाहते हैं?")</f>
        <v>क्या आप इस नंबर के साथ जारी रखना चाहते हैं?</v>
      </c>
      <c r="E819" s="2" t="str">
        <f>IFERROR(__xludf.DUMMYFUNCTION("""COMPUTED_VALUE"""),"ಈ ಸಂಖ್ಯೆಯೊಂದಿಗೆ ಮುಂದುವರಿಯಲು ನೀವು ಬಯಸುವಿರಾ?")</f>
        <v>ಈ ಸಂಖ್ಯೆಯೊಂದಿಗೆ ಮುಂದುವರಿಯಲು ನೀವು ಬಯಸುವಿರಾ?</v>
      </c>
      <c r="F819" s="2" t="str">
        <f>IFERROR(__xludf.DUMMYFUNCTION("""COMPUTED_VALUE"""),"ଆପଣ ଏହି ସଂଖ୍ୟା ସହିତ ଜାରି ରଖିବାକୁ ଚାହୁଁଛନ୍ତି କି?")</f>
        <v>ଆପଣ ଏହି ସଂଖ୍ୟା ସହିତ ଜାରି ରଖିବାକୁ ଚାହୁଁଛନ୍ତି କି?</v>
      </c>
      <c r="G819" s="2" t="str">
        <f>IFERROR(__xludf.DUMMYFUNCTION("""COMPUTED_VALUE"""),"এই নম্বৰটো লৈ আগবাঢ়ি যাব বিচাৰে নেকি?")</f>
        <v>এই নম্বৰটো লৈ আগবাঢ়ি যাব বিচাৰে নেকি?</v>
      </c>
      <c r="H819" s="2" t="str">
        <f>IFERROR(__xludf.DUMMYFUNCTION("""COMPUTED_VALUE"""),"શું તમે આ નંબર સાથે ચાલુ રાખવા માંગો છો?")</f>
        <v>શું તમે આ નંબર સાથે ચાલુ રાખવા માંગો છો?</v>
      </c>
      <c r="I819" s="2" t="str">
        <f>IFERROR(__xludf.DUMMYFUNCTION("""COMPUTED_VALUE"""),"आपण या नंबरसह सुरू ठेवू इच्छिता?")</f>
        <v>आपण या नंबरसह सुरू ठेवू इच्छिता?</v>
      </c>
      <c r="J819" s="2" t="str">
        <f>IFERROR(__xludf.DUMMYFUNCTION("""COMPUTED_VALUE"""),"ഈ നമ്പറിൽ തുടരാൻ നിങ്ങൾ ആഗ്രഹിക്കുന്നുണ്ടോ?")</f>
        <v>ഈ നമ്പറിൽ തുടരാൻ നിങ്ങൾ ആഗ്രഹിക്കുന്നുണ്ടോ?</v>
      </c>
      <c r="K819" s="2" t="str">
        <f>IFERROR(__xludf.DUMMYFUNCTION("""COMPUTED_VALUE"""),"ਕੀ ਤੁਸੀਂ ਇਸ ਨੰਬਰ ਨਾਲ ਜਾਰੀ ਰੱਖਣਾ ਚਾਹੁੰਦੇ ਹੋ?")</f>
        <v>ਕੀ ਤੁਸੀਂ ਇਸ ਨੰਬਰ ਨਾਲ ਜਾਰੀ ਰੱਖਣਾ ਚਾਹੁੰਦੇ ਹੋ?</v>
      </c>
      <c r="L819" s="2" t="str">
        <f>IFERROR(__xludf.DUMMYFUNCTION("""COMPUTED_VALUE"""),"இந்த எண்ணைத் தொடர விரும்புகிறீர்களா?")</f>
        <v>இந்த எண்ணைத் தொடர விரும்புகிறீர்களா?</v>
      </c>
      <c r="M819" s="2" t="str">
        <f>IFERROR(__xludf.DUMMYFUNCTION("""COMPUTED_VALUE"""),"మీరు ఈ సంఖ్యతో కొనసాగాలనుకుంటున్నారా?")</f>
        <v>మీరు ఈ సంఖ్యతో కొనసాగాలనుకుంటున్నారా?</v>
      </c>
    </row>
    <row r="820">
      <c r="A820" s="2" t="str">
        <f>Master_en!A820</f>
        <v>Pleaseprovidealltherequiredvalues!</v>
      </c>
      <c r="B820" s="2" t="str">
        <f>Master_en!B820</f>
        <v>Please provide all the required values!</v>
      </c>
      <c r="C820" s="2" t="str">
        <f>IFERROR(__xludf.DUMMYFUNCTION("""COMPUTED_VALUE"""),"দয়া করে সমস্ত প্রয়োজনীয় মান সরবরাহ করুন!")</f>
        <v>দয়া করে সমস্ত প্রয়োজনীয় মান সরবরাহ করুন!</v>
      </c>
      <c r="D820" s="2" t="str">
        <f>IFERROR(__xludf.DUMMYFUNCTION("""COMPUTED_VALUE"""),"कृपया सभी आवश्यक मान प्रदान करें!")</f>
        <v>कृपया सभी आवश्यक मान प्रदान करें!</v>
      </c>
      <c r="E820" s="2" t="str">
        <f>IFERROR(__xludf.DUMMYFUNCTION("""COMPUTED_VALUE"""),"ದಯವಿಟ್ಟು ಅಗತ್ಯವಿರುವ ಎಲ್ಲಾ ಮೌಲ್ಯಗಳನ್ನು ಒದಗಿಸಿ!")</f>
        <v>ದಯವಿಟ್ಟು ಅಗತ್ಯವಿರುವ ಎಲ್ಲಾ ಮೌಲ್ಯಗಳನ್ನು ಒದಗಿಸಿ!</v>
      </c>
      <c r="F820" s="2" t="str">
        <f>IFERROR(__xludf.DUMMYFUNCTION("""COMPUTED_VALUE"""),"ଦୟାକରି ସମସ୍ତ ଆବଶ୍ୟକୀୟ ମୂଲ୍ୟ ପ୍ରଦାନ କରନ୍ତୁ!")</f>
        <v>ଦୟାକରି ସମସ୍ତ ଆବଶ୍ୟକୀୟ ମୂଲ୍ୟ ପ୍ରଦାନ କରନ୍ତୁ!</v>
      </c>
      <c r="G820" s="2" t="str">
        <f>IFERROR(__xludf.DUMMYFUNCTION("""COMPUTED_VALUE"""),"অনুগ্ৰহ কৰি সকলো প্ৰয়োজনীয় মূল্য প্ৰদান কৰক!")</f>
        <v>অনুগ্ৰহ কৰি সকলো প্ৰয়োজনীয় মূল্য প্ৰদান কৰক!</v>
      </c>
      <c r="H820" s="2" t="str">
        <f>IFERROR(__xludf.DUMMYFUNCTION("""COMPUTED_VALUE"""),"કૃપા કરીને બધા જરૂરી મૂલ્યો પ્રદાન કરો!")</f>
        <v>કૃપા કરીને બધા જરૂરી મૂલ્યો પ્રદાન કરો!</v>
      </c>
      <c r="I820" s="2" t="str">
        <f>IFERROR(__xludf.DUMMYFUNCTION("""COMPUTED_VALUE"""),"कृपया सर्व आवश्यक मूल्ये प्रदान करा!")</f>
        <v>कृपया सर्व आवश्यक मूल्ये प्रदान करा!</v>
      </c>
      <c r="J820" s="2" t="str">
        <f>IFERROR(__xludf.DUMMYFUNCTION("""COMPUTED_VALUE"""),"ആവശ്യമായ എല്ലാ മൂല്യങ്ങളും ദയവായി നൽകുക!")</f>
        <v>ആവശ്യമായ എല്ലാ മൂല്യങ്ങളും ദയവായി നൽകുക!</v>
      </c>
      <c r="K820" s="2" t="str">
        <f>IFERROR(__xludf.DUMMYFUNCTION("""COMPUTED_VALUE"""),"ਕਿਰਪਾ ਕਰਕੇ ਸਾਰੇ ਲੋੜੀਂਦੇ ਮੁੱਲ ਪ੍ਰਦਾਨ ਕਰੋ!")</f>
        <v>ਕਿਰਪਾ ਕਰਕੇ ਸਾਰੇ ਲੋੜੀਂਦੇ ਮੁੱਲ ਪ੍ਰਦਾਨ ਕਰੋ!</v>
      </c>
      <c r="L820" s="2" t="str">
        <f>IFERROR(__xludf.DUMMYFUNCTION("""COMPUTED_VALUE"""),"தேவையான அனைத்து மதிப்புகளையும் வழங்கவும்!")</f>
        <v>தேவையான அனைத்து மதிப்புகளையும் வழங்கவும்!</v>
      </c>
      <c r="M820" s="2" t="str">
        <f>IFERROR(__xludf.DUMMYFUNCTION("""COMPUTED_VALUE"""),"దయచేసి అవసరమైన అన్ని విలువలను అందించండి!")</f>
        <v>దయచేసి అవసరమైన అన్ని విలువలను అందించండి!</v>
      </c>
    </row>
    <row r="821">
      <c r="A821" s="2" t="str">
        <f>Master_en!A821</f>
        <v>Taptoretry</v>
      </c>
      <c r="B821" s="2" t="str">
        <f>Master_en!B821</f>
        <v>Tap to retry</v>
      </c>
      <c r="C821" s="2" t="str">
        <f>IFERROR(__xludf.DUMMYFUNCTION("""COMPUTED_VALUE"""),"পুনরায় চেষ্টা করতে আলতো চাপুন")</f>
        <v>পুনরায় চেষ্টা করতে আলতো চাপুন</v>
      </c>
      <c r="D821" s="2" t="str">
        <f>IFERROR(__xludf.DUMMYFUNCTION("""COMPUTED_VALUE"""),"पुन: प्रयास करने के लिए ठोकिए")</f>
        <v>पुन: प्रयास करने के लिए ठोकिए</v>
      </c>
      <c r="E821" s="2" t="str">
        <f>IFERROR(__xludf.DUMMYFUNCTION("""COMPUTED_VALUE"""),"ಮರುಪ್ರಯತ್ನಿಸಲು ಟ್ಯಾಪ್ ಮಾಡಿ")</f>
        <v>ಮರುಪ್ರಯತ್ನಿಸಲು ಟ್ಯಾಪ್ ಮಾಡಿ</v>
      </c>
      <c r="F821" s="2" t="str">
        <f>IFERROR(__xludf.DUMMYFUNCTION("""COMPUTED_VALUE"""),"ପୁନ ry ଚେଷ୍ଟା କରିବାକୁ ଟ୍ୟାପ୍ କରନ୍ତୁ |")</f>
        <v>ପୁନ ry ଚେଷ୍ଟା କରିବାକୁ ଟ୍ୟାପ୍ କରନ୍ତୁ |</v>
      </c>
      <c r="G821" s="2" t="str">
        <f>IFERROR(__xludf.DUMMYFUNCTION("""COMPUTED_VALUE"""),"পুনৰ চেষ্টা কৰিবলৈ টেপ কৰক")</f>
        <v>পুনৰ চেষ্টা কৰিবলৈ টেপ কৰক</v>
      </c>
      <c r="H821" s="2" t="str">
        <f>IFERROR(__xludf.DUMMYFUNCTION("""COMPUTED_VALUE"""),"ફરી પ્રયાસ કરવા માટે ટેપ કરો")</f>
        <v>ફરી પ્રયાસ કરવા માટે ટેપ કરો</v>
      </c>
      <c r="I821" s="2" t="str">
        <f>IFERROR(__xludf.DUMMYFUNCTION("""COMPUTED_VALUE"""),"पुन्हा प्रयत्न करण्यासाठी टॅप करा")</f>
        <v>पुन्हा प्रयत्न करण्यासाठी टॅप करा</v>
      </c>
      <c r="J821" s="2" t="str">
        <f>IFERROR(__xludf.DUMMYFUNCTION("""COMPUTED_VALUE"""),"വീണ്ടും ശ്രമിക്കാനായി ക്ലിക്ക് ചെയ്യുക")</f>
        <v>വീണ്ടും ശ്രമിക്കാനായി ക്ലിക്ക് ചെയ്യുക</v>
      </c>
      <c r="K821" s="2" t="str">
        <f>IFERROR(__xludf.DUMMYFUNCTION("""COMPUTED_VALUE"""),"ਦੁਬਾਰਾ ਕੋਸ਼ਿਸ਼ ਕਰਨ ਲਈ ਟੈਪ ਕਰੋ")</f>
        <v>ਦੁਬਾਰਾ ਕੋਸ਼ਿਸ਼ ਕਰਨ ਲਈ ਟੈਪ ਕਰੋ</v>
      </c>
      <c r="L821" s="2" t="str">
        <f>IFERROR(__xludf.DUMMYFUNCTION("""COMPUTED_VALUE"""),"மீண்டும் முயற்சிக்க தட்டவும்")</f>
        <v>மீண்டும் முயற்சிக்க தட்டவும்</v>
      </c>
      <c r="M821" s="2" t="str">
        <f>IFERROR(__xludf.DUMMYFUNCTION("""COMPUTED_VALUE"""),"మరోసారి ప్రయత్నిచేందుకు తట్టండి")</f>
        <v>మరోసారి ప్రయత్నిచేందుకు తట్టండి</v>
      </c>
    </row>
    <row r="822">
      <c r="A822" s="2" t="str">
        <f>Master_en!A822</f>
        <v>somethingwentwrong</v>
      </c>
      <c r="B822" s="2" t="str">
        <f>Master_en!B822</f>
        <v>something went wrong</v>
      </c>
      <c r="C822" s="2" t="str">
        <f>IFERROR(__xludf.DUMMYFUNCTION("""COMPUTED_VALUE"""),"কিছু ভুল হয়েছে")</f>
        <v>কিছু ভুল হয়েছে</v>
      </c>
      <c r="D822" s="2" t="str">
        <f>IFERROR(__xludf.DUMMYFUNCTION("""COMPUTED_VALUE"""),"कुछ गलत हो गया")</f>
        <v>कुछ गलत हो गया</v>
      </c>
      <c r="E822" s="2" t="str">
        <f>IFERROR(__xludf.DUMMYFUNCTION("""COMPUTED_VALUE"""),"ಏನೋ ತಪ್ಪಾಗಿದೆ")</f>
        <v>ಏನೋ ತಪ್ಪಾಗಿದೆ</v>
      </c>
      <c r="F822" s="2" t="str">
        <f>IFERROR(__xludf.DUMMYFUNCTION("""COMPUTED_VALUE"""),"କିଛି ଭୁଲ ହୋଇ ଗଲା")</f>
        <v>କିଛି ଭୁଲ ହୋଇ ଗଲା</v>
      </c>
      <c r="G822" s="2" t="str">
        <f>IFERROR(__xludf.DUMMYFUNCTION("""COMPUTED_VALUE"""),"কিবা এটা ভুল হ’ল৷")</f>
        <v>কিবা এটা ভুল হ’ল৷</v>
      </c>
      <c r="H822" s="2" t="str">
        <f>IFERROR(__xludf.DUMMYFUNCTION("""COMPUTED_VALUE"""),"કંઈક ખોટું થયું")</f>
        <v>કંઈક ખોટું થયું</v>
      </c>
      <c r="I822" s="2" t="str">
        <f>IFERROR(__xludf.DUMMYFUNCTION("""COMPUTED_VALUE"""),"काहीतरी चूक झाली")</f>
        <v>काहीतरी चूक झाली</v>
      </c>
      <c r="J822" s="2" t="str">
        <f>IFERROR(__xludf.DUMMYFUNCTION("""COMPUTED_VALUE"""),"എന്തോ കുഴപ്പം സംഭവിച്ചു")</f>
        <v>എന്തോ കുഴപ്പം സംഭവിച്ചു</v>
      </c>
      <c r="K822" s="2" t="str">
        <f>IFERROR(__xludf.DUMMYFUNCTION("""COMPUTED_VALUE"""),"ਕੁਝ ਗਲਤ ਹੋ ਗਿਆ")</f>
        <v>ਕੁਝ ਗਲਤ ਹੋ ਗਿਆ</v>
      </c>
      <c r="L822" s="2" t="str">
        <f>IFERROR(__xludf.DUMMYFUNCTION("""COMPUTED_VALUE"""),"ஏதோ தவறு நடந்துவிட்டது")</f>
        <v>ஏதோ தவறு நடந்துவிட்டது</v>
      </c>
      <c r="M822" s="2" t="str">
        <f>IFERROR(__xludf.DUMMYFUNCTION("""COMPUTED_VALUE"""),"ఎక్కడో తేడ జరిగింది")</f>
        <v>ఎక్కడో తేడ జరిగింది</v>
      </c>
    </row>
    <row r="823">
      <c r="A823" s="2" t="str">
        <f>Master_en!A823</f>
        <v>Searchbyfruits,Categories</v>
      </c>
      <c r="B823" s="2" t="str">
        <f>Master_en!B823</f>
        <v>Search by Fruits, Categories</v>
      </c>
      <c r="C823" s="2" t="str">
        <f>IFERROR(__xludf.DUMMYFUNCTION("""COMPUTED_VALUE"""),"ফল, বিভাগ দ্বারা অনুসন্ধান করুন")</f>
        <v>ফল, বিভাগ দ্বারা অনুসন্ধান করুন</v>
      </c>
      <c r="D823" s="2" t="str">
        <f>IFERROR(__xludf.DUMMYFUNCTION("""COMPUTED_VALUE"""),"फलों, श्रेणियों द्वारा खोजें")</f>
        <v>फलों, श्रेणियों द्वारा खोजें</v>
      </c>
      <c r="E823" s="2" t="str">
        <f>IFERROR(__xludf.DUMMYFUNCTION("""COMPUTED_VALUE"""),"ಹಣ್ಣುಗಳು, ವರ್ಗಗಳ ಮೂಲಕ ಹುಡುಕಿ")</f>
        <v>ಹಣ್ಣುಗಳು, ವರ್ಗಗಳ ಮೂಲಕ ಹುಡುಕಿ</v>
      </c>
      <c r="F823" s="2" t="str">
        <f>IFERROR(__xludf.DUMMYFUNCTION("""COMPUTED_VALUE"""),"ଫଳଗୁଡିକ ଦ୍ୱାରା ସନ୍ଧାନ, ବର୍ଗଗୁଡିକ |")</f>
        <v>ଫଳଗୁଡିକ ଦ୍ୱାରା ସନ୍ଧାନ, ବର୍ଗଗୁଡିକ |</v>
      </c>
      <c r="G823" s="2" t="str">
        <f>IFERROR(__xludf.DUMMYFUNCTION("""COMPUTED_VALUE"""),"ফলৰ দ্বাৰা সন্ধান কৰক, শ্ৰেণী")</f>
        <v>ফলৰ দ্বাৰা সন্ধান কৰক, শ্ৰেণী</v>
      </c>
      <c r="H823" s="2" t="str">
        <f>IFERROR(__xludf.DUMMYFUNCTION("""COMPUTED_VALUE"""),"ફળો, કેટેગરીઝ દ્વારા શોધો")</f>
        <v>ફળો, કેટેગરીઝ દ્વારા શોધો</v>
      </c>
      <c r="I823" s="2" t="str">
        <f>IFERROR(__xludf.DUMMYFUNCTION("""COMPUTED_VALUE"""),"फळे, श्रेण्यांद्वारे शोधा")</f>
        <v>फळे, श्रेण्यांद्वारे शोधा</v>
      </c>
      <c r="J823" s="2" t="str">
        <f>IFERROR(__xludf.DUMMYFUNCTION("""COMPUTED_VALUE"""),"പഴങ്ങൾ, വിഭാഗങ്ങൾ എന്നിവ ഉപയോഗിച്ച് തിരയുക")</f>
        <v>പഴങ്ങൾ, വിഭാഗങ്ങൾ എന്നിവ ഉപയോഗിച്ച് തിരയുക</v>
      </c>
      <c r="K823" s="2" t="str">
        <f>IFERROR(__xludf.DUMMYFUNCTION("""COMPUTED_VALUE"""),"ਫਲ, ਸ਼੍ਰੇਣੀਆਂ ਦੁਆਰਾ ਖੋਜ")</f>
        <v>ਫਲ, ਸ਼੍ਰੇਣੀਆਂ ਦੁਆਰਾ ਖੋਜ</v>
      </c>
      <c r="L823" s="2" t="str">
        <f>IFERROR(__xludf.DUMMYFUNCTION("""COMPUTED_VALUE"""),"பழங்கள் வகை மூலம் தேடல்")</f>
        <v>பழங்கள் வகை மூலம் தேடல்</v>
      </c>
      <c r="M823" s="2" t="str">
        <f>IFERROR(__xludf.DUMMYFUNCTION("""COMPUTED_VALUE"""),"పండ్లు, వర్గాల ద్వారా శోధించండి")</f>
        <v>పండ్లు, వర్గాల ద్వారా శోధించండి</v>
      </c>
    </row>
    <row r="824">
      <c r="A824" s="2" t="str">
        <f>Master_en!A824</f>
        <v>PleaseEnterPincode</v>
      </c>
      <c r="B824" s="2" t="str">
        <f>Master_en!B824</f>
        <v>Please Enter Pincode</v>
      </c>
      <c r="C824" s="2" t="str">
        <f>IFERROR(__xludf.DUMMYFUNCTION("""COMPUTED_VALUE"""),"দয়া করে পিনকোড লিখুন")</f>
        <v>দয়া করে পিনকোড লিখুন</v>
      </c>
      <c r="D824" s="2" t="str">
        <f>IFERROR(__xludf.DUMMYFUNCTION("""COMPUTED_VALUE"""),"कृपया पिनकोड दर्ज करें")</f>
        <v>कृपया पिनकोड दर्ज करें</v>
      </c>
      <c r="E824" s="2" t="str">
        <f>IFERROR(__xludf.DUMMYFUNCTION("""COMPUTED_VALUE"""),"ದಯವಿಟ್ಟು ಪಿಂಕೋಡ್ ಅನ್ನು ನಮೂದಿಸಿ")</f>
        <v>ದಯವಿಟ್ಟು ಪಿಂಕೋಡ್ ಅನ್ನು ನಮೂದಿಸಿ</v>
      </c>
      <c r="F824" s="2" t="str">
        <f>IFERROR(__xludf.DUMMYFUNCTION("""COMPUTED_VALUE"""),"ଦୟାକରି ପିନକୋଡ୍ ପ୍ରବେଶ କରନ୍ତୁ |")</f>
        <v>ଦୟାକରି ପିନକୋଡ୍ ପ୍ରବେଶ କରନ୍ତୁ |</v>
      </c>
      <c r="G824" s="2" t="str">
        <f>IFERROR(__xludf.DUMMYFUNCTION("""COMPUTED_VALUE"""),"অনুগ্ৰহ কৰি পিনক'ড দিয়ক")</f>
        <v>অনুগ্ৰহ কৰি পিনক'ড দিয়ক</v>
      </c>
      <c r="H824" s="2" t="str">
        <f>IFERROR(__xludf.DUMMYFUNCTION("""COMPUTED_VALUE"""),"કૃપા કરીને પિનકોડ દાખલ કરો")</f>
        <v>કૃપા કરીને પિનકોડ દાખલ કરો</v>
      </c>
      <c r="I824" s="2" t="str">
        <f>IFERROR(__xludf.DUMMYFUNCTION("""COMPUTED_VALUE"""),"कृपया पिनकोड प्रविष्ट करा")</f>
        <v>कृपया पिनकोड प्रविष्ट करा</v>
      </c>
      <c r="J824" s="2" t="str">
        <f>IFERROR(__xludf.DUMMYFUNCTION("""COMPUTED_VALUE"""),"ദയവായി പിങ്കോഡ് നൽകുക")</f>
        <v>ദയവായി പിങ്കോഡ് നൽകുക</v>
      </c>
      <c r="K824" s="2" t="str">
        <f>IFERROR(__xludf.DUMMYFUNCTION("""COMPUTED_VALUE"""),"ਕਿਰਪਾ ਕਰਕੇ ਪਿੰਨਕੋਡ ਦਰਜ ਕਰੋ")</f>
        <v>ਕਿਰਪਾ ਕਰਕੇ ਪਿੰਨਕੋਡ ਦਰਜ ਕਰੋ</v>
      </c>
      <c r="L824" s="2" t="str">
        <f>IFERROR(__xludf.DUMMYFUNCTION("""COMPUTED_VALUE"""),"தயவுசெய்து பின்கோட் உள்ளிடவும்")</f>
        <v>தயவுசெய்து பின்கோட் உள்ளிடவும்</v>
      </c>
      <c r="M824" s="2" t="str">
        <f>IFERROR(__xludf.DUMMYFUNCTION("""COMPUTED_VALUE"""),"దయచేసి పిన్‌కోడ్‌ను నమోదు చేయండి")</f>
        <v>దయచేసి పిన్‌కోడ్‌ను నమోదు చేయండి</v>
      </c>
    </row>
    <row r="825">
      <c r="A825" s="2" t="str">
        <f>Master_en!A825</f>
        <v>PleaseEnterHouse/Flat/Blockno</v>
      </c>
      <c r="B825" s="2" t="str">
        <f>Master_en!B825</f>
        <v>Please Enter House/Flat/Block no</v>
      </c>
      <c r="C825" s="2" t="str">
        <f>IFERROR(__xludf.DUMMYFUNCTION("""COMPUTED_VALUE"""),"দয়া করে হাউস/ফ্ল্যাট/ব্লক নং প্রবেশ করুন")</f>
        <v>দয়া করে হাউস/ফ্ল্যাট/ব্লক নং প্রবেশ করুন</v>
      </c>
      <c r="D825" s="2" t="str">
        <f>IFERROR(__xludf.DUMMYFUNCTION("""COMPUTED_VALUE"""),"कृपया घर/फ्लैट/ब्लॉक नहीं दर्ज करें")</f>
        <v>कृपया घर/फ्लैट/ब्लॉक नहीं दर्ज करें</v>
      </c>
      <c r="E825" s="2" t="str">
        <f>IFERROR(__xludf.DUMMYFUNCTION("""COMPUTED_VALUE"""),"ದಯವಿಟ್ಟು ಮನೆ/ಫ್ಲಾಟ್/ಬ್ಲಾಕ್ ಇಲ್ಲ ನಮೂದಿಸಿ")</f>
        <v>ದಯವಿಟ್ಟು ಮನೆ/ಫ್ಲಾಟ್/ಬ್ಲಾಕ್ ಇಲ್ಲ ನಮೂದಿಸಿ</v>
      </c>
      <c r="F825" s="2" t="str">
        <f>IFERROR(__xludf.DUMMYFUNCTION("""COMPUTED_VALUE"""),"ଦୟାକରି ଘର / ଫ୍ଲାଟ / ବ୍ଲକ୍ ନଂ ପ୍ରବେଶ କରନ୍ତୁ |")</f>
        <v>ଦୟାକରି ଘର / ଫ୍ଲାଟ / ବ୍ଲକ୍ ନଂ ପ୍ରବେଶ କରନ୍ତୁ |</v>
      </c>
      <c r="G825" s="2" t="str">
        <f>IFERROR(__xludf.DUMMYFUNCTION("""COMPUTED_VALUE"""),"অনুগ্ৰহ কৰি ঘৰ/ফ্লেট/ব্লক নং")</f>
        <v>অনুগ্ৰহ কৰি ঘৰ/ফ্লেট/ব্লক নং</v>
      </c>
      <c r="H825" s="2" t="str">
        <f>IFERROR(__xludf.DUMMYFUNCTION("""COMPUTED_VALUE"""),"કૃપા કરીને ઘર/ફ્લેટ/બ્લોક નંબર દાખલ કરો")</f>
        <v>કૃપા કરીને ઘર/ફ્લેટ/બ્લોક નંબર દાખલ કરો</v>
      </c>
      <c r="I825" s="2" t="str">
        <f>IFERROR(__xludf.DUMMYFUNCTION("""COMPUTED_VALUE"""),"कृपया घर/फ्लॅट/ब्लॉक क्रमांक प्रविष्ट करा")</f>
        <v>कृपया घर/फ्लॅट/ब्लॉक क्रमांक प्रविष्ट करा</v>
      </c>
      <c r="J825" s="2" t="str">
        <f>IFERROR(__xludf.DUMMYFUNCTION("""COMPUTED_VALUE"""),"ദയവായി വീട് / ഫ്ലാറ്റ് / ബ്ലോക്ക് നമ്പർ നൽകുക")</f>
        <v>ദയവായി വീട് / ഫ്ലാറ്റ് / ബ്ലോക്ക് നമ്പർ നൽകുക</v>
      </c>
      <c r="K825" s="2" t="str">
        <f>IFERROR(__xludf.DUMMYFUNCTION("""COMPUTED_VALUE"""),"ਕਿਰਪਾ ਕਰਕੇ ਘਰ / ਫਲੈਟ / ਬਲਾਕ ਨਾ ਦਿਓ")</f>
        <v>ਕਿਰਪਾ ਕਰਕੇ ਘਰ / ਫਲੈਟ / ਬਲਾਕ ਨਾ ਦਿਓ</v>
      </c>
      <c r="L825" s="2" t="str">
        <f>IFERROR(__xludf.DUMMYFUNCTION("""COMPUTED_VALUE"""),"தயவுசெய்து வீடு/பிளாட்/பிளாக் எண் உள்ளிடவும்")</f>
        <v>தயவுசெய்து வீடு/பிளாட்/பிளாக் எண் உள்ளிடவும்</v>
      </c>
      <c r="M825" s="2" t="str">
        <f>IFERROR(__xludf.DUMMYFUNCTION("""COMPUTED_VALUE"""),"దయచేసి ఇల్లు/ఫ్లాట్/బ్లాక్ సంఖ్యను నమోదు చేయండి")</f>
        <v>దయచేసి ఇల్లు/ఫ్లాట్/బ్లాక్ సంఖ్యను నమోదు చేయండి</v>
      </c>
    </row>
    <row r="826">
      <c r="A826" s="2" t="str">
        <f>Master_en!A826</f>
        <v>PleaseEnterApartment/Road/Area</v>
      </c>
      <c r="B826" s="2" t="str">
        <f>Master_en!B826</f>
        <v>Please Enter Apartment/Road/Area</v>
      </c>
      <c r="C826" s="2" t="str">
        <f>IFERROR(__xludf.DUMMYFUNCTION("""COMPUTED_VALUE"""),"অ্যাপার্টমেন্ট/রাস্তা/অঞ্চল প্রবেশ করুন")</f>
        <v>অ্যাপার্টমেন্ট/রাস্তা/অঞ্চল প্রবেশ করুন</v>
      </c>
      <c r="D826" s="2" t="str">
        <f>IFERROR(__xludf.DUMMYFUNCTION("""COMPUTED_VALUE"""),"कृपया अपार्टमेंट/सड़क/क्षेत्र में प्रवेश करें")</f>
        <v>कृपया अपार्टमेंट/सड़क/क्षेत्र में प्रवेश करें</v>
      </c>
      <c r="E826" s="2" t="str">
        <f>IFERROR(__xludf.DUMMYFUNCTION("""COMPUTED_VALUE"""),"ದಯವಿಟ್ಟು ಅಪಾರ್ಟ್ಮೆಂಟ್/ರಸ್ತೆ/ಪ್ರದೇಶವನ್ನು ನಮೂದಿಸಿ")</f>
        <v>ದಯವಿಟ್ಟು ಅಪಾರ್ಟ್ಮೆಂಟ್/ರಸ್ತೆ/ಪ್ರದೇಶವನ್ನು ನಮೂದಿಸಿ</v>
      </c>
      <c r="F826" s="2" t="str">
        <f>IFERROR(__xludf.DUMMYFUNCTION("""COMPUTED_VALUE"""),"ଦୟାକରି ଆପାର୍ଟମେଣ୍ଟ / ରୋଡ୍ / କ୍ଷେତ୍ର ପ୍ରବେଶ କରନ୍ତୁ |")</f>
        <v>ଦୟାକରି ଆପାର୍ଟମେଣ୍ଟ / ରୋଡ୍ / କ୍ଷେତ୍ର ପ୍ରବେଶ କରନ୍ତୁ |</v>
      </c>
      <c r="G826" s="2" t="str">
        <f>IFERROR(__xludf.DUMMYFUNCTION("""COMPUTED_VALUE"""),"অনুগ্ৰহ কৰি এপাৰ্টমেণ্ট/ৰোড/এলেকাত প্ৰৱেশ কৰক")</f>
        <v>অনুগ্ৰহ কৰি এপাৰ্টমেণ্ট/ৰোড/এলেকাত প্ৰৱেশ কৰক</v>
      </c>
      <c r="H826" s="2" t="str">
        <f>IFERROR(__xludf.DUMMYFUNCTION("""COMPUTED_VALUE"""),"કૃપા કરીને apartment પાર્ટમેન્ટ/માર્ગ/વિસ્તાર દાખલ કરો")</f>
        <v>કૃપા કરીને apartment પાર્ટમેન્ટ/માર્ગ/વિસ્તાર દાખલ કરો</v>
      </c>
      <c r="I826" s="2" t="str">
        <f>IFERROR(__xludf.DUMMYFUNCTION("""COMPUTED_VALUE"""),"कृपया अपार्टमेंट/रस्ता/क्षेत्र प्रविष्ट करा")</f>
        <v>कृपया अपार्टमेंट/रस्ता/क्षेत्र प्रविष्ट करा</v>
      </c>
      <c r="J826" s="2" t="str">
        <f>IFERROR(__xludf.DUMMYFUNCTION("""COMPUTED_VALUE"""),"അപ്പാർട്ട്മെന്റ് / റോഡ് / ഏരിയ നൽകുക")</f>
        <v>അപ്പാർട്ട്മെന്റ് / റോഡ് / ഏരിയ നൽകുക</v>
      </c>
      <c r="K826" s="2" t="str">
        <f>IFERROR(__xludf.DUMMYFUNCTION("""COMPUTED_VALUE"""),"ਕਿਰਪਾ ਕਰਕੇ ਅਪਾਰਟਮੈਂਟ / ਰੋਡ / ਏਰੀਆ ਦਾਖਲ ਕਰੋ")</f>
        <v>ਕਿਰਪਾ ਕਰਕੇ ਅਪਾਰਟਮੈਂਟ / ਰੋਡ / ਏਰੀਆ ਦਾਖਲ ਕਰੋ</v>
      </c>
      <c r="L826" s="2" t="str">
        <f>IFERROR(__xludf.DUMMYFUNCTION("""COMPUTED_VALUE"""),"தயவுசெய்து அபார்ட்மென்ட்/சாலை/பகுதியை உள்ளிடவும்")</f>
        <v>தயவுசெய்து அபார்ட்மென்ட்/சாலை/பகுதியை உள்ளிடவும்</v>
      </c>
      <c r="M826" s="2" t="str">
        <f>IFERROR(__xludf.DUMMYFUNCTION("""COMPUTED_VALUE"""),"దయచేసి అపార్ట్మెంట్/రోడ్/ప్రాంతాన్ని నమోదు చేయండి")</f>
        <v>దయచేసి అపార్ట్మెంట్/రోడ్/ప్రాంతాన్ని నమోదు చేయండి</v>
      </c>
    </row>
    <row r="827">
      <c r="A827" s="2" t="str">
        <f>Master_en!A827</f>
        <v>PleaseEnterLandmark</v>
      </c>
      <c r="B827" s="2" t="str">
        <f>Master_en!B827</f>
        <v>Please Enter Landmark</v>
      </c>
      <c r="C827" s="2" t="str">
        <f>IFERROR(__xludf.DUMMYFUNCTION("""COMPUTED_VALUE"""),"ল্যান্ডমার্ক প্রবেশ করুন")</f>
        <v>ল্যান্ডমার্ক প্রবেশ করুন</v>
      </c>
      <c r="D827" s="2" t="str">
        <f>IFERROR(__xludf.DUMMYFUNCTION("""COMPUTED_VALUE"""),"कृपया लैंडमार्क दर्ज करें")</f>
        <v>कृपया लैंडमार्क दर्ज करें</v>
      </c>
      <c r="E827" s="2" t="str">
        <f>IFERROR(__xludf.DUMMYFUNCTION("""COMPUTED_VALUE"""),"ದಯವಿಟ್ಟು ಹೆಗ್ಗುರುತು ನಮೂದಿಸಿ")</f>
        <v>ದಯವಿಟ್ಟು ಹೆಗ್ಗುರುತು ನಮೂದಿಸಿ</v>
      </c>
      <c r="F827" s="2" t="str">
        <f>IFERROR(__xludf.DUMMYFUNCTION("""COMPUTED_VALUE"""),"ଦୟାକରି ଲ୍ୟାଣ୍ଡମାର୍କ ପ୍ରବେଶ କରନ୍ତୁ |")</f>
        <v>ଦୟାକରି ଲ୍ୟାଣ୍ଡମାର୍କ ପ୍ରବେଶ କରନ୍ତୁ |</v>
      </c>
      <c r="G827" s="2" t="str">
        <f>IFERROR(__xludf.DUMMYFUNCTION("""COMPUTED_VALUE"""),"অনুগ্ৰহ কৰি লেণ্ডমাৰ্ক প্ৰৱেশ কৰক")</f>
        <v>অনুগ্ৰহ কৰি লেণ্ডমাৰ্ক প্ৰৱেশ কৰক</v>
      </c>
      <c r="H827" s="2" t="str">
        <f>IFERROR(__xludf.DUMMYFUNCTION("""COMPUTED_VALUE"""),"કૃપા કરીને સીમાચિહ્ન દાખલ કરો")</f>
        <v>કૃપા કરીને સીમાચિહ્ન દાખલ કરો</v>
      </c>
      <c r="I827" s="2" t="str">
        <f>IFERROR(__xludf.DUMMYFUNCTION("""COMPUTED_VALUE"""),"कृपया लँडमार्क प्रविष्ट करा")</f>
        <v>कृपया लँडमार्क प्रविष्ट करा</v>
      </c>
      <c r="J827" s="2" t="str">
        <f>IFERROR(__xludf.DUMMYFUNCTION("""COMPUTED_VALUE"""),"ലാൻഡ്മാർക്ക് നൽകുക")</f>
        <v>ലാൻഡ്മാർക്ക് നൽകുക</v>
      </c>
      <c r="K827" s="2" t="str">
        <f>IFERROR(__xludf.DUMMYFUNCTION("""COMPUTED_VALUE"""),"ਕਿਰਪਾ ਕਰਕੇ ਨਿਸ਼ਾਨ ਲਗਾਓ")</f>
        <v>ਕਿਰਪਾ ਕਰਕੇ ਨਿਸ਼ਾਨ ਲਗਾਓ</v>
      </c>
      <c r="L827" s="2" t="str">
        <f>IFERROR(__xludf.DUMMYFUNCTION("""COMPUTED_VALUE"""),"தயவுசெய்து லேண்ட்மார்க் உள்ளிடவும்")</f>
        <v>தயவுசெய்து லேண்ட்மார்க் உள்ளிடவும்</v>
      </c>
      <c r="M827" s="2" t="str">
        <f>IFERROR(__xludf.DUMMYFUNCTION("""COMPUTED_VALUE"""),"దయచేసి మైలురాయిని నమోదు చేయండి")</f>
        <v>దయచేసి మైలురాయిని నమోదు చేయండి</v>
      </c>
    </row>
    <row r="828">
      <c r="A828" s="2" t="str">
        <f>Master_en!A828</f>
        <v>Pre-Order</v>
      </c>
      <c r="B828" s="2" t="str">
        <f>Master_en!B828</f>
        <v>Pre-Order</v>
      </c>
      <c r="C828" s="2" t="str">
        <f>IFERROR(__xludf.DUMMYFUNCTION("""COMPUTED_VALUE"""),"পূর্বাদেশ")</f>
        <v>পূর্বাদেশ</v>
      </c>
      <c r="D828" s="2" t="str">
        <f>IFERROR(__xludf.DUMMYFUNCTION("""COMPUTED_VALUE"""),"पूर्व आदेश")</f>
        <v>पूर्व आदेश</v>
      </c>
      <c r="E828" s="2" t="str">
        <f>IFERROR(__xludf.DUMMYFUNCTION("""COMPUTED_VALUE"""),"ಮೊದಲೇ ಆದೇಶ")</f>
        <v>ಮೊದಲೇ ಆದೇಶ</v>
      </c>
      <c r="F828" s="2" t="str">
        <f>IFERROR(__xludf.DUMMYFUNCTION("""COMPUTED_VALUE"""),"ପୂର୍ବ ଆଦେଶ")</f>
        <v>ପୂର୍ବ ଆଦେଶ</v>
      </c>
      <c r="G828" s="2" t="str">
        <f>IFERROR(__xludf.DUMMYFUNCTION("""COMPUTED_VALUE"""),"প্ৰি-অৰ্ডাৰ")</f>
        <v>প্ৰি-অৰ্ডাৰ</v>
      </c>
      <c r="H828" s="2" t="str">
        <f>IFERROR(__xludf.DUMMYFUNCTION("""COMPUTED_VALUE"""),"ચોરસ")</f>
        <v>ચોરસ</v>
      </c>
      <c r="I828" s="2" t="str">
        <f>IFERROR(__xludf.DUMMYFUNCTION("""COMPUTED_VALUE"""),"पूर्व-मागणी")</f>
        <v>पूर्व-मागणी</v>
      </c>
      <c r="J828" s="2" t="str">
        <f>IFERROR(__xludf.DUMMYFUNCTION("""COMPUTED_VALUE"""),"പ്രി ഓർഡർ")</f>
        <v>പ്രി ഓർഡർ</v>
      </c>
      <c r="K828" s="2" t="str">
        <f>IFERROR(__xludf.DUMMYFUNCTION("""COMPUTED_VALUE"""),"ਪੂਰਵ ਆਦੇਸ਼")</f>
        <v>ਪੂਰਵ ਆਦੇਸ਼</v>
      </c>
      <c r="L828" s="2" t="str">
        <f>IFERROR(__xludf.DUMMYFUNCTION("""COMPUTED_VALUE"""),"முன்பதிவு")</f>
        <v>முன்பதிவு</v>
      </c>
      <c r="M828" s="2" t="str">
        <f>IFERROR(__xludf.DUMMYFUNCTION("""COMPUTED_VALUE"""),"ముందస్తు ఉత్తర్వులు")</f>
        <v>ముందస్తు ఉత్తర్వులు</v>
      </c>
    </row>
    <row r="829">
      <c r="A829" s="2" t="str">
        <f>Master_en!A829</f>
        <v>BrowseCatalog</v>
      </c>
      <c r="B829" s="2" t="str">
        <f>Master_en!B829</f>
        <v>Browse Catalog</v>
      </c>
      <c r="C829" s="2" t="str">
        <f>IFERROR(__xludf.DUMMYFUNCTION("""COMPUTED_VALUE"""),"ক্যাটালগ ব্রাউজ করুন")</f>
        <v>ক্যাটালগ ব্রাউজ করুন</v>
      </c>
      <c r="D829" s="2" t="str">
        <f>IFERROR(__xludf.DUMMYFUNCTION("""COMPUTED_VALUE"""),"ब्राउज़ कैटलॉग")</f>
        <v>ब्राउज़ कैटलॉग</v>
      </c>
      <c r="E829" s="2" t="str">
        <f>IFERROR(__xludf.DUMMYFUNCTION("""COMPUTED_VALUE"""),"ಬ್ರೌಸ್ ಕ್ಯಾಟಲಾಗ್")</f>
        <v>ಬ್ರೌಸ್ ಕ್ಯಾಟಲಾಗ್</v>
      </c>
      <c r="F829" s="2" t="str">
        <f>IFERROR(__xludf.DUMMYFUNCTION("""COMPUTED_VALUE"""),"କାଟାଲଗ୍ ବ୍ରାଉଜ୍ କରନ୍ତୁ |")</f>
        <v>କାଟାଲଗ୍ ବ୍ରାଉଜ୍ କରନ୍ତୁ |</v>
      </c>
      <c r="G829" s="2" t="str">
        <f>IFERROR(__xludf.DUMMYFUNCTION("""COMPUTED_VALUE"""),"কেটেলগ ব্ৰাউজ কৰক")</f>
        <v>কেটেলগ ব্ৰাউজ কৰক</v>
      </c>
      <c r="H829" s="2" t="str">
        <f>IFERROR(__xludf.DUMMYFUNCTION("""COMPUTED_VALUE"""),"બ્રાઉઝ કેટલોગ")</f>
        <v>બ્રાઉઝ કેટલોગ</v>
      </c>
      <c r="I829" s="2" t="str">
        <f>IFERROR(__xludf.DUMMYFUNCTION("""COMPUTED_VALUE"""),"कॅटलॉग ब्राउझ करा")</f>
        <v>कॅटलॉग ब्राउझ करा</v>
      </c>
      <c r="J829" s="2" t="str">
        <f>IFERROR(__xludf.DUMMYFUNCTION("""COMPUTED_VALUE"""),"കാറ്റലോഗ് ബ്ര rowse സ് ചെയ്യുക")</f>
        <v>കാറ്റലോഗ് ബ്ര rowse സ് ചെയ്യുക</v>
      </c>
      <c r="K829" s="2" t="str">
        <f>IFERROR(__xludf.DUMMYFUNCTION("""COMPUTED_VALUE"""),"ਬ੍ਰਾ .ਜ਼ ਦੀ ਝਲਕ ਵੇਖਾਓ")</f>
        <v>ਬ੍ਰਾ .ਜ਼ ਦੀ ਝਲਕ ਵੇਖਾਓ</v>
      </c>
      <c r="L829" s="2" t="str">
        <f>IFERROR(__xludf.DUMMYFUNCTION("""COMPUTED_VALUE"""),"பட்டியலை உலாவுக")</f>
        <v>பட்டியலை உலாவுக</v>
      </c>
      <c r="M829" s="2" t="str">
        <f>IFERROR(__xludf.DUMMYFUNCTION("""COMPUTED_VALUE"""),"బ్రౌజ్ కేటలాగ్")</f>
        <v>బ్రౌజ్ కేటలాగ్</v>
      </c>
    </row>
    <row r="830">
      <c r="A830" s="2" t="str">
        <f>Master_en!A830</f>
        <v>IFSCisRequired</v>
      </c>
      <c r="B830" s="2" t="str">
        <f>Master_en!B830</f>
        <v>IFSC is Required</v>
      </c>
      <c r="C830" s="2" t="str">
        <f>IFERROR(__xludf.DUMMYFUNCTION("""COMPUTED_VALUE"""),"আইএফএসসি প্রয়োজন")</f>
        <v>আইএফএসসি প্রয়োজন</v>
      </c>
      <c r="D830" s="2" t="str">
        <f>IFERROR(__xludf.DUMMYFUNCTION("""COMPUTED_VALUE"""),"आईएफ़एससी आवश्यक है")</f>
        <v>आईएफ़एससी आवश्यक है</v>
      </c>
      <c r="E830" s="2" t="str">
        <f>IFERROR(__xludf.DUMMYFUNCTION("""COMPUTED_VALUE"""),"ಐಎಫ್ಎಸ್ಸಿ ಅಗತ್ಯವಿದೆ")</f>
        <v>ಐಎಫ್ಎಸ್ಸಿ ಅಗತ್ಯವಿದೆ</v>
      </c>
      <c r="F830" s="2" t="str">
        <f>IFERROR(__xludf.DUMMYFUNCTION("""COMPUTED_VALUE"""),"Ifsc ଆବଶ୍ୟକ |")</f>
        <v>Ifsc ଆବଶ୍ୟକ |</v>
      </c>
      <c r="G830" s="2" t="str">
        <f>IFERROR(__xludf.DUMMYFUNCTION("""COMPUTED_VALUE"""),"আই এফ এছ চিৰ প্ৰয়োজন")</f>
        <v>আই এফ এছ চিৰ প্ৰয়োজন</v>
      </c>
      <c r="H830" s="2" t="str">
        <f>IFERROR(__xludf.DUMMYFUNCTION("""COMPUTED_VALUE"""),"આઈએફએસસી આવશ્યક છે")</f>
        <v>આઈએફએસસી આવશ્યક છે</v>
      </c>
      <c r="I830" s="2" t="str">
        <f>IFERROR(__xludf.DUMMYFUNCTION("""COMPUTED_VALUE"""),"आयएफएससी आवश्यक आहे")</f>
        <v>आयएफएससी आवश्यक आहे</v>
      </c>
      <c r="J830" s="2" t="str">
        <f>IFERROR(__xludf.DUMMYFUNCTION("""COMPUTED_VALUE"""),"Ifsc ആവശ്യമാണ്")</f>
        <v>Ifsc ആവശ്യമാണ്</v>
      </c>
      <c r="K830" s="2" t="str">
        <f>IFERROR(__xludf.DUMMYFUNCTION("""COMPUTED_VALUE"""),"ਆਈਐਫਐਸਸੀ ਦੀ ਲੋੜ ਹੈ")</f>
        <v>ਆਈਐਫਐਸਸੀ ਦੀ ਲੋੜ ਹੈ</v>
      </c>
      <c r="L830" s="2" t="str">
        <f>IFERROR(__xludf.DUMMYFUNCTION("""COMPUTED_VALUE"""),"IFSC தேவை")</f>
        <v>IFSC தேவை</v>
      </c>
      <c r="M830" s="2" t="str">
        <f>IFERROR(__xludf.DUMMYFUNCTION("""COMPUTED_VALUE"""),"IFSC అవసరం")</f>
        <v>IFSC అవసరం</v>
      </c>
    </row>
    <row r="831">
      <c r="A831" s="2" t="str">
        <f>Master_en!A831</f>
        <v>PANNumberisRequired.</v>
      </c>
      <c r="B831" s="2" t="str">
        <f>Master_en!B831</f>
        <v>PAN Number is Required.</v>
      </c>
      <c r="C831" s="2" t="str">
        <f>IFERROR(__xludf.DUMMYFUNCTION("""COMPUTED_VALUE"""),"প্যান নম্বর প্রয়োজন।")</f>
        <v>প্যান নম্বর প্রয়োজন।</v>
      </c>
      <c r="D831" s="2" t="str">
        <f>IFERROR(__xludf.DUMMYFUNCTION("""COMPUTED_VALUE"""),"पैन नंबर की आवश्यकता है।")</f>
        <v>पैन नंबर की आवश्यकता है।</v>
      </c>
      <c r="E831" s="2" t="str">
        <f>IFERROR(__xludf.DUMMYFUNCTION("""COMPUTED_VALUE"""),"ಪ್ಯಾನ್ ಸಂಖ್ಯೆ ಅಗತ್ಯವಿದೆ.")</f>
        <v>ಪ್ಯಾನ್ ಸಂಖ್ಯೆ ಅಗತ್ಯವಿದೆ.</v>
      </c>
      <c r="F831" s="2" t="str">
        <f>IFERROR(__xludf.DUMMYFUNCTION("""COMPUTED_VALUE"""),"ପାନ୍ ନମ୍ବର ଆବଶ୍ୟକ |")</f>
        <v>ପାନ୍ ନମ୍ବର ଆବଶ୍ୟକ |</v>
      </c>
      <c r="G831" s="2" t="str">
        <f>IFERROR(__xludf.DUMMYFUNCTION("""COMPUTED_VALUE"""),"পেন নম্বৰৰ প্ৰয়োজন।")</f>
        <v>পেন নম্বৰৰ প্ৰয়োজন।</v>
      </c>
      <c r="H831" s="2" t="str">
        <f>IFERROR(__xludf.DUMMYFUNCTION("""COMPUTED_VALUE"""),"પાન નંબર જરૂરી છે.")</f>
        <v>પાન નંબર જરૂરી છે.</v>
      </c>
      <c r="I831" s="2" t="str">
        <f>IFERROR(__xludf.DUMMYFUNCTION("""COMPUTED_VALUE"""),"पॅन नंबर आवश्यक आहे.")</f>
        <v>पॅन नंबर आवश्यक आहे.</v>
      </c>
      <c r="J831" s="2" t="str">
        <f>IFERROR(__xludf.DUMMYFUNCTION("""COMPUTED_VALUE"""),"പാൻ നമ്പർ ആവശ്യമാണ്.")</f>
        <v>പാൻ നമ്പർ ആവശ്യമാണ്.</v>
      </c>
      <c r="K831" s="2" t="str">
        <f>IFERROR(__xludf.DUMMYFUNCTION("""COMPUTED_VALUE"""),"ਪੈਨ ਨੰਬਰ ਲੋੜੀਂਦਾ ਹੈ.")</f>
        <v>ਪੈਨ ਨੰਬਰ ਲੋੜੀਂਦਾ ਹੈ.</v>
      </c>
      <c r="L831" s="2" t="str">
        <f>IFERROR(__xludf.DUMMYFUNCTION("""COMPUTED_VALUE"""),"பான் எண் தேவை.")</f>
        <v>பான் எண் தேவை.</v>
      </c>
      <c r="M831" s="2" t="str">
        <f>IFERROR(__xludf.DUMMYFUNCTION("""COMPUTED_VALUE"""),"పాన్ సంఖ్య అవసరం.")</f>
        <v>పాన్ సంఖ్య అవసరం.</v>
      </c>
    </row>
    <row r="832">
      <c r="A832" s="2" t="str">
        <f>Master_en!A832</f>
        <v>Accept-popupworks!</v>
      </c>
      <c r="B832" s="2" t="str">
        <f>Master_en!B832</f>
        <v>Accept-Popup Works!</v>
      </c>
      <c r="C832" s="2" t="str">
        <f>IFERROR(__xludf.DUMMYFUNCTION("""COMPUTED_VALUE"""),"গ্রহণ-পপআপ কাজ!")</f>
        <v>গ্রহণ-পপআপ কাজ!</v>
      </c>
      <c r="D832" s="2" t="str">
        <f>IFERROR(__xludf.DUMMYFUNCTION("""COMPUTED_VALUE"""),"स्वीकार-पॉपअप काम करता है!")</f>
        <v>स्वीकार-पॉपअप काम करता है!</v>
      </c>
      <c r="E832" s="2" t="str">
        <f>IFERROR(__xludf.DUMMYFUNCTION("""COMPUTED_VALUE"""),"ಸ್ವೀಕರಿಸಿ-ಪಾಪ್ಅಪ್ ಕೆಲಸಗಳು!")</f>
        <v>ಸ್ವೀಕರಿಸಿ-ಪಾಪ್ಅಪ್ ಕೆಲಸಗಳು!</v>
      </c>
      <c r="F832" s="2" t="str">
        <f>IFERROR(__xludf.DUMMYFUNCTION("""COMPUTED_VALUE"""),"ଗ୍ରହଣ-ପପ୍ଅପ୍ କାମ କରେ!")</f>
        <v>ଗ୍ରହଣ-ପପ୍ଅପ୍ କାମ କରେ!</v>
      </c>
      <c r="G832" s="2" t="str">
        <f>IFERROR(__xludf.DUMMYFUNCTION("""COMPUTED_VALUE"""),"গ্ৰহণ কৰক-পপআপ কাম কৰে!")</f>
        <v>গ্ৰহণ কৰক-পপআপ কাম কৰে!</v>
      </c>
      <c r="H832" s="2" t="str">
        <f>IFERROR(__xludf.DUMMYFUNCTION("""COMPUTED_VALUE"""),"સ્વીકારો-પ op પ કામ!")</f>
        <v>સ્વીકારો-પ op પ કામ!</v>
      </c>
      <c r="I832" s="2" t="str">
        <f>IFERROR(__xludf.DUMMYFUNCTION("""COMPUTED_VALUE"""),"स्वीकारा-पॉपअप कार्य!")</f>
        <v>स्वीकारा-पॉपअप कार्य!</v>
      </c>
      <c r="J832" s="2" t="str">
        <f>IFERROR(__xludf.DUMMYFUNCTION("""COMPUTED_VALUE"""),"സ്വീകരിക്കുക-പോപ്പ്അപ്പ് പ്രവർത്തിക്കുന്നു!")</f>
        <v>സ്വീകരിക്കുക-പോപ്പ്അപ്പ് പ്രവർത്തിക്കുന്നു!</v>
      </c>
      <c r="K832" s="2" t="str">
        <f>IFERROR(__xludf.DUMMYFUNCTION("""COMPUTED_VALUE"""),"ਇਨਸੁੱਲ-ਪੌਪਅਪ ਕਾਰਜਾਂ!")</f>
        <v>ਇਨਸੁੱਲ-ਪੌਪਅਪ ਕਾਰਜਾਂ!</v>
      </c>
      <c r="L832" s="2" t="str">
        <f>IFERROR(__xludf.DUMMYFUNCTION("""COMPUTED_VALUE"""),"ஏற்றுக்கொள்-பப்பப் வேலை!")</f>
        <v>ஏற்றுக்கொள்-பப்பப் வேலை!</v>
      </c>
      <c r="M832" s="2" t="str">
        <f>IFERROR(__xludf.DUMMYFUNCTION("""COMPUTED_VALUE"""),"అంగీకరించండి-పాపప్ రచనలు!")</f>
        <v>అంగీకరించండి-పాపప్ రచనలు!</v>
      </c>
    </row>
    <row r="833">
      <c r="A833" s="2" t="str">
        <f>Master_en!A833</f>
        <v>Accepted-orderworks!</v>
      </c>
      <c r="B833" s="2" t="str">
        <f>Master_en!B833</f>
        <v>Accepted-Order Works!</v>
      </c>
      <c r="C833" s="2" t="str">
        <f>IFERROR(__xludf.DUMMYFUNCTION("""COMPUTED_VALUE"""),"স্বীকৃত-আদেশ কাজ!")</f>
        <v>স্বীকৃত-আদেশ কাজ!</v>
      </c>
      <c r="D833" s="2" t="str">
        <f>IFERROR(__xludf.DUMMYFUNCTION("""COMPUTED_VALUE"""),"स्वीकृत-आदेश काम करता है!")</f>
        <v>स्वीकृत-आदेश काम करता है!</v>
      </c>
      <c r="E833" s="2" t="str">
        <f>IFERROR(__xludf.DUMMYFUNCTION("""COMPUTED_VALUE"""),"ಸ್ವೀಕರಿಸಿದ-ಆದೇಶದ ಕೆಲಸಗಳು!")</f>
        <v>ಸ್ವೀಕರಿಸಿದ-ಆದೇಶದ ಕೆಲಸಗಳು!</v>
      </c>
      <c r="F833" s="2" t="str">
        <f>IFERROR(__xludf.DUMMYFUNCTION("""COMPUTED_VALUE"""),"ଗ୍ରହଣୀୟ ଆଦେଶ କାମ କରେ!")</f>
        <v>ଗ୍ରହଣୀୟ ଆଦେଶ କାମ କରେ!</v>
      </c>
      <c r="G833" s="2" t="str">
        <f>IFERROR(__xludf.DUMMYFUNCTION("""COMPUTED_VALUE"""),"গ্ৰহণ কৰা-অৰ্ডাৰ কাম কৰে!")</f>
        <v>গ্ৰহণ কৰা-অৰ্ডাৰ কাম কৰে!</v>
      </c>
      <c r="H833" s="2" t="str">
        <f>IFERROR(__xludf.DUMMYFUNCTION("""COMPUTED_VALUE"""),"સ્વીકૃત- order ર્ડર કામો!")</f>
        <v>સ્વીકૃત- order ર્ડર કામો!</v>
      </c>
      <c r="I833" s="2" t="str">
        <f>IFERROR(__xludf.DUMMYFUNCTION("""COMPUTED_VALUE"""),"स्वीकारलेल्या-ऑर्डरची कामे!")</f>
        <v>स्वीकारलेल्या-ऑर्डरची कामे!</v>
      </c>
      <c r="J833" s="2" t="str">
        <f>IFERROR(__xludf.DUMMYFUNCTION("""COMPUTED_VALUE"""),"സ്വീകരിച്ച ഓർഡർ പ്രവർത്തിക്കുന്നു!")</f>
        <v>സ്വീകരിച്ച ഓർഡർ പ്രവർത്തിക്കുന്നു!</v>
      </c>
      <c r="K833" s="2" t="str">
        <f>IFERROR(__xludf.DUMMYFUNCTION("""COMPUTED_VALUE"""),"ਸਵੀਕਾਰੇ ਆਰਡਰ ਕੰਮ ਕਰਦਾ ਹੈ!")</f>
        <v>ਸਵੀਕਾਰੇ ਆਰਡਰ ਕੰਮ ਕਰਦਾ ਹੈ!</v>
      </c>
      <c r="L833" s="2" t="str">
        <f>IFERROR(__xludf.DUMMYFUNCTION("""COMPUTED_VALUE"""),"ஏற்றுக்கொள்ளப்பட்ட-ஆர்டர் படைப்புகள்!")</f>
        <v>ஏற்றுக்கொள்ளப்பட்ட-ஆர்டர் படைப்புகள்!</v>
      </c>
      <c r="M833" s="2" t="str">
        <f>IFERROR(__xludf.DUMMYFUNCTION("""COMPUTED_VALUE"""),"అంగీకరించబడిన-ఆర్డర్ రచనలు!")</f>
        <v>అంగీకరించబడిన-ఆర్డర్ రచనలు!</v>
      </c>
    </row>
    <row r="834">
      <c r="A834" s="2" t="str">
        <f>Master_en!A834</f>
        <v>Dispatch-ordersworks!</v>
      </c>
      <c r="B834" s="2" t="str">
        <f>Master_en!B834</f>
        <v>Dispatch-Orders Works!</v>
      </c>
      <c r="C834" s="2" t="str">
        <f>IFERROR(__xludf.DUMMYFUNCTION("""COMPUTED_VALUE"""),"প্রেরণ-অর্ডার কাজ!")</f>
        <v>প্রেরণ-অর্ডার কাজ!</v>
      </c>
      <c r="D834" s="2" t="str">
        <f>IFERROR(__xludf.DUMMYFUNCTION("""COMPUTED_VALUE"""),"डिस्पैच-ऑर्डर काम करता है!")</f>
        <v>डिस्पैच-ऑर्डर काम करता है!</v>
      </c>
      <c r="E834" s="2" t="str">
        <f>IFERROR(__xludf.DUMMYFUNCTION("""COMPUTED_VALUE"""),"ರವಾನೆ-ಆದೇಶಗಳು ಕಾರ್ಯನಿರ್ವಹಿಸುತ್ತವೆ!")</f>
        <v>ರವಾನೆ-ಆದೇಶಗಳು ಕಾರ್ಯನಿರ್ವಹಿಸುತ್ತವೆ!</v>
      </c>
      <c r="F834" s="2" t="str">
        <f>IFERROR(__xludf.DUMMYFUNCTION("""COMPUTED_VALUE"""),"ପଠାଯାଇଥିବା ନିର୍ଦ୍ଦେଶଗୁଡିକ କାର୍ଯ୍ୟ କରେ!")</f>
        <v>ପଠାଯାଇଥିବା ନିର୍ଦ୍ଦେଶଗୁଡିକ କାର୍ଯ୍ୟ କରେ!</v>
      </c>
      <c r="G834" s="2" t="str">
        <f>IFERROR(__xludf.DUMMYFUNCTION("""COMPUTED_VALUE"""),"ডিচপেচ-অৰ্ডাৰ কাম কৰে!")</f>
        <v>ডিচপেচ-অৰ্ডাৰ কাম কৰে!</v>
      </c>
      <c r="H834" s="2" t="str">
        <f>IFERROR(__xludf.DUMMYFUNCTION("""COMPUTED_VALUE"""),"ડિસ્પેચ-ઓર્ડર્સ કામ કરે છે!")</f>
        <v>ડિસ્પેચ-ઓર્ડર્સ કામ કરે છે!</v>
      </c>
      <c r="I834" s="2" t="str">
        <f>IFERROR(__xludf.DUMMYFUNCTION("""COMPUTED_VALUE"""),"पाठवण्याचे काम करते!")</f>
        <v>पाठवण्याचे काम करते!</v>
      </c>
      <c r="J834" s="2" t="str">
        <f>IFERROR(__xludf.DUMMYFUNCTION("""COMPUTED_VALUE"""),"ഡിസ്പാച്ച് ഓർഡറുകൾ പ്രവർത്തിക്കുന്നു!")</f>
        <v>ഡിസ്പാച്ച് ഓർഡറുകൾ പ്രവർത്തിക്കുന്നു!</v>
      </c>
      <c r="K834" s="2" t="str">
        <f>IFERROR(__xludf.DUMMYFUNCTION("""COMPUTED_VALUE"""),"ਡਿਸਪੈਚ-ਆਰਡਰ ਕੰਮ ਕਰਦਾ ਹੈ!")</f>
        <v>ਡਿਸਪੈਚ-ਆਰਡਰ ਕੰਮ ਕਰਦਾ ਹੈ!</v>
      </c>
      <c r="L834" s="2" t="str">
        <f>IFERROR(__xludf.DUMMYFUNCTION("""COMPUTED_VALUE"""),"டிஸ்பாட்ச்-ஆர்டர்கள் வேலை செய்கின்றன!")</f>
        <v>டிஸ்பாட்ச்-ஆர்டர்கள் வேலை செய்கின்றன!</v>
      </c>
      <c r="M834" s="2" t="str">
        <f>IFERROR(__xludf.DUMMYFUNCTION("""COMPUTED_VALUE"""),"డిస్పాచ్-ఆర్డర్స్ పనిచేస్తుంది!")</f>
        <v>డిస్పాచ్-ఆర్డర్స్ పనిచేస్తుంది!</v>
      </c>
    </row>
    <row r="835">
      <c r="A835" s="2" t="str">
        <f>Master_en!A835</f>
        <v>New-orderworks!</v>
      </c>
      <c r="B835" s="2" t="str">
        <f>Master_en!B835</f>
        <v>New-Order Works!</v>
      </c>
      <c r="C835" s="2" t="str">
        <f>IFERROR(__xludf.DUMMYFUNCTION("""COMPUTED_VALUE"""),"নতুন অর্ডার কাজ!")</f>
        <v>নতুন অর্ডার কাজ!</v>
      </c>
      <c r="D835" s="2" t="str">
        <f>IFERROR(__xludf.DUMMYFUNCTION("""COMPUTED_VALUE"""),"न्यू-ऑर्डर काम करता है!")</f>
        <v>न्यू-ऑर्डर काम करता है!</v>
      </c>
      <c r="E835" s="2" t="str">
        <f>IFERROR(__xludf.DUMMYFUNCTION("""COMPUTED_VALUE"""),"ಹೊಸ-ಆದೇಶದ ಕೆಲಸಗಳು!")</f>
        <v>ಹೊಸ-ಆದೇಶದ ಕೆಲಸಗಳು!</v>
      </c>
      <c r="F835" s="2" t="str">
        <f>IFERROR(__xludf.DUMMYFUNCTION("""COMPUTED_VALUE"""),"ନୂତନ-ଅର୍ଡର କାମ କରେ!")</f>
        <v>ନୂତନ-ଅର୍ଡର କାମ କରେ!</v>
      </c>
      <c r="G835" s="2" t="str">
        <f>IFERROR(__xludf.DUMMYFUNCTION("""COMPUTED_VALUE"""),"নতুন-অৰ্ডাৰৰ কাম!")</f>
        <v>নতুন-অৰ্ডাৰৰ কাম!</v>
      </c>
      <c r="H835" s="2" t="str">
        <f>IFERROR(__xludf.DUMMYFUNCTION("""COMPUTED_VALUE"""),"નવા ક્રમના કામો!")</f>
        <v>નવા ક્રમના કામો!</v>
      </c>
      <c r="I835" s="2" t="str">
        <f>IFERROR(__xludf.DUMMYFUNCTION("""COMPUTED_VALUE"""),"नवीन-ऑर्डरची कामे!")</f>
        <v>नवीन-ऑर्डरची कामे!</v>
      </c>
      <c r="J835" s="2" t="str">
        <f>IFERROR(__xludf.DUMMYFUNCTION("""COMPUTED_VALUE"""),"പുതിയ ഓർഡർ പ്രവർത്തിക്കുന്നു!")</f>
        <v>പുതിയ ഓർഡർ പ്രവർത്തിക്കുന്നു!</v>
      </c>
      <c r="K835" s="2" t="str">
        <f>IFERROR(__xludf.DUMMYFUNCTION("""COMPUTED_VALUE"""),"ਨਵਾਂ-ਆਰਡਰ ਕੰਮ ਕਰਦਾ ਹੈ!")</f>
        <v>ਨਵਾਂ-ਆਰਡਰ ਕੰਮ ਕਰਦਾ ਹੈ!</v>
      </c>
      <c r="L835" s="2" t="str">
        <f>IFERROR(__xludf.DUMMYFUNCTION("""COMPUTED_VALUE"""),"புதிய-வரிசை வேலை!")</f>
        <v>புதிய-வரிசை வேலை!</v>
      </c>
      <c r="M835" s="2" t="str">
        <f>IFERROR(__xludf.DUMMYFUNCTION("""COMPUTED_VALUE"""),"క్రొత్త ఆర్డర్ రచనలు!")</f>
        <v>క్రొత్త ఆర్డర్ రచనలు!</v>
      </c>
    </row>
    <row r="836">
      <c r="A836" s="2" t="str">
        <f>Master_en!A836</f>
        <v>PaymentReceived</v>
      </c>
      <c r="B836" s="2" t="str">
        <f>Master_en!B836</f>
        <v>Payment Received</v>
      </c>
      <c r="C836" s="2" t="str">
        <f>IFERROR(__xludf.DUMMYFUNCTION("""COMPUTED_VALUE"""),"পেমেন্ট পেয়েছি")</f>
        <v>পেমেন্ট পেয়েছি</v>
      </c>
      <c r="D836" s="2" t="str">
        <f>IFERROR(__xludf.DUMMYFUNCTION("""COMPUTED_VALUE"""),"भुगतान प्राप्त")</f>
        <v>भुगतान प्राप्त</v>
      </c>
      <c r="E836" s="2" t="str">
        <f>IFERROR(__xludf.DUMMYFUNCTION("""COMPUTED_VALUE"""),"ಪಾವತಿ ಸ್ವೀಕರಿಸಲಾಗಿದೆ")</f>
        <v>ಪಾವತಿ ಸ್ವೀಕರಿಸಲಾಗಿದೆ</v>
      </c>
      <c r="F836" s="2" t="str">
        <f>IFERROR(__xludf.DUMMYFUNCTION("""COMPUTED_VALUE"""),"ଦେୟ ପ୍ରାପ୍ତ ଦେୟ |")</f>
        <v>ଦେୟ ପ୍ରାପ୍ତ ଦେୟ |</v>
      </c>
      <c r="G836" s="2" t="str">
        <f>IFERROR(__xludf.DUMMYFUNCTION("""COMPUTED_VALUE"""),"পেমেন্ট লাভ কৰা হৈছে")</f>
        <v>পেমেন্ট লাভ কৰা হৈছে</v>
      </c>
      <c r="H836" s="2" t="str">
        <f>IFERROR(__xludf.DUMMYFUNCTION("""COMPUTED_VALUE"""),"મળેલું ચુકવણી")</f>
        <v>મળેલું ચુકવણી</v>
      </c>
      <c r="I836" s="2" t="str">
        <f>IFERROR(__xludf.DUMMYFUNCTION("""COMPUTED_VALUE"""),"पैसे मिळाले")</f>
        <v>पैसे मिळाले</v>
      </c>
      <c r="J836" s="2" t="str">
        <f>IFERROR(__xludf.DUMMYFUNCTION("""COMPUTED_VALUE"""),"പേയ്മെന്റ് ലഭിച്ചു")</f>
        <v>പേയ്മെന്റ് ലഭിച്ചു</v>
      </c>
      <c r="K836" s="2" t="str">
        <f>IFERROR(__xludf.DUMMYFUNCTION("""COMPUTED_VALUE"""),"ਭੁਗਤਾਨ ਪ੍ਰਾਪਤ ਹੋਇਆ")</f>
        <v>ਭੁਗਤਾਨ ਪ੍ਰਾਪਤ ਹੋਇਆ</v>
      </c>
      <c r="L836" s="2" t="str">
        <f>IFERROR(__xludf.DUMMYFUNCTION("""COMPUTED_VALUE"""),"கட்டணம் பெற்றுக்கொள்ளப்பட்டது")</f>
        <v>கட்டணம் பெற்றுக்கொள்ளப்பட்டது</v>
      </c>
      <c r="M836" s="2" t="str">
        <f>IFERROR(__xludf.DUMMYFUNCTION("""COMPUTED_VALUE"""),"చెల్లింపు అందినది")</f>
        <v>చెల్లింపు అందినది</v>
      </c>
    </row>
    <row r="837">
      <c r="A837" s="2" t="str">
        <f>Master_en!A837</f>
        <v>DeliveryInstructions</v>
      </c>
      <c r="B837" s="2" t="str">
        <f>Master_en!B837</f>
        <v>Delivery Instructions</v>
      </c>
      <c r="C837" s="2" t="str">
        <f>IFERROR(__xludf.DUMMYFUNCTION("""COMPUTED_VALUE"""),"বিতরণ নির্দেশাবলী")</f>
        <v>বিতরণ নির্দেশাবলী</v>
      </c>
      <c r="D837" s="2" t="str">
        <f>IFERROR(__xludf.DUMMYFUNCTION("""COMPUTED_VALUE"""),"वितरण निर्देश")</f>
        <v>वितरण निर्देश</v>
      </c>
      <c r="E837" s="2" t="str">
        <f>IFERROR(__xludf.DUMMYFUNCTION("""COMPUTED_VALUE"""),"ವಿತರಣಾ ಸೂಚನೆಗಳು")</f>
        <v>ವಿತರಣಾ ಸೂಚನೆಗಳು</v>
      </c>
      <c r="F837" s="2" t="str">
        <f>IFERROR(__xludf.DUMMYFUNCTION("""COMPUTED_VALUE"""),"ବିତରଣ ନିର୍ଦ୍ଦେଶାବଳୀ |")</f>
        <v>ବିତରଣ ନିର୍ଦ୍ଦେଶାବଳୀ |</v>
      </c>
      <c r="G837" s="2" t="str">
        <f>IFERROR(__xludf.DUMMYFUNCTION("""COMPUTED_VALUE"""),"ডেলিভাৰীৰ নিৰ্দেশনা")</f>
        <v>ডেলিভাৰীৰ নিৰ্দেশনা</v>
      </c>
      <c r="H837" s="2" t="str">
        <f>IFERROR(__xludf.DUMMYFUNCTION("""COMPUTED_VALUE"""),"વિતરણ સૂચન")</f>
        <v>વિતરણ સૂચન</v>
      </c>
      <c r="I837" s="2" t="str">
        <f>IFERROR(__xludf.DUMMYFUNCTION("""COMPUTED_VALUE"""),"वितरण सूचना")</f>
        <v>वितरण सूचना</v>
      </c>
      <c r="J837" s="2" t="str">
        <f>IFERROR(__xludf.DUMMYFUNCTION("""COMPUTED_VALUE"""),"ഡെലിവറി നിർദ്ദേശങ്ങൾ")</f>
        <v>ഡെലിവറി നിർദ്ദേശങ്ങൾ</v>
      </c>
      <c r="K837" s="2" t="str">
        <f>IFERROR(__xludf.DUMMYFUNCTION("""COMPUTED_VALUE"""),"ਸਪੁਰਦਗੀ ਨਿਰਦੇਸ਼")</f>
        <v>ਸਪੁਰਦਗੀ ਨਿਰਦੇਸ਼</v>
      </c>
      <c r="L837" s="2" t="str">
        <f>IFERROR(__xludf.DUMMYFUNCTION("""COMPUTED_VALUE"""),"விநியோக வழிமுறைகள்")</f>
        <v>விநியோக வழிமுறைகள்</v>
      </c>
      <c r="M837" s="2" t="str">
        <f>IFERROR(__xludf.DUMMYFUNCTION("""COMPUTED_VALUE"""),"డెలివరీ సూచనలు")</f>
        <v>డెలివరీ సూచనలు</v>
      </c>
    </row>
    <row r="838">
      <c r="A838" s="2" t="str">
        <f>Master_en!A838</f>
        <v>Picker</v>
      </c>
      <c r="B838" s="2" t="str">
        <f>Master_en!B838</f>
        <v>Picker</v>
      </c>
      <c r="C838" s="2" t="str">
        <f>IFERROR(__xludf.DUMMYFUNCTION("""COMPUTED_VALUE"""),"বাছাইকারী")</f>
        <v>বাছাইকারী</v>
      </c>
      <c r="D838" s="2" t="str">
        <f>IFERROR(__xludf.DUMMYFUNCTION("""COMPUTED_VALUE"""),"कुदाल")</f>
        <v>कुदाल</v>
      </c>
      <c r="E838" s="2" t="str">
        <f>IFERROR(__xludf.DUMMYFUNCTION("""COMPUTED_VALUE"""),"ಆರುಗ")</f>
        <v>ಆರುಗ</v>
      </c>
      <c r="F838" s="2" t="str">
        <f>IFERROR(__xludf.DUMMYFUNCTION("""COMPUTED_VALUE"""),"ପିକର୍")</f>
        <v>ପିକର୍</v>
      </c>
      <c r="G838" s="2" t="str">
        <f>IFERROR(__xludf.DUMMYFUNCTION("""COMPUTED_VALUE"""),"পিকাৰ")</f>
        <v>পিকাৰ</v>
      </c>
      <c r="H838" s="2" t="str">
        <f>IFERROR(__xludf.DUMMYFUNCTION("""COMPUTED_VALUE"""),"ઉપાડનાર")</f>
        <v>ઉપાડનાર</v>
      </c>
      <c r="I838" s="2" t="str">
        <f>IFERROR(__xludf.DUMMYFUNCTION("""COMPUTED_VALUE"""),"निवडक")</f>
        <v>निवडक</v>
      </c>
      <c r="J838" s="2" t="str">
        <f>IFERROR(__xludf.DUMMYFUNCTION("""COMPUTED_VALUE"""),"പിക്കറി")</f>
        <v>പിക്കറി</v>
      </c>
      <c r="K838" s="2" t="str">
        <f>IFERROR(__xludf.DUMMYFUNCTION("""COMPUTED_VALUE"""),"ਚੋਣਕਾਰ")</f>
        <v>ਚੋਣਕਾਰ</v>
      </c>
      <c r="L838" s="2" t="str">
        <f>IFERROR(__xludf.DUMMYFUNCTION("""COMPUTED_VALUE"""),"எடுப்பவர்")</f>
        <v>எடுப்பவர்</v>
      </c>
      <c r="M838" s="2" t="str">
        <f>IFERROR(__xludf.DUMMYFUNCTION("""COMPUTED_VALUE"""),"పిక్కర్")</f>
        <v>పిక్కర్</v>
      </c>
    </row>
    <row r="839">
      <c r="A839" s="2" t="str">
        <f>Master_en!A839</f>
        <v>Loading ...</v>
      </c>
      <c r="B839" s="2" t="str">
        <f>Master_en!B839</f>
        <v>Loading ...</v>
      </c>
      <c r="C839" s="2" t="str">
        <f>IFERROR(__xludf.DUMMYFUNCTION("""COMPUTED_VALUE"""),"লোড হচ্ছে ...")</f>
        <v>লোড হচ্ছে ...</v>
      </c>
      <c r="D839" s="2" t="str">
        <f>IFERROR(__xludf.DUMMYFUNCTION("""COMPUTED_VALUE"""),"लोड हो रहा है ...")</f>
        <v>लोड हो रहा है ...</v>
      </c>
      <c r="E839" s="2" t="str">
        <f>IFERROR(__xludf.DUMMYFUNCTION("""COMPUTED_VALUE"""),"ಲೋಡ್ ಮಾಡಲಾಗುತ್ತಿದೆ ...")</f>
        <v>ಲೋಡ್ ಮಾಡಲಾಗುತ್ತಿದೆ ...</v>
      </c>
      <c r="F839" s="2" t="str">
        <f>IFERROR(__xludf.DUMMYFUNCTION("""COMPUTED_VALUE"""),"ଲୋଡିଂ ...")</f>
        <v>ଲୋଡିଂ ...</v>
      </c>
      <c r="G839" s="2" t="str">
        <f>IFERROR(__xludf.DUMMYFUNCTION("""COMPUTED_VALUE"""),"লোড হচ্ছে ...")</f>
        <v>লোড হচ্ছে ...</v>
      </c>
      <c r="H839" s="2" t="str">
        <f>IFERROR(__xludf.DUMMYFUNCTION("""COMPUTED_VALUE"""),"લોડ કરી રહ્યું છે ...")</f>
        <v>લોડ કરી રહ્યું છે ...</v>
      </c>
      <c r="I839" s="2" t="str">
        <f>IFERROR(__xludf.DUMMYFUNCTION("""COMPUTED_VALUE"""),"लोड करीत आहे ...")</f>
        <v>लोड करीत आहे ...</v>
      </c>
      <c r="J839" s="2" t="str">
        <f>IFERROR(__xludf.DUMMYFUNCTION("""COMPUTED_VALUE"""),"ലോഡിംഗ് ...")</f>
        <v>ലോഡിംഗ് ...</v>
      </c>
      <c r="K839" s="2" t="str">
        <f>IFERROR(__xludf.DUMMYFUNCTION("""COMPUTED_VALUE"""),"ਲੋਡ ਹੋ ਰਿਹਾ ਹੈ ...")</f>
        <v>ਲੋਡ ਹੋ ਰਿਹਾ ਹੈ ...</v>
      </c>
      <c r="L839" s="2" t="str">
        <f>IFERROR(__xludf.DUMMYFUNCTION("""COMPUTED_VALUE"""),"ஏற்றுகிறது ...")</f>
        <v>ஏற்றுகிறது ...</v>
      </c>
      <c r="M839" s="2" t="str">
        <f>IFERROR(__xludf.DUMMYFUNCTION("""COMPUTED_VALUE"""),"లోడ్ ...")</f>
        <v>లోడ్ ...</v>
      </c>
    </row>
    <row r="840">
      <c r="A840" s="2" t="str">
        <f>Master_en!A840</f>
        <v>Processing-ordersworks!</v>
      </c>
      <c r="B840" s="2" t="str">
        <f>Master_en!B840</f>
        <v>Processing-Orders Works!</v>
      </c>
      <c r="C840" s="2" t="str">
        <f>IFERROR(__xludf.DUMMYFUNCTION("""COMPUTED_VALUE"""),"প্রসেসিং-অর্ডার কাজ!")</f>
        <v>প্রসেসিং-অর্ডার কাজ!</v>
      </c>
      <c r="D840" s="2" t="str">
        <f>IFERROR(__xludf.DUMMYFUNCTION("""COMPUTED_VALUE"""),"प्रसंस्करण-आदेश काम करता है!")</f>
        <v>प्रसंस्करण-आदेश काम करता है!</v>
      </c>
      <c r="E840" s="2" t="str">
        <f>IFERROR(__xludf.DUMMYFUNCTION("""COMPUTED_VALUE"""),"ಪ್ರಕ್ರಿಯೆ-ಆದೇಶಗಳು ಕಾರ್ಯನಿರ್ವಹಿಸುತ್ತವೆ!")</f>
        <v>ಪ್ರಕ್ರಿಯೆ-ಆದೇಶಗಳು ಕಾರ್ಯನಿರ್ವಹಿಸುತ್ತವೆ!</v>
      </c>
      <c r="F840" s="2" t="str">
        <f>IFERROR(__xludf.DUMMYFUNCTION("""COMPUTED_VALUE"""),"ପ୍ରକ୍ରିୟାକରଣ-ଅର୍ଡର କାମ କରେ!")</f>
        <v>ପ୍ରକ୍ରିୟାକରଣ-ଅର୍ଡର କାମ କରେ!</v>
      </c>
      <c r="G840" s="2" t="str">
        <f>IFERROR(__xludf.DUMMYFUNCTION("""COMPUTED_VALUE"""),"প্ৰচেছিং-অৰ্ডাৰসমূহে কাম কৰে!")</f>
        <v>প্ৰচেছিং-অৰ্ডাৰসমূহে কাম কৰে!</v>
      </c>
      <c r="H840" s="2" t="str">
        <f>IFERROR(__xludf.DUMMYFUNCTION("""COMPUTED_VALUE"""),"પ્રોસેસીંગ-ઓર્ડર કામ કરે છે!")</f>
        <v>પ્રોસેસીંગ-ઓર્ડર કામ કરે છે!</v>
      </c>
      <c r="I840" s="2" t="str">
        <f>IFERROR(__xludf.DUMMYFUNCTION("""COMPUTED_VALUE"""),"प्रक्रिया-ऑर्डर कार्य करतात!")</f>
        <v>प्रक्रिया-ऑर्डर कार्य करतात!</v>
      </c>
      <c r="J840" s="2" t="str">
        <f>IFERROR(__xludf.DUMMYFUNCTION("""COMPUTED_VALUE"""),"പ്രോസസ്സിംഗ്-ഓർഡറുകൾ പ്രവർത്തിക്കുന്നു!")</f>
        <v>പ്രോസസ്സിംഗ്-ഓർഡറുകൾ പ്രവർത്തിക്കുന്നു!</v>
      </c>
      <c r="K840" s="2" t="str">
        <f>IFERROR(__xludf.DUMMYFUNCTION("""COMPUTED_VALUE"""),"ਪ੍ਰੋਸੈਸਿੰਗ-ਆਰਡਰ ਕੰਮ ਕਰਦੇ ਹਨ!")</f>
        <v>ਪ੍ਰੋਸੈਸਿੰਗ-ਆਰਡਰ ਕੰਮ ਕਰਦੇ ਹਨ!</v>
      </c>
      <c r="L840" s="2" t="str">
        <f>IFERROR(__xludf.DUMMYFUNCTION("""COMPUTED_VALUE"""),"செயலாக்க-ஆர்டர்கள் வேலை செய்கின்றன!")</f>
        <v>செயலாக்க-ஆர்டர்கள் வேலை செய்கின்றன!</v>
      </c>
      <c r="M840" s="2" t="str">
        <f>IFERROR(__xludf.DUMMYFUNCTION("""COMPUTED_VALUE"""),"ప్రాసెసింగ్-ఆర్డర్స్ పనిచేస్తుంది!")</f>
        <v>ప్రాసెసింగ్-ఆర్డర్స్ పనిచేస్తుంది!</v>
      </c>
    </row>
    <row r="841">
      <c r="A841" s="2" t="str">
        <f>Master_en!A841</f>
        <v>Ready-ordersworks!</v>
      </c>
      <c r="B841" s="2" t="str">
        <f>Master_en!B841</f>
        <v>Ready-Orders Works!</v>
      </c>
      <c r="C841" s="2" t="str">
        <f>IFERROR(__xludf.DUMMYFUNCTION("""COMPUTED_VALUE"""),"রেডি-অর্ডার ওয়ার্কস!")</f>
        <v>রেডি-অর্ডার ওয়ার্কস!</v>
      </c>
      <c r="D841" s="2" t="str">
        <f>IFERROR(__xludf.DUMMYFUNCTION("""COMPUTED_VALUE"""),"रेडी-ऑर्डर काम करता है!")</f>
        <v>रेडी-ऑर्डर काम करता है!</v>
      </c>
      <c r="E841" s="2" t="str">
        <f>IFERROR(__xludf.DUMMYFUNCTION("""COMPUTED_VALUE"""),"ರೆಡಿ-ಆರ್ಡರ್ಸ್ ಕಾರ್ಯನಿರ್ವಹಿಸುತ್ತದೆ!")</f>
        <v>ರೆಡಿ-ಆರ್ಡರ್ಸ್ ಕಾರ್ಯನಿರ್ವಹಿಸುತ್ತದೆ!</v>
      </c>
      <c r="F841" s="2" t="str">
        <f>IFERROR(__xludf.DUMMYFUNCTION("""COMPUTED_VALUE"""),"ପ୍ରସ୍ତୁତ-ଅର୍ଡର କାମ କରେ!")</f>
        <v>ପ୍ରସ୍ତୁତ-ଅର୍ଡର କାମ କରେ!</v>
      </c>
      <c r="G841" s="2" t="str">
        <f>IFERROR(__xludf.DUMMYFUNCTION("""COMPUTED_VALUE"""),"ৰেডি-অৰ্ডাৰ কাম কৰে!")</f>
        <v>ৰেডি-অৰ্ডাৰ কাম কৰে!</v>
      </c>
      <c r="H841" s="2" t="str">
        <f>IFERROR(__xludf.DUMMYFUNCTION("""COMPUTED_VALUE"""),"રેડી-ઓર્ડર કામ કરે છે!")</f>
        <v>રેડી-ઓર્ડર કામ કરે છે!</v>
      </c>
      <c r="I841" s="2" t="str">
        <f>IFERROR(__xludf.DUMMYFUNCTION("""COMPUTED_VALUE"""),"तयार-ऑर्डर कार्य करतात!")</f>
        <v>तयार-ऑर्डर कार्य करतात!</v>
      </c>
      <c r="J841" s="2" t="str">
        <f>IFERROR(__xludf.DUMMYFUNCTION("""COMPUTED_VALUE"""),"റെഡി-ഓർഡറുകൾ പ്രവർത്തിക്കുന്നു!")</f>
        <v>റെഡി-ഓർഡറുകൾ പ്രവർത്തിക്കുന്നു!</v>
      </c>
      <c r="K841" s="2" t="str">
        <f>IFERROR(__xludf.DUMMYFUNCTION("""COMPUTED_VALUE"""),"ਰੈਡੀ-ਆਰਡਰ ਕੰਮ ਕਰਦੇ ਹਨ!")</f>
        <v>ਰੈਡੀ-ਆਰਡਰ ਕੰਮ ਕਰਦੇ ਹਨ!</v>
      </c>
      <c r="L841" s="2" t="str">
        <f>IFERROR(__xludf.DUMMYFUNCTION("""COMPUTED_VALUE"""),"ரெடி-ஆர்டர்கள் வேலை செய்கின்றன!")</f>
        <v>ரெடி-ஆர்டர்கள் வேலை செய்கின்றன!</v>
      </c>
      <c r="M841" s="2" t="str">
        <f>IFERROR(__xludf.DUMMYFUNCTION("""COMPUTED_VALUE"""),"రెడీ-ఆర్డర్స్ పనిచేస్తుంది!")</f>
        <v>రెడీ-ఆర్డర్స్ పనిచేస్తుంది!</v>
      </c>
    </row>
    <row r="842">
      <c r="A842" s="2" t="str">
        <f>Master_en!A842</f>
        <v>Environment:Staging</v>
      </c>
      <c r="B842" s="2" t="str">
        <f>Master_en!B842</f>
        <v>Environment: Staging</v>
      </c>
      <c r="C842" s="2" t="str">
        <f>IFERROR(__xludf.DUMMYFUNCTION("""COMPUTED_VALUE"""),"পরিবেশ: মঞ্চায়ন")</f>
        <v>পরিবেশ: মঞ্চায়ন</v>
      </c>
      <c r="D842" s="2" t="str">
        <f>IFERROR(__xludf.DUMMYFUNCTION("""COMPUTED_VALUE"""),"पर्यावरण: मंचन")</f>
        <v>पर्यावरण: मंचन</v>
      </c>
      <c r="E842" s="2" t="str">
        <f>IFERROR(__xludf.DUMMYFUNCTION("""COMPUTED_VALUE"""),"ಪರಿಸರ: ವೇದಿಕೆ")</f>
        <v>ಪರಿಸರ: ವೇದಿಕೆ</v>
      </c>
      <c r="F842" s="2" t="str">
        <f>IFERROR(__xludf.DUMMYFUNCTION("""COMPUTED_VALUE"""),"ପରିବେଶ: ଛିଡା ହୋଇଛି |")</f>
        <v>ପରିବେଶ: ଛିଡା ହୋଇଛି |</v>
      </c>
      <c r="G842" s="2" t="str">
        <f>IFERROR(__xludf.DUMMYFUNCTION("""COMPUTED_VALUE"""),"পৰিৱেশ: মঞ্চায়ন")</f>
        <v>পৰিৱেশ: মঞ্চায়ন</v>
      </c>
      <c r="H842" s="2" t="str">
        <f>IFERROR(__xludf.DUMMYFUNCTION("""COMPUTED_VALUE"""),"વાતાવરણ: સ્ટેજીંગ")</f>
        <v>વાતાવરણ: સ્ટેજીંગ</v>
      </c>
      <c r="I842" s="2" t="str">
        <f>IFERROR(__xludf.DUMMYFUNCTION("""COMPUTED_VALUE"""),"पर्यावरण: स्टेजिंग")</f>
        <v>पर्यावरण: स्टेजिंग</v>
      </c>
      <c r="J842" s="2" t="str">
        <f>IFERROR(__xludf.DUMMYFUNCTION("""COMPUTED_VALUE"""),"പരിസ്ഥിതി: സ്റ്റേജിംഗ്")</f>
        <v>പരിസ്ഥിതി: സ്റ്റേജിംഗ്</v>
      </c>
      <c r="K842" s="2" t="str">
        <f>IFERROR(__xludf.DUMMYFUNCTION("""COMPUTED_VALUE"""),"ਵਾਤਾਵਰਣ: ਸਟੇਜਿੰਗ")</f>
        <v>ਵਾਤਾਵਰਣ: ਸਟੇਜਿੰਗ</v>
      </c>
      <c r="L842" s="2" t="str">
        <f>IFERROR(__xludf.DUMMYFUNCTION("""COMPUTED_VALUE"""),"சூழல்: நிலை")</f>
        <v>சூழல்: நிலை</v>
      </c>
      <c r="M842" s="2" t="str">
        <f>IFERROR(__xludf.DUMMYFUNCTION("""COMPUTED_VALUE"""),"పర్యావరణం: స్టేజింగ్")</f>
        <v>పర్యావరణం: స్టేజింగ్</v>
      </c>
    </row>
    <row r="843">
      <c r="A843" s="2" t="str">
        <f>Master_en!A843</f>
        <v>NoDataFound</v>
      </c>
      <c r="B843" s="2" t="str">
        <f>Master_en!B843</f>
        <v>No Data Found</v>
      </c>
      <c r="C843" s="2" t="str">
        <f>IFERROR(__xludf.DUMMYFUNCTION("""COMPUTED_VALUE"""),"কোনও ডেটা পাওয়া যায় নি")</f>
        <v>কোনও ডেটা পাওয়া যায় নি</v>
      </c>
      <c r="D843" s="2" t="str">
        <f>IFERROR(__xludf.DUMMYFUNCTION("""COMPUTED_VALUE"""),"डाटा प्राप्त नहीं हुआ")</f>
        <v>डाटा प्राप्त नहीं हुआ</v>
      </c>
      <c r="E843" s="2" t="str">
        <f>IFERROR(__xludf.DUMMYFUNCTION("""COMPUTED_VALUE"""),"ಯಾವುದೇ ಡೇಟಾ ಕಂಡುಬಂದಿಲ್ಲ")</f>
        <v>ಯಾವುದೇ ಡೇಟಾ ಕಂಡುಬಂದಿಲ್ಲ</v>
      </c>
      <c r="F843" s="2" t="str">
        <f>IFERROR(__xludf.DUMMYFUNCTION("""COMPUTED_VALUE"""),"କ data ଣସି ତଥ୍ୟ ମିଳିଲା ନାହିଁ |")</f>
        <v>କ data ଣସି ତଥ୍ୟ ମିଳିଲା ନାହିଁ |</v>
      </c>
      <c r="G843" s="2" t="str">
        <f>IFERROR(__xludf.DUMMYFUNCTION("""COMPUTED_VALUE"""),"কোনো তথ্য পোৱা নগ'ল")</f>
        <v>কোনো তথ্য পোৱা নগ'ল</v>
      </c>
      <c r="H843" s="2" t="str">
        <f>IFERROR(__xludf.DUMMYFUNCTION("""COMPUTED_VALUE"""),"કોઈ ડેટા મળ્યો નથી")</f>
        <v>કોઈ ડેટા મળ્યો નથી</v>
      </c>
      <c r="I843" s="2" t="str">
        <f>IFERROR(__xludf.DUMMYFUNCTION("""COMPUTED_VALUE"""),"माहिती आढळली नाही")</f>
        <v>माहिती आढळली नाही</v>
      </c>
      <c r="J843" s="2" t="str">
        <f>IFERROR(__xludf.DUMMYFUNCTION("""COMPUTED_VALUE"""),"ഡാറ്റയൊന്നും കണ്ടെത്തിയില്ല")</f>
        <v>ഡാറ്റയൊന്നും കണ്ടെത്തിയില്ല</v>
      </c>
      <c r="K843" s="2" t="str">
        <f>IFERROR(__xludf.DUMMYFUNCTION("""COMPUTED_VALUE"""),"ਕੋਈ ਡਾਟਾ ਨਹੀਂ ਮਿਲਿਆ")</f>
        <v>ਕੋਈ ਡਾਟਾ ਨਹੀਂ ਮਿਲਿਆ</v>
      </c>
      <c r="L843" s="2" t="str">
        <f>IFERROR(__xludf.DUMMYFUNCTION("""COMPUTED_VALUE"""),"வேறு தகவல்கள் இல்லை")</f>
        <v>வேறு தகவல்கள் இல்லை</v>
      </c>
      <c r="M843" s="2" t="str">
        <f>IFERROR(__xludf.DUMMYFUNCTION("""COMPUTED_VALUE"""),"డేటా కనుగొనబడలేదు")</f>
        <v>డేటా కనుగొనబడలేదు</v>
      </c>
    </row>
    <row r="844">
      <c r="A844" s="2" t="str">
        <f>Master_en!A844</f>
        <v>Progressbarworks!</v>
      </c>
      <c r="B844" s="2" t="str">
        <f>Master_en!B844</f>
        <v>Progressbar Works!</v>
      </c>
      <c r="C844" s="2" t="str">
        <f>IFERROR(__xludf.DUMMYFUNCTION("""COMPUTED_VALUE"""),"প্রগ্রেসবার ওয়ার্কস!")</f>
        <v>প্রগ্রেসবার ওয়ার্কস!</v>
      </c>
      <c r="D844" s="2" t="str">
        <f>IFERROR(__xludf.DUMMYFUNCTION("""COMPUTED_VALUE"""),"प्रोग्रेसबार काम करता है!")</f>
        <v>प्रोग्रेसबार काम करता है!</v>
      </c>
      <c r="E844" s="2" t="str">
        <f>IFERROR(__xludf.DUMMYFUNCTION("""COMPUTED_VALUE"""),"ಪ್ರೋಗ್ರೆಸ್ಬಾರ್ ಕೆಲಸ ಮಾಡುತ್ತದೆ!")</f>
        <v>ಪ್ರೋಗ್ರೆಸ್ಬಾರ್ ಕೆಲಸ ಮಾಡುತ್ತದೆ!</v>
      </c>
      <c r="F844" s="2" t="str">
        <f>IFERROR(__xludf.DUMMYFUNCTION("""COMPUTED_VALUE"""),"ପ୍ରଗାର୍ଡବାର କାମ କରେ!")</f>
        <v>ପ୍ରଗାର୍ଡବାର କାମ କରେ!</v>
      </c>
      <c r="G844" s="2" t="str">
        <f>IFERROR(__xludf.DUMMYFUNCTION("""COMPUTED_VALUE"""),"প্ৰগ্ৰেছবাৰে কাম কৰে!")</f>
        <v>প্ৰগ্ৰেছবাৰে কাম কৰে!</v>
      </c>
      <c r="H844" s="2" t="str">
        <f>IFERROR(__xludf.DUMMYFUNCTION("""COMPUTED_VALUE"""),"પ્રોગ્રેસબાર કામ કરે છે!")</f>
        <v>પ્રોગ્રેસબાર કામ કરે છે!</v>
      </c>
      <c r="I844" s="2" t="str">
        <f>IFERROR(__xludf.DUMMYFUNCTION("""COMPUTED_VALUE"""),"प्रगतीबार कार्य करते!")</f>
        <v>प्रगतीबार कार्य करते!</v>
      </c>
      <c r="J844" s="2" t="str">
        <f>IFERROR(__xludf.DUMMYFUNCTION("""COMPUTED_VALUE"""),"പ്രോഗ്രസ്ബാർ പ്രവർത്തിക്കുന്നു!")</f>
        <v>പ്രോഗ്രസ്ബാർ പ്രവർത്തിക്കുന്നു!</v>
      </c>
      <c r="K844" s="2" t="str">
        <f>IFERROR(__xludf.DUMMYFUNCTION("""COMPUTED_VALUE"""),"ਸਥਾਪਨਾਬਾਰ ਕੰਮ ਕਰਦਾ ਹੈ!")</f>
        <v>ਸਥਾਪਨਾਬਾਰ ਕੰਮ ਕਰਦਾ ਹੈ!</v>
      </c>
      <c r="L844" s="2" t="str">
        <f>IFERROR(__xludf.DUMMYFUNCTION("""COMPUTED_VALUE"""),"முன்னேற்றமானது வேலை செய்கிறது!")</f>
        <v>முன்னேற்றமானது வேலை செய்கிறது!</v>
      </c>
      <c r="M844" s="2" t="str">
        <f>IFERROR(__xludf.DUMMYFUNCTION("""COMPUTED_VALUE"""),"ప్రోగ్రెస్ బార్ పనిచేస్తుంది!")</f>
        <v>ప్రోగ్రెస్ బార్ పనిచేస్తుంది!</v>
      </c>
    </row>
    <row r="845">
      <c r="A845" s="2" t="str">
        <f>Master_en!A845</f>
        <v>InvoiceNumber</v>
      </c>
      <c r="B845" s="2" t="str">
        <f>Master_en!B845</f>
        <v>Invoice Number</v>
      </c>
      <c r="C845" s="2" t="str">
        <f>IFERROR(__xludf.DUMMYFUNCTION("""COMPUTED_VALUE"""),"চালান নম্বর")</f>
        <v>চালান নম্বর</v>
      </c>
      <c r="D845" s="2" t="str">
        <f>IFERROR(__xludf.DUMMYFUNCTION("""COMPUTED_VALUE"""),"बीजक संख्या")</f>
        <v>बीजक संख्या</v>
      </c>
      <c r="E845" s="2" t="str">
        <f>IFERROR(__xludf.DUMMYFUNCTION("""COMPUTED_VALUE"""),"ಸರಕುಪಟ್ಟಿ ಸಂಖ್ಯೆ")</f>
        <v>ಸರಕುಪಟ್ಟಿ ಸಂಖ್ಯೆ</v>
      </c>
      <c r="F845" s="2" t="str">
        <f>IFERROR(__xludf.DUMMYFUNCTION("""COMPUTED_VALUE"""),"ଇନଭଏସ୍ ନମ୍ବର |")</f>
        <v>ଇନଭଏସ୍ ନମ୍ବର |</v>
      </c>
      <c r="G845" s="2" t="str">
        <f>IFERROR(__xludf.DUMMYFUNCTION("""COMPUTED_VALUE"""),"চালান নম্বৰ")</f>
        <v>চালান নম্বৰ</v>
      </c>
      <c r="H845" s="2" t="str">
        <f>IFERROR(__xludf.DUMMYFUNCTION("""COMPUTED_VALUE"""),"બીલ નંબર")</f>
        <v>બીલ નંબર</v>
      </c>
      <c r="I845" s="2" t="str">
        <f>IFERROR(__xludf.DUMMYFUNCTION("""COMPUTED_VALUE"""),"बील क्रमांक")</f>
        <v>बील क्रमांक</v>
      </c>
      <c r="J845" s="2" t="str">
        <f>IFERROR(__xludf.DUMMYFUNCTION("""COMPUTED_VALUE"""),"ഇൻവോയ്സ് നമ്പർ")</f>
        <v>ഇൻവോയ്സ് നമ്പർ</v>
      </c>
      <c r="K845" s="2" t="str">
        <f>IFERROR(__xludf.DUMMYFUNCTION("""COMPUTED_VALUE"""),"ਚਲਾਨ ਨੰਬਰ")</f>
        <v>ਚਲਾਨ ਨੰਬਰ</v>
      </c>
      <c r="L845" s="2" t="str">
        <f>IFERROR(__xludf.DUMMYFUNCTION("""COMPUTED_VALUE"""),"விலைப்பட்டியல் எண்")</f>
        <v>விலைப்பட்டியல் எண்</v>
      </c>
      <c r="M845" s="2" t="str">
        <f>IFERROR(__xludf.DUMMYFUNCTION("""COMPUTED_VALUE"""),"ఇన్వాయిస్ సంఖ్యా")</f>
        <v>ఇన్వాయిస్ సంఖ్యా</v>
      </c>
    </row>
    <row r="846">
      <c r="A846" s="2" t="str">
        <f>Master_en!A846</f>
        <v>IGSTIN</v>
      </c>
      <c r="B846" s="2" t="str">
        <f>Master_en!B846</f>
        <v>IGSTIN</v>
      </c>
      <c r="C846" s="2" t="str">
        <f>IFERROR(__xludf.DUMMYFUNCTION("""COMPUTED_VALUE"""),"ইগস্টিন")</f>
        <v>ইগস্টিন</v>
      </c>
      <c r="D846" s="2" t="str">
        <f>IFERROR(__xludf.DUMMYFUNCTION("""COMPUTED_VALUE"""),"इगस्टिन")</f>
        <v>इगस्टिन</v>
      </c>
      <c r="E846" s="2" t="str">
        <f>IFERROR(__xludf.DUMMYFUNCTION("""COMPUTED_VALUE"""),"ಅಡ್ಡಿ")</f>
        <v>ಅಡ್ಡಿ</v>
      </c>
      <c r="F846" s="2" t="str">
        <f>IFERROR(__xludf.DUMMYFUNCTION("""COMPUTED_VALUE"""),"ଇଗ୍ରାଫ୍ଟିନ |")</f>
        <v>ଇଗ୍ରାଫ୍ଟିନ |</v>
      </c>
      <c r="G846" s="2" t="str">
        <f>IFERROR(__xludf.DUMMYFUNCTION("""COMPUTED_VALUE"""),"IGSTIN")</f>
        <v>IGSTIN</v>
      </c>
      <c r="H846" s="2" t="str">
        <f>IFERROR(__xludf.DUMMYFUNCTION("""COMPUTED_VALUE"""),"મસ્તક")</f>
        <v>મસ્તક</v>
      </c>
      <c r="I846" s="2" t="str">
        <f>IFERROR(__xludf.DUMMYFUNCTION("""COMPUTED_VALUE"""),"इगस्टिन")</f>
        <v>इगस्टिन</v>
      </c>
      <c r="J846" s="2" t="str">
        <f>IFERROR(__xludf.DUMMYFUNCTION("""COMPUTED_VALUE"""),"ഇഗ്സ്റ്റിൻ")</f>
        <v>ഇഗ്സ്റ്റിൻ</v>
      </c>
      <c r="K846" s="2" t="str">
        <f>IFERROR(__xludf.DUMMYFUNCTION("""COMPUTED_VALUE"""),"Igstin")</f>
        <v>Igstin</v>
      </c>
      <c r="L846" s="2" t="str">
        <f>IFERROR(__xludf.DUMMYFUNCTION("""COMPUTED_VALUE"""),"IGSTIN")</f>
        <v>IGSTIN</v>
      </c>
      <c r="M846" s="2" t="str">
        <f>IFERROR(__xludf.DUMMYFUNCTION("""COMPUTED_VALUE"""),"Igstin")</f>
        <v>Igstin</v>
      </c>
    </row>
    <row r="847">
      <c r="A847" s="2" t="str">
        <f>Master_en!A847</f>
        <v>ShopName</v>
      </c>
      <c r="B847" s="2" t="str">
        <f>Master_en!B847</f>
        <v>Shop Name</v>
      </c>
      <c r="C847" s="2" t="str">
        <f>IFERROR(__xludf.DUMMYFUNCTION("""COMPUTED_VALUE"""),"শপ নাম")</f>
        <v>শপ নাম</v>
      </c>
      <c r="D847" s="2" t="str">
        <f>IFERROR(__xludf.DUMMYFUNCTION("""COMPUTED_VALUE"""),"दुकान का नाम")</f>
        <v>दुकान का नाम</v>
      </c>
      <c r="E847" s="2" t="str">
        <f>IFERROR(__xludf.DUMMYFUNCTION("""COMPUTED_VALUE"""),"ಅಂಗಡಿಯ ಹೆಸರು")</f>
        <v>ಅಂಗಡಿಯ ಹೆಸರು</v>
      </c>
      <c r="F847" s="2" t="str">
        <f>IFERROR(__xludf.DUMMYFUNCTION("""COMPUTED_VALUE"""),"ଦୋକାନ ନାମ")</f>
        <v>ଦୋକାନ ନାମ</v>
      </c>
      <c r="G847" s="2" t="str">
        <f>IFERROR(__xludf.DUMMYFUNCTION("""COMPUTED_VALUE"""),"দোকানৰ নাম")</f>
        <v>দোকানৰ নাম</v>
      </c>
      <c r="H847" s="2" t="str">
        <f>IFERROR(__xludf.DUMMYFUNCTION("""COMPUTED_VALUE"""),"દુકાનનું નામ")</f>
        <v>દુકાનનું નામ</v>
      </c>
      <c r="I847" s="2" t="str">
        <f>IFERROR(__xludf.DUMMYFUNCTION("""COMPUTED_VALUE"""),"दुकानाचे नाव")</f>
        <v>दुकानाचे नाव</v>
      </c>
      <c r="J847" s="2" t="str">
        <f>IFERROR(__xludf.DUMMYFUNCTION("""COMPUTED_VALUE"""),"കടയുടെ പേര്")</f>
        <v>കടയുടെ പേര്</v>
      </c>
      <c r="K847" s="2" t="str">
        <f>IFERROR(__xludf.DUMMYFUNCTION("""COMPUTED_VALUE"""),"ਦੁਕਾਨ ਦਾ ਨਾਮ")</f>
        <v>ਦੁਕਾਨ ਦਾ ਨਾਮ</v>
      </c>
      <c r="L847" s="2" t="str">
        <f>IFERROR(__xludf.DUMMYFUNCTION("""COMPUTED_VALUE"""),"கடை பெயர்")</f>
        <v>கடை பெயர்</v>
      </c>
      <c r="M847" s="2" t="str">
        <f>IFERROR(__xludf.DUMMYFUNCTION("""COMPUTED_VALUE"""),"షాప్ పేరు")</f>
        <v>షాప్ పేరు</v>
      </c>
    </row>
    <row r="848">
      <c r="A848" s="2" t="str">
        <f>Master_en!A848</f>
        <v>PhoneNo.</v>
      </c>
      <c r="B848" s="2" t="str">
        <f>Master_en!B848</f>
        <v>Phone No.</v>
      </c>
      <c r="C848" s="2" t="str">
        <f>IFERROR(__xludf.DUMMYFUNCTION("""COMPUTED_VALUE"""),"ফোন নম্বর.")</f>
        <v>ফোন নম্বর.</v>
      </c>
      <c r="D848" s="2" t="str">
        <f>IFERROR(__xludf.DUMMYFUNCTION("""COMPUTED_VALUE"""),"फोन नंबर।")</f>
        <v>फोन नंबर।</v>
      </c>
      <c r="E848" s="2" t="str">
        <f>IFERROR(__xludf.DUMMYFUNCTION("""COMPUTED_VALUE"""),"ದೂರವಾಣಿ ಸಂಖ್ಯೆ.")</f>
        <v>ದೂರವಾಣಿ ಸಂಖ್ಯೆ.</v>
      </c>
      <c r="F848" s="2" t="str">
        <f>IFERROR(__xludf.DUMMYFUNCTION("""COMPUTED_VALUE"""),"ଫୋନ୍ ନମ୍ବର")</f>
        <v>ଫୋନ୍ ନମ୍ବର</v>
      </c>
      <c r="G848" s="2" t="str">
        <f>IFERROR(__xludf.DUMMYFUNCTION("""COMPUTED_VALUE"""),"ফোন নং।")</f>
        <v>ফোন নং।</v>
      </c>
      <c r="H848" s="2" t="str">
        <f>IFERROR(__xludf.DUMMYFUNCTION("""COMPUTED_VALUE"""),"ફોન નંબર")</f>
        <v>ફોન નંબર</v>
      </c>
      <c r="I848" s="2" t="str">
        <f>IFERROR(__xludf.DUMMYFUNCTION("""COMPUTED_VALUE"""),"दूरध्वनी क्रमांक.")</f>
        <v>दूरध्वनी क्रमांक.</v>
      </c>
      <c r="J848" s="2" t="str">
        <f>IFERROR(__xludf.DUMMYFUNCTION("""COMPUTED_VALUE"""),"ഫോൺ നമ്പർ.")</f>
        <v>ഫോൺ നമ്പർ.</v>
      </c>
      <c r="K848" s="2" t="str">
        <f>IFERROR(__xludf.DUMMYFUNCTION("""COMPUTED_VALUE"""),"ਫੋਨ ਨੰਬਰ")</f>
        <v>ਫੋਨ ਨੰਬਰ</v>
      </c>
      <c r="L848" s="2" t="str">
        <f>IFERROR(__xludf.DUMMYFUNCTION("""COMPUTED_VALUE"""),"தொலைபேசி எண்.")</f>
        <v>தொலைபேசி எண்.</v>
      </c>
      <c r="M848" s="2" t="str">
        <f>IFERROR(__xludf.DUMMYFUNCTION("""COMPUTED_VALUE"""),"చరవాణి సంఖ్య.")</f>
        <v>చరవాణి సంఖ్య.</v>
      </c>
    </row>
    <row r="849">
      <c r="A849" s="2" t="str">
        <f>Master_en!A849</f>
        <v>Gallery</v>
      </c>
      <c r="B849" s="2" t="str">
        <f>Master_en!B849</f>
        <v>Gallery</v>
      </c>
      <c r="C849" s="2" t="str">
        <f>IFERROR(__xludf.DUMMYFUNCTION("""COMPUTED_VALUE"""),"গ্যালারী")</f>
        <v>গ্যালারী</v>
      </c>
      <c r="D849" s="2" t="str">
        <f>IFERROR(__xludf.DUMMYFUNCTION("""COMPUTED_VALUE"""),"गेलरी")</f>
        <v>गेलरी</v>
      </c>
      <c r="E849" s="2" t="str">
        <f>IFERROR(__xludf.DUMMYFUNCTION("""COMPUTED_VALUE"""),"ಗ್ಯಾಲರಿ")</f>
        <v>ಗ್ಯಾಲರಿ</v>
      </c>
      <c r="F849" s="2" t="str">
        <f>IFERROR(__xludf.DUMMYFUNCTION("""COMPUTED_VALUE"""),"ଗ୍ୟାଲେରୀ")</f>
        <v>ଗ୍ୟାଲେରୀ</v>
      </c>
      <c r="G849" s="2" t="str">
        <f>IFERROR(__xludf.DUMMYFUNCTION("""COMPUTED_VALUE"""),"গেলেৰী")</f>
        <v>গেলেৰী</v>
      </c>
      <c r="H849" s="2" t="str">
        <f>IFERROR(__xludf.DUMMYFUNCTION("""COMPUTED_VALUE"""),"શબપરીમા")</f>
        <v>શબપરીમા</v>
      </c>
      <c r="I849" s="2" t="str">
        <f>IFERROR(__xludf.DUMMYFUNCTION("""COMPUTED_VALUE"""),"गॅलरी")</f>
        <v>गॅलरी</v>
      </c>
      <c r="J849" s="2" t="str">
        <f>IFERROR(__xludf.DUMMYFUNCTION("""COMPUTED_VALUE"""),"ചിതമണ്ഡപം")</f>
        <v>ചിതമണ്ഡപം</v>
      </c>
      <c r="K849" s="2" t="str">
        <f>IFERROR(__xludf.DUMMYFUNCTION("""COMPUTED_VALUE"""),"ਗੈਲਰੀ")</f>
        <v>ਗੈਲਰੀ</v>
      </c>
      <c r="L849" s="2" t="str">
        <f>IFERROR(__xludf.DUMMYFUNCTION("""COMPUTED_VALUE"""),"கேலரி")</f>
        <v>கேலரி</v>
      </c>
      <c r="M849" s="2" t="str">
        <f>IFERROR(__xludf.DUMMYFUNCTION("""COMPUTED_VALUE"""),"గ్యాలరీ")</f>
        <v>గ్యాలరీ</v>
      </c>
    </row>
    <row r="850">
      <c r="A850" s="2" t="str">
        <f>Master_en!A850</f>
        <v>Update&amp;Continue</v>
      </c>
      <c r="B850" s="2" t="str">
        <f>Master_en!B850</f>
        <v>Update &amp; Continue</v>
      </c>
      <c r="C850" s="2" t="str">
        <f>IFERROR(__xludf.DUMMYFUNCTION("""COMPUTED_VALUE"""),"আপডেট এবং চালিয়ে যান")</f>
        <v>আপডেট এবং চালিয়ে যান</v>
      </c>
      <c r="D850" s="2" t="str">
        <f>IFERROR(__xludf.DUMMYFUNCTION("""COMPUTED_VALUE"""),"अद्यतन करें और जारी रखें")</f>
        <v>अद्यतन करें और जारी रखें</v>
      </c>
      <c r="E850" s="2" t="str">
        <f>IFERROR(__xludf.DUMMYFUNCTION("""COMPUTED_VALUE"""),"ನವೀಕರಿಸಿ ಮತ್ತು ಮುಂದುವರಿಸಿ")</f>
        <v>ನವೀಕರಿಸಿ ಮತ್ತು ಮುಂದುವರಿಸಿ</v>
      </c>
      <c r="F850" s="2" t="str">
        <f>IFERROR(__xludf.DUMMYFUNCTION("""COMPUTED_VALUE"""),"ଅଦ୍ୟତନ କରନ୍ତୁ ଏବଂ ଜାରି ରଖନ୍ତୁ |")</f>
        <v>ଅଦ୍ୟତନ କରନ୍ତୁ ଏବଂ ଜାରି ରଖନ୍ତୁ |</v>
      </c>
      <c r="G850" s="2" t="str">
        <f>IFERROR(__xludf.DUMMYFUNCTION("""COMPUTED_VALUE"""),"আপডেট আৰু অব্যাহত ৰাখক")</f>
        <v>আপডেট আৰু অব্যাহত ৰাখক</v>
      </c>
      <c r="H850" s="2" t="str">
        <f>IFERROR(__xludf.DUMMYFUNCTION("""COMPUTED_VALUE"""),"અપડેટ કરો અને ચાલુ રાખો")</f>
        <v>અપડેટ કરો અને ચાલુ રાખો</v>
      </c>
      <c r="I850" s="2" t="str">
        <f>IFERROR(__xludf.DUMMYFUNCTION("""COMPUTED_VALUE"""),"अद्यतनित करा आणि सुरू ठेवा")</f>
        <v>अद्यतनित करा आणि सुरू ठेवा</v>
      </c>
      <c r="J850" s="2" t="str">
        <f>IFERROR(__xludf.DUMMYFUNCTION("""COMPUTED_VALUE"""),"അപ്ഡേറ്റുചെയ്ത് തുടരുക")</f>
        <v>അപ്ഡേറ്റുചെയ്ത് തുടരുക</v>
      </c>
      <c r="K850" s="2" t="str">
        <f>IFERROR(__xludf.DUMMYFUNCTION("""COMPUTED_VALUE"""),"ਅਪਡੇਟ ਕਰੋ ਅਤੇ ਜਾਰੀ ਰੱਖੋ")</f>
        <v>ਅਪਡੇਟ ਕਰੋ ਅਤੇ ਜਾਰੀ ਰੱਖੋ</v>
      </c>
      <c r="L850" s="2" t="str">
        <f>IFERROR(__xludf.DUMMYFUNCTION("""COMPUTED_VALUE"""),"புதுப்பித்து தொடரவும்")</f>
        <v>புதுப்பித்து தொடரவும்</v>
      </c>
      <c r="M850" s="2" t="str">
        <f>IFERROR(__xludf.DUMMYFUNCTION("""COMPUTED_VALUE"""),"నవీకరణ &amp; కొనసాగించండి")</f>
        <v>నవీకరణ &amp; కొనసాగించండి</v>
      </c>
    </row>
    <row r="851">
      <c r="A851" s="2" t="str">
        <f>Master_en!A851</f>
        <v>alert </v>
      </c>
      <c r="B851" s="2" t="str">
        <f>Master_en!B851</f>
        <v>Alert!!</v>
      </c>
      <c r="C851" s="2" t="str">
        <f>IFERROR(__xludf.DUMMYFUNCTION("""COMPUTED_VALUE"""),"সতর্ক !!")</f>
        <v>সতর্ক !!</v>
      </c>
      <c r="D851" s="2" t="str">
        <f>IFERROR(__xludf.DUMMYFUNCTION("""COMPUTED_VALUE"""),"चेतावनी!!")</f>
        <v>चेतावनी!!</v>
      </c>
      <c r="E851" s="2" t="str">
        <f>IFERROR(__xludf.DUMMYFUNCTION("""COMPUTED_VALUE"""),"ಎಚ್ಚರಿಕೆ !!")</f>
        <v>ಎಚ್ಚರಿಕೆ !!</v>
      </c>
      <c r="F851" s="2" t="str">
        <f>IFERROR(__xludf.DUMMYFUNCTION("""COMPUTED_VALUE"""),"ସତର୍କ !!")</f>
        <v>ସତର୍କ !!</v>
      </c>
      <c r="G851" s="2" t="str">
        <f>IFERROR(__xludf.DUMMYFUNCTION("""COMPUTED_VALUE"""),"সতৰ্ক !!")</f>
        <v>সতৰ্ক !!</v>
      </c>
      <c r="H851" s="2" t="str">
        <f>IFERROR(__xludf.DUMMYFUNCTION("""COMPUTED_VALUE"""),"ચેતવણી !!")</f>
        <v>ચેતવણી !!</v>
      </c>
      <c r="I851" s="2" t="str">
        <f>IFERROR(__xludf.DUMMYFUNCTION("""COMPUTED_VALUE"""),"सतर्क !!")</f>
        <v>सतर्क !!</v>
      </c>
      <c r="J851" s="2" t="str">
        <f>IFERROR(__xludf.DUMMYFUNCTION("""COMPUTED_VALUE"""),"ജാഗ്രത !!")</f>
        <v>ജാഗ്രത !!</v>
      </c>
      <c r="K851" s="2" t="str">
        <f>IFERROR(__xludf.DUMMYFUNCTION("""COMPUTED_VALUE"""),"ਚੇਤਾਵਨੀ !!")</f>
        <v>ਚੇਤਾਵਨੀ !!</v>
      </c>
      <c r="L851" s="2" t="str">
        <f>IFERROR(__xludf.DUMMYFUNCTION("""COMPUTED_VALUE"""),"எச்சரிக்கை!!")</f>
        <v>எச்சரிக்கை!!</v>
      </c>
      <c r="M851" s="2" t="str">
        <f>IFERROR(__xludf.DUMMYFUNCTION("""COMPUTED_VALUE"""),"హెచ్చరిక !!")</f>
        <v>హెచ్చరిక !!</v>
      </c>
    </row>
    <row r="852">
      <c r="A852" s="2" t="str">
        <f>Master_en!A852</f>
        <v>Areyousureyouwanttodelete?</v>
      </c>
      <c r="B852" s="2" t="str">
        <f>Master_en!B852</f>
        <v>Are you sure you want to delete?</v>
      </c>
      <c r="C852" s="2" t="str">
        <f>IFERROR(__xludf.DUMMYFUNCTION("""COMPUTED_VALUE"""),"আপনি মুছে ফেলতে চান?")</f>
        <v>আপনি মুছে ফেলতে চান?</v>
      </c>
      <c r="D852" s="2" t="str">
        <f>IFERROR(__xludf.DUMMYFUNCTION("""COMPUTED_VALUE"""),"क्या आप आश्वस्त है कि आपको डिलीट करना है?")</f>
        <v>क्या आप आश्वस्त है कि आपको डिलीट करना है?</v>
      </c>
      <c r="E852" s="2" t="str">
        <f>IFERROR(__xludf.DUMMYFUNCTION("""COMPUTED_VALUE"""),"ನೀವು ಅಳಿಸಲು ಬಯಸುತ್ತೀರಾ?")</f>
        <v>ನೀವು ಅಳಿಸಲು ಬಯಸುತ್ತೀರಾ?</v>
      </c>
      <c r="F852" s="2" t="str">
        <f>IFERROR(__xludf.DUMMYFUNCTION("""COMPUTED_VALUE"""),"ଆପଣ ନିଶ୍ଚିତ କି ଆପଣ ବିଲୋପ କରିବାକୁ ଚାହୁଁଛନ୍ତି?")</f>
        <v>ଆପଣ ନିଶ୍ଚିତ କି ଆପଣ ବିଲୋପ କରିବାକୁ ଚାହୁଁଛନ୍ତି?</v>
      </c>
      <c r="G852" s="2" t="str">
        <f>IFERROR(__xludf.DUMMYFUNCTION("""COMPUTED_VALUE"""),"আপুনি নিশ্চিত নেকি যে আপুনি মচি পেলাব বিচাৰে?")</f>
        <v>আপুনি নিশ্চিত নেকি যে আপুনি মচি পেলাব বিচাৰে?</v>
      </c>
      <c r="H852" s="2" t="str">
        <f>IFERROR(__xludf.DUMMYFUNCTION("""COMPUTED_VALUE"""),"શું તમે ખરેખર કા delete ી નાખવા માંગો છો?")</f>
        <v>શું તમે ખરેખર કા delete ી નાખવા માંગો છો?</v>
      </c>
      <c r="I852" s="2" t="str">
        <f>IFERROR(__xludf.DUMMYFUNCTION("""COMPUTED_VALUE"""),"तुम्हाला नक्की डिलीट करायचे आहे का?")</f>
        <v>तुम्हाला नक्की डिलीट करायचे आहे का?</v>
      </c>
      <c r="J852" s="2" t="str">
        <f>IFERROR(__xludf.DUMMYFUNCTION("""COMPUTED_VALUE"""),"ഇല്ലാതാക്കാൻ നിങ്ങൾ ആഗ്രഹിക്കുന്നുണ്ടോ?")</f>
        <v>ഇല്ലാതാക്കാൻ നിങ്ങൾ ആഗ്രഹിക്കുന്നുണ്ടോ?</v>
      </c>
      <c r="K852" s="2" t="str">
        <f>IFERROR(__xludf.DUMMYFUNCTION("""COMPUTED_VALUE"""),"ਕੀ ਤੁਸੀਂ ਯਕੀਨਨ ਹਟਾਉਣਾ ਚਾਹੁੰਦੇ ਹੋ?")</f>
        <v>ਕੀ ਤੁਸੀਂ ਯਕੀਨਨ ਹਟਾਉਣਾ ਚਾਹੁੰਦੇ ਹੋ?</v>
      </c>
      <c r="L852" s="2" t="str">
        <f>IFERROR(__xludf.DUMMYFUNCTION("""COMPUTED_VALUE"""),"இதை நீக்க வேண்டும் என்பதில் உறுதியாக இருக்கிறீர்களா?")</f>
        <v>இதை நீக்க வேண்டும் என்பதில் உறுதியாக இருக்கிறீர்களா?</v>
      </c>
      <c r="M852" s="2" t="str">
        <f>IFERROR(__xludf.DUMMYFUNCTION("""COMPUTED_VALUE"""),"మీరు తొలగించాలనుకుంటున్నారా ఖచ్చితంగా?")</f>
        <v>మీరు తొలగించాలనుకుంటున్నారా ఖచ్చితంగా?</v>
      </c>
    </row>
    <row r="853">
      <c r="A853" s="2" t="str">
        <f>Master_en!A853</f>
        <v>Organisation</v>
      </c>
      <c r="B853" s="2" t="str">
        <f>Master_en!B853</f>
        <v>Organisation</v>
      </c>
      <c r="C853" s="2" t="str">
        <f>IFERROR(__xludf.DUMMYFUNCTION("""COMPUTED_VALUE"""),"সংগঠন")</f>
        <v>সংগঠন</v>
      </c>
      <c r="D853" s="2" t="str">
        <f>IFERROR(__xludf.DUMMYFUNCTION("""COMPUTED_VALUE"""),"संगठन")</f>
        <v>संगठन</v>
      </c>
      <c r="E853" s="2" t="str">
        <f>IFERROR(__xludf.DUMMYFUNCTION("""COMPUTED_VALUE"""),"ಸಂಸ್ಥೆ")</f>
        <v>ಸಂಸ್ಥೆ</v>
      </c>
      <c r="F853" s="2" t="str">
        <f>IFERROR(__xludf.DUMMYFUNCTION("""COMPUTED_VALUE"""),"ସଂଗଠନ |")</f>
        <v>ସଂଗଠନ |</v>
      </c>
      <c r="G853" s="2" t="str">
        <f>IFERROR(__xludf.DUMMYFUNCTION("""COMPUTED_VALUE"""),"সংস্থা")</f>
        <v>সংস্থা</v>
      </c>
      <c r="H853" s="2" t="str">
        <f>IFERROR(__xludf.DUMMYFUNCTION("""COMPUTED_VALUE"""),"સંગઠન")</f>
        <v>સંગઠન</v>
      </c>
      <c r="I853" s="2" t="str">
        <f>IFERROR(__xludf.DUMMYFUNCTION("""COMPUTED_VALUE"""),"संस्था")</f>
        <v>संस्था</v>
      </c>
      <c r="J853" s="2" t="str">
        <f>IFERROR(__xludf.DUMMYFUNCTION("""COMPUTED_VALUE"""),"സംഘടന")</f>
        <v>സംഘടന</v>
      </c>
      <c r="K853" s="2" t="str">
        <f>IFERROR(__xludf.DUMMYFUNCTION("""COMPUTED_VALUE"""),"ਸੰਗਠਨ")</f>
        <v>ਸੰਗਠਨ</v>
      </c>
      <c r="L853" s="2" t="str">
        <f>IFERROR(__xludf.DUMMYFUNCTION("""COMPUTED_VALUE"""),"அமைப்பு")</f>
        <v>அமைப்பு</v>
      </c>
      <c r="M853" s="2" t="str">
        <f>IFERROR(__xludf.DUMMYFUNCTION("""COMPUTED_VALUE"""),"సంస్థ")</f>
        <v>సంస్థ</v>
      </c>
    </row>
    <row r="854">
      <c r="A854" s="2" t="str">
        <f>Master_en!A854</f>
        <v>SelectOrganistion</v>
      </c>
      <c r="B854" s="2" t="str">
        <f>Master_en!B854</f>
        <v>Select Organization</v>
      </c>
      <c r="C854" s="2" t="str">
        <f>IFERROR(__xludf.DUMMYFUNCTION("""COMPUTED_VALUE"""),"সংস্থা নির্বাচন করুন")</f>
        <v>সংস্থা নির্বাচন করুন</v>
      </c>
      <c r="D854" s="2" t="str">
        <f>IFERROR(__xludf.DUMMYFUNCTION("""COMPUTED_VALUE"""),"संगठन का चयन करें")</f>
        <v>संगठन का चयन करें</v>
      </c>
      <c r="E854" s="2" t="str">
        <f>IFERROR(__xludf.DUMMYFUNCTION("""COMPUTED_VALUE"""),"ಸಂಸ್ಥೆ ಸಂಸ್ಥೆ")</f>
        <v>ಸಂಸ್ಥೆ ಸಂಸ್ಥೆ</v>
      </c>
      <c r="F854" s="2" t="str">
        <f>IFERROR(__xludf.DUMMYFUNCTION("""COMPUTED_VALUE"""),"ସଂଗଠନ ଚୟନ କରନ୍ତୁ |")</f>
        <v>ସଂଗଠନ ଚୟନ କରନ୍ତୁ |</v>
      </c>
      <c r="G854" s="2" t="str">
        <f>IFERROR(__xludf.DUMMYFUNCTION("""COMPUTED_VALUE"""),"সংস্থা নিৰ্বাচন কৰক")</f>
        <v>সংস্থা নিৰ্বাচন কৰক</v>
      </c>
      <c r="H854" s="2" t="str">
        <f>IFERROR(__xludf.DUMMYFUNCTION("""COMPUTED_VALUE"""),"સંગઠન પસંદ કરો")</f>
        <v>સંગઠન પસંદ કરો</v>
      </c>
      <c r="I854" s="2" t="str">
        <f>IFERROR(__xludf.DUMMYFUNCTION("""COMPUTED_VALUE"""),"संस्था निवडा")</f>
        <v>संस्था निवडा</v>
      </c>
      <c r="J854" s="2" t="str">
        <f>IFERROR(__xludf.DUMMYFUNCTION("""COMPUTED_VALUE"""),"ഓർഗനൈസേഷൻ തിരഞ്ഞെടുക്കുക")</f>
        <v>ഓർഗനൈസേഷൻ തിരഞ്ഞെടുക്കുക</v>
      </c>
      <c r="K854" s="2" t="str">
        <f>IFERROR(__xludf.DUMMYFUNCTION("""COMPUTED_VALUE"""),"ਸੰਗਠਨ ਦੀ ਚੋਣ ਕਰੋ")</f>
        <v>ਸੰਗਠਨ ਦੀ ਚੋਣ ਕਰੋ</v>
      </c>
      <c r="L854" s="2" t="str">
        <f>IFERROR(__xludf.DUMMYFUNCTION("""COMPUTED_VALUE"""),"அமைப்பைத் தேர்ந்தெடுக்கவும்")</f>
        <v>அமைப்பைத் தேர்ந்தெடுக்கவும்</v>
      </c>
      <c r="M854" s="2" t="str">
        <f>IFERROR(__xludf.DUMMYFUNCTION("""COMPUTED_VALUE"""),"సంస్థను ఎంచుకోండి")</f>
        <v>సంస్థను ఎంచుకోండి</v>
      </c>
    </row>
    <row r="855">
      <c r="A855" s="2" t="str">
        <f>Master_en!A855</f>
        <v>Select&amp;Continue</v>
      </c>
      <c r="B855" s="2" t="str">
        <f>Master_en!B855</f>
        <v>Select &amp; Continue</v>
      </c>
      <c r="C855" s="2" t="str">
        <f>IFERROR(__xludf.DUMMYFUNCTION("""COMPUTED_VALUE"""),"নির্বাচন করুন এবং চালিয়ে যান")</f>
        <v>নির্বাচন করুন এবং চালিয়ে যান</v>
      </c>
      <c r="D855" s="2" t="str">
        <f>IFERROR(__xludf.DUMMYFUNCTION("""COMPUTED_VALUE"""),"चयन करें और जारी रखें")</f>
        <v>चयन करें और जारी रखें</v>
      </c>
      <c r="E855" s="2" t="str">
        <f>IFERROR(__xludf.DUMMYFUNCTION("""COMPUTED_VALUE"""),"ಆಯ್ಕೆಮಾಡಿ ಮತ್ತು ಮುಂದುವರಿಸಿ")</f>
        <v>ಆಯ್ಕೆಮಾಡಿ ಮತ್ತು ಮುಂದುವರಿಸಿ</v>
      </c>
      <c r="F855" s="2" t="str">
        <f>IFERROR(__xludf.DUMMYFUNCTION("""COMPUTED_VALUE"""),"ଚୟନ କରନ୍ତୁ ଏବଂ ଜାରି ରଖନ୍ତୁ |")</f>
        <v>ଚୟନ କରନ୍ତୁ ଏବଂ ଜାରି ରଖନ୍ତୁ |</v>
      </c>
      <c r="G855" s="2" t="str">
        <f>IFERROR(__xludf.DUMMYFUNCTION("""COMPUTED_VALUE"""),"নিৰ্ব্বাচন কৰক আৰু অব্যাহত ৰাখক")</f>
        <v>নিৰ্ব্বাচন কৰক আৰু অব্যাহত ৰাখক</v>
      </c>
      <c r="H855" s="2" t="str">
        <f>IFERROR(__xludf.DUMMYFUNCTION("""COMPUTED_VALUE"""),"પસંદ કરો અને ચાલુ રાખો")</f>
        <v>પસંદ કરો અને ચાલુ રાખો</v>
      </c>
      <c r="I855" s="2" t="str">
        <f>IFERROR(__xludf.DUMMYFUNCTION("""COMPUTED_VALUE"""),"निवडा आणि सुरू ठेवा")</f>
        <v>निवडा आणि सुरू ठेवा</v>
      </c>
      <c r="J855" s="2" t="str">
        <f>IFERROR(__xludf.DUMMYFUNCTION("""COMPUTED_VALUE"""),"തിരഞ്ഞെടുത്ത് തുടരുക &amp; തുടരുക")</f>
        <v>തിരഞ്ഞെടുത്ത് തുടരുക &amp; തുടരുക</v>
      </c>
      <c r="K855" s="2" t="str">
        <f>IFERROR(__xludf.DUMMYFUNCTION("""COMPUTED_VALUE"""),"ਚੁਣੋ ਅਤੇ ਜਾਰੀ ਰੱਖੋ")</f>
        <v>ਚੁਣੋ ਅਤੇ ਜਾਰੀ ਰੱਖੋ</v>
      </c>
      <c r="L855" s="2" t="str">
        <f>IFERROR(__xludf.DUMMYFUNCTION("""COMPUTED_VALUE"""),"தேர்ந்தெடுத்து தொடரவும்")</f>
        <v>தேர்ந்தெடுத்து தொடரவும்</v>
      </c>
      <c r="M855" s="2" t="str">
        <f>IFERROR(__xludf.DUMMYFUNCTION("""COMPUTED_VALUE"""),"ఎంచుకోండి &amp; కొనసాగించండి")</f>
        <v>ఎంచుకోండి &amp; కొనసాగించండి</v>
      </c>
    </row>
    <row r="856">
      <c r="A856" s="2" t="str">
        <f>Master_en!A856</f>
        <v>Sarvm</v>
      </c>
      <c r="B856" s="2" t="str">
        <f>Master_en!B856</f>
        <v>Sarvm</v>
      </c>
      <c r="C856" s="2" t="str">
        <f>IFERROR(__xludf.DUMMYFUNCTION("""COMPUTED_VALUE"""),"সর্ব")</f>
        <v>সর্ব</v>
      </c>
      <c r="D856" s="2" t="str">
        <f>IFERROR(__xludf.DUMMYFUNCTION("""COMPUTED_VALUE"""),"सरवम")</f>
        <v>सरवम</v>
      </c>
      <c r="E856" s="2" t="str">
        <f>IFERROR(__xludf.DUMMYFUNCTION("""COMPUTED_VALUE"""),"ಸೇನಾಪುಲು")</f>
        <v>ಸೇನಾಪುಲು</v>
      </c>
      <c r="F856" s="2" t="str">
        <f>IFERROR(__xludf.DUMMYFUNCTION("""COMPUTED_VALUE"""),"ସରମଡିଟ୍")</f>
        <v>ସରମଡିଟ୍</v>
      </c>
      <c r="G856" s="2" t="str">
        <f>IFERROR(__xludf.DUMMYFUNCTION("""COMPUTED_VALUE"""),"সৰ্বম")</f>
        <v>সৰ্বম</v>
      </c>
      <c r="H856" s="2" t="str">
        <f>IFERROR(__xludf.DUMMYFUNCTION("""COMPUTED_VALUE"""),"સાધુ")</f>
        <v>સાધુ</v>
      </c>
      <c r="I856" s="2" t="str">
        <f>IFERROR(__xludf.DUMMYFUNCTION("""COMPUTED_VALUE"""),"SARVM")</f>
        <v>SARVM</v>
      </c>
      <c r="J856" s="2" t="str">
        <f>IFERROR(__xludf.DUMMYFUNCTION("""COMPUTED_VALUE"""),"സർവ്എം")</f>
        <v>സർവ്എം</v>
      </c>
      <c r="K856" s="2" t="str">
        <f>IFERROR(__xludf.DUMMYFUNCTION("""COMPUTED_VALUE"""),"ਸਰਵੀਐਮ")</f>
        <v>ਸਰਵੀਐਮ</v>
      </c>
      <c r="L856" s="2" t="str">
        <f>IFERROR(__xludf.DUMMYFUNCTION("""COMPUTED_VALUE"""),"Sarvm")</f>
        <v>Sarvm</v>
      </c>
      <c r="M856" s="2" t="str">
        <f>IFERROR(__xludf.DUMMYFUNCTION("""COMPUTED_VALUE"""),"Savm")</f>
        <v>Savm</v>
      </c>
    </row>
    <row r="857">
      <c r="A857" s="2" t="str">
        <f>Master_en!A857</f>
        <v>Iwilldeliverby</v>
      </c>
      <c r="B857" s="2" t="str">
        <f>Master_en!B857</f>
        <v>I will deliver by</v>
      </c>
      <c r="C857" s="2" t="str">
        <f>IFERROR(__xludf.DUMMYFUNCTION("""COMPUTED_VALUE"""),"আমি বিতরণ করব")</f>
        <v>আমি বিতরণ করব</v>
      </c>
      <c r="D857" s="2" t="str">
        <f>IFERROR(__xludf.DUMMYFUNCTION("""COMPUTED_VALUE"""),"मैं वितरित करूँगा")</f>
        <v>मैं वितरित करूँगा</v>
      </c>
      <c r="E857" s="2" t="str">
        <f>IFERROR(__xludf.DUMMYFUNCTION("""COMPUTED_VALUE"""),"ನಾನು ತಲುಪಿಸುತ್ತೇನೆ")</f>
        <v>ನಾನು ತಲುಪಿಸುತ್ತೇನೆ</v>
      </c>
      <c r="F857" s="2" t="str">
        <f>IFERROR(__xludf.DUMMYFUNCTION("""COMPUTED_VALUE"""),"ମୁଁ ବିତରଣ କରିବି")</f>
        <v>ମୁଁ ବିତରଣ କରିବି</v>
      </c>
      <c r="G857" s="2" t="str">
        <f>IFERROR(__xludf.DUMMYFUNCTION("""COMPUTED_VALUE"""),"মই ডেলিভাৰী দিম")</f>
        <v>মই ডেলিভাৰী দিম</v>
      </c>
      <c r="H857" s="2" t="str">
        <f>IFERROR(__xludf.DUMMYFUNCTION("""COMPUTED_VALUE"""),"હું દ્વારા પહોંચાડીશ")</f>
        <v>હું દ્વારા પહોંચાડીશ</v>
      </c>
      <c r="I857" s="2" t="str">
        <f>IFERROR(__xludf.DUMMYFUNCTION("""COMPUTED_VALUE"""),"मी वितरण करीन")</f>
        <v>मी वितरण करीन</v>
      </c>
      <c r="J857" s="2" t="str">
        <f>IFERROR(__xludf.DUMMYFUNCTION("""COMPUTED_VALUE"""),"ഞാൻ വിതരണം ചെയ്യും")</f>
        <v>ഞാൻ വിതരണം ചെയ്യും</v>
      </c>
      <c r="K857" s="2" t="str">
        <f>IFERROR(__xludf.DUMMYFUNCTION("""COMPUTED_VALUE"""),"ਮੈਂ ਸਪੁਰਦ ਕਰਾਂਗਾ")</f>
        <v>ਮੈਂ ਸਪੁਰਦ ਕਰਾਂਗਾ</v>
      </c>
      <c r="L857" s="2" t="str">
        <f>IFERROR(__xludf.DUMMYFUNCTION("""COMPUTED_VALUE"""),"நான் வழங்குவேன்")</f>
        <v>நான் வழங்குவேன்</v>
      </c>
      <c r="M857" s="2" t="str">
        <f>IFERROR(__xludf.DUMMYFUNCTION("""COMPUTED_VALUE"""),"నేను బట్వాడా చేస్తాను")</f>
        <v>నేను బట్వాడా చేస్తాను</v>
      </c>
    </row>
    <row r="858">
      <c r="A858" s="2" t="str">
        <f>Master_en!A858</f>
        <v>Pedestrian </v>
      </c>
      <c r="B858" s="2" t="str">
        <f>Master_en!B858</f>
        <v>Pedestrian </v>
      </c>
      <c r="C858" s="2" t="str">
        <f>IFERROR(__xludf.DUMMYFUNCTION("""COMPUTED_VALUE"""),"পথচারী")</f>
        <v>পথচারী</v>
      </c>
      <c r="D858" s="2" t="str">
        <f>IFERROR(__xludf.DUMMYFUNCTION("""COMPUTED_VALUE"""),"पैदल यात्री")</f>
        <v>पैदल यात्री</v>
      </c>
      <c r="E858" s="2" t="str">
        <f>IFERROR(__xludf.DUMMYFUNCTION("""COMPUTED_VALUE"""),"ಪಾದಚಾರಿಣಿ")</f>
        <v>ಪಾದಚಾರಿಣಿ</v>
      </c>
      <c r="F858" s="2" t="str">
        <f>IFERROR(__xludf.DUMMYFUNCTION("""COMPUTED_VALUE"""),"ପଥଚାରୀ")</f>
        <v>ପଥଚାରୀ</v>
      </c>
      <c r="G858" s="2" t="str">
        <f>IFERROR(__xludf.DUMMYFUNCTION("""COMPUTED_VALUE"""),"পথচাৰী")</f>
        <v>পথচাৰী</v>
      </c>
      <c r="H858" s="2" t="str">
        <f>IFERROR(__xludf.DUMMYFUNCTION("""COMPUTED_VALUE"""),"રાહદારી")</f>
        <v>રાહદારી</v>
      </c>
      <c r="I858" s="2" t="str">
        <f>IFERROR(__xludf.DUMMYFUNCTION("""COMPUTED_VALUE"""),"पादचारी")</f>
        <v>पादचारी</v>
      </c>
      <c r="J858" s="2" t="str">
        <f>IFERROR(__xludf.DUMMYFUNCTION("""COMPUTED_VALUE"""),"കാല്നടക്കാരി")</f>
        <v>കാല്നടക്കാരി</v>
      </c>
      <c r="K858" s="2" t="str">
        <f>IFERROR(__xludf.DUMMYFUNCTION("""COMPUTED_VALUE"""),"ਪੈਦਲ ਯਾਤਰੀ")</f>
        <v>ਪੈਦਲ ਯਾਤਰੀ</v>
      </c>
      <c r="L858" s="2" t="str">
        <f>IFERROR(__xludf.DUMMYFUNCTION("""COMPUTED_VALUE"""),"பாதசாரி")</f>
        <v>பாதசாரி</v>
      </c>
      <c r="M858" s="2" t="str">
        <f>IFERROR(__xludf.DUMMYFUNCTION("""COMPUTED_VALUE"""),"పాదచారుల")</f>
        <v>పాదచారుల</v>
      </c>
    </row>
    <row r="859">
      <c r="A859" s="2" t="str">
        <f>Master_en!A859</f>
        <v>Bicycle</v>
      </c>
      <c r="B859" s="2" t="str">
        <f>Master_en!B859</f>
        <v>Bicycle</v>
      </c>
      <c r="C859" s="2" t="str">
        <f>IFERROR(__xludf.DUMMYFUNCTION("""COMPUTED_VALUE"""),"সাইকেল")</f>
        <v>সাইকেল</v>
      </c>
      <c r="D859" s="2" t="str">
        <f>IFERROR(__xludf.DUMMYFUNCTION("""COMPUTED_VALUE"""),"साइकिल")</f>
        <v>साइकिल</v>
      </c>
      <c r="E859" s="2" t="str">
        <f>IFERROR(__xludf.DUMMYFUNCTION("""COMPUTED_VALUE"""),"ಗಲಾಟೆ")</f>
        <v>ಗಲಾಟೆ</v>
      </c>
      <c r="F859" s="2" t="str">
        <f>IFERROR(__xludf.DUMMYFUNCTION("""COMPUTED_VALUE"""),"ସାଇକେଲ")</f>
        <v>ସାଇକେଲ</v>
      </c>
      <c r="G859" s="2" t="str">
        <f>IFERROR(__xludf.DUMMYFUNCTION("""COMPUTED_VALUE"""),"চাইকেল")</f>
        <v>চাইকেল</v>
      </c>
      <c r="H859" s="2" t="str">
        <f>IFERROR(__xludf.DUMMYFUNCTION("""COMPUTED_VALUE"""),"સાયકલ")</f>
        <v>સાયકલ</v>
      </c>
      <c r="I859" s="2" t="str">
        <f>IFERROR(__xludf.DUMMYFUNCTION("""COMPUTED_VALUE"""),"सायकल")</f>
        <v>सायकल</v>
      </c>
      <c r="J859" s="2" t="str">
        <f>IFERROR(__xludf.DUMMYFUNCTION("""COMPUTED_VALUE"""),"സൈക്കിൾ")</f>
        <v>സൈക്കിൾ</v>
      </c>
      <c r="K859" s="2" t="str">
        <f>IFERROR(__xludf.DUMMYFUNCTION("""COMPUTED_VALUE"""),"ਸਾਈਕਲ")</f>
        <v>ਸਾਈਕਲ</v>
      </c>
      <c r="L859" s="2" t="str">
        <f>IFERROR(__xludf.DUMMYFUNCTION("""COMPUTED_VALUE"""),"மிதிவண்டி")</f>
        <v>மிதிவண்டி</v>
      </c>
      <c r="M859" s="2" t="str">
        <f>IFERROR(__xludf.DUMMYFUNCTION("""COMPUTED_VALUE"""),"సైకిల్")</f>
        <v>సైకిల్</v>
      </c>
    </row>
    <row r="860">
      <c r="A860" s="2" t="str">
        <f>Master_en!A860</f>
        <v>CycleRickshaw</v>
      </c>
      <c r="B860" s="2" t="str">
        <f>Master_en!B860</f>
        <v>Cycle Rickshaw</v>
      </c>
      <c r="C860" s="2" t="str">
        <f>IFERROR(__xludf.DUMMYFUNCTION("""COMPUTED_VALUE"""),"চক্র রিকশা")</f>
        <v>চক্র রিকশা</v>
      </c>
      <c r="D860" s="2" t="str">
        <f>IFERROR(__xludf.DUMMYFUNCTION("""COMPUTED_VALUE"""),"साइकिल रिक्शा")</f>
        <v>साइकिल रिक्शा</v>
      </c>
      <c r="E860" s="2" t="str">
        <f>IFERROR(__xludf.DUMMYFUNCTION("""COMPUTED_VALUE"""),"ಸೈಕಲ್ ರಿಕ್ಷಾ")</f>
        <v>ಸೈಕಲ್ ರಿಕ್ಷಾ</v>
      </c>
      <c r="F860" s="2" t="str">
        <f>IFERROR(__xludf.DUMMYFUNCTION("""COMPUTED_VALUE"""),"ଚକ୍ର ରିକ୍ସା")</f>
        <v>ଚକ୍ର ରିକ୍ସା</v>
      </c>
      <c r="G860" s="2" t="str">
        <f>IFERROR(__xludf.DUMMYFUNCTION("""COMPUTED_VALUE"""),"চাইকেল ৰিক্সা")</f>
        <v>চাইকেল ৰিক্সা</v>
      </c>
      <c r="H860" s="2" t="str">
        <f>IFERROR(__xludf.DUMMYFUNCTION("""COMPUTED_VALUE"""),"ચક્ર રિક્ષા")</f>
        <v>ચક્ર રિક્ષા</v>
      </c>
      <c r="I860" s="2" t="str">
        <f>IFERROR(__xludf.DUMMYFUNCTION("""COMPUTED_VALUE"""),"सायकल रिक्षा")</f>
        <v>सायकल रिक्षा</v>
      </c>
      <c r="J860" s="2" t="str">
        <f>IFERROR(__xludf.DUMMYFUNCTION("""COMPUTED_VALUE"""),"സൈക്കിൾ റിക്ഷ")</f>
        <v>സൈക്കിൾ റിക്ഷ</v>
      </c>
      <c r="K860" s="2" t="str">
        <f>IFERROR(__xludf.DUMMYFUNCTION("""COMPUTED_VALUE"""),"ਸਾਈਕਲ ਰਿਕਸ਼ਾ")</f>
        <v>ਸਾਈਕਲ ਰਿਕਸ਼ਾ</v>
      </c>
      <c r="L860" s="2" t="str">
        <f>IFERROR(__xludf.DUMMYFUNCTION("""COMPUTED_VALUE"""),"சைக்கிள் ரிக்‌ஷா")</f>
        <v>சைக்கிள் ரிக்‌ஷா</v>
      </c>
      <c r="M860" s="2" t="str">
        <f>IFERROR(__xludf.DUMMYFUNCTION("""COMPUTED_VALUE"""),"సైకిల్ రిక్షా")</f>
        <v>సైకిల్ రిక్షా</v>
      </c>
    </row>
    <row r="861">
      <c r="A861" s="2" t="str">
        <f>Master_en!A861</f>
        <v>AutoRickshaw</v>
      </c>
      <c r="B861" s="2" t="str">
        <f>Master_en!B861</f>
        <v>Auto Rickshaw</v>
      </c>
      <c r="C861" s="2" t="str">
        <f>IFERROR(__xludf.DUMMYFUNCTION("""COMPUTED_VALUE"""),"অটো রিকশা")</f>
        <v>অটো রিকশা</v>
      </c>
      <c r="D861" s="2" t="str">
        <f>IFERROR(__xludf.DUMMYFUNCTION("""COMPUTED_VALUE"""),"ऑटो रिक्शा")</f>
        <v>ऑटो रिक्शा</v>
      </c>
      <c r="E861" s="2" t="str">
        <f>IFERROR(__xludf.DUMMYFUNCTION("""COMPUTED_VALUE"""),"ಆಟೋ ರಿಕ್ಷಾ")</f>
        <v>ಆಟೋ ರಿಕ್ಷಾ</v>
      </c>
      <c r="F861" s="2" t="str">
        <f>IFERROR(__xludf.DUMMYFUNCTION("""COMPUTED_VALUE"""),"ଅଟୋ ରିକ୍ସା |")</f>
        <v>ଅଟୋ ରିକ୍ସା |</v>
      </c>
      <c r="G861" s="2" t="str">
        <f>IFERROR(__xludf.DUMMYFUNCTION("""COMPUTED_VALUE"""),"অটো ৰিক্সা")</f>
        <v>অটো ৰিক্সা</v>
      </c>
      <c r="H861" s="2" t="str">
        <f>IFERROR(__xludf.DUMMYFUNCTION("""COMPUTED_VALUE"""),"સ્વત r r")</f>
        <v>સ્વત r r</v>
      </c>
      <c r="I861" s="2" t="str">
        <f>IFERROR(__xludf.DUMMYFUNCTION("""COMPUTED_VALUE"""),"ऑटो रिक्षा")</f>
        <v>ऑटो रिक्षा</v>
      </c>
      <c r="J861" s="2" t="str">
        <f>IFERROR(__xludf.DUMMYFUNCTION("""COMPUTED_VALUE"""),"ഓട്ടോ റിക്ഷ")</f>
        <v>ഓട്ടോ റിക്ഷ</v>
      </c>
      <c r="K861" s="2" t="str">
        <f>IFERROR(__xludf.DUMMYFUNCTION("""COMPUTED_VALUE"""),"ਆਟੋ ਰਿਕਸ਼ਾ")</f>
        <v>ਆਟੋ ਰਿਕਸ਼ਾ</v>
      </c>
      <c r="L861" s="2" t="str">
        <f>IFERROR(__xludf.DUMMYFUNCTION("""COMPUTED_VALUE"""),"ஆட்டோ ரிக்‌ஷா")</f>
        <v>ஆட்டோ ரிக்‌ஷா</v>
      </c>
      <c r="M861" s="2" t="str">
        <f>IFERROR(__xludf.DUMMYFUNCTION("""COMPUTED_VALUE"""),"ఆటో రిక్షా")</f>
        <v>ఆటో రిక్షా</v>
      </c>
    </row>
    <row r="862">
      <c r="A862" s="2" t="str">
        <f>Master_en!A862</f>
        <v>Bike</v>
      </c>
      <c r="B862" s="2" t="str">
        <f>Master_en!B862</f>
        <v>Bike</v>
      </c>
      <c r="C862" s="2" t="str">
        <f>IFERROR(__xludf.DUMMYFUNCTION("""COMPUTED_VALUE"""),"বাইক")</f>
        <v>বাইক</v>
      </c>
      <c r="D862" s="2" t="str">
        <f>IFERROR(__xludf.DUMMYFUNCTION("""COMPUTED_VALUE"""),"बाइक")</f>
        <v>बाइक</v>
      </c>
      <c r="E862" s="2" t="str">
        <f>IFERROR(__xludf.DUMMYFUNCTION("""COMPUTED_VALUE"""),"ಬೈಕು")</f>
        <v>ಬೈಕು</v>
      </c>
      <c r="F862" s="2" t="str">
        <f>IFERROR(__xludf.DUMMYFUNCTION("""COMPUTED_VALUE"""),"ବାଇକ୍")</f>
        <v>ବାଇକ୍</v>
      </c>
      <c r="G862" s="2" t="str">
        <f>IFERROR(__xludf.DUMMYFUNCTION("""COMPUTED_VALUE"""),"মটৰচাইকেল")</f>
        <v>মটৰচাইকেল</v>
      </c>
      <c r="H862" s="2" t="str">
        <f>IFERROR(__xludf.DUMMYFUNCTION("""COMPUTED_VALUE"""),"બાઇક")</f>
        <v>બાઇક</v>
      </c>
      <c r="I862" s="2" t="str">
        <f>IFERROR(__xludf.DUMMYFUNCTION("""COMPUTED_VALUE"""),"दुचाकी")</f>
        <v>दुचाकी</v>
      </c>
      <c r="J862" s="2" t="str">
        <f>IFERROR(__xludf.DUMMYFUNCTION("""COMPUTED_VALUE"""),"അടയാളപ്പെടുത്തുക")</f>
        <v>അടയാളപ്പെടുത്തുക</v>
      </c>
      <c r="K862" s="2" t="str">
        <f>IFERROR(__xludf.DUMMYFUNCTION("""COMPUTED_VALUE"""),"ਸਾਈਕਲ")</f>
        <v>ਸਾਈਕਲ</v>
      </c>
      <c r="L862" s="2" t="str">
        <f>IFERROR(__xludf.DUMMYFUNCTION("""COMPUTED_VALUE"""),"இரு சக்கர வண்டி")</f>
        <v>இரு சக்கர வண்டி</v>
      </c>
      <c r="M862" s="2" t="str">
        <f>IFERROR(__xludf.DUMMYFUNCTION("""COMPUTED_VALUE"""),"బైక్")</f>
        <v>బైక్</v>
      </c>
    </row>
    <row r="863">
      <c r="A863" s="2" t="str">
        <f>Master_en!A863</f>
        <v>E-RIckshaw</v>
      </c>
      <c r="B863" s="2" t="str">
        <f>Master_en!B863</f>
        <v>E-RIckshaw</v>
      </c>
      <c r="C863" s="2" t="str">
        <f>IFERROR(__xludf.DUMMYFUNCTION("""COMPUTED_VALUE"""),"ই-রিকশা")</f>
        <v>ই-রিকশা</v>
      </c>
      <c r="D863" s="2" t="str">
        <f>IFERROR(__xludf.DUMMYFUNCTION("""COMPUTED_VALUE"""),"ई-रिक्शा")</f>
        <v>ई-रिक्शा</v>
      </c>
      <c r="E863" s="2" t="str">
        <f>IFERROR(__xludf.DUMMYFUNCTION("""COMPUTED_VALUE"""),"ಪತಂಗ")</f>
        <v>ಪತಂಗ</v>
      </c>
      <c r="F863" s="2" t="str">
        <f>IFERROR(__xludf.DUMMYFUNCTION("""COMPUTED_VALUE"""),"ଇ-ରିକ୍ସା |")</f>
        <v>ଇ-ରିକ୍ସା |</v>
      </c>
      <c r="G863" s="2" t="str">
        <f>IFERROR(__xludf.DUMMYFUNCTION("""COMPUTED_VALUE"""),"ই-ৰিক্সা")</f>
        <v>ই-ৰিক্সা</v>
      </c>
      <c r="H863" s="2" t="str">
        <f>IFERROR(__xludf.DUMMYFUNCTION("""COMPUTED_VALUE"""),"ઈ-રિકશો")</f>
        <v>ઈ-રિકશો</v>
      </c>
      <c r="I863" s="2" t="str">
        <f>IFERROR(__xludf.DUMMYFUNCTION("""COMPUTED_VALUE"""),"ई-रिक्षा")</f>
        <v>ई-रिक्षा</v>
      </c>
      <c r="J863" s="2" t="str">
        <f>IFERROR(__xludf.DUMMYFUNCTION("""COMPUTED_VALUE"""),"ഇ-റിക്ഷ")</f>
        <v>ഇ-റിക്ഷ</v>
      </c>
      <c r="K863" s="2" t="str">
        <f>IFERROR(__xludf.DUMMYFUNCTION("""COMPUTED_VALUE"""),"ਈ-ਰਿਕਸ਼ਾ")</f>
        <v>ਈ-ਰਿਕਸ਼ਾ</v>
      </c>
      <c r="L863" s="2" t="str">
        <f>IFERROR(__xludf.DUMMYFUNCTION("""COMPUTED_VALUE"""),"இ-ரிக்‌ஷா")</f>
        <v>இ-ரிக்‌ஷா</v>
      </c>
      <c r="M863" s="2" t="str">
        <f>IFERROR(__xludf.DUMMYFUNCTION("""COMPUTED_VALUE"""),"ఇ-రిక్షా")</f>
        <v>ఇ-రిక్షా</v>
      </c>
    </row>
    <row r="864">
      <c r="A864" s="2" t="str">
        <f>Master_en!A864</f>
        <v>DrivingLicenseNo</v>
      </c>
      <c r="B864" s="2" t="str">
        <f>Master_en!B864</f>
        <v>Driving License No</v>
      </c>
      <c r="C864" s="2" t="str">
        <f>IFERROR(__xludf.DUMMYFUNCTION("""COMPUTED_VALUE"""),"ড্রাইভিং লাইসেন্স নং")</f>
        <v>ড্রাইভিং লাইসেন্স নং</v>
      </c>
      <c r="D864" s="2" t="str">
        <f>IFERROR(__xludf.DUMMYFUNCTION("""COMPUTED_VALUE"""),"ड्राइवर का लाइसेंस नं")</f>
        <v>ड्राइवर का लाइसेंस नं</v>
      </c>
      <c r="E864" s="2" t="str">
        <f>IFERROR(__xludf.DUMMYFUNCTION("""COMPUTED_VALUE"""),"ಚಾಲನಾ ಪರವಾನಗಿ ಇಲ್ಲ")</f>
        <v>ಚಾಲನಾ ಪರವಾನಗಿ ಇಲ್ಲ</v>
      </c>
      <c r="F864" s="2" t="str">
        <f>IFERROR(__xludf.DUMMYFUNCTION("""COMPUTED_VALUE"""),"ଡ୍ରାଇଭିଂ ଲାଇସେନ୍ସ ନଂ")</f>
        <v>ଡ୍ରାଇଭିଂ ଲାଇସେନ୍ସ ନଂ</v>
      </c>
      <c r="G864" s="2" t="str">
        <f>IFERROR(__xludf.DUMMYFUNCTION("""COMPUTED_VALUE"""),"ড্ৰাইভিং লাইচেন্স নং")</f>
        <v>ড্ৰাইভিং লাইচেন্স নং</v>
      </c>
      <c r="H864" s="2" t="str">
        <f>IFERROR(__xludf.DUMMYFUNCTION("""COMPUTED_VALUE"""),"ડ્રાઇવિંગ લાઇસન્સ નંબર")</f>
        <v>ડ્રાઇવિંગ લાઇસન્સ નંબર</v>
      </c>
      <c r="I864" s="2" t="str">
        <f>IFERROR(__xludf.DUMMYFUNCTION("""COMPUTED_VALUE"""),"ड्रायव्हिंग लायसन्स क्र")</f>
        <v>ड्रायव्हिंग लायसन्स क्र</v>
      </c>
      <c r="J864" s="2" t="str">
        <f>IFERROR(__xludf.DUMMYFUNCTION("""COMPUTED_VALUE"""),"ഡ്രൈവിംഗ് ലൈസൻസ് നമ്പർ")</f>
        <v>ഡ്രൈവിംഗ് ലൈസൻസ് നമ്പർ</v>
      </c>
      <c r="K864" s="2" t="str">
        <f>IFERROR(__xludf.DUMMYFUNCTION("""COMPUTED_VALUE"""),"ਡਰਾਈਵਿੰਗ ਲਾਇਸੈਂਸ ਨੰ")</f>
        <v>ਡਰਾਈਵਿੰਗ ਲਾਇਸੈਂਸ ਨੰ</v>
      </c>
      <c r="L864" s="2" t="str">
        <f>IFERROR(__xludf.DUMMYFUNCTION("""COMPUTED_VALUE"""),"ஓட்டுநர் உரிமம் எண்")</f>
        <v>ஓட்டுநர் உரிமம் எண்</v>
      </c>
      <c r="M864" s="2" t="str">
        <f>IFERROR(__xludf.DUMMYFUNCTION("""COMPUTED_VALUE"""),"డ్రైవింగ్ లైసెన్స్ లేదు")</f>
        <v>డ్రైవింగ్ లైసెన్స్ లేదు</v>
      </c>
    </row>
    <row r="865">
      <c r="A865" s="2" t="str">
        <f>Master_en!A865</f>
        <v>RC</v>
      </c>
      <c r="B865" s="2" t="str">
        <f>Master_en!B865</f>
        <v>RC</v>
      </c>
      <c r="C865" s="2" t="str">
        <f>IFERROR(__xludf.DUMMYFUNCTION("""COMPUTED_VALUE"""),"আরসি")</f>
        <v>আরসি</v>
      </c>
      <c r="D865" s="2" t="str">
        <f>IFERROR(__xludf.DUMMYFUNCTION("""COMPUTED_VALUE"""),"आर सी")</f>
        <v>आर सी</v>
      </c>
      <c r="E865" s="2" t="str">
        <f>IFERROR(__xludf.DUMMYFUNCTION("""COMPUTED_VALUE"""),"ಆರ್ಸಿ")</f>
        <v>ಆರ್ಸಿ</v>
      </c>
      <c r="F865" s="2" t="str">
        <f>IFERROR(__xludf.DUMMYFUNCTION("""COMPUTED_VALUE"""),"ଆରସି")</f>
        <v>ଆରସି</v>
      </c>
      <c r="G865" s="2" t="str">
        <f>IFERROR(__xludf.DUMMYFUNCTION("""COMPUTED_VALUE"""),"আৰ চি")</f>
        <v>আৰ চি</v>
      </c>
      <c r="H865" s="2" t="str">
        <f>IFERROR(__xludf.DUMMYFUNCTION("""COMPUTED_VALUE"""),"આર.સી.")</f>
        <v>આર.સી.</v>
      </c>
      <c r="I865" s="2" t="str">
        <f>IFERROR(__xludf.DUMMYFUNCTION("""COMPUTED_VALUE"""),"आरसी")</f>
        <v>आरसी</v>
      </c>
      <c r="J865" s="2" t="str">
        <f>IFERROR(__xludf.DUMMYFUNCTION("""COMPUTED_VALUE"""),"ആർസി")</f>
        <v>ആർസി</v>
      </c>
      <c r="K865" s="2" t="str">
        <f>IFERROR(__xludf.DUMMYFUNCTION("""COMPUTED_VALUE"""),"ਆਰਸੀ")</f>
        <v>ਆਰਸੀ</v>
      </c>
      <c r="L865" s="2" t="str">
        <f>IFERROR(__xludf.DUMMYFUNCTION("""COMPUTED_VALUE"""),"ஆர்.சி.")</f>
        <v>ஆர்.சி.</v>
      </c>
      <c r="M865" s="2" t="str">
        <f>IFERROR(__xludf.DUMMYFUNCTION("""COMPUTED_VALUE"""),"Rc")</f>
        <v>Rc</v>
      </c>
    </row>
    <row r="866">
      <c r="A866" s="2" t="str">
        <f>Master_en!A866</f>
        <v>VehiclePermit(optional)</v>
      </c>
      <c r="B866" s="2" t="str">
        <f>Master_en!B866</f>
        <v>Vehicle Permit(optional)</v>
      </c>
      <c r="C866" s="2" t="str">
        <f>IFERROR(__xludf.DUMMYFUNCTION("""COMPUTED_VALUE"""),"যানবাহন পারমিট (al চ্ছিক)")</f>
        <v>যানবাহন পারমিট (al চ্ছিক)</v>
      </c>
      <c r="D866" s="2" t="str">
        <f>IFERROR(__xludf.DUMMYFUNCTION("""COMPUTED_VALUE"""),"वाहन परमिट")</f>
        <v>वाहन परमिट</v>
      </c>
      <c r="E866" s="2" t="str">
        <f>IFERROR(__xludf.DUMMYFUNCTION("""COMPUTED_VALUE"""),"ವಾಹನ ಪರವಾನಗಿ (ಐಚ್ಛಿಕ)")</f>
        <v>ವಾಹನ ಪರವಾನಗಿ (ಐಚ್ಛಿಕ)</v>
      </c>
      <c r="F866" s="2" t="str">
        <f>IFERROR(__xludf.DUMMYFUNCTION("""COMPUTED_VALUE"""),"ଯାନବାହାନ ଅନୁମତି (ବ al କଳ୍ପିକ)")</f>
        <v>ଯାନବାହାନ ଅନୁମତି (ବ al କଳ୍ପିକ)</v>
      </c>
      <c r="G866" s="2" t="str">
        <f>IFERROR(__xludf.DUMMYFUNCTION("""COMPUTED_VALUE"""),"বাহনৰ অনুমতি(ঐচ্ছিক)")</f>
        <v>বাহনৰ অনুমতি(ঐচ্ছিক)</v>
      </c>
      <c r="H866" s="2" t="str">
        <f>IFERROR(__xludf.DUMMYFUNCTION("""COMPUTED_VALUE"""),"વાહન પરમિટ (વૈકલ્પિક)")</f>
        <v>વાહન પરમિટ (વૈકલ્પિક)</v>
      </c>
      <c r="I866" s="2" t="str">
        <f>IFERROR(__xludf.DUMMYFUNCTION("""COMPUTED_VALUE"""),"वाहन परवानग्या (पर्यायी)")</f>
        <v>वाहन परवानग्या (पर्यायी)</v>
      </c>
      <c r="J866" s="2" t="str">
        <f>IFERROR(__xludf.DUMMYFUNCTION("""COMPUTED_VALUE"""),"വെഹിക്കിൾ പെർമിറ്റ് (ഓപ്ഷണൽ)")</f>
        <v>വെഹിക്കിൾ പെർമിറ്റ് (ഓപ്ഷണൽ)</v>
      </c>
      <c r="K866" s="2" t="str">
        <f>IFERROR(__xludf.DUMMYFUNCTION("""COMPUTED_VALUE"""),"ਵਾਹਨ ਪਰਮਿਟ (ਵਿਕਲਪਿਕ)")</f>
        <v>ਵਾਹਨ ਪਰਮਿਟ (ਵਿਕਲਪਿਕ)</v>
      </c>
      <c r="L866" s="2" t="str">
        <f>IFERROR(__xludf.DUMMYFUNCTION("""COMPUTED_VALUE"""),"வாகன அனுமதி (விரும்பினால்)")</f>
        <v>வாகன அனுமதி (விரும்பினால்)</v>
      </c>
      <c r="M866" s="2" t="str">
        <f>IFERROR(__xludf.DUMMYFUNCTION("""COMPUTED_VALUE"""),"వాహన అనుమతి (ఐచ్ఛికం)")</f>
        <v>వాహన అనుమతి (ఐచ్ఛికం)</v>
      </c>
    </row>
    <row r="867">
      <c r="A867" s="2" t="str">
        <f>Master_en!A867</f>
        <v>UploadVehiclePermitDocs</v>
      </c>
      <c r="B867" s="2" t="str">
        <f>Master_en!B867</f>
        <v>Upload Vehicle Permit Docs</v>
      </c>
      <c r="C867" s="2" t="str">
        <f>IFERROR(__xludf.DUMMYFUNCTION("""COMPUTED_VALUE"""),"যানবাহন পারমিট ডক্স আপলোড করুন")</f>
        <v>যানবাহন পারমিট ডক্স আপলোড করুন</v>
      </c>
      <c r="D867" s="2" t="str">
        <f>IFERROR(__xludf.DUMMYFUNCTION("""COMPUTED_VALUE"""),"वाहन परमिट डॉक्स अपलोड करें")</f>
        <v>वाहन परमिट डॉक्स अपलोड करें</v>
      </c>
      <c r="E867" s="2" t="str">
        <f>IFERROR(__xludf.DUMMYFUNCTION("""COMPUTED_VALUE"""),"ವಾಹನ ಪರವಾನಗಿ ಡಾಕ್ಸ್ ಅನ್ನು ಅಪ್‌ಲೋಡ್ ಮಾಡಿ")</f>
        <v>ವಾಹನ ಪರವಾನಗಿ ಡಾಕ್ಸ್ ಅನ್ನು ಅಪ್‌ಲೋಡ್ ಮಾಡಿ</v>
      </c>
      <c r="F867" s="2" t="str">
        <f>IFERROR(__xludf.DUMMYFUNCTION("""COMPUTED_VALUE"""),"ଯାନବାହାନ ଅନୁମତି Docs ଅପଲୋଡ୍ କରନ୍ତୁ |")</f>
        <v>ଯାନବାହାନ ଅନୁମତି Docs ଅପଲୋଡ୍ କରନ୍ତୁ |</v>
      </c>
      <c r="G867" s="2" t="str">
        <f>IFERROR(__xludf.DUMMYFUNCTION("""COMPUTED_VALUE"""),"বাহনৰ অনুমতিৰ নথিপত্ৰ আপলোড কৰক")</f>
        <v>বাহনৰ অনুমতিৰ নথিপত্ৰ আপলোড কৰক</v>
      </c>
      <c r="H867" s="2" t="str">
        <f>IFERROR(__xludf.DUMMYFUNCTION("""COMPUTED_VALUE"""),"વાહન પરમિટ ડ s ક્સ અપલોડ કરો")</f>
        <v>વાહન પરમિટ ડ s ક્સ અપલોડ કરો</v>
      </c>
      <c r="I867" s="2" t="str">
        <f>IFERROR(__xludf.DUMMYFUNCTION("""COMPUTED_VALUE"""),"वाहन परवानगी दस्तऐवज अपलोड करा")</f>
        <v>वाहन परवानगी दस्तऐवज अपलोड करा</v>
      </c>
      <c r="J867" s="2" t="str">
        <f>IFERROR(__xludf.DUMMYFUNCTION("""COMPUTED_VALUE"""),"വാഹനം അപ്ലോഡുചെയ്യുക ഡോട്ട് ഡോക്സ് അപ്ലോഡ് ചെയ്യുക")</f>
        <v>വാഹനം അപ്ലോഡുചെയ്യുക ഡോട്ട് ഡോക്സ് അപ്ലോഡ് ചെയ്യുക</v>
      </c>
      <c r="K867" s="2" t="str">
        <f>IFERROR(__xludf.DUMMYFUNCTION("""COMPUTED_VALUE"""),"ਵਾਹਨ ਪਰਮਿਟ ਡੌਕਸ ਅਪਲੋਡ ਕਰੋ")</f>
        <v>ਵਾਹਨ ਪਰਮਿਟ ਡੌਕਸ ਅਪਲੋਡ ਕਰੋ</v>
      </c>
      <c r="L867" s="2" t="str">
        <f>IFERROR(__xludf.DUMMYFUNCTION("""COMPUTED_VALUE"""),"வாகன அனுமதி ஆவணங்களை பதிவேற்றவும்")</f>
        <v>வாகன அனுமதி ஆவணங்களை பதிவேற்றவும்</v>
      </c>
      <c r="M867" s="2" t="str">
        <f>IFERROR(__xludf.DUMMYFUNCTION("""COMPUTED_VALUE"""),"వాహన అనుమతి డాక్స్ అప్‌లోడ్ చేయండి")</f>
        <v>వాహన అనుమతి డాక్స్ అప్‌లోడ్ చేయండి</v>
      </c>
    </row>
    <row r="868">
      <c r="A868" s="2" t="str">
        <f>Master_en!A868</f>
        <v>UploadRC(Registration Certificate)</v>
      </c>
      <c r="B868" s="2" t="str">
        <f>Master_en!B868</f>
        <v>Upload RC (Registration Certificate)</v>
      </c>
      <c r="C868" s="2" t="str">
        <f>IFERROR(__xludf.DUMMYFUNCTION("""COMPUTED_VALUE"""),"আপলোড আরসি (নিবন্ধকরণ শংসাপত্র)")</f>
        <v>আপলোড আরসি (নিবন্ধকরণ শংসাপত্র)</v>
      </c>
      <c r="D868" s="2" t="str">
        <f>IFERROR(__xludf.DUMMYFUNCTION("""COMPUTED_VALUE"""),"आरसी अपलोड (पंजीकरण प्रमाणपत्र)")</f>
        <v>आरसी अपलोड (पंजीकरण प्रमाणपत्र)</v>
      </c>
      <c r="E868" s="2" t="str">
        <f>IFERROR(__xludf.DUMMYFUNCTION("""COMPUTED_VALUE"""),"ಆರ್ಸಿ ಅಪ್‌ಲೋಡ್ ಮಾಡಿ (ನೋಂದಣಿ ಪ್ರಮಾಣಪತ್ರ)")</f>
        <v>ಆರ್ಸಿ ಅಪ್‌ಲೋಡ್ ಮಾಡಿ (ನೋಂದಣಿ ಪ್ರಮಾಣಪತ್ರ)</v>
      </c>
      <c r="F868" s="2" t="str">
        <f>IFERROR(__xludf.DUMMYFUNCTION("""COMPUTED_VALUE"""),"RC (ପଞ୍ଜୀକରଣ ସାର୍ଟିଫିକେଟ୍) ଅପଲୋଡ୍ କରନ୍ତୁ |")</f>
        <v>RC (ପଞ୍ଜୀକରଣ ସାର୍ଟିଫିକେଟ୍) ଅପଲୋଡ୍ କରନ୍ତୁ |</v>
      </c>
      <c r="G868" s="2" t="str">
        <f>IFERROR(__xludf.DUMMYFUNCTION("""COMPUTED_VALUE"""),"আপলোড কৰক RC (পঞ্জীয়ন প্ৰমাণপত্ৰ)")</f>
        <v>আপলোড কৰক RC (পঞ্জীয়ন প্ৰমাণপত্ৰ)</v>
      </c>
      <c r="H868" s="2" t="str">
        <f>IFERROR(__xludf.DUMMYFUNCTION("""COMPUTED_VALUE"""),"આરસી (નોંધણી પ્રમાણપત્ર) અપલોડ કરો")</f>
        <v>આરસી (નોંધણી પ્રમાણપત્ર) અપલોડ કરો</v>
      </c>
      <c r="I868" s="2" t="str">
        <f>IFERROR(__xludf.DUMMYFUNCTION("""COMPUTED_VALUE"""),"आरसी अपलोड करा (नोंदणी प्रमाणपत्र)")</f>
        <v>आरसी अपलोड करा (नोंदणी प्रमाणपत्र)</v>
      </c>
      <c r="J868" s="2" t="str">
        <f>IFERROR(__xludf.DUMMYFUNCTION("""COMPUTED_VALUE"""),"Rc (രജിസ്ട്രേഷൻ സർട്ടിഫിക്കറ്റ്) അപ്ലോഡ് ചെയ്യുക")</f>
        <v>Rc (രജിസ്ട്രേഷൻ സർട്ടിഫിക്കറ്റ്) അപ്ലോഡ് ചെയ്യുക</v>
      </c>
      <c r="K868" s="2" t="str">
        <f>IFERROR(__xludf.DUMMYFUNCTION("""COMPUTED_VALUE"""),"RC (ਰਜਿਸਟ੍ਰੇਸ਼ਨ ਸਰਟੀਫਿਕੇਟ) ਅਪਲੋਡ ਕਰੋ")</f>
        <v>RC (ਰਜਿਸਟ੍ਰੇਸ਼ਨ ਸਰਟੀਫਿਕੇਟ) ਅਪਲੋਡ ਕਰੋ</v>
      </c>
      <c r="L868" s="2" t="str">
        <f>IFERROR(__xludf.DUMMYFUNCTION("""COMPUTED_VALUE"""),"ஆர்.சி.யைப் பதிவேற்றவும் (பதிவு சான்றிதழ்)")</f>
        <v>ஆர்.சி.யைப் பதிவேற்றவும் (பதிவு சான்றிதழ்)</v>
      </c>
      <c r="M868" s="2" t="str">
        <f>IFERROR(__xludf.DUMMYFUNCTION("""COMPUTED_VALUE"""),"RC ని అప్‌లోడ్ చేయండి (రిజిస్ట్రేషన్ సర్టిఫికేట్)")</f>
        <v>RC ని అప్‌లోడ్ చేయండి (రిజిస్ట్రేషన్ సర్టిఫికేట్)</v>
      </c>
    </row>
    <row r="869">
      <c r="A869" s="2" t="str">
        <f>Master_en!A869</f>
        <v>OnlineDelivery </v>
      </c>
      <c r="B869" s="2" t="str">
        <f>Master_en!B869</f>
        <v>Online Delivery </v>
      </c>
      <c r="C869" s="2" t="str">
        <f>IFERROR(__xludf.DUMMYFUNCTION("""COMPUTED_VALUE"""),"অনলাইন বিতরণ")</f>
        <v>অনলাইন বিতরণ</v>
      </c>
      <c r="D869" s="2" t="str">
        <f>IFERROR(__xludf.DUMMYFUNCTION("""COMPUTED_VALUE"""),"ऑनलाइन वितरण")</f>
        <v>ऑनलाइन वितरण</v>
      </c>
      <c r="E869" s="2" t="str">
        <f>IFERROR(__xludf.DUMMYFUNCTION("""COMPUTED_VALUE"""),"ಆನ್‌ಲೈನ್ ವಿತರಣೆ")</f>
        <v>ಆನ್‌ಲೈನ್ ವಿತರಣೆ</v>
      </c>
      <c r="F869" s="2" t="str">
        <f>IFERROR(__xludf.DUMMYFUNCTION("""COMPUTED_VALUE"""),"ଅନଲାଇନ୍ ବିତରଣ |")</f>
        <v>ଅନଲାଇନ୍ ବିତରଣ |</v>
      </c>
      <c r="G869" s="2" t="str">
        <f>IFERROR(__xludf.DUMMYFUNCTION("""COMPUTED_VALUE"""),"অনলাইন ডেলিভাৰী")</f>
        <v>অনলাইন ডেলিভাৰী</v>
      </c>
      <c r="H869" s="2" t="str">
        <f>IFERROR(__xludf.DUMMYFUNCTION("""COMPUTED_VALUE"""),"Deliveryાચાર")</f>
        <v>Deliveryાચાર</v>
      </c>
      <c r="I869" s="2" t="str">
        <f>IFERROR(__xludf.DUMMYFUNCTION("""COMPUTED_VALUE"""),"ऑनलाइन वितरण")</f>
        <v>ऑनलाइन वितरण</v>
      </c>
      <c r="J869" s="2" t="str">
        <f>IFERROR(__xludf.DUMMYFUNCTION("""COMPUTED_VALUE"""),"ഓൺലൈൻ ഡെലിവറി")</f>
        <v>ഓൺലൈൻ ഡെലിവറി</v>
      </c>
      <c r="K869" s="2" t="str">
        <f>IFERROR(__xludf.DUMMYFUNCTION("""COMPUTED_VALUE"""),"Custe ਨਲਾਈਨ ਡਿਲਿਵਰੀ")</f>
        <v>Custe ਨਲਾਈਨ ਡਿਲਿਵਰੀ</v>
      </c>
      <c r="L869" s="2" t="str">
        <f>IFERROR(__xludf.DUMMYFUNCTION("""COMPUTED_VALUE"""),"ஆன்லைன் டெலிவரி")</f>
        <v>ஆன்லைன் டெலிவரி</v>
      </c>
      <c r="M869" s="2" t="str">
        <f>IFERROR(__xludf.DUMMYFUNCTION("""COMPUTED_VALUE"""),"ఆన్‌లైన్ డెలివరీ")</f>
        <v>ఆన్‌లైన్ డెలివరీ</v>
      </c>
    </row>
    <row r="870">
      <c r="A870" s="2" t="str">
        <f>Master_en!A870</f>
        <v>EasyNavigation</v>
      </c>
      <c r="B870" s="2" t="str">
        <f>Master_en!B870</f>
        <v>Easy Navigation</v>
      </c>
      <c r="C870" s="2" t="str">
        <f>IFERROR(__xludf.DUMMYFUNCTION("""COMPUTED_VALUE"""),"সহজ নেভিগেশন")</f>
        <v>সহজ নেভিগেশন</v>
      </c>
      <c r="D870" s="2" t="str">
        <f>IFERROR(__xludf.DUMMYFUNCTION("""COMPUTED_VALUE"""),"आसान नेविगेशन")</f>
        <v>आसान नेविगेशन</v>
      </c>
      <c r="E870" s="2" t="str">
        <f>IFERROR(__xludf.DUMMYFUNCTION("""COMPUTED_VALUE"""),"ಸುಲಭ ಸಂಚರಣೆ")</f>
        <v>ಸುಲಭ ಸಂಚರಣೆ</v>
      </c>
      <c r="F870" s="2" t="str">
        <f>IFERROR(__xludf.DUMMYFUNCTION("""COMPUTED_VALUE"""),"ସହଜ ନାଭିଗେସନ୍ |")</f>
        <v>ସହଜ ନାଭିଗେସନ୍ |</v>
      </c>
      <c r="G870" s="2" t="str">
        <f>IFERROR(__xludf.DUMMYFUNCTION("""COMPUTED_VALUE"""),"সহজ নেভিগেচন")</f>
        <v>সহজ নেভিগেচন</v>
      </c>
      <c r="H870" s="2" t="str">
        <f>IFERROR(__xludf.DUMMYFUNCTION("""COMPUTED_VALUE"""),"સહેલાઇથી નૌપરિરણ")</f>
        <v>સહેલાઇથી નૌપરિરણ</v>
      </c>
      <c r="I870" s="2" t="str">
        <f>IFERROR(__xludf.DUMMYFUNCTION("""COMPUTED_VALUE"""),"सुलभ नेव्हिगेशन")</f>
        <v>सुलभ नेव्हिगेशन</v>
      </c>
      <c r="J870" s="2" t="str">
        <f>IFERROR(__xludf.DUMMYFUNCTION("""COMPUTED_VALUE"""),"എളുപ്പ നാവിഗേഷൻ")</f>
        <v>എളുപ്പ നാവിഗേഷൻ</v>
      </c>
      <c r="K870" s="2" t="str">
        <f>IFERROR(__xludf.DUMMYFUNCTION("""COMPUTED_VALUE"""),"ਆਸਾਨ ਨੇਵੀਗੇਸ਼ਨ")</f>
        <v>ਆਸਾਨ ਨੇਵੀਗੇਸ਼ਨ</v>
      </c>
      <c r="L870" s="2" t="str">
        <f>IFERROR(__xludf.DUMMYFUNCTION("""COMPUTED_VALUE"""),"எளிதான வழிசெலுத்தல்")</f>
        <v>எளிதான வழிசெலுத்தல்</v>
      </c>
      <c r="M870" s="2" t="str">
        <f>IFERROR(__xludf.DUMMYFUNCTION("""COMPUTED_VALUE"""),"సులభమైన నావిగేషన్")</f>
        <v>సులభమైన నావిగేషన్</v>
      </c>
    </row>
    <row r="871">
      <c r="A871" s="2" t="str">
        <f>Master_en!A871</f>
        <v>ManageMultipleDelivery </v>
      </c>
      <c r="B871" s="2" t="str">
        <f>Master_en!B871</f>
        <v>Manage Multiple Delivery </v>
      </c>
      <c r="C871" s="2" t="str">
        <f>IFERROR(__xludf.DUMMYFUNCTION("""COMPUTED_VALUE"""),"একাধিক বিতরণ পরিচালনা করুন")</f>
        <v>একাধিক বিতরণ পরিচালনা করুন</v>
      </c>
      <c r="D871" s="2" t="str">
        <f>IFERROR(__xludf.DUMMYFUNCTION("""COMPUTED_VALUE"""),"कई डिलीवरी का प्रबंधन करें")</f>
        <v>कई डिलीवरी का प्रबंधन करें</v>
      </c>
      <c r="E871" s="2" t="str">
        <f>IFERROR(__xludf.DUMMYFUNCTION("""COMPUTED_VALUE"""),"ಬಹು ವಿತರಣೆಯನ್ನು ನಿರ್ವಹಿಸಿ")</f>
        <v>ಬಹು ವಿತರಣೆಯನ್ನು ನಿರ್ವಹಿಸಿ</v>
      </c>
      <c r="F871" s="2" t="str">
        <f>IFERROR(__xludf.DUMMYFUNCTION("""COMPUTED_VALUE"""),"ଏକାଧିକ ବିତରଣ ପରିଚାଳନା କରନ୍ତୁ |")</f>
        <v>ଏକାଧିକ ବିତରଣ ପରିଚାଳନା କରନ୍ତୁ |</v>
      </c>
      <c r="G871" s="2" t="str">
        <f>IFERROR(__xludf.DUMMYFUNCTION("""COMPUTED_VALUE"""),"একাধিক ডেলিভাৰী পৰিচালনা কৰক")</f>
        <v>একাধিক ডেলিভাৰী পৰিচালনা কৰক</v>
      </c>
      <c r="H871" s="2" t="str">
        <f>IFERROR(__xludf.DUMMYFUNCTION("""COMPUTED_VALUE"""),"બહુવિધ ડિલિવરી મેનેજ કરો")</f>
        <v>બહુવિધ ડિલિવરી મેનેજ કરો</v>
      </c>
      <c r="I871" s="2" t="str">
        <f>IFERROR(__xludf.DUMMYFUNCTION("""COMPUTED_VALUE"""),"एकाधिक वितरण व्यवस्थापित करा")</f>
        <v>एकाधिक वितरण व्यवस्थापित करा</v>
      </c>
      <c r="J871" s="2" t="str">
        <f>IFERROR(__xludf.DUMMYFUNCTION("""COMPUTED_VALUE"""),"ഒന്നിലധികം ഡെലിവറി നിയന്ത്രിക്കുക")</f>
        <v>ഒന്നിലധികം ഡെലിവറി നിയന്ത്രിക്കുക</v>
      </c>
      <c r="K871" s="2" t="str">
        <f>IFERROR(__xludf.DUMMYFUNCTION("""COMPUTED_VALUE"""),"ਮਲਟੀਪਲ ਡਿਲਿਵਰੀ ਦਾ ਪ੍ਰਬੰਧ ਕਰੋ")</f>
        <v>ਮਲਟੀਪਲ ਡਿਲਿਵਰੀ ਦਾ ਪ੍ਰਬੰਧ ਕਰੋ</v>
      </c>
      <c r="L871" s="2" t="str">
        <f>IFERROR(__xludf.DUMMYFUNCTION("""COMPUTED_VALUE"""),"பல விநியோகத்தை நிர்வகிக்கவும்")</f>
        <v>பல விநியோகத்தை நிர்வகிக்கவும்</v>
      </c>
      <c r="M871" s="2" t="str">
        <f>IFERROR(__xludf.DUMMYFUNCTION("""COMPUTED_VALUE"""),"బహుళ డెలివరీని నిర్వహించండి")</f>
        <v>బహుళ డెలివరీని నిర్వహించండి</v>
      </c>
    </row>
    <row r="872">
      <c r="A872" s="2" t="str">
        <f>Master_en!A872</f>
        <v>DistanceManagement</v>
      </c>
      <c r="B872" s="2" t="str">
        <f>Master_en!B872</f>
        <v>Distance Management</v>
      </c>
      <c r="C872" s="2" t="str">
        <f>IFERROR(__xludf.DUMMYFUNCTION("""COMPUTED_VALUE"""),"দূরত্ব পরিচালনা")</f>
        <v>দূরত্ব পরিচালনা</v>
      </c>
      <c r="D872" s="2" t="str">
        <f>IFERROR(__xludf.DUMMYFUNCTION("""COMPUTED_VALUE"""),"दूरस्थ प्रबंधन")</f>
        <v>दूरस्थ प्रबंधन</v>
      </c>
      <c r="E872" s="2" t="str">
        <f>IFERROR(__xludf.DUMMYFUNCTION("""COMPUTED_VALUE"""),"ದೂರ ನಿರ್ವಹಣೆ")</f>
        <v>ದೂರ ನಿರ್ವಹಣೆ</v>
      </c>
      <c r="F872" s="2" t="str">
        <f>IFERROR(__xludf.DUMMYFUNCTION("""COMPUTED_VALUE"""),"ଦୂରୀତାକରଣ")</f>
        <v>ଦୂରୀତାକରଣ</v>
      </c>
      <c r="G872" s="2" t="str">
        <f>IFERROR(__xludf.DUMMYFUNCTION("""COMPUTED_VALUE"""),"দূৰত্ব ব্যৱস্থাপনা")</f>
        <v>দূৰত্ব ব্যৱস্থাপনা</v>
      </c>
      <c r="H872" s="2" t="str">
        <f>IFERROR(__xludf.DUMMYFUNCTION("""COMPUTED_VALUE"""),"અંતર સંચાલન")</f>
        <v>અંતર સંચાલન</v>
      </c>
      <c r="I872" s="2" t="str">
        <f>IFERROR(__xludf.DUMMYFUNCTION("""COMPUTED_VALUE"""),"अंतर व्यवस्थापन")</f>
        <v>अंतर व्यवस्थापन</v>
      </c>
      <c r="J872" s="2" t="str">
        <f>IFERROR(__xludf.DUMMYFUNCTION("""COMPUTED_VALUE"""),"വിദൂര മാനേജുമെന്റ്")</f>
        <v>വിദൂര മാനേജുമെന്റ്</v>
      </c>
      <c r="K872" s="2" t="str">
        <f>IFERROR(__xludf.DUMMYFUNCTION("""COMPUTED_VALUE"""),"ਦੂਰੀ ਪ੍ਰਬੰਧਨ")</f>
        <v>ਦੂਰੀ ਪ੍ਰਬੰਧਨ</v>
      </c>
      <c r="L872" s="2" t="str">
        <f>IFERROR(__xludf.DUMMYFUNCTION("""COMPUTED_VALUE"""),"தூர மேலாண்மை")</f>
        <v>தூர மேலாண்மை</v>
      </c>
      <c r="M872" s="2" t="str">
        <f>IFERROR(__xludf.DUMMYFUNCTION("""COMPUTED_VALUE"""),"దూర నిర్వహణ")</f>
        <v>దూర నిర్వహణ</v>
      </c>
    </row>
    <row r="873">
      <c r="A873" s="2" t="str">
        <f>Master_en!A873</f>
        <v>RateManagement</v>
      </c>
      <c r="B873" s="2" t="str">
        <f>Master_en!B873</f>
        <v>Rate Management</v>
      </c>
      <c r="C873" s="2" t="str">
        <f>IFERROR(__xludf.DUMMYFUNCTION("""COMPUTED_VALUE"""),"রেট ম্যানেজমেন্ট")</f>
        <v>রেট ম্যানেজমেন্ট</v>
      </c>
      <c r="D873" s="2" t="str">
        <f>IFERROR(__xludf.DUMMYFUNCTION("""COMPUTED_VALUE"""),"दर -प्रबंध")</f>
        <v>दर -प्रबंध</v>
      </c>
      <c r="E873" s="2" t="str">
        <f>IFERROR(__xludf.DUMMYFUNCTION("""COMPUTED_VALUE"""),"ದರ ನಿರ್ವಹಣೆ")</f>
        <v>ದರ ನಿರ್ವಹಣೆ</v>
      </c>
      <c r="F873" s="2" t="str">
        <f>IFERROR(__xludf.DUMMYFUNCTION("""COMPUTED_VALUE"""),"ହାର ପରିଚାଳନା")</f>
        <v>ହାର ପରିଚାଳନା</v>
      </c>
      <c r="G873" s="2" t="str">
        <f>IFERROR(__xludf.DUMMYFUNCTION("""COMPUTED_VALUE"""),"ৰেট মেনেজমেণ্ট")</f>
        <v>ৰেট মেনেজমেণ্ট</v>
      </c>
      <c r="H873" s="2" t="str">
        <f>IFERROR(__xludf.DUMMYFUNCTION("""COMPUTED_VALUE"""),"દર વ્યવસ્થા")</f>
        <v>દર વ્યવસ્થા</v>
      </c>
      <c r="I873" s="2" t="str">
        <f>IFERROR(__xludf.DUMMYFUNCTION("""COMPUTED_VALUE"""),"दर व्यवस्थापन")</f>
        <v>दर व्यवस्थापन</v>
      </c>
      <c r="J873" s="2" t="str">
        <f>IFERROR(__xludf.DUMMYFUNCTION("""COMPUTED_VALUE"""),"റേറ്റ് മാനേജുമെന്റ്")</f>
        <v>റേറ്റ് മാനേജുമെന്റ്</v>
      </c>
      <c r="K873" s="2" t="str">
        <f>IFERROR(__xludf.DUMMYFUNCTION("""COMPUTED_VALUE"""),"ਰੇਟ ਪ੍ਰਬੰਧਨ")</f>
        <v>ਰੇਟ ਪ੍ਰਬੰਧਨ</v>
      </c>
      <c r="L873" s="2" t="str">
        <f>IFERROR(__xludf.DUMMYFUNCTION("""COMPUTED_VALUE"""),"வீத மேலாண்மை")</f>
        <v>வீத மேலாண்மை</v>
      </c>
      <c r="M873" s="2" t="str">
        <f>IFERROR(__xludf.DUMMYFUNCTION("""COMPUTED_VALUE"""),"రేటు నిర్వహణ")</f>
        <v>రేటు నిర్వహణ</v>
      </c>
    </row>
    <row r="874">
      <c r="A874" s="2" t="str">
        <f>Master_en!A874</f>
        <v>Online</v>
      </c>
      <c r="B874" s="2" t="str">
        <f>Master_en!B874</f>
        <v>Online</v>
      </c>
      <c r="C874" s="2" t="str">
        <f>IFERROR(__xludf.DUMMYFUNCTION("""COMPUTED_VALUE"""),"অনলাইন")</f>
        <v>অনলাইন</v>
      </c>
      <c r="D874" s="2" t="str">
        <f>IFERROR(__xludf.DUMMYFUNCTION("""COMPUTED_VALUE"""),"ऑनलाइन")</f>
        <v>ऑनलाइन</v>
      </c>
      <c r="E874" s="2" t="str">
        <f>IFERROR(__xludf.DUMMYFUNCTION("""COMPUTED_VALUE"""),"ಆನ್‌ಲೈನ್‌ನಲ್ಲಿ")</f>
        <v>ಆನ್‌ಲೈನ್‌ನಲ್ಲಿ</v>
      </c>
      <c r="F874" s="2" t="str">
        <f>IFERROR(__xludf.DUMMYFUNCTION("""COMPUTED_VALUE"""),"ଅନଲାଇନ୍ |")</f>
        <v>ଅନଲାଇନ୍ |</v>
      </c>
      <c r="G874" s="2" t="str">
        <f>IFERROR(__xludf.DUMMYFUNCTION("""COMPUTED_VALUE"""),"অনলাইন")</f>
        <v>অনলাইন</v>
      </c>
      <c r="H874" s="2" t="str">
        <f>IFERROR(__xludf.DUMMYFUNCTION("""COMPUTED_VALUE"""),"T નલાઇન")</f>
        <v>T નલાઇન</v>
      </c>
      <c r="I874" s="2" t="str">
        <f>IFERROR(__xludf.DUMMYFUNCTION("""COMPUTED_VALUE"""),"ऑनलाइन")</f>
        <v>ऑनलाइन</v>
      </c>
      <c r="J874" s="2" t="str">
        <f>IFERROR(__xludf.DUMMYFUNCTION("""COMPUTED_VALUE"""),"ഓൺലൈൻ")</f>
        <v>ഓൺലൈൻ</v>
      </c>
      <c r="K874" s="2" t="str">
        <f>IFERROR(__xludf.DUMMYFUNCTION("""COMPUTED_VALUE"""),"ਆਨਲਾਈਨ")</f>
        <v>ਆਨਲਾਈਨ</v>
      </c>
      <c r="L874" s="2" t="str">
        <f>IFERROR(__xludf.DUMMYFUNCTION("""COMPUTED_VALUE"""),"ஆன்லைன்")</f>
        <v>ஆன்லைன்</v>
      </c>
      <c r="M874" s="2" t="str">
        <f>IFERROR(__xludf.DUMMYFUNCTION("""COMPUTED_VALUE"""),"ఆన్‌లైన్")</f>
        <v>ఆన్‌లైన్</v>
      </c>
    </row>
    <row r="875">
      <c r="A875" s="2" t="str">
        <f>Master_en!A875</f>
        <v>Reportincident </v>
      </c>
      <c r="B875" s="2" t="str">
        <f>Master_en!B875</f>
        <v>Report Incident </v>
      </c>
      <c r="C875" s="2" t="str">
        <f>IFERROR(__xludf.DUMMYFUNCTION("""COMPUTED_VALUE"""),"রিপোর্ট ঘটনা")</f>
        <v>রিপোর্ট ঘটনা</v>
      </c>
      <c r="D875" s="2" t="str">
        <f>IFERROR(__xludf.DUMMYFUNCTION("""COMPUTED_VALUE"""),"रिपोर्ट की घटना")</f>
        <v>रिपोर्ट की घटना</v>
      </c>
      <c r="E875" s="2" t="str">
        <f>IFERROR(__xludf.DUMMYFUNCTION("""COMPUTED_VALUE"""),"ವರದಿ ಘಟನೆ")</f>
        <v>ವರದಿ ಘಟನೆ</v>
      </c>
      <c r="F875" s="2" t="str">
        <f>IFERROR(__xludf.DUMMYFUNCTION("""COMPUTED_VALUE"""),"ଘଟଣା ରିପୋର୍ଟ କରନ୍ତୁ |")</f>
        <v>ଘଟଣା ରିପୋର୍ଟ କରନ୍ତୁ |</v>
      </c>
      <c r="G875" s="2" t="str">
        <f>IFERROR(__xludf.DUMMYFUNCTION("""COMPUTED_VALUE"""),"ৰিপৰ্ট কাণ্ড")</f>
        <v>ৰিপৰ্ট কাণ্ড</v>
      </c>
      <c r="H875" s="2" t="str">
        <f>IFERROR(__xludf.DUMMYFUNCTION("""COMPUTED_VALUE"""),"અહેવાલ ઘટના")</f>
        <v>અહેવાલ ઘટના</v>
      </c>
      <c r="I875" s="2" t="str">
        <f>IFERROR(__xludf.DUMMYFUNCTION("""COMPUTED_VALUE"""),"घटना नोंदवा")</f>
        <v>घटना नोंदवा</v>
      </c>
      <c r="J875" s="2" t="str">
        <f>IFERROR(__xludf.DUMMYFUNCTION("""COMPUTED_VALUE"""),"റിപ്പോർട്ട് സംഭവം")</f>
        <v>റിപ്പോർട്ട് സംഭവം</v>
      </c>
      <c r="K875" s="2" t="str">
        <f>IFERROR(__xludf.DUMMYFUNCTION("""COMPUTED_VALUE"""),"ਰਿਪੋਰਟ ਦੀ ਘਟਨਾ")</f>
        <v>ਰਿਪੋਰਟ ਦੀ ਘਟਨਾ</v>
      </c>
      <c r="L875" s="2" t="str">
        <f>IFERROR(__xludf.DUMMYFUNCTION("""COMPUTED_VALUE"""),"சம்பவத்தைப் புகாரளிக்கவும்")</f>
        <v>சம்பவத்தைப் புகாரளிக்கவும்</v>
      </c>
      <c r="M875" s="2" t="str">
        <f>IFERROR(__xludf.DUMMYFUNCTION("""COMPUTED_VALUE"""),"నివేదిక సంఘటన")</f>
        <v>నివేదిక సంఘటన</v>
      </c>
    </row>
    <row r="876">
      <c r="A876" s="2" t="str">
        <f>Master_en!A876</f>
        <v>Referafriend&amp;Earn </v>
      </c>
      <c r="B876" s="2" t="str">
        <f>Master_en!B876</f>
        <v>Refer a Friend &amp; Earn </v>
      </c>
      <c r="C876" s="2" t="str">
        <f>IFERROR(__xludf.DUMMYFUNCTION("""COMPUTED_VALUE"""),"একটি বন্ধু রেফার করুন এবং উপার্জন করুন")</f>
        <v>একটি বন্ধু রেফার করুন এবং উপার্জন করুন</v>
      </c>
      <c r="D876" s="2" t="str">
        <f>IFERROR(__xludf.DUMMYFUNCTION("""COMPUTED_VALUE"""),"एक दोस्त देखें और कमाएं")</f>
        <v>एक दोस्त देखें और कमाएं</v>
      </c>
      <c r="E876" s="2" t="str">
        <f>IFERROR(__xludf.DUMMYFUNCTION("""COMPUTED_VALUE"""),"ಸ್ನೇಹಿತನನ್ನು ನೋಡಿ ಮತ್ತು ಸಂಪಾದಿಸಿ")</f>
        <v>ಸ್ನೇಹಿತನನ್ನು ನೋಡಿ ಮತ್ತು ಸಂಪಾದಿಸಿ</v>
      </c>
      <c r="F876" s="2" t="str">
        <f>IFERROR(__xludf.DUMMYFUNCTION("""COMPUTED_VALUE"""),"ଜଣେ ବନ୍ଧୁଙ୍କୁ ଅନୁସରଣ କରନ୍ତୁ ଏବଂ ରୋଜଗାର କରନ୍ତୁ |")</f>
        <v>ଜଣେ ବନ୍ଧୁଙ୍କୁ ଅନୁସରଣ କରନ୍ତୁ ଏବଂ ରୋଜଗାର କରନ୍ତୁ |</v>
      </c>
      <c r="G876" s="2" t="str">
        <f>IFERROR(__xludf.DUMMYFUNCTION("""COMPUTED_VALUE"""),"বন্ধুক ৰেফাৰ কৰক &amp; উপাৰ্জন কৰক")</f>
        <v>বন্ধুক ৰেফাৰ কৰক &amp; উপাৰ্জন কৰক</v>
      </c>
      <c r="H876" s="2" t="str">
        <f>IFERROR(__xludf.DUMMYFUNCTION("""COMPUTED_VALUE"""),"મિત્રનો સંદર્ભ લો અને કમાવો")</f>
        <v>મિત્રનો સંદર્ભ લો અને કમાવો</v>
      </c>
      <c r="I876" s="2" t="str">
        <f>IFERROR(__xludf.DUMMYFUNCTION("""COMPUTED_VALUE"""),"मित्राचा संदर्भ घ्या आणि कमवा")</f>
        <v>मित्राचा संदर्भ घ्या आणि कमवा</v>
      </c>
      <c r="J876" s="2" t="str">
        <f>IFERROR(__xludf.DUMMYFUNCTION("""COMPUTED_VALUE"""),"ഒരു സുഹൃത്തിനെ വിളിച്ച് സമ്പാദിക്കുക")</f>
        <v>ഒരു സുഹൃത്തിനെ വിളിച്ച് സമ്പാദിക്കുക</v>
      </c>
      <c r="K876" s="2" t="str">
        <f>IFERROR(__xludf.DUMMYFUNCTION("""COMPUTED_VALUE"""),"ਕਿਸੇ ਦੋਸਤ ਨੂੰ ਵੇਖੋ ਅਤੇ ਕਮਾਓ")</f>
        <v>ਕਿਸੇ ਦੋਸਤ ਨੂੰ ਵੇਖੋ ਅਤੇ ਕਮਾਓ</v>
      </c>
      <c r="L876" s="2" t="str">
        <f>IFERROR(__xludf.DUMMYFUNCTION("""COMPUTED_VALUE"""),"ஒரு நண்பரைப் பரிந்துரைக்கவும் &amp; சம்பாதிக்கவும்")</f>
        <v>ஒரு நண்பரைப் பரிந்துரைக்கவும் &amp; சம்பாதிக்கவும்</v>
      </c>
      <c r="M876" s="2" t="str">
        <f>IFERROR(__xludf.DUMMYFUNCTION("""COMPUTED_VALUE"""),"స్నేహితుడిని చూడండి మరియు సంపాదించండి")</f>
        <v>స్నేహితుడిని చూడండి మరియు సంపాదించండి</v>
      </c>
    </row>
    <row r="877">
      <c r="A877" s="2" t="str">
        <f>Master_en!A877</f>
        <v>NewTrips </v>
      </c>
      <c r="B877" s="2" t="str">
        <f>Master_en!B877</f>
        <v>New Trips </v>
      </c>
      <c r="C877" s="2" t="str">
        <f>IFERROR(__xludf.DUMMYFUNCTION("""COMPUTED_VALUE"""),"নতুন ট্রিপস")</f>
        <v>নতুন ট্রিপস</v>
      </c>
      <c r="D877" s="2" t="str">
        <f>IFERROR(__xludf.DUMMYFUNCTION("""COMPUTED_VALUE"""),"नई यात्राएं")</f>
        <v>नई यात्राएं</v>
      </c>
      <c r="E877" s="2" t="str">
        <f>IFERROR(__xludf.DUMMYFUNCTION("""COMPUTED_VALUE"""),"ಹೊಸ ಪ್ರವಾಸಗಳು")</f>
        <v>ಹೊಸ ಪ್ರವಾಸಗಳು</v>
      </c>
      <c r="F877" s="2" t="str">
        <f>IFERROR(__xludf.DUMMYFUNCTION("""COMPUTED_VALUE"""),"ନୂତନ ଯାତ୍ରା")</f>
        <v>ନୂତନ ଯାତ୍ରା</v>
      </c>
      <c r="G877" s="2" t="str">
        <f>IFERROR(__xludf.DUMMYFUNCTION("""COMPUTED_VALUE"""),"নতুন ভ্ৰমণ")</f>
        <v>নতুন ভ্ৰমণ</v>
      </c>
      <c r="H877" s="2" t="str">
        <f>IFERROR(__xludf.DUMMYFUNCTION("""COMPUTED_VALUE"""),"નવી સફર")</f>
        <v>નવી સફર</v>
      </c>
      <c r="I877" s="2" t="str">
        <f>IFERROR(__xludf.DUMMYFUNCTION("""COMPUTED_VALUE"""),"नवीन सहली")</f>
        <v>नवीन सहली</v>
      </c>
      <c r="J877" s="2" t="str">
        <f>IFERROR(__xludf.DUMMYFUNCTION("""COMPUTED_VALUE"""),"പുതിയ യാത്രകൾ")</f>
        <v>പുതിയ യാത്രകൾ</v>
      </c>
      <c r="K877" s="2" t="str">
        <f>IFERROR(__xludf.DUMMYFUNCTION("""COMPUTED_VALUE"""),"ਨਵੀਆਂ ਯਾਤਰਾਵਾਂ")</f>
        <v>ਨਵੀਆਂ ਯਾਤਰਾਵਾਂ</v>
      </c>
      <c r="L877" s="2" t="str">
        <f>IFERROR(__xludf.DUMMYFUNCTION("""COMPUTED_VALUE"""),"புதிய பயணங்கள்")</f>
        <v>புதிய பயணங்கள்</v>
      </c>
      <c r="M877" s="2" t="str">
        <f>IFERROR(__xludf.DUMMYFUNCTION("""COMPUTED_VALUE"""),"కొత్త పర్యటనలు")</f>
        <v>కొత్త పర్యటనలు</v>
      </c>
    </row>
    <row r="878">
      <c r="A878" s="2" t="str">
        <f>Master_en!A878</f>
        <v>ExpectedEarnings</v>
      </c>
      <c r="B878" s="2" t="str">
        <f>Master_en!B878</f>
        <v>Expected Earnings</v>
      </c>
      <c r="C878" s="2" t="str">
        <f>IFERROR(__xludf.DUMMYFUNCTION("""COMPUTED_VALUE"""),"প্রত্যাশিত উপার্জন")</f>
        <v>প্রত্যাশিত উপার্জন</v>
      </c>
      <c r="D878" s="2" t="str">
        <f>IFERROR(__xludf.DUMMYFUNCTION("""COMPUTED_VALUE"""),"प्रत्याशित आय")</f>
        <v>प्रत्याशित आय</v>
      </c>
      <c r="E878" s="2" t="str">
        <f>IFERROR(__xludf.DUMMYFUNCTION("""COMPUTED_VALUE"""),"ನಿರೀಕ್ಷಿತ ಗಳಿಕೆ")</f>
        <v>ನಿರೀಕ್ಷಿತ ಗಳಿಕೆ</v>
      </c>
      <c r="F878" s="2" t="str">
        <f>IFERROR(__xludf.DUMMYFUNCTION("""COMPUTED_VALUE"""),"ଆଶା କରାଯାଉଥିବା ରୋଜଗାର")</f>
        <v>ଆଶା କରାଯାଉଥିବା ରୋଜଗାର</v>
      </c>
      <c r="G878" s="2" t="str">
        <f>IFERROR(__xludf.DUMMYFUNCTION("""COMPUTED_VALUE"""),"প্ৰত্যাশিত উপাৰ্জন")</f>
        <v>প্ৰত্যাশিত উপাৰ্জন</v>
      </c>
      <c r="H878" s="2" t="str">
        <f>IFERROR(__xludf.DUMMYFUNCTION("""COMPUTED_VALUE"""),"અપેક્ષિત કમાણી")</f>
        <v>અપેક્ષિત કમાણી</v>
      </c>
      <c r="I878" s="2" t="str">
        <f>IFERROR(__xludf.DUMMYFUNCTION("""COMPUTED_VALUE"""),"अपेक्षित कमाई")</f>
        <v>अपेक्षित कमाई</v>
      </c>
      <c r="J878" s="2" t="str">
        <f>IFERROR(__xludf.DUMMYFUNCTION("""COMPUTED_VALUE"""),"പ്രതീക്ഷിച്ച വരുമാനം")</f>
        <v>പ്രതീക്ഷിച്ച വരുമാനം</v>
      </c>
      <c r="K878" s="2" t="str">
        <f>IFERROR(__xludf.DUMMYFUNCTION("""COMPUTED_VALUE"""),"ਉਮੀਦ ਕੀਤੀ ਕਮਾਈ")</f>
        <v>ਉਮੀਦ ਕੀਤੀ ਕਮਾਈ</v>
      </c>
      <c r="L878" s="2" t="str">
        <f>IFERROR(__xludf.DUMMYFUNCTION("""COMPUTED_VALUE"""),"எதிர்பார்க்கப்படும் வருவாய்")</f>
        <v>எதிர்பார்க்கப்படும் வருவாய்</v>
      </c>
      <c r="M878" s="2" t="str">
        <f>IFERROR(__xludf.DUMMYFUNCTION("""COMPUTED_VALUE"""),"ఆశించిన ఆదాయాలు")</f>
        <v>ఆశించిన ఆదాయాలు</v>
      </c>
    </row>
    <row r="879">
      <c r="A879" s="2" t="str">
        <f>Master_en!A879</f>
        <v>OngoingTrip</v>
      </c>
      <c r="B879" s="2" t="str">
        <f>Master_en!B879</f>
        <v>Ongoing Trip</v>
      </c>
      <c r="C879" s="2" t="str">
        <f>IFERROR(__xludf.DUMMYFUNCTION("""COMPUTED_VALUE"""),"চলমান ট্রিপ")</f>
        <v>চলমান ট্রিপ</v>
      </c>
      <c r="D879" s="2" t="str">
        <f>IFERROR(__xludf.DUMMYFUNCTION("""COMPUTED_VALUE"""),"चल रही यात्रा")</f>
        <v>चल रही यात्रा</v>
      </c>
      <c r="E879" s="2" t="str">
        <f>IFERROR(__xludf.DUMMYFUNCTION("""COMPUTED_VALUE"""),"ನಡೆಯುತ್ತಿರುವ ಪ್ರವಾಸ")</f>
        <v>ನಡೆಯುತ್ತಿರುವ ಪ್ರವಾಸ</v>
      </c>
      <c r="F879" s="2" t="str">
        <f>IFERROR(__xludf.DUMMYFUNCTION("""COMPUTED_VALUE"""),"ଚାଲୁଥିବା ଯାତ୍ରା")</f>
        <v>ଚାଲୁଥିବା ଯାତ୍ରା</v>
      </c>
      <c r="G879" s="2" t="str">
        <f>IFERROR(__xludf.DUMMYFUNCTION("""COMPUTED_VALUE"""),"চলি থকা ভ্ৰমণ")</f>
        <v>চলি থকা ভ্ৰমণ</v>
      </c>
      <c r="H879" s="2" t="str">
        <f>IFERROR(__xludf.DUMMYFUNCTION("""COMPUTED_VALUE"""),"ચાલુ સફર")</f>
        <v>ચાલુ સફર</v>
      </c>
      <c r="I879" s="2" t="str">
        <f>IFERROR(__xludf.DUMMYFUNCTION("""COMPUTED_VALUE"""),"चालू असलेली सहल")</f>
        <v>चालू असलेली सहल</v>
      </c>
      <c r="J879" s="2" t="str">
        <f>IFERROR(__xludf.DUMMYFUNCTION("""COMPUTED_VALUE"""),"നടന്നുകൊണ്ടിരിക്കുന്ന യാത്ര")</f>
        <v>നടന്നുകൊണ്ടിരിക്കുന്ന യാത്ര</v>
      </c>
      <c r="K879" s="2" t="str">
        <f>IFERROR(__xludf.DUMMYFUNCTION("""COMPUTED_VALUE"""),"ਚਲ ਰਹੀ ਯਾਤਰਾ")</f>
        <v>ਚਲ ਰਹੀ ਯਾਤਰਾ</v>
      </c>
      <c r="L879" s="2" t="str">
        <f>IFERROR(__xludf.DUMMYFUNCTION("""COMPUTED_VALUE"""),"நடந்துகொண்டிருக்கும் பயணம்")</f>
        <v>நடந்துகொண்டிருக்கும் பயணம்</v>
      </c>
      <c r="M879" s="2" t="str">
        <f>IFERROR(__xludf.DUMMYFUNCTION("""COMPUTED_VALUE"""),"కొనసాగుతున్న ట్రిప్")</f>
        <v>కొనసాగుతున్న ట్రిప్</v>
      </c>
    </row>
    <row r="880">
      <c r="A880" s="2" t="str">
        <f>Master_en!A880</f>
        <v>Drop-Off</v>
      </c>
      <c r="B880" s="2" t="str">
        <f>Master_en!B880</f>
        <v>Drop-Off</v>
      </c>
      <c r="C880" s="2" t="str">
        <f>IFERROR(__xludf.DUMMYFUNCTION("""COMPUTED_VALUE"""),"ড্রপ-অফ")</f>
        <v>ড্রপ-অফ</v>
      </c>
      <c r="D880" s="2" t="str">
        <f>IFERROR(__xludf.DUMMYFUNCTION("""COMPUTED_VALUE"""),"बाहर निकलना")</f>
        <v>बाहर निकलना</v>
      </c>
      <c r="E880" s="2" t="str">
        <f>IFERROR(__xludf.DUMMYFUNCTION("""COMPUTED_VALUE"""),"ದಾವಳಿ")</f>
        <v>ದಾವಳಿ</v>
      </c>
      <c r="F880" s="2" t="str">
        <f>IFERROR(__xludf.DUMMYFUNCTION("""COMPUTED_VALUE"""),"କମିଯିବା")</f>
        <v>କମିଯିବା</v>
      </c>
      <c r="G880" s="2" t="str">
        <f>IFERROR(__xludf.DUMMYFUNCTION("""COMPUTED_VALUE"""),"ড্ৰপ-অফ")</f>
        <v>ড্ৰপ-অফ</v>
      </c>
      <c r="H880" s="2" t="str">
        <f>IFERROR(__xludf.DUMMYFUNCTION("""COMPUTED_VALUE"""),"ડંકી દેવું")</f>
        <v>ડંકી દેવું</v>
      </c>
      <c r="I880" s="2" t="str">
        <f>IFERROR(__xludf.DUMMYFUNCTION("""COMPUTED_VALUE"""),"खाली सांडले")</f>
        <v>खाली सांडले</v>
      </c>
      <c r="J880" s="2" t="str">
        <f>IFERROR(__xludf.DUMMYFUNCTION("""COMPUTED_VALUE"""),"ഡ്രോപ്പ്-ഓഫ്")</f>
        <v>ഡ്രോപ്പ്-ഓഫ്</v>
      </c>
      <c r="K880" s="2" t="str">
        <f>IFERROR(__xludf.DUMMYFUNCTION("""COMPUTED_VALUE"""),"ਨੀਚੇ ਸੁੱਟ")</f>
        <v>ਨੀਚੇ ਸੁੱਟ</v>
      </c>
      <c r="L880" s="2" t="str">
        <f>IFERROR(__xludf.DUMMYFUNCTION("""COMPUTED_VALUE"""),"டிராப்-ஆஃப்")</f>
        <v>டிராப்-ஆஃப்</v>
      </c>
      <c r="M880" s="2" t="str">
        <f>IFERROR(__xludf.DUMMYFUNCTION("""COMPUTED_VALUE"""),"డ్రాప్-ఆఫ్")</f>
        <v>డ్రాప్-ఆఫ్</v>
      </c>
    </row>
    <row r="881">
      <c r="A881" s="2" t="str">
        <f>Master_en!A881</f>
        <v>Payments</v>
      </c>
      <c r="B881" s="2" t="str">
        <f>Master_en!B881</f>
        <v>Payments</v>
      </c>
      <c r="C881" s="2" t="str">
        <f>IFERROR(__xludf.DUMMYFUNCTION("""COMPUTED_VALUE"""),"অর্থ প্রদান")</f>
        <v>অর্থ প্রদান</v>
      </c>
      <c r="D881" s="2" t="str">
        <f>IFERROR(__xludf.DUMMYFUNCTION("""COMPUTED_VALUE"""),"भुगतान")</f>
        <v>भुगतान</v>
      </c>
      <c r="E881" s="2" t="str">
        <f>IFERROR(__xludf.DUMMYFUNCTION("""COMPUTED_VALUE"""),"ಮನ್ನಣೆ")</f>
        <v>ಮನ್ನಣೆ</v>
      </c>
      <c r="F881" s="2" t="str">
        <f>IFERROR(__xludf.DUMMYFUNCTION("""COMPUTED_VALUE"""),"ଦେୟ")</f>
        <v>ଦେୟ</v>
      </c>
      <c r="G881" s="2" t="str">
        <f>IFERROR(__xludf.DUMMYFUNCTION("""COMPUTED_VALUE"""),"পেমেন্ট")</f>
        <v>পেমেন্ট</v>
      </c>
      <c r="H881" s="2" t="str">
        <f>IFERROR(__xludf.DUMMYFUNCTION("""COMPUTED_VALUE"""),"ચુકવણી")</f>
        <v>ચુકવણી</v>
      </c>
      <c r="I881" s="2" t="str">
        <f>IFERROR(__xludf.DUMMYFUNCTION("""COMPUTED_VALUE"""),"देयके")</f>
        <v>देयके</v>
      </c>
      <c r="J881" s="2" t="str">
        <f>IFERROR(__xludf.DUMMYFUNCTION("""COMPUTED_VALUE"""),"പേയ്മെന്റുകൾ")</f>
        <v>പേയ്മെന്റുകൾ</v>
      </c>
      <c r="K881" s="2" t="str">
        <f>IFERROR(__xludf.DUMMYFUNCTION("""COMPUTED_VALUE"""),"ਭੁਗਤਾਨ")</f>
        <v>ਭੁਗਤਾਨ</v>
      </c>
      <c r="L881" s="2" t="str">
        <f>IFERROR(__xludf.DUMMYFUNCTION("""COMPUTED_VALUE"""),"பணம் செலுத்துதல்")</f>
        <v>பணம் செலுத்துதல்</v>
      </c>
      <c r="M881" s="2" t="str">
        <f>IFERROR(__xludf.DUMMYFUNCTION("""COMPUTED_VALUE"""),"చెల్లింపులు")</f>
        <v>చెల్లింపులు</v>
      </c>
    </row>
    <row r="882">
      <c r="A882" s="2" t="str">
        <f>Master_en!A882</f>
        <v>Offline</v>
      </c>
      <c r="B882" s="2" t="str">
        <f>Master_en!B882</f>
        <v>Offline</v>
      </c>
      <c r="C882" s="2" t="str">
        <f>IFERROR(__xludf.DUMMYFUNCTION("""COMPUTED_VALUE"""),"অফলাইন")</f>
        <v>অফলাইন</v>
      </c>
      <c r="D882" s="2" t="str">
        <f>IFERROR(__xludf.DUMMYFUNCTION("""COMPUTED_VALUE"""),"ऑफलाइन")</f>
        <v>ऑफलाइन</v>
      </c>
      <c r="E882" s="2" t="str">
        <f>IFERROR(__xludf.DUMMYFUNCTION("""COMPUTED_VALUE"""),"ಮೇಲ್ರೇಕ")</f>
        <v>ಮೇಲ್ರೇಕ</v>
      </c>
      <c r="F882" s="2" t="str">
        <f>IFERROR(__xludf.DUMMYFUNCTION("""COMPUTED_VALUE"""),"ଅଫଲାଇନ୍")</f>
        <v>ଅଫଲାଇନ୍</v>
      </c>
      <c r="G882" s="2" t="str">
        <f>IFERROR(__xludf.DUMMYFUNCTION("""COMPUTED_VALUE"""),"অফলাইন")</f>
        <v>অফলাইন</v>
      </c>
      <c r="H882" s="2" t="str">
        <f>IFERROR(__xludf.DUMMYFUNCTION("""COMPUTED_VALUE"""),"Offનટ")</f>
        <v>Offનટ</v>
      </c>
      <c r="I882" s="2" t="str">
        <f>IFERROR(__xludf.DUMMYFUNCTION("""COMPUTED_VALUE"""),"ऑफलाइन")</f>
        <v>ऑफलाइन</v>
      </c>
      <c r="J882" s="2" t="str">
        <f>IFERROR(__xludf.DUMMYFUNCTION("""COMPUTED_VALUE"""),"ഓഫ്ലൈൻ")</f>
        <v>ഓഫ്ലൈൻ</v>
      </c>
      <c r="K882" s="2" t="str">
        <f>IFERROR(__xludf.DUMMYFUNCTION("""COMPUTED_VALUE"""),"Offline ਫਲਾਈਨ")</f>
        <v>Offline ਫਲਾਈਨ</v>
      </c>
      <c r="L882" s="2" t="str">
        <f>IFERROR(__xludf.DUMMYFUNCTION("""COMPUTED_VALUE"""),"ஆஃப்லைன்")</f>
        <v>ஆஃப்லைன்</v>
      </c>
      <c r="M882" s="2" t="str">
        <f>IFERROR(__xludf.DUMMYFUNCTION("""COMPUTED_VALUE"""),"ఆఫ్‌లైన్")</f>
        <v>ఆఫ్‌లైన్</v>
      </c>
    </row>
    <row r="883">
      <c r="A883" s="2" t="str">
        <f>Master_en!A883</f>
        <v>NewOrder!</v>
      </c>
      <c r="B883" s="2" t="str">
        <f>Master_en!B883</f>
        <v>New Order!</v>
      </c>
      <c r="C883" s="2" t="str">
        <f>IFERROR(__xludf.DUMMYFUNCTION("""COMPUTED_VALUE"""),"নতুন আদেশ!")</f>
        <v>নতুন আদেশ!</v>
      </c>
      <c r="D883" s="2" t="str">
        <f>IFERROR(__xludf.DUMMYFUNCTION("""COMPUTED_VALUE"""),"नए आदेश!")</f>
        <v>नए आदेश!</v>
      </c>
      <c r="E883" s="2" t="str">
        <f>IFERROR(__xludf.DUMMYFUNCTION("""COMPUTED_VALUE"""),"ಹೊಸ ಆದೇಶ!")</f>
        <v>ಹೊಸ ಆದೇಶ!</v>
      </c>
      <c r="F883" s="2" t="str">
        <f>IFERROR(__xludf.DUMMYFUNCTION("""COMPUTED_VALUE"""),"ନୂତନ କ୍ରମ!")</f>
        <v>ନୂତନ କ୍ରମ!</v>
      </c>
      <c r="G883" s="2" t="str">
        <f>IFERROR(__xludf.DUMMYFUNCTION("""COMPUTED_VALUE"""),"নিউ অৰ্ডাৰ!")</f>
        <v>নিউ অৰ্ডাৰ!</v>
      </c>
      <c r="H883" s="2" t="str">
        <f>IFERROR(__xludf.DUMMYFUNCTION("""COMPUTED_VALUE"""),"નવો હુકમ!")</f>
        <v>નવો હુકમ!</v>
      </c>
      <c r="I883" s="2" t="str">
        <f>IFERROR(__xludf.DUMMYFUNCTION("""COMPUTED_VALUE"""),"नवीन ऑर्डर!")</f>
        <v>नवीन ऑर्डर!</v>
      </c>
      <c r="J883" s="2" t="str">
        <f>IFERROR(__xludf.DUMMYFUNCTION("""COMPUTED_VALUE"""),"പുതിയ ഉത്തരവ്!")</f>
        <v>പുതിയ ഉത്തരവ്!</v>
      </c>
      <c r="K883" s="2" t="str">
        <f>IFERROR(__xludf.DUMMYFUNCTION("""COMPUTED_VALUE"""),"ਨਵਾਂ ਆਰਡਰ!")</f>
        <v>ਨਵਾਂ ਆਰਡਰ!</v>
      </c>
      <c r="L883" s="2" t="str">
        <f>IFERROR(__xludf.DUMMYFUNCTION("""COMPUTED_VALUE"""),"புதிய ஆர்டர்!")</f>
        <v>புதிய ஆர்டர்!</v>
      </c>
      <c r="M883" s="2" t="str">
        <f>IFERROR(__xludf.DUMMYFUNCTION("""COMPUTED_VALUE"""),"కొత్త ఆజ్ఞ!")</f>
        <v>కొత్త ఆజ్ఞ!</v>
      </c>
    </row>
    <row r="884">
      <c r="A884" s="2" t="str">
        <f>Master_en!A884</f>
        <v>OrderWeight</v>
      </c>
      <c r="B884" s="2" t="str">
        <f>Master_en!B884</f>
        <v>Order Weight</v>
      </c>
      <c r="C884" s="2" t="str">
        <f>IFERROR(__xludf.DUMMYFUNCTION("""COMPUTED_VALUE"""),"ওজন অর্ডার")</f>
        <v>ওজন অর্ডার</v>
      </c>
      <c r="D884" s="2" t="str">
        <f>IFERROR(__xludf.DUMMYFUNCTION("""COMPUTED_VALUE"""),"आदेश भार")</f>
        <v>आदेश भार</v>
      </c>
      <c r="E884" s="2" t="str">
        <f>IFERROR(__xludf.DUMMYFUNCTION("""COMPUTED_VALUE"""),"ಆರ್ಡರ್ ತೂಕ")</f>
        <v>ಆರ್ಡರ್ ತೂಕ</v>
      </c>
      <c r="F884" s="2" t="str">
        <f>IFERROR(__xludf.DUMMYFUNCTION("""COMPUTED_VALUE"""),"ଓଜନ ଅର୍ଡର କରନ୍ତୁ |")</f>
        <v>ଓଜନ ଅର୍ଡର କରନ୍ତୁ |</v>
      </c>
      <c r="G884" s="2" t="str">
        <f>IFERROR(__xludf.DUMMYFUNCTION("""COMPUTED_VALUE"""),"অৰ্ডাৰ ওজন")</f>
        <v>অৰ্ডাৰ ওজন</v>
      </c>
      <c r="H884" s="2" t="str">
        <f>IFERROR(__xludf.DUMMYFUNCTION("""COMPUTED_VALUE"""),"હુકમ")</f>
        <v>હુકમ</v>
      </c>
      <c r="I884" s="2" t="str">
        <f>IFERROR(__xludf.DUMMYFUNCTION("""COMPUTED_VALUE"""),"वजन ऑर्डर करा")</f>
        <v>वजन ऑर्डर करा</v>
      </c>
      <c r="J884" s="2" t="str">
        <f>IFERROR(__xludf.DUMMYFUNCTION("""COMPUTED_VALUE"""),"ഓർഡർ ഭാരം")</f>
        <v>ഓർഡർ ഭാരം</v>
      </c>
      <c r="K884" s="2" t="str">
        <f>IFERROR(__xludf.DUMMYFUNCTION("""COMPUTED_VALUE"""),"ਆਰਡਰ ਭਾਰ")</f>
        <v>ਆਰਡਰ ਭਾਰ</v>
      </c>
      <c r="L884" s="2" t="str">
        <f>IFERROR(__xludf.DUMMYFUNCTION("""COMPUTED_VALUE"""),"ஆர்டர் எடை")</f>
        <v>ஆர்டர் எடை</v>
      </c>
      <c r="M884" s="2" t="str">
        <f>IFERROR(__xludf.DUMMYFUNCTION("""COMPUTED_VALUE"""),"ఆర్డర్ బరువు")</f>
        <v>ఆర్డర్ బరువు</v>
      </c>
    </row>
    <row r="885">
      <c r="A885" s="2" t="str">
        <f>Master_en!A885</f>
        <v>ReachedPickupLocation </v>
      </c>
      <c r="B885" s="2" t="str">
        <f>Master_en!B885</f>
        <v>Reached Pickup Location </v>
      </c>
      <c r="C885" s="2" t="str">
        <f>IFERROR(__xludf.DUMMYFUNCTION("""COMPUTED_VALUE"""),"পিকআপের অবস্থান পৌঁছেছে")</f>
        <v>পিকআপের অবস্থান পৌঁছেছে</v>
      </c>
      <c r="D885" s="2" t="str">
        <f>IFERROR(__xludf.DUMMYFUNCTION("""COMPUTED_VALUE"""),"पिकअप स्थान पर पहुंच गया")</f>
        <v>पिकअप स्थान पर पहुंच गया</v>
      </c>
      <c r="E885" s="2" t="str">
        <f>IFERROR(__xludf.DUMMYFUNCTION("""COMPUTED_VALUE"""),"ಪಿಕಪ್ ಸ್ಥಳವನ್ನು ತಲುಪಿದೆ")</f>
        <v>ಪಿಕಪ್ ಸ್ಥಳವನ್ನು ತಲುಪಿದೆ</v>
      </c>
      <c r="F885" s="2" t="str">
        <f>IFERROR(__xludf.DUMMYFUNCTION("""COMPUTED_VALUE"""),"ପିକଅପ୍ ଅବସ୍ଥାନରେ ପହଞ୍ଚିଲା |")</f>
        <v>ପିକଅପ୍ ଅବସ୍ଥାନରେ ପହଞ୍ଚିଲା |</v>
      </c>
      <c r="G885" s="2" t="str">
        <f>IFERROR(__xludf.DUMMYFUNCTION("""COMPUTED_VALUE"""),"পিকআপ স্থানত উপনীত হ’ল")</f>
        <v>পিকআপ স্থানত উপনীত হ’ল</v>
      </c>
      <c r="H885" s="2" t="str">
        <f>IFERROR(__xludf.DUMMYFUNCTION("""COMPUTED_VALUE"""),"પિકઅપ સ્થાન પહોંચ્યું")</f>
        <v>પિકઅપ સ્થાન પહોંચ્યું</v>
      </c>
      <c r="I885" s="2" t="str">
        <f>IFERROR(__xludf.DUMMYFUNCTION("""COMPUTED_VALUE"""),"पिकअप स्थान गाठले")</f>
        <v>पिकअप स्थान गाठले</v>
      </c>
      <c r="J885" s="2" t="str">
        <f>IFERROR(__xludf.DUMMYFUNCTION("""COMPUTED_VALUE"""),"പിക്കപ്പ് സ്ഥാനത്ത് എത്തി")</f>
        <v>പിക്കപ്പ് സ്ഥാനത്ത് എത്തി</v>
      </c>
      <c r="K885" s="2" t="str">
        <f>IFERROR(__xludf.DUMMYFUNCTION("""COMPUTED_VALUE"""),"ਪਿਕਅਪ ਸਥਾਨ ਤੇ ਪਹੁੰਚ ਗਿਆ")</f>
        <v>ਪਿਕਅਪ ਸਥਾਨ ਤੇ ਪਹੁੰਚ ਗਿਆ</v>
      </c>
      <c r="L885" s="2" t="str">
        <f>IFERROR(__xludf.DUMMYFUNCTION("""COMPUTED_VALUE"""),"பிக்கப் இடத்தை அடைந்தது")</f>
        <v>பிக்கப் இடத்தை அடைந்தது</v>
      </c>
      <c r="M885" s="2" t="str">
        <f>IFERROR(__xludf.DUMMYFUNCTION("""COMPUTED_VALUE"""),"పికప్ స్థానానికి చేరుకుంది")</f>
        <v>పికప్ స్థానానికి చేరుకుంది</v>
      </c>
    </row>
    <row r="886">
      <c r="A886" s="2" t="str">
        <f>Master_en!A886</f>
        <v>ReachedDL</v>
      </c>
      <c r="B886" s="2" t="str">
        <f>Master_en!B886</f>
        <v>Reached DL</v>
      </c>
      <c r="C886" s="2" t="str">
        <f>IFERROR(__xludf.DUMMYFUNCTION("""COMPUTED_VALUE"""),"ডিএল পৌঁছেছে")</f>
        <v>ডিএল পৌঁছেছে</v>
      </c>
      <c r="D886" s="2" t="str">
        <f>IFERROR(__xludf.DUMMYFUNCTION("""COMPUTED_VALUE"""),"डीएल तक पहुंच गया")</f>
        <v>डीएल तक पहुंच गया</v>
      </c>
      <c r="E886" s="2" t="str">
        <f>IFERROR(__xludf.DUMMYFUNCTION("""COMPUTED_VALUE"""),"ಡಿಎಲ್ ತಲುಪಿದೆ")</f>
        <v>ಡಿಎಲ್ ತಲುಪಿದೆ</v>
      </c>
      <c r="F886" s="2" t="str">
        <f>IFERROR(__xludf.DUMMYFUNCTION("""COMPUTED_VALUE"""),"ରେ ପହଞ୍ଚିଛି")</f>
        <v>ରେ ପହଞ୍ଚିଛି</v>
      </c>
      <c r="G886" s="2" t="str">
        <f>IFERROR(__xludf.DUMMYFUNCTION("""COMPUTED_VALUE"""),"ডি এলত উপনীত হ’ল")</f>
        <v>ডি এলত উপনীত হ’ল</v>
      </c>
      <c r="H886" s="2" t="str">
        <f>IFERROR(__xludf.DUMMYFUNCTION("""COMPUTED_VALUE"""),"ડી.એલ.")</f>
        <v>ડી.એલ.</v>
      </c>
      <c r="I886" s="2" t="str">
        <f>IFERROR(__xludf.DUMMYFUNCTION("""COMPUTED_VALUE"""),"डीएल गाठले")</f>
        <v>डीएल गाठले</v>
      </c>
      <c r="J886" s="2" t="str">
        <f>IFERROR(__xludf.DUMMYFUNCTION("""COMPUTED_VALUE"""),"എത്തിച്ചേർന്നു")</f>
        <v>എത്തിച്ചേർന്നു</v>
      </c>
      <c r="K886" s="2" t="str">
        <f>IFERROR(__xludf.DUMMYFUNCTION("""COMPUTED_VALUE"""),"ਡੀ ਐਲ")</f>
        <v>ਡੀ ਐਲ</v>
      </c>
      <c r="L886" s="2" t="str">
        <f>IFERROR(__xludf.DUMMYFUNCTION("""COMPUTED_VALUE"""),"DL ஐ அடைந்தது")</f>
        <v>DL ஐ அடைந்தது</v>
      </c>
      <c r="M886" s="2" t="str">
        <f>IFERROR(__xludf.DUMMYFUNCTION("""COMPUTED_VALUE"""),"DL కి చేరుకుంది")</f>
        <v>DL కి చేరుకుంది</v>
      </c>
    </row>
    <row r="887">
      <c r="A887" s="2" t="str">
        <f>Master_en!A887</f>
        <v>GotoMap</v>
      </c>
      <c r="B887" s="2" t="str">
        <f>Master_en!B887</f>
        <v>Go to Map</v>
      </c>
      <c r="C887" s="2" t="str">
        <f>IFERROR(__xludf.DUMMYFUNCTION("""COMPUTED_VALUE"""),"মানচিত্রে যান")</f>
        <v>মানচিত্রে যান</v>
      </c>
      <c r="D887" s="2" t="str">
        <f>IFERROR(__xludf.DUMMYFUNCTION("""COMPUTED_VALUE"""),"मानचित्र पर जाना")</f>
        <v>मानचित्र पर जाना</v>
      </c>
      <c r="E887" s="2" t="str">
        <f>IFERROR(__xludf.DUMMYFUNCTION("""COMPUTED_VALUE"""),"ನಕ್ಷೆಗೆ ಹೋಗಿ")</f>
        <v>ನಕ್ಷೆಗೆ ಹೋಗಿ</v>
      </c>
      <c r="F887" s="2" t="str">
        <f>IFERROR(__xludf.DUMMYFUNCTION("""COMPUTED_VALUE"""),"ମାନଚିତ୍ରକୁ ଯାଆନ୍ତୁ")</f>
        <v>ମାନଚିତ୍ରକୁ ଯାଆନ୍ତୁ</v>
      </c>
      <c r="G887" s="2" t="str">
        <f>IFERROR(__xludf.DUMMYFUNCTION("""COMPUTED_VALUE"""),"মেপলৈ যাওক")</f>
        <v>মেপলৈ যাওক</v>
      </c>
      <c r="H887" s="2" t="str">
        <f>IFERROR(__xludf.DUMMYFUNCTION("""COMPUTED_VALUE"""),"નકશા પર જાઓ")</f>
        <v>નકશા પર જાઓ</v>
      </c>
      <c r="I887" s="2" t="str">
        <f>IFERROR(__xludf.DUMMYFUNCTION("""COMPUTED_VALUE"""),"नकाशावर जा")</f>
        <v>नकाशावर जा</v>
      </c>
      <c r="J887" s="2" t="str">
        <f>IFERROR(__xludf.DUMMYFUNCTION("""COMPUTED_VALUE"""),"മാപ്പിലേക്ക് പോകുക")</f>
        <v>മാപ്പിലേക്ക് പോകുക</v>
      </c>
      <c r="K887" s="2" t="str">
        <f>IFERROR(__xludf.DUMMYFUNCTION("""COMPUTED_VALUE"""),"ਨਕਸ਼ੇ ਤੇ ਜਾਓ")</f>
        <v>ਨਕਸ਼ੇ ਤੇ ਜਾਓ</v>
      </c>
      <c r="L887" s="2" t="str">
        <f>IFERROR(__xludf.DUMMYFUNCTION("""COMPUTED_VALUE"""),"வரைபடத்திற்குச் செல்லுங்கள்")</f>
        <v>வரைபடத்திற்குச் செல்லுங்கள்</v>
      </c>
      <c r="M887" s="2" t="str">
        <f>IFERROR(__xludf.DUMMYFUNCTION("""COMPUTED_VALUE"""),"మ్యాప్‌కు వెళ్లండి")</f>
        <v>మ్యాప్‌కు వెళ్లండి</v>
      </c>
    </row>
    <row r="888">
      <c r="A888" s="2" t="str">
        <f>Master_en!A888</f>
        <v>Deliverto</v>
      </c>
      <c r="B888" s="2" t="str">
        <f>Master_en!B888</f>
        <v>Deliver to</v>
      </c>
      <c r="C888" s="2" t="str">
        <f>IFERROR(__xludf.DUMMYFUNCTION("""COMPUTED_VALUE"""),"সরবরাহ করা")</f>
        <v>সরবরাহ করা</v>
      </c>
      <c r="D888" s="2" t="str">
        <f>IFERROR(__xludf.DUMMYFUNCTION("""COMPUTED_VALUE"""),"करने के लिए वितरित")</f>
        <v>करने के लिए वितरित</v>
      </c>
      <c r="E888" s="2" t="str">
        <f>IFERROR(__xludf.DUMMYFUNCTION("""COMPUTED_VALUE"""),"ಗೆ ತಲುಪಿಸಿ")</f>
        <v>ಗೆ ತಲುಪಿಸಿ</v>
      </c>
      <c r="F888" s="2" t="str">
        <f>IFERROR(__xludf.DUMMYFUNCTION("""COMPUTED_VALUE"""),"କୁ ବିତରଣ କରନ୍ତୁ |")</f>
        <v>କୁ ବିତରଣ କରନ୍ତୁ |</v>
      </c>
      <c r="G888" s="2" t="str">
        <f>IFERROR(__xludf.DUMMYFUNCTION("""COMPUTED_VALUE"""),"ডেলিভাৰী কৰক")</f>
        <v>ডেলিভাৰী কৰক</v>
      </c>
      <c r="H888" s="2" t="str">
        <f>IFERROR(__xludf.DUMMYFUNCTION("""COMPUTED_VALUE"""),"પહોંચાડવા")</f>
        <v>પહોંચાડવા</v>
      </c>
      <c r="I888" s="2" t="str">
        <f>IFERROR(__xludf.DUMMYFUNCTION("""COMPUTED_VALUE"""),"वितरित करा")</f>
        <v>वितरित करा</v>
      </c>
      <c r="J888" s="2" t="str">
        <f>IFERROR(__xludf.DUMMYFUNCTION("""COMPUTED_VALUE"""),"കൈമാറുക")</f>
        <v>കൈമാറുക</v>
      </c>
      <c r="K888" s="2" t="str">
        <f>IFERROR(__xludf.DUMMYFUNCTION("""COMPUTED_VALUE"""),"ਨੂੰ ਸਪੁਰਦ ਕਰੋ")</f>
        <v>ਨੂੰ ਸਪੁਰਦ ਕਰੋ</v>
      </c>
      <c r="L888" s="2" t="str">
        <f>IFERROR(__xludf.DUMMYFUNCTION("""COMPUTED_VALUE"""),"வழங்க")</f>
        <v>வழங்க</v>
      </c>
      <c r="M888" s="2" t="str">
        <f>IFERROR(__xludf.DUMMYFUNCTION("""COMPUTED_VALUE"""),"బట్వాడా")</f>
        <v>బట్వాడా</v>
      </c>
    </row>
    <row r="889">
      <c r="A889" s="2" t="str">
        <f>Master_en!A889</f>
        <v>UPIID</v>
      </c>
      <c r="B889" s="2" t="str">
        <f>Master_en!B889</f>
        <v>UPI ID</v>
      </c>
      <c r="C889" s="2" t="str">
        <f>IFERROR(__xludf.DUMMYFUNCTION("""COMPUTED_VALUE"""),"ইউপিআই আইডি")</f>
        <v>ইউপিআই আইডি</v>
      </c>
      <c r="D889" s="2" t="str">
        <f>IFERROR(__xludf.DUMMYFUNCTION("""COMPUTED_VALUE"""),"यूपी आईडी")</f>
        <v>यूपी आईडी</v>
      </c>
      <c r="E889" s="2" t="str">
        <f>IFERROR(__xludf.DUMMYFUNCTION("""COMPUTED_VALUE"""),"ಯುಪಿಐ ಐಡಿ")</f>
        <v>ಯುಪಿಐ ಐಡಿ</v>
      </c>
      <c r="F889" s="2" t="str">
        <f>IFERROR(__xludf.DUMMYFUNCTION("""COMPUTED_VALUE"""),"ୟୁସି ID")</f>
        <v>ୟୁସି ID</v>
      </c>
      <c r="G889" s="2" t="str">
        <f>IFERROR(__xludf.DUMMYFUNCTION("""COMPUTED_VALUE"""),"ইউপিআই আইডি")</f>
        <v>ইউপিআই আইডি</v>
      </c>
      <c r="H889" s="2" t="str">
        <f>IFERROR(__xludf.DUMMYFUNCTION("""COMPUTED_VALUE"""),"ઉપાધિ આઈડી")</f>
        <v>ઉપાધિ આઈડી</v>
      </c>
      <c r="I889" s="2" t="str">
        <f>IFERROR(__xludf.DUMMYFUNCTION("""COMPUTED_VALUE"""),"यूपीआय आयडी")</f>
        <v>यूपीआय आयडी</v>
      </c>
      <c r="J889" s="2" t="str">
        <f>IFERROR(__xludf.DUMMYFUNCTION("""COMPUTED_VALUE"""),"യുപിഐ ഐഡി")</f>
        <v>യുപിഐ ഐഡി</v>
      </c>
      <c r="K889" s="2" t="str">
        <f>IFERROR(__xludf.DUMMYFUNCTION("""COMPUTED_VALUE"""),"Upi id")</f>
        <v>Upi id</v>
      </c>
      <c r="L889" s="2" t="str">
        <f>IFERROR(__xludf.DUMMYFUNCTION("""COMPUTED_VALUE"""),"யுபிஐ ஐடி")</f>
        <v>யுபிஐ ஐடி</v>
      </c>
      <c r="M889" s="2" t="str">
        <f>IFERROR(__xludf.DUMMYFUNCTION("""COMPUTED_VALUE"""),"యుపిఐ ఐడి")</f>
        <v>యుపిఐ ఐడి</v>
      </c>
    </row>
    <row r="890">
      <c r="A890" s="2" t="str">
        <f>Master_en!A890</f>
        <v>Receivedamount</v>
      </c>
      <c r="B890" s="2" t="str">
        <f>Master_en!B890</f>
        <v>Received amount</v>
      </c>
      <c r="C890" s="2" t="str">
        <f>IFERROR(__xludf.DUMMYFUNCTION("""COMPUTED_VALUE"""),"পরিমাণ প্রাপ্ত")</f>
        <v>পরিমাণ প্রাপ্ত</v>
      </c>
      <c r="D890" s="2" t="str">
        <f>IFERROR(__xludf.DUMMYFUNCTION("""COMPUTED_VALUE"""),"प्राप्त राशि")</f>
        <v>प्राप्त राशि</v>
      </c>
      <c r="E890" s="2" t="str">
        <f>IFERROR(__xludf.DUMMYFUNCTION("""COMPUTED_VALUE"""),"ಸ್ವೀಕರಿಸಿದ ಮೊತ್ತ")</f>
        <v>ಸ್ವೀಕರಿಸಿದ ಮೊತ್ತ</v>
      </c>
      <c r="F890" s="2" t="str">
        <f>IFERROR(__xludf.DUMMYFUNCTION("""COMPUTED_VALUE"""),"ପ୍ରାପ୍ତ ପରିମାଣ")</f>
        <v>ପ୍ରାପ୍ତ ପରିମାଣ</v>
      </c>
      <c r="G890" s="2" t="str">
        <f>IFERROR(__xludf.DUMMYFUNCTION("""COMPUTED_VALUE"""),"লাভ কৰা ধনৰাশি")</f>
        <v>লাভ কৰা ধনৰাশি</v>
      </c>
      <c r="H890" s="2" t="str">
        <f>IFERROR(__xludf.DUMMYFUNCTION("""COMPUTED_VALUE"""),"પ્રાપ્ત રકમ")</f>
        <v>પ્રાપ્ત રકમ</v>
      </c>
      <c r="I890" s="2" t="str">
        <f>IFERROR(__xludf.DUMMYFUNCTION("""COMPUTED_VALUE"""),"प्राप्त रक्कम")</f>
        <v>प्राप्त रक्कम</v>
      </c>
      <c r="J890" s="2" t="str">
        <f>IFERROR(__xludf.DUMMYFUNCTION("""COMPUTED_VALUE"""),"ലഭിച്ചു തുക")</f>
        <v>ലഭിച്ചു തുക</v>
      </c>
      <c r="K890" s="2" t="str">
        <f>IFERROR(__xludf.DUMMYFUNCTION("""COMPUTED_VALUE"""),"ਰਕਮ ਪ੍ਰਾਪਤ ਕੀਤੀ")</f>
        <v>ਰਕਮ ਪ੍ਰਾਪਤ ਕੀਤੀ</v>
      </c>
      <c r="L890" s="2" t="str">
        <f>IFERROR(__xludf.DUMMYFUNCTION("""COMPUTED_VALUE"""),"பெறப்பட்ட தொகை")</f>
        <v>பெறப்பட்ட தொகை</v>
      </c>
      <c r="M890" s="2" t="str">
        <f>IFERROR(__xludf.DUMMYFUNCTION("""COMPUTED_VALUE"""),"అందుకున్న మొత్తం")</f>
        <v>అందుకున్న మొత్తం</v>
      </c>
    </row>
    <row r="891">
      <c r="A891" s="2" t="str">
        <f>Master_en!A891</f>
        <v>Pendingamount</v>
      </c>
      <c r="B891" s="2" t="str">
        <f>Master_en!B891</f>
        <v>Pending amount</v>
      </c>
      <c r="C891" s="2" t="str">
        <f>IFERROR(__xludf.DUMMYFUNCTION("""COMPUTED_VALUE"""),"মুলতুবি পরিমাণ")</f>
        <v>মুলতুবি পরিমাণ</v>
      </c>
      <c r="D891" s="2" t="str">
        <f>IFERROR(__xludf.DUMMYFUNCTION("""COMPUTED_VALUE"""),"बकाया राशि")</f>
        <v>बकाया राशि</v>
      </c>
      <c r="E891" s="2" t="str">
        <f>IFERROR(__xludf.DUMMYFUNCTION("""COMPUTED_VALUE"""),"ಬಾಕಿ ಉಳಿದಿದೆ")</f>
        <v>ಬಾಕಿ ಉಳಿದಿದೆ</v>
      </c>
      <c r="F891" s="2" t="str">
        <f>IFERROR(__xludf.DUMMYFUNCTION("""COMPUTED_VALUE"""),"ବିଚାରାଧୀନ ରାଶି")</f>
        <v>ବିଚାରାଧୀନ ରାଶି</v>
      </c>
      <c r="G891" s="2" t="str">
        <f>IFERROR(__xludf.DUMMYFUNCTION("""COMPUTED_VALUE"""),"বাকী থকা ধনৰাশি")</f>
        <v>বাকী থকা ধনৰাশি</v>
      </c>
      <c r="H891" s="2" t="str">
        <f>IFERROR(__xludf.DUMMYFUNCTION("""COMPUTED_VALUE"""),"બાકી રકમ")</f>
        <v>બાકી રકમ</v>
      </c>
      <c r="I891" s="2" t="str">
        <f>IFERROR(__xludf.DUMMYFUNCTION("""COMPUTED_VALUE"""),"प्रलंबित रक्कम")</f>
        <v>प्रलंबित रक्कम</v>
      </c>
      <c r="J891" s="2" t="str">
        <f>IFERROR(__xludf.DUMMYFUNCTION("""COMPUTED_VALUE"""),"തീർപ്പുകൽപ്പിക്കാത്ത തുക")</f>
        <v>തീർപ്പുകൽപ്പിക്കാത്ത തുക</v>
      </c>
      <c r="K891" s="2" t="str">
        <f>IFERROR(__xludf.DUMMYFUNCTION("""COMPUTED_VALUE"""),"ਬਕਾਇਆ ਰਕਮ")</f>
        <v>ਬਕਾਇਆ ਰਕਮ</v>
      </c>
      <c r="L891" s="2" t="str">
        <f>IFERROR(__xludf.DUMMYFUNCTION("""COMPUTED_VALUE"""),"நிலுவையில் உள்ள தொகை")</f>
        <v>நிலுவையில் உள்ள தொகை</v>
      </c>
      <c r="M891" s="2" t="str">
        <f>IFERROR(__xludf.DUMMYFUNCTION("""COMPUTED_VALUE"""),"పెండింగ్ మొత్తం")</f>
        <v>పెండింగ్ మొత్తం</v>
      </c>
    </row>
    <row r="892">
      <c r="A892" s="2" t="str">
        <f>Master_en!A892</f>
        <v>SendReminder</v>
      </c>
      <c r="B892" s="2" t="str">
        <f>Master_en!B892</f>
        <v>Send Reminder</v>
      </c>
      <c r="C892" s="2" t="str">
        <f>IFERROR(__xludf.DUMMYFUNCTION("""COMPUTED_VALUE"""),"স্মরনী পাঠাও")</f>
        <v>স্মরনী পাঠাও</v>
      </c>
      <c r="D892" s="2" t="str">
        <f>IFERROR(__xludf.DUMMYFUNCTION("""COMPUTED_VALUE"""),"याद दिलाना")</f>
        <v>याद दिलाना</v>
      </c>
      <c r="E892" s="2" t="str">
        <f>IFERROR(__xludf.DUMMYFUNCTION("""COMPUTED_VALUE"""),"ಜ್ಞಾಪನೆಯನ್ನು ಕಳುಹಿಸಿ")</f>
        <v>ಜ್ಞಾಪನೆಯನ್ನು ಕಳುಹಿಸಿ</v>
      </c>
      <c r="F892" s="2" t="str">
        <f>IFERROR(__xludf.DUMMYFUNCTION("""COMPUTED_VALUE"""),"ସ୍ମରଣ ପଠାନ୍ତୁ |")</f>
        <v>ସ୍ମରଣ ପଠାନ୍ତୁ |</v>
      </c>
      <c r="G892" s="2" t="str">
        <f>IFERROR(__xludf.DUMMYFUNCTION("""COMPUTED_VALUE"""),"সোঁৱৰাই পঠাওক")</f>
        <v>সোঁৱৰাই পঠাওক</v>
      </c>
      <c r="H892" s="2" t="str">
        <f>IFERROR(__xludf.DUMMYFUNCTION("""COMPUTED_VALUE"""),"રીમાઇન્ડર મોકલો")</f>
        <v>રીમાઇન્ડર મોકલો</v>
      </c>
      <c r="I892" s="2" t="str">
        <f>IFERROR(__xludf.DUMMYFUNCTION("""COMPUTED_VALUE"""),"स्मरणपत्र पाठवा")</f>
        <v>स्मरणपत्र पाठवा</v>
      </c>
      <c r="J892" s="2" t="str">
        <f>IFERROR(__xludf.DUMMYFUNCTION("""COMPUTED_VALUE"""),"ഓർമ്മപ്പെടുത്തൽ അയയ്ക്കുക")</f>
        <v>ഓർമ്മപ്പെടുത്തൽ അയയ്ക്കുക</v>
      </c>
      <c r="K892" s="2" t="str">
        <f>IFERROR(__xludf.DUMMYFUNCTION("""COMPUTED_VALUE"""),"ਯਾਦ ਭੇਜੋ")</f>
        <v>ਯਾਦ ਭੇਜੋ</v>
      </c>
      <c r="L892" s="2" t="str">
        <f>IFERROR(__xludf.DUMMYFUNCTION("""COMPUTED_VALUE"""),"நினைவூட்டலை அனுப்புங்கள்")</f>
        <v>நினைவூட்டலை அனுப்புங்கள்</v>
      </c>
      <c r="M892" s="2" t="str">
        <f>IFERROR(__xludf.DUMMYFUNCTION("""COMPUTED_VALUE"""),"రిమైండర్ పంపండి")</f>
        <v>రిమైండర్ పంపండి</v>
      </c>
    </row>
    <row r="893">
      <c r="A893" s="2" t="str">
        <f>Master_en!A893</f>
        <v>Thisweek </v>
      </c>
      <c r="B893" s="2" t="str">
        <f>Master_en!B893</f>
        <v>This Week </v>
      </c>
      <c r="C893" s="2" t="str">
        <f>IFERROR(__xludf.DUMMYFUNCTION("""COMPUTED_VALUE"""),"এই সপ্তাহ")</f>
        <v>এই সপ্তাহ</v>
      </c>
      <c r="D893" s="2" t="str">
        <f>IFERROR(__xludf.DUMMYFUNCTION("""COMPUTED_VALUE"""),"इस सप्ताह")</f>
        <v>इस सप्ताह</v>
      </c>
      <c r="E893" s="2" t="str">
        <f>IFERROR(__xludf.DUMMYFUNCTION("""COMPUTED_VALUE"""),"ಈ ವಾರ")</f>
        <v>ಈ ವಾರ</v>
      </c>
      <c r="F893" s="2" t="str">
        <f>IFERROR(__xludf.DUMMYFUNCTION("""COMPUTED_VALUE"""),"ଏହି ସପ୍ତାହ")</f>
        <v>ଏହି ସପ୍ତାହ</v>
      </c>
      <c r="G893" s="2" t="str">
        <f>IFERROR(__xludf.DUMMYFUNCTION("""COMPUTED_VALUE"""),"এই সপ্তাহত")</f>
        <v>এই সপ্তাহত</v>
      </c>
      <c r="H893" s="2" t="str">
        <f>IFERROR(__xludf.DUMMYFUNCTION("""COMPUTED_VALUE"""),"આ અઠવાડિયે")</f>
        <v>આ અઠવાડિયે</v>
      </c>
      <c r="I893" s="2" t="str">
        <f>IFERROR(__xludf.DUMMYFUNCTION("""COMPUTED_VALUE"""),"या आठवड्यात")</f>
        <v>या आठवड्यात</v>
      </c>
      <c r="J893" s="2" t="str">
        <f>IFERROR(__xludf.DUMMYFUNCTION("""COMPUTED_VALUE"""),"ഈ ആഴ്ച")</f>
        <v>ഈ ആഴ്ച</v>
      </c>
      <c r="K893" s="2" t="str">
        <f>IFERROR(__xludf.DUMMYFUNCTION("""COMPUTED_VALUE"""),"ਇਸ ਹਫ਼ਤੇ")</f>
        <v>ਇਸ ਹਫ਼ਤੇ</v>
      </c>
      <c r="L893" s="2" t="str">
        <f>IFERROR(__xludf.DUMMYFUNCTION("""COMPUTED_VALUE"""),"இந்த வாரம்")</f>
        <v>இந்த வாரம்</v>
      </c>
      <c r="M893" s="2" t="str">
        <f>IFERROR(__xludf.DUMMYFUNCTION("""COMPUTED_VALUE"""),"ఈ వారం")</f>
        <v>ఈ వారం</v>
      </c>
    </row>
    <row r="894">
      <c r="A894" s="2" t="str">
        <f>Master_en!A894</f>
        <v>ThisMonth </v>
      </c>
      <c r="B894" s="2" t="str">
        <f>Master_en!B894</f>
        <v>This Month </v>
      </c>
      <c r="C894" s="2" t="str">
        <f>IFERROR(__xludf.DUMMYFUNCTION("""COMPUTED_VALUE"""),"এই মাস")</f>
        <v>এই মাস</v>
      </c>
      <c r="D894" s="2" t="str">
        <f>IFERROR(__xludf.DUMMYFUNCTION("""COMPUTED_VALUE"""),"इस महीने")</f>
        <v>इस महीने</v>
      </c>
      <c r="E894" s="2" t="str">
        <f>IFERROR(__xludf.DUMMYFUNCTION("""COMPUTED_VALUE"""),"ಈ ತಿಂಗಳು")</f>
        <v>ಈ ತಿಂಗಳು</v>
      </c>
      <c r="F894" s="2" t="str">
        <f>IFERROR(__xludf.DUMMYFUNCTION("""COMPUTED_VALUE"""),"ଏହି ମାସରେ")</f>
        <v>ଏହି ମାସରେ</v>
      </c>
      <c r="G894" s="2" t="str">
        <f>IFERROR(__xludf.DUMMYFUNCTION("""COMPUTED_VALUE"""),"এই মাহত")</f>
        <v>এই মাহত</v>
      </c>
      <c r="H894" s="2" t="str">
        <f>IFERROR(__xludf.DUMMYFUNCTION("""COMPUTED_VALUE"""),"આ મહિને")</f>
        <v>આ મહિને</v>
      </c>
      <c r="I894" s="2" t="str">
        <f>IFERROR(__xludf.DUMMYFUNCTION("""COMPUTED_VALUE"""),"या महिन्यात")</f>
        <v>या महिन्यात</v>
      </c>
      <c r="J894" s="2" t="str">
        <f>IFERROR(__xludf.DUMMYFUNCTION("""COMPUTED_VALUE"""),"ഈ മാസം")</f>
        <v>ഈ മാസം</v>
      </c>
      <c r="K894" s="2" t="str">
        <f>IFERROR(__xludf.DUMMYFUNCTION("""COMPUTED_VALUE"""),"ਇਸ ਮਹੀਨੇ")</f>
        <v>ਇਸ ਮਹੀਨੇ</v>
      </c>
      <c r="L894" s="2" t="str">
        <f>IFERROR(__xludf.DUMMYFUNCTION("""COMPUTED_VALUE"""),"இந்த மாதம்")</f>
        <v>இந்த மாதம்</v>
      </c>
      <c r="M894" s="2" t="str">
        <f>IFERROR(__xludf.DUMMYFUNCTION("""COMPUTED_VALUE"""),"ఈ నెల")</f>
        <v>ఈ నెల</v>
      </c>
    </row>
    <row r="895">
      <c r="A895" s="2" t="str">
        <f>Master_en!A895</f>
        <v>ThisWeeksEarnings</v>
      </c>
      <c r="B895" s="2" t="str">
        <f>Master_en!B895</f>
        <v>This Weeks Earnings</v>
      </c>
      <c r="C895" s="2" t="str">
        <f>IFERROR(__xludf.DUMMYFUNCTION("""COMPUTED_VALUE"""),"এই সপ্তাহ উপার্জন")</f>
        <v>এই সপ্তাহ উপার্জন</v>
      </c>
      <c r="D895" s="2" t="str">
        <f>IFERROR(__xludf.DUMMYFUNCTION("""COMPUTED_VALUE"""),"इस सप्ताह की कमाई")</f>
        <v>इस सप्ताह की कमाई</v>
      </c>
      <c r="E895" s="2" t="str">
        <f>IFERROR(__xludf.DUMMYFUNCTION("""COMPUTED_VALUE"""),"ಈ ವಾರಗಳ ಗಳಿಕೆಗಳು")</f>
        <v>ಈ ವಾರಗಳ ಗಳಿಕೆಗಳು</v>
      </c>
      <c r="F895" s="2" t="str">
        <f>IFERROR(__xludf.DUMMYFUNCTION("""COMPUTED_VALUE"""),"ଏହି ସପ୍ତାହେ ରୋଜଗାର |")</f>
        <v>ଏହି ସପ୍ତାହେ ରୋଜଗାର |</v>
      </c>
      <c r="G895" s="2" t="str">
        <f>IFERROR(__xludf.DUMMYFUNCTION("""COMPUTED_VALUE"""),"এই সপ্তাহৰ উপাৰ্জন")</f>
        <v>এই সপ্তাহৰ উপাৰ্জন</v>
      </c>
      <c r="H895" s="2" t="str">
        <f>IFERROR(__xludf.DUMMYFUNCTION("""COMPUTED_VALUE"""),"આ અઠવાડિયાની કમાણી")</f>
        <v>આ અઠવાડિયાની કમાણી</v>
      </c>
      <c r="I895" s="2" t="str">
        <f>IFERROR(__xludf.DUMMYFUNCTION("""COMPUTED_VALUE"""),"या आठवड्यात कमाई")</f>
        <v>या आठवड्यात कमाई</v>
      </c>
      <c r="J895" s="2" t="str">
        <f>IFERROR(__xludf.DUMMYFUNCTION("""COMPUTED_VALUE"""),"ഈ ആഴ്ചകൾ വരുമാനം")</f>
        <v>ഈ ആഴ്ചകൾ വരുമാനം</v>
      </c>
      <c r="K895" s="2" t="str">
        <f>IFERROR(__xludf.DUMMYFUNCTION("""COMPUTED_VALUE"""),"ਇਸ ਹਫਤੇ ਕਮਾਈ")</f>
        <v>ਇਸ ਹਫਤੇ ਕਮਾਈ</v>
      </c>
      <c r="L895" s="2" t="str">
        <f>IFERROR(__xludf.DUMMYFUNCTION("""COMPUTED_VALUE"""),"இந்த வார வருவாய்")</f>
        <v>இந்த வார வருவாய்</v>
      </c>
      <c r="M895" s="2" t="str">
        <f>IFERROR(__xludf.DUMMYFUNCTION("""COMPUTED_VALUE"""),"ఈ వారాల ఆదాయాలు")</f>
        <v>ఈ వారాల ఆదాయాలు</v>
      </c>
    </row>
    <row r="896">
      <c r="A896" s="2" t="str">
        <f>Master_en!A896</f>
        <v>TripsHistory </v>
      </c>
      <c r="B896" s="2" t="str">
        <f>Master_en!B896</f>
        <v>Trips History </v>
      </c>
      <c r="C896" s="2" t="str">
        <f>IFERROR(__xludf.DUMMYFUNCTION("""COMPUTED_VALUE"""),"ট্রিপস ইতিহাস")</f>
        <v>ট্রিপস ইতিহাস</v>
      </c>
      <c r="D896" s="2" t="str">
        <f>IFERROR(__xludf.DUMMYFUNCTION("""COMPUTED_VALUE"""),"यात्रा इतिहास")</f>
        <v>यात्रा इतिहास</v>
      </c>
      <c r="E896" s="2" t="str">
        <f>IFERROR(__xludf.DUMMYFUNCTION("""COMPUTED_VALUE"""),"ಟ್ರಿಪ್ಸ್ ಇತಿಹಾಸ")</f>
        <v>ಟ್ರಿಪ್ಸ್ ಇತಿಹಾಸ</v>
      </c>
      <c r="F896" s="2" t="str">
        <f>IFERROR(__xludf.DUMMYFUNCTION("""COMPUTED_VALUE"""),"ଯାତ୍ରା ଇତିହାସ")</f>
        <v>ଯାତ୍ରା ଇତିହାସ</v>
      </c>
      <c r="G896" s="2" t="str">
        <f>IFERROR(__xludf.DUMMYFUNCTION("""COMPUTED_VALUE"""),"ভ্ৰমণৰ ইতিহাস")</f>
        <v>ভ্ৰমণৰ ইতিহাস</v>
      </c>
      <c r="H896" s="2" t="str">
        <f>IFERROR(__xludf.DUMMYFUNCTION("""COMPUTED_VALUE"""),"પ્રવાસ ઇતિહાસ")</f>
        <v>પ્રવાસ ઇતિહાસ</v>
      </c>
      <c r="I896" s="2" t="str">
        <f>IFERROR(__xludf.DUMMYFUNCTION("""COMPUTED_VALUE"""),"ट्रिप्स इतिहास")</f>
        <v>ट्रिप्स इतिहास</v>
      </c>
      <c r="J896" s="2" t="str">
        <f>IFERROR(__xludf.DUMMYFUNCTION("""COMPUTED_VALUE"""),"യാത്രകൾ ചരിത്രം")</f>
        <v>യാത്രകൾ ചരിത്രം</v>
      </c>
      <c r="K896" s="2" t="str">
        <f>IFERROR(__xludf.DUMMYFUNCTION("""COMPUTED_VALUE"""),"ਟ੍ਰਿਪਸ ਇਤਿਹਾਸ")</f>
        <v>ਟ੍ਰਿਪਸ ਇਤਿਹਾਸ</v>
      </c>
      <c r="L896" s="2" t="str">
        <f>IFERROR(__xludf.DUMMYFUNCTION("""COMPUTED_VALUE"""),"பயண வரலாறு")</f>
        <v>பயண வரலாறு</v>
      </c>
      <c r="M896" s="2" t="str">
        <f>IFERROR(__xludf.DUMMYFUNCTION("""COMPUTED_VALUE"""),"ట్రిప్స్ హిస్టరీ")</f>
        <v>ట్రిప్స్ హిస్టరీ</v>
      </c>
    </row>
    <row r="897">
      <c r="A897" s="2" t="str">
        <f>Master_en!A897</f>
        <v>Vehicle </v>
      </c>
      <c r="B897" s="2" t="str">
        <f>Master_en!B897</f>
        <v>Vehicle </v>
      </c>
      <c r="C897" s="2" t="str">
        <f>IFERROR(__xludf.DUMMYFUNCTION("""COMPUTED_VALUE"""),"যানবাহন")</f>
        <v>যানবাহন</v>
      </c>
      <c r="D897" s="2" t="str">
        <f>IFERROR(__xludf.DUMMYFUNCTION("""COMPUTED_VALUE"""),"वाहन")</f>
        <v>वाहन</v>
      </c>
      <c r="E897" s="2" t="str">
        <f>IFERROR(__xludf.DUMMYFUNCTION("""COMPUTED_VALUE"""),"ವಾಹನ")</f>
        <v>ವಾಹನ</v>
      </c>
      <c r="F897" s="2" t="str">
        <f>IFERROR(__xludf.DUMMYFUNCTION("""COMPUTED_VALUE"""),"ଯାନ")</f>
        <v>ଯାନ</v>
      </c>
      <c r="G897" s="2" t="str">
        <f>IFERROR(__xludf.DUMMYFUNCTION("""COMPUTED_VALUE"""),"বাহন")</f>
        <v>বাহন</v>
      </c>
      <c r="H897" s="2" t="str">
        <f>IFERROR(__xludf.DUMMYFUNCTION("""COMPUTED_VALUE"""),"વાહન")</f>
        <v>વાહન</v>
      </c>
      <c r="I897" s="2" t="str">
        <f>IFERROR(__xludf.DUMMYFUNCTION("""COMPUTED_VALUE"""),"वाहन")</f>
        <v>वाहन</v>
      </c>
      <c r="J897" s="2" t="str">
        <f>IFERROR(__xludf.DUMMYFUNCTION("""COMPUTED_VALUE"""),"വാഹനം")</f>
        <v>വാഹനം</v>
      </c>
      <c r="K897" s="2" t="str">
        <f>IFERROR(__xludf.DUMMYFUNCTION("""COMPUTED_VALUE"""),"ਵਾਹਨ")</f>
        <v>ਵਾਹਨ</v>
      </c>
      <c r="L897" s="2" t="str">
        <f>IFERROR(__xludf.DUMMYFUNCTION("""COMPUTED_VALUE"""),"வாகனம்")</f>
        <v>வாகனம்</v>
      </c>
      <c r="M897" s="2" t="str">
        <f>IFERROR(__xludf.DUMMYFUNCTION("""COMPUTED_VALUE"""),"వాహనం")</f>
        <v>వాహనం</v>
      </c>
    </row>
    <row r="898">
      <c r="A898" s="2" t="str">
        <f>Master_en!A898</f>
        <v>AllIndiaPermit </v>
      </c>
      <c r="B898" s="2" t="str">
        <f>Master_en!B898</f>
        <v>All India Permit </v>
      </c>
      <c r="C898" s="2" t="str">
        <f>IFERROR(__xludf.DUMMYFUNCTION("""COMPUTED_VALUE"""),"অল ইন্ডিয়া পারমিট")</f>
        <v>অল ইন্ডিয়া পারমিট</v>
      </c>
      <c r="D898" s="2" t="str">
        <f>IFERROR(__xludf.DUMMYFUNCTION("""COMPUTED_VALUE"""),"अखिल भारतीय परमिट")</f>
        <v>अखिल भारतीय परमिट</v>
      </c>
      <c r="E898" s="2" t="str">
        <f>IFERROR(__xludf.DUMMYFUNCTION("""COMPUTED_VALUE"""),"ಅಖಿಲ ಭಾರತ ಪರವಾನಗಿ")</f>
        <v>ಅಖಿಲ ಭಾರತ ಪರವಾನಗಿ</v>
      </c>
      <c r="F898" s="2" t="str">
        <f>IFERROR(__xludf.DUMMYFUNCTION("""COMPUTED_VALUE"""),"ସମସ୍ତ ଇଣ୍ଡିଆ ଅନୁମତି |")</f>
        <v>ସମସ୍ତ ଇଣ୍ଡିଆ ଅନୁମତି |</v>
      </c>
      <c r="G898" s="2" t="str">
        <f>IFERROR(__xludf.DUMMYFUNCTION("""COMPUTED_VALUE"""),"অল ইণ্ডিয়া পাৰ্মিট")</f>
        <v>অল ইণ্ডিয়া পাৰ্মিট</v>
      </c>
      <c r="H898" s="2" t="str">
        <f>IFERROR(__xludf.DUMMYFUNCTION("""COMPUTED_VALUE"""),"અખિલ ભારત પરમિટ")</f>
        <v>અખિલ ભારત પરમિટ</v>
      </c>
      <c r="I898" s="2" t="str">
        <f>IFERROR(__xludf.DUMMYFUNCTION("""COMPUTED_VALUE"""),"ऑल इंडिया परमिट")</f>
        <v>ऑल इंडिया परमिट</v>
      </c>
      <c r="J898" s="2" t="str">
        <f>IFERROR(__xludf.DUMMYFUNCTION("""COMPUTED_VALUE"""),"ഓൾ ഇന്ത്യ പെർമിറ്റ്")</f>
        <v>ഓൾ ഇന്ത്യ പെർമിറ്റ്</v>
      </c>
      <c r="K898" s="2" t="str">
        <f>IFERROR(__xludf.DUMMYFUNCTION("""COMPUTED_VALUE"""),"ਸਾਰੇ ਇੰਡੀਆ ਪਰਮਿਟ")</f>
        <v>ਸਾਰੇ ਇੰਡੀਆ ਪਰਮਿਟ</v>
      </c>
      <c r="L898" s="2" t="str">
        <f>IFERROR(__xludf.DUMMYFUNCTION("""COMPUTED_VALUE"""),"அகில இந்திய அனுமதி")</f>
        <v>அகில இந்திய அனுமதி</v>
      </c>
      <c r="M898" s="2" t="str">
        <f>IFERROR(__xludf.DUMMYFUNCTION("""COMPUTED_VALUE"""),"ఆల్ ఇండియా పర్మిట్")</f>
        <v>ఆల్ ఇండియా పర్మిట్</v>
      </c>
    </row>
    <row r="899">
      <c r="A899" s="2" t="str">
        <f>Master_en!A899</f>
        <v>Multi-StatePermit </v>
      </c>
      <c r="B899" s="2" t="str">
        <f>Master_en!B899</f>
        <v>Multi - State Permit </v>
      </c>
      <c r="C899" s="2" t="str">
        <f>IFERROR(__xludf.DUMMYFUNCTION("""COMPUTED_VALUE"""),"মাল্টি - স্টেট পারমিট")</f>
        <v>মাল্টি - স্টেট পারমিট</v>
      </c>
      <c r="D899" s="2" t="str">
        <f>IFERROR(__xludf.DUMMYFUNCTION("""COMPUTED_VALUE"""),"बहु राज्य परमिट")</f>
        <v>बहु राज्य परमिट</v>
      </c>
      <c r="E899" s="2" t="str">
        <f>IFERROR(__xludf.DUMMYFUNCTION("""COMPUTED_VALUE"""),"ಬಹು -ರಾಜ್ಯ ಪರವಾನಗಿ")</f>
        <v>ಬಹು -ರಾಜ್ಯ ಪರವಾನಗಿ</v>
      </c>
      <c r="F899" s="2" t="str">
        <f>IFERROR(__xludf.DUMMYFUNCTION("""COMPUTED_VALUE"""),"ମଲ୍ଟି - ରାଜ୍ୟ ଅନୁମତି |")</f>
        <v>ମଲ୍ଟି - ରାଜ୍ୟ ଅନୁମତି |</v>
      </c>
      <c r="G899" s="2" t="str">
        <f>IFERROR(__xludf.DUMMYFUNCTION("""COMPUTED_VALUE"""),"বহু - ৰাজ্যিক অনুমতি")</f>
        <v>বহু - ৰাজ্যিক অনুমতি</v>
      </c>
      <c r="H899" s="2" t="str">
        <f>IFERROR(__xludf.DUMMYFUNCTION("""COMPUTED_VALUE"""),"રાજ્ય પરમિટ")</f>
        <v>રાજ્ય પરમિટ</v>
      </c>
      <c r="I899" s="2" t="str">
        <f>IFERROR(__xludf.DUMMYFUNCTION("""COMPUTED_VALUE"""),"राज्य परवानगी")</f>
        <v>राज्य परवानगी</v>
      </c>
      <c r="J899" s="2" t="str">
        <f>IFERROR(__xludf.DUMMYFUNCTION("""COMPUTED_VALUE"""),"മൾട്ടി - സ്റ്റേറ്റ് പെർമിറ്റ്")</f>
        <v>മൾട്ടി - സ്റ്റേറ്റ് പെർമിറ്റ്</v>
      </c>
      <c r="K899" s="2" t="str">
        <f>IFERROR(__xludf.DUMMYFUNCTION("""COMPUTED_VALUE"""),"ਮਲਟੀ - ਸਟੇਟ ਪਰਮਿਟ")</f>
        <v>ਮਲਟੀ - ਸਟੇਟ ਪਰਮਿਟ</v>
      </c>
      <c r="L899" s="2" t="str">
        <f>IFERROR(__xludf.DUMMYFUNCTION("""COMPUTED_VALUE"""),"மல்டி - மாநில அனுமதி")</f>
        <v>மல்டி - மாநில அனுமதி</v>
      </c>
      <c r="M899" s="2" t="str">
        <f>IFERROR(__xludf.DUMMYFUNCTION("""COMPUTED_VALUE"""),"మల్టీ - స్టేట్ పర్మిట్")</f>
        <v>మల్టీ - స్టేట్ పర్మిట్</v>
      </c>
    </row>
    <row r="900">
      <c r="A900" s="2" t="str">
        <f>Master_en!A900</f>
        <v>StateLevelPermit </v>
      </c>
      <c r="B900" s="2" t="str">
        <f>Master_en!B900</f>
        <v>State Level Permit </v>
      </c>
      <c r="C900" s="2" t="str">
        <f>IFERROR(__xludf.DUMMYFUNCTION("""COMPUTED_VALUE"""),"রাজ্য স্তরের পারমিট")</f>
        <v>রাজ্য স্তরের পারমিট</v>
      </c>
      <c r="D900" s="2" t="str">
        <f>IFERROR(__xludf.DUMMYFUNCTION("""COMPUTED_VALUE"""),"राज्य स्तरीय परमिट")</f>
        <v>राज्य स्तरीय परमिट</v>
      </c>
      <c r="E900" s="2" t="str">
        <f>IFERROR(__xludf.DUMMYFUNCTION("""COMPUTED_VALUE"""),"ರಾಜ್ಯ ಮಟ್ಟದ")</f>
        <v>ರಾಜ್ಯ ಮಟ್ಟದ</v>
      </c>
      <c r="F900" s="2" t="str">
        <f>IFERROR(__xludf.DUMMYFUNCTION("""COMPUTED_VALUE"""),"ରାଜ୍ୟ ସ୍ତରୀୟ ଅନୁମତି |")</f>
        <v>ରାଜ୍ୟ ସ୍ତରୀୟ ଅନୁମତି |</v>
      </c>
      <c r="G900" s="2" t="str">
        <f>IFERROR(__xludf.DUMMYFUNCTION("""COMPUTED_VALUE"""),"ৰাজ্যিক পৰ্যায়ৰ অনুমতি")</f>
        <v>ৰাজ্যিক পৰ্যায়ৰ অনুমতি</v>
      </c>
      <c r="H900" s="2" t="str">
        <f>IFERROR(__xludf.DUMMYFUNCTION("""COMPUTED_VALUE"""),"રાજ્ય કક્ષાની પરમિટ")</f>
        <v>રાજ્ય કક્ષાની પરમિટ</v>
      </c>
      <c r="I900" s="2" t="str">
        <f>IFERROR(__xludf.DUMMYFUNCTION("""COMPUTED_VALUE"""),"राज्य पातळीवरील परवानगी")</f>
        <v>राज्य पातळीवरील परवानगी</v>
      </c>
      <c r="J900" s="2" t="str">
        <f>IFERROR(__xludf.DUMMYFUNCTION("""COMPUTED_VALUE"""),"സംസ്ഥാനതല അനുമതി")</f>
        <v>സംസ്ഥാനതല അനുമതി</v>
      </c>
      <c r="K900" s="2" t="str">
        <f>IFERROR(__xludf.DUMMYFUNCTION("""COMPUTED_VALUE"""),"ਰਾਜ ਪੱਧਰੀ ਪਰਮਿਟ")</f>
        <v>ਰਾਜ ਪੱਧਰੀ ਪਰਮਿਟ</v>
      </c>
      <c r="L900" s="2" t="str">
        <f>IFERROR(__xludf.DUMMYFUNCTION("""COMPUTED_VALUE"""),"மாநில அளவிலான அனுமதி")</f>
        <v>மாநில அளவிலான அனுமதி</v>
      </c>
      <c r="M900" s="2" t="str">
        <f>IFERROR(__xludf.DUMMYFUNCTION("""COMPUTED_VALUE"""),"రాష్ట్ర స్థాయి అనుమతి")</f>
        <v>రాష్ట్ర స్థాయి అనుమతి</v>
      </c>
    </row>
    <row r="901">
      <c r="A901" s="2" t="str">
        <f>Master_en!A901</f>
        <v>Uploading </v>
      </c>
      <c r="B901" s="2" t="str">
        <f>Master_en!B901</f>
        <v>Uploading </v>
      </c>
      <c r="C901" s="2" t="str">
        <f>IFERROR(__xludf.DUMMYFUNCTION("""COMPUTED_VALUE"""),"আপলোডিং")</f>
        <v>আপলোডিং</v>
      </c>
      <c r="D901" s="2" t="str">
        <f>IFERROR(__xludf.DUMMYFUNCTION("""COMPUTED_VALUE"""),"अपलोड हो रहा है")</f>
        <v>अपलोड हो रहा है</v>
      </c>
      <c r="E901" s="2" t="str">
        <f>IFERROR(__xludf.DUMMYFUNCTION("""COMPUTED_VALUE"""),"ಅಪಹರಿಸುವುದು")</f>
        <v>ಅಪಹರಿಸುವುದು</v>
      </c>
      <c r="F901" s="2" t="str">
        <f>IFERROR(__xludf.DUMMYFUNCTION("""COMPUTED_VALUE"""),"ଅପଲୋଡ୍ କରିବା")</f>
        <v>ଅପଲୋଡ୍ କରିବା</v>
      </c>
      <c r="G901" s="2" t="str">
        <f>IFERROR(__xludf.DUMMYFUNCTION("""COMPUTED_VALUE"""),"আপলোড কৰা হৈছে")</f>
        <v>আপলোড কৰা হৈছে</v>
      </c>
      <c r="H901" s="2" t="str">
        <f>IFERROR(__xludf.DUMMYFUNCTION("""COMPUTED_VALUE"""),"અપલોડ")</f>
        <v>અપલોડ</v>
      </c>
      <c r="I901" s="2" t="str">
        <f>IFERROR(__xludf.DUMMYFUNCTION("""COMPUTED_VALUE"""),"अपलोड करीत आहे")</f>
        <v>अपलोड करीत आहे</v>
      </c>
      <c r="J901" s="2" t="str">
        <f>IFERROR(__xludf.DUMMYFUNCTION("""COMPUTED_VALUE"""),"അപ്ലോഡുചെയ്യുന്നു")</f>
        <v>അപ്ലോഡുചെയ്യുന്നു</v>
      </c>
      <c r="K901" s="2" t="str">
        <f>IFERROR(__xludf.DUMMYFUNCTION("""COMPUTED_VALUE"""),"ਅਪਲੋਡ ਕਰਨਾ")</f>
        <v>ਅਪਲੋਡ ਕਰਨਾ</v>
      </c>
      <c r="L901" s="2" t="str">
        <f>IFERROR(__xludf.DUMMYFUNCTION("""COMPUTED_VALUE"""),"பதிவேற்றம்")</f>
        <v>பதிவேற்றம்</v>
      </c>
      <c r="M901" s="2" t="str">
        <f>IFERROR(__xludf.DUMMYFUNCTION("""COMPUTED_VALUE"""),"అప్‌లోడ్")</f>
        <v>అప్‌లోడ్</v>
      </c>
    </row>
    <row r="902">
      <c r="A902" s="2" t="str">
        <f>Master_en!A902</f>
        <v>RCNo.</v>
      </c>
      <c r="B902" s="2" t="str">
        <f>Master_en!B902</f>
        <v>RC No.</v>
      </c>
      <c r="C902" s="2" t="str">
        <f>IFERROR(__xludf.DUMMYFUNCTION("""COMPUTED_VALUE"""),"আরসি নং")</f>
        <v>আরসি নং</v>
      </c>
      <c r="D902" s="2" t="str">
        <f>IFERROR(__xludf.DUMMYFUNCTION("""COMPUTED_VALUE"""),"आरसी नं।")</f>
        <v>आरसी नं।</v>
      </c>
      <c r="E902" s="2" t="str">
        <f>IFERROR(__xludf.DUMMYFUNCTION("""COMPUTED_VALUE"""),"ಆರ್ಸಿ ಸಂಖ್ಯೆ")</f>
        <v>ಆರ್ಸಿ ಸಂಖ್ಯೆ</v>
      </c>
      <c r="F902" s="2" t="str">
        <f>IFERROR(__xludf.DUMMYFUNCTION("""COMPUTED_VALUE"""),"RC ନା")</f>
        <v>RC ନା</v>
      </c>
      <c r="G902" s="2" t="str">
        <f>IFERROR(__xludf.DUMMYFUNCTION("""COMPUTED_VALUE"""),"আৰ চি নং।")</f>
        <v>আৰ চি নং।</v>
      </c>
      <c r="H902" s="2" t="str">
        <f>IFERROR(__xludf.DUMMYFUNCTION("""COMPUTED_VALUE"""),"આરસી નંબર")</f>
        <v>આરસી નંબર</v>
      </c>
      <c r="I902" s="2" t="str">
        <f>IFERROR(__xludf.DUMMYFUNCTION("""COMPUTED_VALUE"""),"आरसी क्रमांक")</f>
        <v>आरसी क्रमांक</v>
      </c>
      <c r="J902" s="2" t="str">
        <f>IFERROR(__xludf.DUMMYFUNCTION("""COMPUTED_VALUE"""),"ആർസി നമ്പർ.")</f>
        <v>ആർസി നമ്പർ.</v>
      </c>
      <c r="K902" s="2" t="str">
        <f>IFERROR(__xludf.DUMMYFUNCTION("""COMPUTED_VALUE"""),"ਆਰਸੀ ਨੰਬਰ")</f>
        <v>ਆਰਸੀ ਨੰਬਰ</v>
      </c>
      <c r="L902" s="2" t="str">
        <f>IFERROR(__xludf.DUMMYFUNCTION("""COMPUTED_VALUE"""),"ஆர்.சி எண்.")</f>
        <v>ஆர்.சி எண்.</v>
      </c>
      <c r="M902" s="2" t="str">
        <f>IFERROR(__xludf.DUMMYFUNCTION("""COMPUTED_VALUE"""),"ఆర్‌సి నం.")</f>
        <v>ఆర్‌సి నం.</v>
      </c>
    </row>
    <row r="903">
      <c r="A903" s="2" t="str">
        <f>Master_en!A903</f>
        <v>DeliveryChargesfor</v>
      </c>
      <c r="B903" s="2" t="str">
        <f>Master_en!B903</f>
        <v>Delivery Charges for</v>
      </c>
      <c r="C903" s="2" t="str">
        <f>IFERROR(__xludf.DUMMYFUNCTION("""COMPUTED_VALUE"""),"জন্য বিতরণ চার্জ")</f>
        <v>জন্য বিতরণ চার্জ</v>
      </c>
      <c r="D903" s="2" t="str">
        <f>IFERROR(__xludf.DUMMYFUNCTION("""COMPUTED_VALUE"""),"के लिए वितरण शुल्क")</f>
        <v>के लिए वितरण शुल्क</v>
      </c>
      <c r="E903" s="2" t="str">
        <f>IFERROR(__xludf.DUMMYFUNCTION("""COMPUTED_VALUE"""),"ವಿತರಣಾ ಶುಲ್ಕಗಳು")</f>
        <v>ವಿತರಣಾ ಶುಲ್ಕಗಳು</v>
      </c>
      <c r="F903" s="2" t="str">
        <f>IFERROR(__xludf.DUMMYFUNCTION("""COMPUTED_VALUE"""),"ପାଇଁ ବିତରଣ ଚାର୍ଜ |")</f>
        <v>ପାଇଁ ବିତରଣ ଚାର୍ଜ |</v>
      </c>
      <c r="G903" s="2" t="str">
        <f>IFERROR(__xludf.DUMMYFUNCTION("""COMPUTED_VALUE"""),"ডেলিভাৰী চাৰ্জৰ বাবে...")</f>
        <v>ডেলিভাৰী চাৰ্জৰ বাবে...</v>
      </c>
      <c r="H903" s="2" t="str">
        <f>IFERROR(__xludf.DUMMYFUNCTION("""COMPUTED_VALUE"""),"વિતરણ ખર્ચ")</f>
        <v>વિતરણ ખર્ચ</v>
      </c>
      <c r="I903" s="2" t="str">
        <f>IFERROR(__xludf.DUMMYFUNCTION("""COMPUTED_VALUE"""),"वितरण शुल्क")</f>
        <v>वितरण शुल्क</v>
      </c>
      <c r="J903" s="2" t="str">
        <f>IFERROR(__xludf.DUMMYFUNCTION("""COMPUTED_VALUE"""),"ഡെലിവറി നിരക്കുകൾ")</f>
        <v>ഡെലിവറി നിരക്കുകൾ</v>
      </c>
      <c r="K903" s="2" t="str">
        <f>IFERROR(__xludf.DUMMYFUNCTION("""COMPUTED_VALUE"""),"ਲਈ ਸਪੁਰਦਗੀ ਦੇ ਖਰਚੇ")</f>
        <v>ਲਈ ਸਪੁਰਦਗੀ ਦੇ ਖਰਚੇ</v>
      </c>
      <c r="L903" s="2" t="str">
        <f>IFERROR(__xludf.DUMMYFUNCTION("""COMPUTED_VALUE"""),"விநியோக கட்டணங்கள்")</f>
        <v>விநியோக கட்டணங்கள்</v>
      </c>
      <c r="M903" s="2" t="str">
        <f>IFERROR(__xludf.DUMMYFUNCTION("""COMPUTED_VALUE"""),"కోసం డెలివరీ ఛార్జీలు")</f>
        <v>కోసం డెలివరీ ఛార్జీలు</v>
      </c>
    </row>
    <row r="904">
      <c r="A904" s="2" t="str">
        <f>Master_en!A904</f>
        <v>AddWeight </v>
      </c>
      <c r="B904" s="2" t="str">
        <f>Master_en!B904</f>
        <v>Add Weight </v>
      </c>
      <c r="C904" s="2" t="str">
        <f>IFERROR(__xludf.DUMMYFUNCTION("""COMPUTED_VALUE"""),"ওজন যোগ করুন")</f>
        <v>ওজন যোগ করুন</v>
      </c>
      <c r="D904" s="2" t="str">
        <f>IFERROR(__xludf.DUMMYFUNCTION("""COMPUTED_VALUE"""),"वजन जोड़ें")</f>
        <v>वजन जोड़ें</v>
      </c>
      <c r="E904" s="2" t="str">
        <f>IFERROR(__xludf.DUMMYFUNCTION("""COMPUTED_VALUE"""),"ತೂಕ ಸೇರಿಸಿ")</f>
        <v>ತೂಕ ಸೇರಿಸಿ</v>
      </c>
      <c r="F904" s="2" t="str">
        <f>IFERROR(__xludf.DUMMYFUNCTION("""COMPUTED_VALUE"""),"ଓଜନ ଯୋଡନ୍ତୁ")</f>
        <v>ଓଜନ ଯୋଡନ୍ତୁ</v>
      </c>
      <c r="G904" s="2" t="str">
        <f>IFERROR(__xludf.DUMMYFUNCTION("""COMPUTED_VALUE"""),"ওজন যোগ কৰক")</f>
        <v>ওজন যোগ কৰক</v>
      </c>
      <c r="H904" s="2" t="str">
        <f>IFERROR(__xludf.DUMMYFUNCTION("""COMPUTED_VALUE"""),"વજન વધારવું")</f>
        <v>વજન વધારવું</v>
      </c>
      <c r="I904" s="2" t="str">
        <f>IFERROR(__xludf.DUMMYFUNCTION("""COMPUTED_VALUE"""),"वजन जोडा")</f>
        <v>वजन जोडा</v>
      </c>
      <c r="J904" s="2" t="str">
        <f>IFERROR(__xludf.DUMMYFUNCTION("""COMPUTED_VALUE"""),"ഭാരം ചേർക്കുക")</f>
        <v>ഭാരം ചേർക്കുക</v>
      </c>
      <c r="K904" s="2" t="str">
        <f>IFERROR(__xludf.DUMMYFUNCTION("""COMPUTED_VALUE"""),"ਭਾਰ ਸ਼ਾਮਲ ਕਰੋ")</f>
        <v>ਭਾਰ ਸ਼ਾਮਲ ਕਰੋ</v>
      </c>
      <c r="L904" s="2" t="str">
        <f>IFERROR(__xludf.DUMMYFUNCTION("""COMPUTED_VALUE"""),"எடை சேர்க்கவும்")</f>
        <v>எடை சேர்க்கவும்</v>
      </c>
      <c r="M904" s="2" t="str">
        <f>IFERROR(__xludf.DUMMYFUNCTION("""COMPUTED_VALUE"""),"బరువు జోడించండి")</f>
        <v>బరువు జోడించండి</v>
      </c>
    </row>
    <row r="905">
      <c r="A905" s="2" t="str">
        <f>Master_en!A905</f>
        <v>AddDistanceCovers</v>
      </c>
      <c r="B905" s="2" t="str">
        <f>Master_en!B905</f>
        <v>Add Distance Covers</v>
      </c>
      <c r="C905" s="2" t="str">
        <f>IFERROR(__xludf.DUMMYFUNCTION("""COMPUTED_VALUE"""),"দূরত্ব কভার যুক্ত করুন")</f>
        <v>দূরত্ব কভার যুক্ত করুন</v>
      </c>
      <c r="D905" s="2" t="str">
        <f>IFERROR(__xludf.DUMMYFUNCTION("""COMPUTED_VALUE"""),"दूरी कवर जोड़ें")</f>
        <v>दूरी कवर जोड़ें</v>
      </c>
      <c r="E905" s="2" t="str">
        <f>IFERROR(__xludf.DUMMYFUNCTION("""COMPUTED_VALUE"""),"ದೂರ ಕವರ್ ಸೇರಿಸಿ")</f>
        <v>ದೂರ ಕವರ್ ಸೇರಿಸಿ</v>
      </c>
      <c r="F905" s="2" t="str">
        <f>IFERROR(__xludf.DUMMYFUNCTION("""COMPUTED_VALUE"""),"ଦୂରତା କଭର ଯୋଡନ୍ତୁ |")</f>
        <v>ଦୂରତା କଭର ଯୋଡନ୍ତୁ |</v>
      </c>
      <c r="G905" s="2" t="str">
        <f>IFERROR(__xludf.DUMMYFUNCTION("""COMPUTED_VALUE"""),"দূৰত্ব কভাৰ যোগ কৰক")</f>
        <v>দূৰত্ব কভাৰ যোগ কৰক</v>
      </c>
      <c r="H905" s="2" t="str">
        <f>IFERROR(__xludf.DUMMYFUNCTION("""COMPUTED_VALUE"""),"અંતર કવર ઉમેરો")</f>
        <v>અંતર કવર ઉમેરો</v>
      </c>
      <c r="I905" s="2" t="str">
        <f>IFERROR(__xludf.DUMMYFUNCTION("""COMPUTED_VALUE"""),"अंतर कव्हर्स जोडा")</f>
        <v>अंतर कव्हर्स जोडा</v>
      </c>
      <c r="J905" s="2" t="str">
        <f>IFERROR(__xludf.DUMMYFUNCTION("""COMPUTED_VALUE"""),"ദൂര കവറുകൾ ചേർക്കുക")</f>
        <v>ദൂര കവറുകൾ ചേർക്കുക</v>
      </c>
      <c r="K905" s="2" t="str">
        <f>IFERROR(__xludf.DUMMYFUNCTION("""COMPUTED_VALUE"""),"ਦੂਰੀ ਦੇ ਕਵਰ ਸ਼ਾਮਲ ਕਰੋ")</f>
        <v>ਦੂਰੀ ਦੇ ਕਵਰ ਸ਼ਾਮਲ ਕਰੋ</v>
      </c>
      <c r="L905" s="2" t="str">
        <f>IFERROR(__xludf.DUMMYFUNCTION("""COMPUTED_VALUE"""),"தூர அட்டைகளைச் சேர்க்கவும்")</f>
        <v>தூர அட்டைகளைச் சேர்க்கவும்</v>
      </c>
      <c r="M905" s="2" t="str">
        <f>IFERROR(__xludf.DUMMYFUNCTION("""COMPUTED_VALUE"""),"దూర కవర్లను జోడించండి")</f>
        <v>దూర కవర్లను జోడించండి</v>
      </c>
    </row>
    <row r="906">
      <c r="A906" s="2" t="str">
        <f>Master_en!A906</f>
        <v>Distance </v>
      </c>
      <c r="B906" s="2" t="str">
        <f>Master_en!B906</f>
        <v>Distance </v>
      </c>
      <c r="C906" s="2" t="str">
        <f>IFERROR(__xludf.DUMMYFUNCTION("""COMPUTED_VALUE"""),"দূরত্ব")</f>
        <v>দূরত্ব</v>
      </c>
      <c r="D906" s="2" t="str">
        <f>IFERROR(__xludf.DUMMYFUNCTION("""COMPUTED_VALUE"""),"दूरी")</f>
        <v>दूरी</v>
      </c>
      <c r="E906" s="2" t="str">
        <f>IFERROR(__xludf.DUMMYFUNCTION("""COMPUTED_VALUE"""),"ದೂರ")</f>
        <v>ದೂರ</v>
      </c>
      <c r="F906" s="2" t="str">
        <f>IFERROR(__xludf.DUMMYFUNCTION("""COMPUTED_VALUE"""),"ଦୂରତା")</f>
        <v>ଦୂରତା</v>
      </c>
      <c r="G906" s="2" t="str">
        <f>IFERROR(__xludf.DUMMYFUNCTION("""COMPUTED_VALUE"""),"দূৰত্ব")</f>
        <v>দূৰত্ব</v>
      </c>
      <c r="H906" s="2" t="str">
        <f>IFERROR(__xludf.DUMMYFUNCTION("""COMPUTED_VALUE"""),"અંતર")</f>
        <v>અંતર</v>
      </c>
      <c r="I906" s="2" t="str">
        <f>IFERROR(__xludf.DUMMYFUNCTION("""COMPUTED_VALUE"""),"अंतर")</f>
        <v>अंतर</v>
      </c>
      <c r="J906" s="2" t="str">
        <f>IFERROR(__xludf.DUMMYFUNCTION("""COMPUTED_VALUE"""),"അകലം")</f>
        <v>അകലം</v>
      </c>
      <c r="K906" s="2" t="str">
        <f>IFERROR(__xludf.DUMMYFUNCTION("""COMPUTED_VALUE"""),"ਦੂਰੀ")</f>
        <v>ਦੂਰੀ</v>
      </c>
      <c r="L906" s="2" t="str">
        <f>IFERROR(__xludf.DUMMYFUNCTION("""COMPUTED_VALUE"""),"தூரம்")</f>
        <v>தூரம்</v>
      </c>
      <c r="M906" s="2" t="str">
        <f>IFERROR(__xludf.DUMMYFUNCTION("""COMPUTED_VALUE"""),"దూరం")</f>
        <v>దూరం</v>
      </c>
    </row>
    <row r="907">
      <c r="A907" s="2" t="str">
        <f>Master_en!A907</f>
        <v>TripStatus</v>
      </c>
      <c r="B907" s="2" t="str">
        <f>Master_en!B907</f>
        <v>Trip Status</v>
      </c>
      <c r="C907" s="2" t="str">
        <f>IFERROR(__xludf.DUMMYFUNCTION("""COMPUTED_VALUE"""),"ট্রিপ স্ট্যাটাস")</f>
        <v>ট্রিপ স্ট্যাটাস</v>
      </c>
      <c r="D907" s="2" t="str">
        <f>IFERROR(__xludf.DUMMYFUNCTION("""COMPUTED_VALUE"""),"यात्रा की स्थिति")</f>
        <v>यात्रा की स्थिति</v>
      </c>
      <c r="E907" s="2" t="str">
        <f>IFERROR(__xludf.DUMMYFUNCTION("""COMPUTED_VALUE"""),"ಪ್ರವಾಸದ ಸ್ಥಿತಿ")</f>
        <v>ಪ್ರವಾಸದ ಸ್ಥಿತಿ</v>
      </c>
      <c r="F907" s="2" t="str">
        <f>IFERROR(__xludf.DUMMYFUNCTION("""COMPUTED_VALUE"""),"ଯାତ୍ରା ସ୍ଥିତି")</f>
        <v>ଯାତ୍ରା ସ୍ଥିତି</v>
      </c>
      <c r="G907" s="2" t="str">
        <f>IFERROR(__xludf.DUMMYFUNCTION("""COMPUTED_VALUE"""),"ভ্ৰমণৰ অৱস্থা")</f>
        <v>ভ্ৰমণৰ অৱস্থা</v>
      </c>
      <c r="H907" s="2" t="str">
        <f>IFERROR(__xludf.DUMMYFUNCTION("""COMPUTED_VALUE"""),"સફરનો દરજ્જો")</f>
        <v>સફરનો દરજ્જો</v>
      </c>
      <c r="I907" s="2" t="str">
        <f>IFERROR(__xludf.DUMMYFUNCTION("""COMPUTED_VALUE"""),"ट्रिप स्थिती")</f>
        <v>ट्रिप स्थिती</v>
      </c>
      <c r="J907" s="2" t="str">
        <f>IFERROR(__xludf.DUMMYFUNCTION("""COMPUTED_VALUE"""),"യാത്ര നില")</f>
        <v>യാത്ര നില</v>
      </c>
      <c r="K907" s="2" t="str">
        <f>IFERROR(__xludf.DUMMYFUNCTION("""COMPUTED_VALUE"""),"ਯਾਤਰਾ ਦੀ ਸਥਿਤੀ")</f>
        <v>ਯਾਤਰਾ ਦੀ ਸਥਿਤੀ</v>
      </c>
      <c r="L907" s="2" t="str">
        <f>IFERROR(__xludf.DUMMYFUNCTION("""COMPUTED_VALUE"""),"பயண நிலை")</f>
        <v>பயண நிலை</v>
      </c>
      <c r="M907" s="2" t="str">
        <f>IFERROR(__xludf.DUMMYFUNCTION("""COMPUTED_VALUE"""),"ట్రిప్ స్థితి")</f>
        <v>ట్రిప్ స్థితి</v>
      </c>
    </row>
    <row r="908">
      <c r="A908" s="2" t="str">
        <f>Master_en!A908</f>
        <v>Areyousure.DeletetheBankDetails?</v>
      </c>
      <c r="B908" s="2" t="str">
        <f>Master_en!B908</f>
        <v>Are you sure.Delete the Bank Details?</v>
      </c>
      <c r="C908" s="2" t="str">
        <f>IFERROR(__xludf.DUMMYFUNCTION("""COMPUTED_VALUE"""),"আপনি কি নিশ্চিত? ব্যাংকের বিশদ বিবরণ দিন?")</f>
        <v>আপনি কি নিশ্চিত? ব্যাংকের বিশদ বিবরণ দিন?</v>
      </c>
      <c r="D908" s="2" t="str">
        <f>IFERROR(__xludf.DUMMYFUNCTION("""COMPUTED_VALUE"""),"क्या आप निश्चित हैं। बैंक विवरण दें?")</f>
        <v>क्या आप निश्चित हैं। बैंक विवरण दें?</v>
      </c>
      <c r="E908" s="2" t="str">
        <f>IFERROR(__xludf.DUMMYFUNCTION("""COMPUTED_VALUE"""),"ನಿಮಗೆ ಖಚಿತವಾಗಿದೆಯೇ? ಬ್ಯಾಂಕ್ ವಿವರಗಳನ್ನು ಗಮನಿಸಿ?")</f>
        <v>ನಿಮಗೆ ಖಚಿತವಾಗಿದೆಯೇ? ಬ್ಯಾಂಕ್ ವಿವರಗಳನ್ನು ಗಮನಿಸಿ?</v>
      </c>
      <c r="F908" s="2" t="str">
        <f>IFERROR(__xludf.DUMMYFUNCTION("""COMPUTED_VALUE"""),"ଆପଣ ନିଶ୍ଚିତ କି WHEALE ବିବରଣୀଗୁଡିକୁ ଚୟନ କରନ୍ତୁ?")</f>
        <v>ଆପଣ ନିଶ୍ଚିତ କି WHEALE ବିବରଣୀଗୁଡିକୁ ଚୟନ କରନ୍ତୁ?</v>
      </c>
      <c r="G908" s="2" t="str">
        <f>IFERROR(__xludf.DUMMYFUNCTION("""COMPUTED_VALUE"""),"আপুনি নিশ্চিত নেকি।বেংকৰ বিৱৰণ মচি পেলাওক?")</f>
        <v>আপুনি নিশ্চিত নেকি।বেংকৰ বিৱৰণ মচি পেলাওক?</v>
      </c>
      <c r="H908" s="2" t="str">
        <f>IFERROR(__xludf.DUMMYFUNCTION("""COMPUTED_VALUE"""),"શું તમને ખાતરી છે. બેંકની વિગતો નક્કી કરો?")</f>
        <v>શું તમને ખાતરી છે. બેંકની વિગતો નક્કી કરો?</v>
      </c>
      <c r="I908" s="2" t="str">
        <f>IFERROR(__xludf.DUMMYFUNCTION("""COMPUTED_VALUE"""),"आपली खात्री आहे. बँकेचा तपशील सोडवा?")</f>
        <v>आपली खात्री आहे. बँकेचा तपशील सोडवा?</v>
      </c>
      <c r="J908" s="2" t="str">
        <f>IFERROR(__xludf.DUMMYFUNCTION("""COMPUTED_VALUE"""),"നിങ്ങൾക്ക് ഉറപ്പാണോ. ബാങ്ക് വിശദാംശങ്ങൾ ഡേറ്റ് ചെയ്യുക?")</f>
        <v>നിങ്ങൾക്ക് ഉറപ്പാണോ. ബാങ്ക് വിശദാംശങ്ങൾ ഡേറ്റ് ചെയ്യുക?</v>
      </c>
      <c r="K908" s="2" t="str">
        <f>IFERROR(__xludf.DUMMYFUNCTION("""COMPUTED_VALUE"""),"ਕੀ ਤੁਸੀਂ ਯਕੀਨ ਰੱਖਦੇ ਹੋ. ਬੈਂਕ ਦੇ ਵੇਰਵੇ?")</f>
        <v>ਕੀ ਤੁਸੀਂ ਯਕੀਨ ਰੱਖਦੇ ਹੋ. ਬੈਂਕ ਦੇ ਵੇਰਵੇ?</v>
      </c>
      <c r="L908" s="2" t="str">
        <f>IFERROR(__xludf.DUMMYFUNCTION("""COMPUTED_VALUE"""),"வங்கி விவரங்களை நீக்குவது உறுதியா?")</f>
        <v>வங்கி விவரங்களை நீக்குவது உறுதியா?</v>
      </c>
      <c r="M908" s="2" t="str">
        <f>IFERROR(__xludf.DUMMYFUNCTION("""COMPUTED_VALUE"""),"మీకు ఖచ్చితంగా తెలుసా. బ్యాంక్ వివరాలను తొలగించండి?")</f>
        <v>మీకు ఖచ్చితంగా తెలుసా. బ్యాంక్ వివరాలను తొలగించండి?</v>
      </c>
    </row>
    <row r="909">
      <c r="A909" s="2" t="str">
        <f>Master_en!A909</f>
        <v>BankAccount</v>
      </c>
      <c r="B909" s="2" t="str">
        <f>Master_en!B909</f>
        <v>Bank Account</v>
      </c>
      <c r="C909" s="2" t="str">
        <f>IFERROR(__xludf.DUMMYFUNCTION("""COMPUTED_VALUE"""),"ব্যাংক হিসাব")</f>
        <v>ব্যাংক হিসাব</v>
      </c>
      <c r="D909" s="2" t="str">
        <f>IFERROR(__xludf.DUMMYFUNCTION("""COMPUTED_VALUE"""),"बैंक खाता")</f>
        <v>बैंक खाता</v>
      </c>
      <c r="E909" s="2" t="str">
        <f>IFERROR(__xludf.DUMMYFUNCTION("""COMPUTED_VALUE"""),"ಬ್ಯಾಂಕ್ ಖಾತೆ")</f>
        <v>ಬ್ಯಾಂಕ್ ಖಾತೆ</v>
      </c>
      <c r="F909" s="2" t="str">
        <f>IFERROR(__xludf.DUMMYFUNCTION("""COMPUTED_VALUE"""),"ବ୍ୟାଙ୍କ ଖାତା")</f>
        <v>ବ୍ୟାଙ୍କ ଖାତା</v>
      </c>
      <c r="G909" s="2" t="str">
        <f>IFERROR(__xludf.DUMMYFUNCTION("""COMPUTED_VALUE"""),"বেংক একাউণ্ট")</f>
        <v>বেংক একাউণ্ট</v>
      </c>
      <c r="H909" s="2" t="str">
        <f>IFERROR(__xludf.DUMMYFUNCTION("""COMPUTED_VALUE"""),"બેંક એકાઉન્ટ")</f>
        <v>બેંક એકાઉન્ટ</v>
      </c>
      <c r="I909" s="2" t="str">
        <f>IFERROR(__xludf.DUMMYFUNCTION("""COMPUTED_VALUE"""),"बँक खाते")</f>
        <v>बँक खाते</v>
      </c>
      <c r="J909" s="2" t="str">
        <f>IFERROR(__xludf.DUMMYFUNCTION("""COMPUTED_VALUE"""),"ബാങ്ക് അക്കൗണ്ട്")</f>
        <v>ബാങ്ക് അക്കൗണ്ട്</v>
      </c>
      <c r="K909" s="2" t="str">
        <f>IFERROR(__xludf.DUMMYFUNCTION("""COMPUTED_VALUE"""),"ਬੈੰਕ ਖਾਤਾ")</f>
        <v>ਬੈੰਕ ਖਾਤਾ</v>
      </c>
      <c r="L909" s="2" t="str">
        <f>IFERROR(__xludf.DUMMYFUNCTION("""COMPUTED_VALUE"""),"வங்கி கணக்கு")</f>
        <v>வங்கி கணக்கு</v>
      </c>
      <c r="M909" s="2" t="str">
        <f>IFERROR(__xludf.DUMMYFUNCTION("""COMPUTED_VALUE"""),"బ్యాంకు ఖాతా")</f>
        <v>బ్యాంకు ఖాతా</v>
      </c>
    </row>
    <row r="910">
      <c r="A910" s="2" t="str">
        <f>Master_en!A910</f>
        <v>AlternateMobileNumber</v>
      </c>
      <c r="B910" s="2" t="str">
        <f>Master_en!B910</f>
        <v>Alternate Mobile Number</v>
      </c>
      <c r="C910" s="2" t="str">
        <f>IFERROR(__xludf.DUMMYFUNCTION("""COMPUTED_VALUE"""),"বিকল্প মোবাইল নম্বর")</f>
        <v>বিকল্প মোবাইল নম্বর</v>
      </c>
      <c r="D910" s="2" t="str">
        <f>IFERROR(__xludf.DUMMYFUNCTION("""COMPUTED_VALUE"""),"वैकल्पिक मोबाइल नंबर")</f>
        <v>वैकल्पिक मोबाइल नंबर</v>
      </c>
      <c r="E910" s="2" t="str">
        <f>IFERROR(__xludf.DUMMYFUNCTION("""COMPUTED_VALUE"""),"ಪರ್ಯಾಯ ಮೊಬೈಲ್ ಸಂಖ್ಯೆ")</f>
        <v>ಪರ್ಯಾಯ ಮೊಬೈಲ್ ಸಂಖ್ಯೆ</v>
      </c>
      <c r="F910" s="2" t="str">
        <f>IFERROR(__xludf.DUMMYFUNCTION("""COMPUTED_VALUE"""),"ବିକଳ୍ପ ମୋବାଇଲ୍ ନମ୍ବର |")</f>
        <v>ବିକଳ୍ପ ମୋବାଇଲ୍ ନମ୍ବର |</v>
      </c>
      <c r="G910" s="2" t="str">
        <f>IFERROR(__xludf.DUMMYFUNCTION("""COMPUTED_VALUE"""),"বিকল্প মোবাইল নম্বৰ")</f>
        <v>বিকল্প মোবাইল নম্বৰ</v>
      </c>
      <c r="H910" s="2" t="str">
        <f>IFERROR(__xludf.DUMMYFUNCTION("""COMPUTED_VALUE"""),"વૈકલ્પિક મોબાઇલ નંબર")</f>
        <v>વૈકલ્પિક મોબાઇલ નંબર</v>
      </c>
      <c r="I910" s="2" t="str">
        <f>IFERROR(__xludf.DUMMYFUNCTION("""COMPUTED_VALUE"""),"वैकल्पिक मोबाइल नंबर")</f>
        <v>वैकल्पिक मोबाइल नंबर</v>
      </c>
      <c r="J910" s="2" t="str">
        <f>IFERROR(__xludf.DUMMYFUNCTION("""COMPUTED_VALUE"""),"ഇതര മൊബൈൽ നമ്പർ")</f>
        <v>ഇതര മൊബൈൽ നമ്പർ</v>
      </c>
      <c r="K910" s="2" t="str">
        <f>IFERROR(__xludf.DUMMYFUNCTION("""COMPUTED_VALUE"""),"ਵਿਕਲਪਿਕ ਮੋਬਾਈਲ ਨੰਬਰ")</f>
        <v>ਵਿਕਲਪਿਕ ਮੋਬਾਈਲ ਨੰਬਰ</v>
      </c>
      <c r="L910" s="2" t="str">
        <f>IFERROR(__xludf.DUMMYFUNCTION("""COMPUTED_VALUE"""),"மாற்று மொபைல் எண்")</f>
        <v>மாற்று மொபைல் எண்</v>
      </c>
      <c r="M910" s="2" t="str">
        <f>IFERROR(__xludf.DUMMYFUNCTION("""COMPUTED_VALUE"""),"ప్రత్యామ్నాయ మొబైల్ నంబర్")</f>
        <v>ప్రత్యామ్నాయ మొబైల్ నంబర్</v>
      </c>
    </row>
    <row r="911">
      <c r="A911" s="2" t="str">
        <f>Master_en!A911</f>
        <v>AboutMe</v>
      </c>
      <c r="B911" s="2" t="str">
        <f>Master_en!B911</f>
        <v>About Me</v>
      </c>
      <c r="C911" s="2" t="str">
        <f>IFERROR(__xludf.DUMMYFUNCTION("""COMPUTED_VALUE"""),"আমার সম্পর্কে")</f>
        <v>আমার সম্পর্কে</v>
      </c>
      <c r="D911" s="2" t="str">
        <f>IFERROR(__xludf.DUMMYFUNCTION("""COMPUTED_VALUE"""),"मेरे बारे मेँ")</f>
        <v>मेरे बारे मेँ</v>
      </c>
      <c r="E911" s="2" t="str">
        <f>IFERROR(__xludf.DUMMYFUNCTION("""COMPUTED_VALUE"""),"ನನ್ನ ಬಗ್ಗೆ")</f>
        <v>ನನ್ನ ಬಗ್ಗೆ</v>
      </c>
      <c r="F911" s="2" t="str">
        <f>IFERROR(__xludf.DUMMYFUNCTION("""COMPUTED_VALUE"""),"ମୋ ବିସୟରେ")</f>
        <v>ମୋ ବିସୟରେ</v>
      </c>
      <c r="G911" s="2" t="str">
        <f>IFERROR(__xludf.DUMMYFUNCTION("""COMPUTED_VALUE"""),"মোৰ বিষয়ে")</f>
        <v>মোৰ বিষয়ে</v>
      </c>
      <c r="H911" s="2" t="str">
        <f>IFERROR(__xludf.DUMMYFUNCTION("""COMPUTED_VALUE"""),"મારા વિશે")</f>
        <v>મારા વિશે</v>
      </c>
      <c r="I911" s="2" t="str">
        <f>IFERROR(__xludf.DUMMYFUNCTION("""COMPUTED_VALUE"""),"माझ्याबद्दल")</f>
        <v>माझ्याबद्दल</v>
      </c>
      <c r="J911" s="2" t="str">
        <f>IFERROR(__xludf.DUMMYFUNCTION("""COMPUTED_VALUE"""),"എന്നെക്കുറിച്ച്")</f>
        <v>എന്നെക്കുറിച്ച്</v>
      </c>
      <c r="K911" s="2" t="str">
        <f>IFERROR(__xludf.DUMMYFUNCTION("""COMPUTED_VALUE"""),"ਮੇਰੇ ਬਾਰੇ ਵਿੱਚ")</f>
        <v>ਮੇਰੇ ਬਾਰੇ ਵਿੱਚ</v>
      </c>
      <c r="L911" s="2" t="str">
        <f>IFERROR(__xludf.DUMMYFUNCTION("""COMPUTED_VALUE"""),"என்னை பற்றி")</f>
        <v>என்னை பற்றி</v>
      </c>
      <c r="M911" s="2" t="str">
        <f>IFERROR(__xludf.DUMMYFUNCTION("""COMPUTED_VALUE"""),"నా గురించి")</f>
        <v>నా గురించి</v>
      </c>
    </row>
    <row r="912">
      <c r="A912" s="2" t="str">
        <f>Master_en!A912</f>
        <v>DeleteAccount</v>
      </c>
      <c r="B912" s="2" t="str">
        <f>Master_en!B912</f>
        <v>Delete Account</v>
      </c>
      <c r="C912" s="2" t="str">
        <f>IFERROR(__xludf.DUMMYFUNCTION("""COMPUTED_VALUE"""),"হিসাব মুছে ফেলা")</f>
        <v>হিসাব মুছে ফেলা</v>
      </c>
      <c r="D912" s="2" t="str">
        <f>IFERROR(__xludf.DUMMYFUNCTION("""COMPUTED_VALUE"""),"खाता हटा दो")</f>
        <v>खाता हटा दो</v>
      </c>
      <c r="E912" s="2" t="str">
        <f>IFERROR(__xludf.DUMMYFUNCTION("""COMPUTED_VALUE"""),"ಖಾತೆಯನ್ನು ಅಳಿಸಿ")</f>
        <v>ಖಾತೆಯನ್ನು ಅಳಿಸಿ</v>
      </c>
      <c r="F912" s="2" t="str">
        <f>IFERROR(__xludf.DUMMYFUNCTION("""COMPUTED_VALUE"""),"ଖାତା ବିଲୋପ କରନ୍ତୁ |")</f>
        <v>ଖାତା ବିଲୋପ କରନ୍ତୁ |</v>
      </c>
      <c r="G912" s="2" t="str">
        <f>IFERROR(__xludf.DUMMYFUNCTION("""COMPUTED_VALUE"""),"একাউণ্ট মচি পেলাওক")</f>
        <v>একাউণ্ট মচি পেলাওক</v>
      </c>
      <c r="H912" s="2" t="str">
        <f>IFERROR(__xludf.DUMMYFUNCTION("""COMPUTED_VALUE"""),"હિસાબ કા .ી નાખો")</f>
        <v>હિસાબ કા .ી નાખો</v>
      </c>
      <c r="I912" s="2" t="str">
        <f>IFERROR(__xludf.DUMMYFUNCTION("""COMPUTED_VALUE"""),"खाते हटवा")</f>
        <v>खाते हटवा</v>
      </c>
      <c r="J912" s="2" t="str">
        <f>IFERROR(__xludf.DUMMYFUNCTION("""COMPUTED_VALUE"""),"അക്കൗണ്ട് ഇല്ലാതാക്കുക")</f>
        <v>അക്കൗണ്ട് ഇല്ലാതാക്കുക</v>
      </c>
      <c r="K912" s="2" t="str">
        <f>IFERROR(__xludf.DUMMYFUNCTION("""COMPUTED_VALUE"""),"ਖਾਤਾ ਮਿਟਾਓ")</f>
        <v>ਖਾਤਾ ਮਿਟਾਓ</v>
      </c>
      <c r="L912" s="2" t="str">
        <f>IFERROR(__xludf.DUMMYFUNCTION("""COMPUTED_VALUE"""),"கணக்கை நீக்குக")</f>
        <v>கணக்கை நீக்குக</v>
      </c>
      <c r="M912" s="2" t="str">
        <f>IFERROR(__xludf.DUMMYFUNCTION("""COMPUTED_VALUE"""),"ఖాతాను తొలగించండి")</f>
        <v>ఖాతాను తొలగించండి</v>
      </c>
    </row>
    <row r="913">
      <c r="A913" s="2" t="str">
        <f>Master_en!A913</f>
        <v>Pay</v>
      </c>
      <c r="B913" s="2" t="str">
        <f>Master_en!B913</f>
        <v>Pay</v>
      </c>
      <c r="C913" s="2" t="str">
        <f>IFERROR(__xludf.DUMMYFUNCTION("""COMPUTED_VALUE"""),"পে")</f>
        <v>পে</v>
      </c>
      <c r="D913" s="2" t="str">
        <f>IFERROR(__xludf.DUMMYFUNCTION("""COMPUTED_VALUE"""),"भुगतान करना")</f>
        <v>भुगतान करना</v>
      </c>
      <c r="E913" s="2" t="str">
        <f>IFERROR(__xludf.DUMMYFUNCTION("""COMPUTED_VALUE"""),"ಪಾವತಿ")</f>
        <v>ಪಾವತಿ</v>
      </c>
      <c r="F913" s="2" t="str">
        <f>IFERROR(__xludf.DUMMYFUNCTION("""COMPUTED_VALUE"""),"ଦେୟ")</f>
        <v>ଦେୟ</v>
      </c>
      <c r="G913" s="2" t="str">
        <f>IFERROR(__xludf.DUMMYFUNCTION("""COMPUTED_VALUE"""),"পৰিশোধ কৰা")</f>
        <v>পৰিশোধ কৰা</v>
      </c>
      <c r="H913" s="2" t="str">
        <f>IFERROR(__xludf.DUMMYFUNCTION("""COMPUTED_VALUE"""),"પગાર")</f>
        <v>પગાર</v>
      </c>
      <c r="I913" s="2" t="str">
        <f>IFERROR(__xludf.DUMMYFUNCTION("""COMPUTED_VALUE"""),"वेतन")</f>
        <v>वेतन</v>
      </c>
      <c r="J913" s="2" t="str">
        <f>IFERROR(__xludf.DUMMYFUNCTION("""COMPUTED_VALUE"""),"നല്കുക")</f>
        <v>നല്കുക</v>
      </c>
      <c r="K913" s="2" t="str">
        <f>IFERROR(__xludf.DUMMYFUNCTION("""COMPUTED_VALUE"""),"ਤਨਖਾਹ")</f>
        <v>ਤਨਖਾਹ</v>
      </c>
      <c r="L913" s="2" t="str">
        <f>IFERROR(__xludf.DUMMYFUNCTION("""COMPUTED_VALUE"""),"செலுத்துங்கள்")</f>
        <v>செலுத்துங்கள்</v>
      </c>
      <c r="M913" s="2" t="str">
        <f>IFERROR(__xludf.DUMMYFUNCTION("""COMPUTED_VALUE"""),"చెల్లించండి")</f>
        <v>చెల్లించండి</v>
      </c>
    </row>
    <row r="914">
      <c r="A914" s="2" t="str">
        <f>Master_en!A914</f>
        <v>PayatDelivery</v>
      </c>
      <c r="B914" s="2" t="str">
        <f>Master_en!B914</f>
        <v>Pay at Delivery</v>
      </c>
      <c r="C914" s="2" t="str">
        <f>IFERROR(__xludf.DUMMYFUNCTION("""COMPUTED_VALUE"""),"ডেলিভারি এ প্রদান")</f>
        <v>ডেলিভারি এ প্রদান</v>
      </c>
      <c r="D914" s="2" t="str">
        <f>IFERROR(__xludf.DUMMYFUNCTION("""COMPUTED_VALUE"""),"डिलीवरी पर भुगतान करें")</f>
        <v>डिलीवरी पर भुगतान करें</v>
      </c>
      <c r="E914" s="2" t="str">
        <f>IFERROR(__xludf.DUMMYFUNCTION("""COMPUTED_VALUE"""),"ವಿತರಣೆಯಲ್ಲಿ ಪಾವತಿಸಿ")</f>
        <v>ವಿತರಣೆಯಲ್ಲಿ ಪಾವತಿಸಿ</v>
      </c>
      <c r="F914" s="2" t="str">
        <f>IFERROR(__xludf.DUMMYFUNCTION("""COMPUTED_VALUE"""),"ବିତରଣରେ ଦେୟ ଦିଅ |")</f>
        <v>ବିତରଣରେ ଦେୟ ଦିଅ |</v>
      </c>
      <c r="G914" s="2" t="str">
        <f>IFERROR(__xludf.DUMMYFUNCTION("""COMPUTED_VALUE"""),"ডেলিভাৰীৰ সময়ত পে")</f>
        <v>ডেলিভাৰীৰ সময়ত পে</v>
      </c>
      <c r="H914" s="2" t="str">
        <f>IFERROR(__xludf.DUMMYFUNCTION("""COMPUTED_VALUE"""),"સોંપણી")</f>
        <v>સોંપણી</v>
      </c>
      <c r="I914" s="2" t="str">
        <f>IFERROR(__xludf.DUMMYFUNCTION("""COMPUTED_VALUE"""),"वितरणावर पैसे द्या")</f>
        <v>वितरणावर पैसे द्या</v>
      </c>
      <c r="J914" s="2" t="str">
        <f>IFERROR(__xludf.DUMMYFUNCTION("""COMPUTED_VALUE"""),"ഡെലിവറിയിൽ പണമടയ്ക്കുക")</f>
        <v>ഡെലിവറിയിൽ പണമടയ്ക്കുക</v>
      </c>
      <c r="K914" s="2" t="str">
        <f>IFERROR(__xludf.DUMMYFUNCTION("""COMPUTED_VALUE"""),"ਡਿਲਿਵਰੀ 'ਤੇ ਭੁਗਤਾਨ ਕਰੋ")</f>
        <v>ਡਿਲਿਵਰੀ 'ਤੇ ਭੁਗਤਾਨ ਕਰੋ</v>
      </c>
      <c r="L914" s="2" t="str">
        <f>IFERROR(__xludf.DUMMYFUNCTION("""COMPUTED_VALUE"""),"விநியோகத்தில் செலுத்துங்கள்")</f>
        <v>விநியோகத்தில் செலுத்துங்கள்</v>
      </c>
      <c r="M914" s="2" t="str">
        <f>IFERROR(__xludf.DUMMYFUNCTION("""COMPUTED_VALUE"""),"డెలివరీ వద్ద చెల్లించండి")</f>
        <v>డెలివరీ వద్ద చెల్లించండి</v>
      </c>
    </row>
    <row r="915">
      <c r="A915" s="2" t="str">
        <f>Master_en!A915</f>
        <v>areyousure</v>
      </c>
      <c r="B915" s="2" t="str">
        <f>Master_en!B915</f>
        <v>Are you Sure .</v>
      </c>
      <c r="C915" s="2" t="str">
        <f>IFERROR(__xludf.DUMMYFUNCTION("""COMPUTED_VALUE"""),"তুমি কি নিশ্চিত .")</f>
        <v>তুমি কি নিশ্চিত .</v>
      </c>
      <c r="D915" s="2" t="str">
        <f>IFERROR(__xludf.DUMMYFUNCTION("""COMPUTED_VALUE"""),"क्या आपको यकीन है ।")</f>
        <v>क्या आपको यकीन है ।</v>
      </c>
      <c r="E915" s="2" t="str">
        <f>IFERROR(__xludf.DUMMYFUNCTION("""COMPUTED_VALUE"""),"ನೀವು ಖಚಿತವಾಗಿರುವಿರಾ .")</f>
        <v>ನೀವು ಖಚಿತವಾಗಿರುವಿರಾ .</v>
      </c>
      <c r="F915" s="2" t="str">
        <f>IFERROR(__xludf.DUMMYFUNCTION("""COMPUTED_VALUE"""),"ତମେ ନିଶ୍ଚିତ କି ।")</f>
        <v>ତମେ ନିଶ୍ଚିତ କି ।</v>
      </c>
      <c r="G915" s="2" t="str">
        <f>IFERROR(__xludf.DUMMYFUNCTION("""COMPUTED_VALUE"""),"আপুনি নিশ্চিত নেকি ৷")</f>
        <v>আপুনি নিশ্চিত নেকি ৷</v>
      </c>
      <c r="H915" s="2" t="str">
        <f>IFERROR(__xludf.DUMMYFUNCTION("""COMPUTED_VALUE"""),"તમને ખાતરી છે?")</f>
        <v>તમને ખાતરી છે?</v>
      </c>
      <c r="I915" s="2" t="str">
        <f>IFERROR(__xludf.DUMMYFUNCTION("""COMPUTED_VALUE"""),"तुला खात्री आहे .")</f>
        <v>तुला खात्री आहे .</v>
      </c>
      <c r="J915" s="2" t="str">
        <f>IFERROR(__xludf.DUMMYFUNCTION("""COMPUTED_VALUE"""),"നിങ്ങൾക്ക് ഉറപ്പാണോ .")</f>
        <v>നിങ്ങൾക്ക് ഉറപ്പാണോ .</v>
      </c>
      <c r="K915" s="2" t="str">
        <f>IFERROR(__xludf.DUMMYFUNCTION("""COMPUTED_VALUE"""),"ਤੁਹਾਨੂੰ ਪੂਰਾ ਵਿਸ਼ਵਾਸ ਹੈ .")</f>
        <v>ਤੁਹਾਨੂੰ ਪੂਰਾ ਵਿਸ਼ਵਾਸ ਹੈ .</v>
      </c>
      <c r="L915" s="2" t="str">
        <f>IFERROR(__xludf.DUMMYFUNCTION("""COMPUTED_VALUE"""),"நீ சொல்வது உறுதியா .")</f>
        <v>நீ சொல்வது உறுதியா .</v>
      </c>
      <c r="M915" s="2" t="str">
        <f>IFERROR(__xludf.DUMMYFUNCTION("""COMPUTED_VALUE"""),"మీరు చెప్పేది నిజమా .")</f>
        <v>మీరు చెప్పేది నిజమా .</v>
      </c>
    </row>
    <row r="916">
      <c r="A916" s="2" t="str">
        <f>Master_en!A916</f>
        <v>OrderProcessed</v>
      </c>
      <c r="B916" s="2" t="str">
        <f>Master_en!B916</f>
        <v>Order Processed</v>
      </c>
      <c r="C916" s="2" t="str">
        <f>IFERROR(__xludf.DUMMYFUNCTION("""COMPUTED_VALUE"""),"অর্ডার প্রক্রিয়াজাত")</f>
        <v>অর্ডার প্রক্রিয়াজাত</v>
      </c>
      <c r="D916" s="2" t="str">
        <f>IFERROR(__xludf.DUMMYFUNCTION("""COMPUTED_VALUE"""),"आदेश संसाधित")</f>
        <v>आदेश संसाधित</v>
      </c>
      <c r="E916" s="2" t="str">
        <f>IFERROR(__xludf.DUMMYFUNCTION("""COMPUTED_VALUE"""),"ಆದೇಶವನ್ನು ಸಂಸ್ಕರಿಸಲಾಗಿದೆ")</f>
        <v>ಆದೇಶವನ್ನು ಸಂಸ್ಕರಿಸಲಾಗಿದೆ</v>
      </c>
      <c r="F916" s="2" t="str">
        <f>IFERROR(__xludf.DUMMYFUNCTION("""COMPUTED_VALUE"""),"ପ୍ରକ୍ରିୟାକରଣ ପ୍ରକ୍ରିୟାକରଣ |")</f>
        <v>ପ୍ରକ୍ରିୟାକରଣ ପ୍ରକ୍ରିୟାକରଣ |</v>
      </c>
      <c r="G916" s="2" t="str">
        <f>IFERROR(__xludf.DUMMYFUNCTION("""COMPUTED_VALUE"""),"অৰ্ডাৰ প্ৰক্ৰিয়াকৃত")</f>
        <v>অৰ্ডাৰ প্ৰক্ৰিয়াকৃত</v>
      </c>
      <c r="H916" s="2" t="str">
        <f>IFERROR(__xludf.DUMMYFUNCTION("""COMPUTED_VALUE"""),"પ્રક્રિયા")</f>
        <v>પ્રક્રિયા</v>
      </c>
      <c r="I916" s="2" t="str">
        <f>IFERROR(__xludf.DUMMYFUNCTION("""COMPUTED_VALUE"""),"ऑर्डर प्रक्रिया")</f>
        <v>ऑर्डर प्रक्रिया</v>
      </c>
      <c r="J916" s="2" t="str">
        <f>IFERROR(__xludf.DUMMYFUNCTION("""COMPUTED_VALUE"""),"ഓർഡർ പ്രോസസ്സ് ചെയ്തു")</f>
        <v>ഓർഡർ പ്രോസസ്സ് ചെയ്തു</v>
      </c>
      <c r="K916" s="2" t="str">
        <f>IFERROR(__xludf.DUMMYFUNCTION("""COMPUTED_VALUE"""),"ਕਾਰਵਾਈ ਕੀਤੀ ਗਈ")</f>
        <v>ਕਾਰਵਾਈ ਕੀਤੀ ਗਈ</v>
      </c>
      <c r="L916" s="2" t="str">
        <f>IFERROR(__xludf.DUMMYFUNCTION("""COMPUTED_VALUE"""),"ஒழுங்கு செயலாக்கப்பட்டது")</f>
        <v>ஒழுங்கு செயலாக்கப்பட்டது</v>
      </c>
      <c r="M916" s="2" t="str">
        <f>IFERROR(__xludf.DUMMYFUNCTION("""COMPUTED_VALUE"""),"ఆర్డర్ ప్రాసెస్ చేయబడింది")</f>
        <v>ఆర్డర్ ప్రాసెస్ చేయబడింది</v>
      </c>
    </row>
    <row r="917">
      <c r="A917" s="2" t="str">
        <f>Master_en!A917</f>
        <v>Orderready</v>
      </c>
      <c r="B917" s="2" t="str">
        <f>Master_en!B917</f>
        <v>Order Ready</v>
      </c>
      <c r="C917" s="2" t="str">
        <f>IFERROR(__xludf.DUMMYFUNCTION("""COMPUTED_VALUE"""),"অর্ডার প্রস্তুত")</f>
        <v>অর্ডার প্রস্তুত</v>
      </c>
      <c r="D917" s="2" t="str">
        <f>IFERROR(__xludf.DUMMYFUNCTION("""COMPUTED_VALUE"""),"आदेश तैयार करना")</f>
        <v>आदेश तैयार करना</v>
      </c>
      <c r="E917" s="2" t="str">
        <f>IFERROR(__xludf.DUMMYFUNCTION("""COMPUTED_VALUE"""),"ಆದೇಶ ಸಿದ್ಧವಾಗಿದೆ")</f>
        <v>ಆದೇಶ ಸಿದ್ಧವಾಗಿದೆ</v>
      </c>
      <c r="F917" s="2" t="str">
        <f>IFERROR(__xludf.DUMMYFUNCTION("""COMPUTED_VALUE"""),"ପ୍ରସ୍ତୁତ ଆଦେଶ")</f>
        <v>ପ୍ରସ୍ତୁତ ଆଦେଶ</v>
      </c>
      <c r="G917" s="2" t="str">
        <f>IFERROR(__xludf.DUMMYFUNCTION("""COMPUTED_VALUE"""),"অৰ্ডাৰ ৰেডি")</f>
        <v>অৰ্ডাৰ ৰেডি</v>
      </c>
      <c r="H917" s="2" t="str">
        <f>IFERROR(__xludf.DUMMYFUNCTION("""COMPUTED_VALUE"""),"હુકમ")</f>
        <v>હુકમ</v>
      </c>
      <c r="I917" s="2" t="str">
        <f>IFERROR(__xludf.DUMMYFUNCTION("""COMPUTED_VALUE"""),"ऑर्डर तयार")</f>
        <v>ऑर्डर तयार</v>
      </c>
      <c r="J917" s="2" t="str">
        <f>IFERROR(__xludf.DUMMYFUNCTION("""COMPUTED_VALUE"""),"ഓർഡർ തയ്യാറാണ്")</f>
        <v>ഓർഡർ തയ്യാറാണ്</v>
      </c>
      <c r="K917" s="2" t="str">
        <f>IFERROR(__xludf.DUMMYFUNCTION("""COMPUTED_VALUE"""),"ਆਰਡਰ ਤਿਆਰ")</f>
        <v>ਆਰਡਰ ਤਿਆਰ</v>
      </c>
      <c r="L917" s="2" t="str">
        <f>IFERROR(__xludf.DUMMYFUNCTION("""COMPUTED_VALUE"""),"ஆர்டர் தயார்")</f>
        <v>ஆர்டர் தயார்</v>
      </c>
      <c r="M917" s="2" t="str">
        <f>IFERROR(__xludf.DUMMYFUNCTION("""COMPUTED_VALUE"""),"ఆర్డర్ సిద్ధంగా ఉంది")</f>
        <v>ఆర్డర్ సిద్ధంగా ఉంది</v>
      </c>
    </row>
    <row r="918">
      <c r="A918" s="2" t="str">
        <f>Master_en!A918</f>
        <v>OrderDelivery</v>
      </c>
      <c r="B918" s="2" t="str">
        <f>Master_en!B918</f>
        <v>Order Delivery</v>
      </c>
      <c r="C918" s="2" t="str">
        <f>IFERROR(__xludf.DUMMYFUNCTION("""COMPUTED_VALUE"""),"অর্ডার ডেলিভারি")</f>
        <v>অর্ডার ডেলিভারি</v>
      </c>
      <c r="D918" s="2" t="str">
        <f>IFERROR(__xludf.DUMMYFUNCTION("""COMPUTED_VALUE"""),"आदेश वितरण")</f>
        <v>आदेश वितरण</v>
      </c>
      <c r="E918" s="2" t="str">
        <f>IFERROR(__xludf.DUMMYFUNCTION("""COMPUTED_VALUE"""),"ಆದೇಶ ವಿತರಣೆ")</f>
        <v>ಆದೇಶ ವಿತರಣೆ</v>
      </c>
      <c r="F918" s="2" t="str">
        <f>IFERROR(__xludf.DUMMYFUNCTION("""COMPUTED_VALUE"""),"ଅର୍ଡର ବିତରଣ |")</f>
        <v>ଅର୍ଡର ବିତରଣ |</v>
      </c>
      <c r="G918" s="2" t="str">
        <f>IFERROR(__xludf.DUMMYFUNCTION("""COMPUTED_VALUE"""),"অৰ্ডাৰ ডেলিভাৰী")</f>
        <v>অৰ্ডাৰ ডেলিভাৰী</v>
      </c>
      <c r="H918" s="2" t="str">
        <f>IFERROR(__xludf.DUMMYFUNCTION("""COMPUTED_VALUE"""),"હુકમ પહોંચાડી")</f>
        <v>હુકમ પહોંચાડી</v>
      </c>
      <c r="I918" s="2" t="str">
        <f>IFERROR(__xludf.DUMMYFUNCTION("""COMPUTED_VALUE"""),"ऑर्डर वितरण")</f>
        <v>ऑर्डर वितरण</v>
      </c>
      <c r="J918" s="2" t="str">
        <f>IFERROR(__xludf.DUMMYFUNCTION("""COMPUTED_VALUE"""),"ഓർഡർ ഡെലിവറി")</f>
        <v>ഓർഡർ ഡെലിവറി</v>
      </c>
      <c r="K918" s="2" t="str">
        <f>IFERROR(__xludf.DUMMYFUNCTION("""COMPUTED_VALUE"""),"ਆਰਡਰ ਡਿਲਿਵਰੀ")</f>
        <v>ਆਰਡਰ ਡਿਲਿਵਰੀ</v>
      </c>
      <c r="L918" s="2" t="str">
        <f>IFERROR(__xludf.DUMMYFUNCTION("""COMPUTED_VALUE"""),"ஆர்டர் டெலிவரி")</f>
        <v>ஆர்டர் டெலிவரி</v>
      </c>
      <c r="M918" s="2" t="str">
        <f>IFERROR(__xludf.DUMMYFUNCTION("""COMPUTED_VALUE"""),"ఆర్డర్ డెలివరీ")</f>
        <v>ఆర్డర్ డెలివరీ</v>
      </c>
    </row>
    <row r="919">
      <c r="A919" s="2" t="str">
        <f>Master_en!A919</f>
        <v>DoyouwanttoDeliverytheOrder?</v>
      </c>
      <c r="B919" s="2" t="str">
        <f>Master_en!B919</f>
        <v>Do you want to Delivery the Order?</v>
      </c>
      <c r="C919" s="2" t="str">
        <f>IFERROR(__xludf.DUMMYFUNCTION("""COMPUTED_VALUE"""),"আপনি কি অর্ডার সরবরাহ করতে চান?")</f>
        <v>আপনি কি অর্ডার সরবরাহ করতে চান?</v>
      </c>
      <c r="D919" s="2" t="str">
        <f>IFERROR(__xludf.DUMMYFUNCTION("""COMPUTED_VALUE"""),"क्या आप ऑर्डर डिलीवरी करना चाहते हैं?")</f>
        <v>क्या आप ऑर्डर डिलीवरी करना चाहते हैं?</v>
      </c>
      <c r="E919" s="2" t="str">
        <f>IFERROR(__xludf.DUMMYFUNCTION("""COMPUTED_VALUE"""),"ನೀವು ಆದೇಶವನ್ನು ತಲುಪಿಸಲು ಬಯಸುವಿರಾ?")</f>
        <v>ನೀವು ಆದೇಶವನ್ನು ತಲುಪಿಸಲು ಬಯಸುವಿರಾ?</v>
      </c>
      <c r="F919" s="2" t="str">
        <f>IFERROR(__xludf.DUMMYFUNCTION("""COMPUTED_VALUE"""),"ଆପଣ ଅର୍ଡର ବିତରଣ କରିବାକୁ ଚାହୁଁଛନ୍ତି କି?")</f>
        <v>ଆପଣ ଅର୍ଡର ବିତରଣ କରିବାକୁ ଚାହୁଁଛନ୍ତି କି?</v>
      </c>
      <c r="G919" s="2" t="str">
        <f>IFERROR(__xludf.DUMMYFUNCTION("""COMPUTED_VALUE"""),"আপুনি অৰ্ডাৰটো ডেলিভাৰী কৰিব বিচাৰেনে?")</f>
        <v>আপুনি অৰ্ডাৰটো ডেলিভাৰী কৰিব বিচাৰেনে?</v>
      </c>
      <c r="H919" s="2" t="str">
        <f>IFERROR(__xludf.DUMMYFUNCTION("""COMPUTED_VALUE"""),"શું તમે ઓર્ડર પહોંચાડવા માંગો છો?")</f>
        <v>શું તમે ઓર્ડર પહોંચાડવા માંગો છો?</v>
      </c>
      <c r="I919" s="2" t="str">
        <f>IFERROR(__xludf.DUMMYFUNCTION("""COMPUTED_VALUE"""),"आपण ऑर्डर वितरित करू इच्छिता?")</f>
        <v>आपण ऑर्डर वितरित करू इच्छिता?</v>
      </c>
      <c r="J919" s="2" t="str">
        <f>IFERROR(__xludf.DUMMYFUNCTION("""COMPUTED_VALUE"""),"ഓർഡർ പ്രസവിക്കാൻ നിങ്ങൾ ആഗ്രഹിക്കുന്നുണ്ടോ?")</f>
        <v>ഓർഡർ പ്രസവിക്കാൻ നിങ്ങൾ ആഗ്രഹിക്കുന്നുണ്ടോ?</v>
      </c>
      <c r="K919" s="2" t="str">
        <f>IFERROR(__xludf.DUMMYFUNCTION("""COMPUTED_VALUE"""),"ਕੀ ਤੁਸੀਂ ਆਰਡਰ ਦੇ ਸਕਦੇ ਹੋ?")</f>
        <v>ਕੀ ਤੁਸੀਂ ਆਰਡਰ ਦੇ ਸਕਦੇ ਹੋ?</v>
      </c>
      <c r="L919" s="2" t="str">
        <f>IFERROR(__xludf.DUMMYFUNCTION("""COMPUTED_VALUE"""),"ஆர்டரை வழங்க விரும்புகிறீர்களா?")</f>
        <v>ஆர்டரை வழங்க விரும்புகிறீர்களா?</v>
      </c>
      <c r="M919" s="2" t="str">
        <f>IFERROR(__xludf.DUMMYFUNCTION("""COMPUTED_VALUE"""),"మీరు ఆర్డర్‌ను డెలివరీ చేయాలనుకుంటున్నారా?")</f>
        <v>మీరు ఆర్డర్‌ను డెలివరీ చేయాలనుకుంటున్నారా?</v>
      </c>
    </row>
    <row r="920">
      <c r="A920" s="2" t="str">
        <f>Master_en!A920</f>
        <v>Doyouwanttodeliveredtheorder?</v>
      </c>
      <c r="B920" s="2" t="str">
        <f>Master_en!B920</f>
        <v>Do you want to delivered the Order ?</v>
      </c>
      <c r="C920" s="2" t="str">
        <f>IFERROR(__xludf.DUMMYFUNCTION("""COMPUTED_VALUE"""),"আপনি কি অর্ডার সরবরাহ করতে চান?")</f>
        <v>আপনি কি অর্ডার সরবরাহ করতে চান?</v>
      </c>
      <c r="D920" s="2" t="str">
        <f>IFERROR(__xludf.DUMMYFUNCTION("""COMPUTED_VALUE"""),"क्या आप ऑर्डर देना चाहते हैं?")</f>
        <v>क्या आप ऑर्डर देना चाहते हैं?</v>
      </c>
      <c r="E920" s="2" t="str">
        <f>IFERROR(__xludf.DUMMYFUNCTION("""COMPUTED_VALUE"""),"ನೀವು ಆದೇಶವನ್ನು ತಲುಪಿಸಲು ಬಯಸುವಿರಾ?")</f>
        <v>ನೀವು ಆದೇಶವನ್ನು ತಲುಪಿಸಲು ಬಯಸುವಿರಾ?</v>
      </c>
      <c r="F920" s="2" t="str">
        <f>IFERROR(__xludf.DUMMYFUNCTION("""COMPUTED_VALUE"""),"ଆପଣ ଅର୍ଡର ବିତରଣ କରିବାକୁ ଚାହୁଁଛନ୍ତି କି?")</f>
        <v>ଆପଣ ଅର୍ଡର ବିତରଣ କରିବାକୁ ଚାହୁଁଛନ୍ତି କି?</v>
      </c>
      <c r="G920" s="2" t="str">
        <f>IFERROR(__xludf.DUMMYFUNCTION("""COMPUTED_VALUE"""),"অৰ্ডাৰটো ডেলিভাৰী কৰিব বিচাৰে নেকি ?")</f>
        <v>অৰ্ডাৰটো ডেলিভাৰী কৰিব বিচাৰে নেকি ?</v>
      </c>
      <c r="H920" s="2" t="str">
        <f>IFERROR(__xludf.DUMMYFUNCTION("""COMPUTED_VALUE"""),"શું તમે ઓર્ડર પહોંચાડવા માંગો છો?")</f>
        <v>શું તમે ઓર્ડર પહોંચાડવા માંગો છો?</v>
      </c>
      <c r="I920" s="2" t="str">
        <f>IFERROR(__xludf.DUMMYFUNCTION("""COMPUTED_VALUE"""),"आपण ऑर्डर वितरित करू इच्छिता?")</f>
        <v>आपण ऑर्डर वितरित करू इच्छिता?</v>
      </c>
      <c r="J920" s="2" t="str">
        <f>IFERROR(__xludf.DUMMYFUNCTION("""COMPUTED_VALUE"""),"ഓർഡർ കൈമാറാൻ നിങ്ങൾ ആഗ്രഹിക്കുന്നുണ്ടോ?")</f>
        <v>ഓർഡർ കൈമാറാൻ നിങ്ങൾ ആഗ്രഹിക്കുന്നുണ്ടോ?</v>
      </c>
      <c r="K920" s="2" t="str">
        <f>IFERROR(__xludf.DUMMYFUNCTION("""COMPUTED_VALUE"""),"ਕੀ ਤੁਸੀਂ ਆਰਡਰ ਦੇਣਾ ਚਾਹੁੰਦੇ ਹੋ?")</f>
        <v>ਕੀ ਤੁਸੀਂ ਆਰਡਰ ਦੇਣਾ ਚਾਹੁੰਦੇ ਹੋ?</v>
      </c>
      <c r="L920" s="2" t="str">
        <f>IFERROR(__xludf.DUMMYFUNCTION("""COMPUTED_VALUE"""),"நீங்கள் ஆர்டரை வழங்க விரும்புகிறீர்களா?")</f>
        <v>நீங்கள் ஆர்டரை வழங்க விரும்புகிறீர்களா?</v>
      </c>
      <c r="M920" s="2" t="str">
        <f>IFERROR(__xludf.DUMMYFUNCTION("""COMPUTED_VALUE"""),"మీరు ఆర్డర్ ఇవ్వాలనుకుంటున్నారా?")</f>
        <v>మీరు ఆర్డర్ ఇవ్వాలనుకుంటున్నారా?</v>
      </c>
    </row>
    <row r="921">
      <c r="A921" s="2" t="str">
        <f>Master_en!A921</f>
        <v>Please Wait</v>
      </c>
      <c r="B921" s="2" t="str">
        <f>Master_en!B921</f>
        <v>Please Wait</v>
      </c>
      <c r="C921" s="2" t="str">
        <f>IFERROR(__xludf.DUMMYFUNCTION("""COMPUTED_VALUE"""),"অনুগ্রহপূর্বক অপেক্ষা করুন")</f>
        <v>অনুগ্রহপূর্বক অপেক্ষা করুন</v>
      </c>
      <c r="D921" s="2" t="str">
        <f>IFERROR(__xludf.DUMMYFUNCTION("""COMPUTED_VALUE"""),"कृपया प्रतीक्षा करें")</f>
        <v>कृपया प्रतीक्षा करें</v>
      </c>
      <c r="E921" s="2" t="str">
        <f>IFERROR(__xludf.DUMMYFUNCTION("""COMPUTED_VALUE"""),"ದಯಮಾಡಿ ನಿರೀಕ್ಷಿಸಿ")</f>
        <v>ದಯಮಾಡಿ ನಿರೀಕ್ಷಿಸಿ</v>
      </c>
      <c r="F921" s="2" t="str">
        <f>IFERROR(__xludf.DUMMYFUNCTION("""COMPUTED_VALUE"""),"ଦୟାକରି ଅପେକ୍ଷା କର")</f>
        <v>ଦୟାକରି ଅପେକ୍ଷା କର</v>
      </c>
      <c r="G921" s="2" t="str">
        <f>IFERROR(__xludf.DUMMYFUNCTION("""COMPUTED_VALUE"""),"অনুগ্ৰহ কৰি অপেক্ষা কৰক")</f>
        <v>অনুগ্ৰহ কৰি অপেক্ষা কৰক</v>
      </c>
      <c r="H921" s="2" t="str">
        <f>IFERROR(__xludf.DUMMYFUNCTION("""COMPUTED_VALUE"""),"મહેરબાની કરી રાહ જુવો")</f>
        <v>મહેરબાની કરી રાહ જુવો</v>
      </c>
      <c r="I921" s="2" t="str">
        <f>IFERROR(__xludf.DUMMYFUNCTION("""COMPUTED_VALUE"""),"कृपया थांबा")</f>
        <v>कृपया थांबा</v>
      </c>
      <c r="J921" s="2" t="str">
        <f>IFERROR(__xludf.DUMMYFUNCTION("""COMPUTED_VALUE"""),"കാത്തിരിക്കൂ")</f>
        <v>കാത്തിരിക്കൂ</v>
      </c>
      <c r="K921" s="2" t="str">
        <f>IFERROR(__xludf.DUMMYFUNCTION("""COMPUTED_VALUE"""),"ਕ੍ਰਿਪਾ ਕਰਕੇ ਉਡੀਕ ਕਰੋ")</f>
        <v>ਕ੍ਰਿਪਾ ਕਰਕੇ ਉਡੀਕ ਕਰੋ</v>
      </c>
      <c r="L921" s="2" t="str">
        <f>IFERROR(__xludf.DUMMYFUNCTION("""COMPUTED_VALUE"""),"தயவுசெய்து காத்திருங்கள்")</f>
        <v>தயவுசெய்து காத்திருங்கள்</v>
      </c>
      <c r="M921" s="2" t="str">
        <f>IFERROR(__xludf.DUMMYFUNCTION("""COMPUTED_VALUE"""),"దయచేసి వేచి ఉండండి")</f>
        <v>దయచేసి వేచి ఉండండి</v>
      </c>
    </row>
    <row r="922">
      <c r="A922" s="2" t="str">
        <f>Master_en!A922</f>
        <v>Featurenotavailable</v>
      </c>
      <c r="B922" s="2" t="str">
        <f>Master_en!B922</f>
        <v>Feature Not Available</v>
      </c>
      <c r="C922" s="2" t="str">
        <f>IFERROR(__xludf.DUMMYFUNCTION("""COMPUTED_VALUE"""),"বৈশিষ্ট্য উপলব্ধ নেই")</f>
        <v>বৈশিষ্ট্য উপলব্ধ নেই</v>
      </c>
      <c r="D922" s="2" t="str">
        <f>IFERROR(__xludf.DUMMYFUNCTION("""COMPUTED_VALUE"""),"सुविधा उपलब्ध नहीं है")</f>
        <v>सुविधा उपलब्ध नहीं है</v>
      </c>
      <c r="E922" s="2" t="str">
        <f>IFERROR(__xludf.DUMMYFUNCTION("""COMPUTED_VALUE"""),"ವೈಶಿಷ್ಟ್ಯ ಲಭ್ಯವಿಲ್ಲ")</f>
        <v>ವೈಶಿಷ್ಟ್ಯ ಲಭ್ಯವಿಲ್ಲ</v>
      </c>
      <c r="F922" s="2" t="str">
        <f>IFERROR(__xludf.DUMMYFUNCTION("""COMPUTED_VALUE"""),"ବ feature ଶିଷ୍ଟ୍ୟ ଉପଲବ୍ଧ ନାହିଁ |")</f>
        <v>ବ feature ଶିଷ୍ଟ୍ୟ ଉପଲବ୍ଧ ନାହିଁ |</v>
      </c>
      <c r="G922" s="2" t="str">
        <f>IFERROR(__xludf.DUMMYFUNCTION("""COMPUTED_VALUE"""),"বৈশিষ্ট্য উপলব্ধ নহয়")</f>
        <v>বৈশিষ্ট্য উপলব্ধ নহয়</v>
      </c>
      <c r="H922" s="2" t="str">
        <f>IFERROR(__xludf.DUMMYFUNCTION("""COMPUTED_VALUE"""),"લક્ષણ ઉપલબ્ધ નથી")</f>
        <v>લક્ષણ ઉપલબ્ધ નથી</v>
      </c>
      <c r="I922" s="2" t="str">
        <f>IFERROR(__xludf.DUMMYFUNCTION("""COMPUTED_VALUE"""),"वैशिष्ट्य उपलब्ध नाही")</f>
        <v>वैशिष्ट्य उपलब्ध नाही</v>
      </c>
      <c r="J922" s="2" t="str">
        <f>IFERROR(__xludf.DUMMYFUNCTION("""COMPUTED_VALUE"""),"സവിശേഷത ലഭ്യമല്ല")</f>
        <v>സവിശേഷത ലഭ്യമല്ല</v>
      </c>
      <c r="K922" s="2" t="str">
        <f>IFERROR(__xludf.DUMMYFUNCTION("""COMPUTED_VALUE"""),"ਵਿਸ਼ੇਸ਼ਤਾ ਉਪਲਬਧ ਨਹੀਂ ਹੈ")</f>
        <v>ਵਿਸ਼ੇਸ਼ਤਾ ਉਪਲਬਧ ਨਹੀਂ ਹੈ</v>
      </c>
      <c r="L922" s="2" t="str">
        <f>IFERROR(__xludf.DUMMYFUNCTION("""COMPUTED_VALUE"""),"அம்சம் கிடைக்கவில்லை")</f>
        <v>அம்சம் கிடைக்கவில்லை</v>
      </c>
      <c r="M922" s="2" t="str">
        <f>IFERROR(__xludf.DUMMYFUNCTION("""COMPUTED_VALUE"""),"ఫీచర్ అందుబాటులో లేదు")</f>
        <v>ఫీచర్ అందుబాటులో లేదు</v>
      </c>
    </row>
    <row r="923">
      <c r="A923" s="2" t="str">
        <f>Master_en!A923</f>
        <v>NodataAvailable.pleasetryAgainlater</v>
      </c>
      <c r="B923" s="2" t="str">
        <f>Master_en!B923</f>
        <v>No data Available.please try Again later</v>
      </c>
      <c r="C923" s="2" t="str">
        <f>IFERROR(__xludf.DUMMYFUNCTION("""COMPUTED_VALUE"""),"কোনও ডেটা উপলভ্য নয় ep দয়া করে আবার চেষ্টা করুন")</f>
        <v>কোনও ডেটা উপলভ্য নয় ep দয়া করে আবার চেষ্টা করুন</v>
      </c>
      <c r="D923" s="2" t="str">
        <f>IFERROR(__xludf.DUMMYFUNCTION("""COMPUTED_VALUE"""),"कोई डेटा उपलब्ध नहीं है। कृपया बाद में फिर से प्रयास करें")</f>
        <v>कोई डेटा उपलब्ध नहीं है। कृपया बाद में फिर से प्रयास करें</v>
      </c>
      <c r="E923" s="2" t="str">
        <f>IFERROR(__xludf.DUMMYFUNCTION("""COMPUTED_VALUE"""),"ಯಾವುದೇ ಡೇಟಾ ಲಭ್ಯವಿಲ್ಲ. ಪ್ಲೀಸ್ ನಂತರ ಮತ್ತೆ ಪ್ರಯತ್ನಿಸಿ")</f>
        <v>ಯಾವುದೇ ಡೇಟಾ ಲಭ್ಯವಿಲ್ಲ. ಪ್ಲೀಸ್ ನಂತರ ಮತ್ತೆ ಪ್ರಯತ್ನಿಸಿ</v>
      </c>
      <c r="F923" s="2" t="str">
        <f>IFERROR(__xludf.DUMMYFUNCTION("""COMPUTED_VALUE"""),"କ data ଣସି ତଥ୍ୟ ଉପଲବ୍ଧ ନାହିଁ | ଦୟାକରି ପରେ ପୁନର୍ବାର ଚେଷ୍ଟା କରନ୍ତୁ |")</f>
        <v>କ data ଣସି ତଥ୍ୟ ଉପଲବ୍ଧ ନାହିଁ | ଦୟାକରି ପରେ ପୁନର୍ବାର ଚେଷ୍ଟା କରନ୍ତୁ |</v>
      </c>
      <c r="G923" s="2" t="str">
        <f>IFERROR(__xludf.DUMMYFUNCTION("""COMPUTED_VALUE"""),"কোনো তথ্য উপলব্ধ নহয়। অনুগ্ৰহ কৰি পিছত আকৌ চেষ্টা কৰক")</f>
        <v>কোনো তথ্য উপলব্ধ নহয়। অনুগ্ৰহ কৰি পিছত আকৌ চেষ্টা কৰক</v>
      </c>
      <c r="H923" s="2" t="str">
        <f>IFERROR(__xludf.DUMMYFUNCTION("""COMPUTED_VALUE"""),"કોઈ ડેટા ઉપલબ્ધ નથી. કૃપા કરીને પછીથી ફરી પ્રયાસ કરો")</f>
        <v>કોઈ ડેટા ઉપલબ્ધ નથી. કૃપા કરીને પછીથી ફરી પ્રયાસ કરો</v>
      </c>
      <c r="I923" s="2" t="str">
        <f>IFERROR(__xludf.DUMMYFUNCTION("""COMPUTED_VALUE"""),"कोणताही डेटा उपलब्ध नाही. कृपया नंतर पुन्हा प्रयत्न करा")</f>
        <v>कोणताही डेटा उपलब्ध नाही. कृपया नंतर पुन्हा प्रयत्न करा</v>
      </c>
      <c r="J923" s="2" t="str">
        <f>IFERROR(__xludf.DUMMYFUNCTION("""COMPUTED_VALUE"""),"ഡാറ്റ ലഭ്യമല്ല. പിന്നീട് വീണ്ടും ശ്രമിക്കുക")</f>
        <v>ഡാറ്റ ലഭ്യമല്ല. പിന്നീട് വീണ്ടും ശ്രമിക്കുക</v>
      </c>
      <c r="K923" s="2" t="str">
        <f>IFERROR(__xludf.DUMMYFUNCTION("""COMPUTED_VALUE"""),"ਕੋਈ ਡਾਟਾ ਉਪਲਬਧ ਨਹੀਂ ਹੈ. ਕਿਰਪਾ ਕਰਕੇ ਬਾਅਦ ਵਿੱਚ ਦੁਬਾਰਾ ਕੋਸ਼ਿਸ਼ ਕਰੋ")</f>
        <v>ਕੋਈ ਡਾਟਾ ਉਪਲਬਧ ਨਹੀਂ ਹੈ. ਕਿਰਪਾ ਕਰਕੇ ਬਾਅਦ ਵਿੱਚ ਦੁਬਾਰਾ ਕੋਸ਼ਿਸ਼ ਕਰੋ</v>
      </c>
      <c r="L923" s="2" t="str">
        <f>IFERROR(__xludf.DUMMYFUNCTION("""COMPUTED_VALUE"""),"தரவு எதுவும் கிடைக்கவில்லை. பின்னர் மீண்டும் முயற்சிக்கவும்")</f>
        <v>தரவு எதுவும் கிடைக்கவில்லை. பின்னர் மீண்டும் முயற்சிக்கவும்</v>
      </c>
      <c r="M923" s="2" t="str">
        <f>IFERROR(__xludf.DUMMYFUNCTION("""COMPUTED_VALUE"""),"డేటా అందుబాటులో లేదు. దయచేసి మళ్ళీ ప్రయత్నించండి")</f>
        <v>డేటా అందుబాటులో లేదు. దయచేసి మళ్ళీ ప్రయత్నించండి</v>
      </c>
    </row>
    <row r="924">
      <c r="A924" s="2" t="str">
        <f>Master_en!A924</f>
        <v>Pleaseinputallrequiredfields</v>
      </c>
      <c r="B924" s="2" t="str">
        <f>Master_en!B924</f>
        <v>Please input all required fields</v>
      </c>
      <c r="C924" s="2" t="str">
        <f>IFERROR(__xludf.DUMMYFUNCTION("""COMPUTED_VALUE"""),"সমস্ত প্রয়োজনীয় ক্ষেত্র ইনপুট দয়া করে")</f>
        <v>সমস্ত প্রয়োজনীয় ক্ষেত্র ইনপুট দয়া করে</v>
      </c>
      <c r="D924" s="2" t="str">
        <f>IFERROR(__xludf.DUMMYFUNCTION("""COMPUTED_VALUE"""),"कृपया सभी आवश्यक फ़ील्ड इनपुट करें")</f>
        <v>कृपया सभी आवश्यक फ़ील्ड इनपुट करें</v>
      </c>
      <c r="E924" s="2" t="str">
        <f>IFERROR(__xludf.DUMMYFUNCTION("""COMPUTED_VALUE"""),"ಅಗತ್ಯವಿರುವ ಎಲ್ಲಾ ಕ್ಷೇತ್ರಗಳನ್ನು ದಯವಿಟ್ಟು ಇನ್ಪುಟ್ ಮಾಡಿ")</f>
        <v>ಅಗತ್ಯವಿರುವ ಎಲ್ಲಾ ಕ್ಷೇತ್ರಗಳನ್ನು ದಯವಿಟ್ಟು ಇನ್ಪುಟ್ ಮಾಡಿ</v>
      </c>
      <c r="F924" s="2" t="str">
        <f>IFERROR(__xludf.DUMMYFUNCTION("""COMPUTED_VALUE"""),"ଦୟାକରି ସମସ୍ତ ଆବଶ୍ୟକୀୟ କ୍ଷେତ୍ରଗୁଡିକ ଇନପୁଟ୍ କରନ୍ତୁ |")</f>
        <v>ଦୟାକରି ସମସ୍ତ ଆବଶ୍ୟକୀୟ କ୍ଷେତ୍ରଗୁଡିକ ଇନପୁଟ୍ କରନ୍ତୁ |</v>
      </c>
      <c r="G924" s="2" t="str">
        <f>IFERROR(__xludf.DUMMYFUNCTION("""COMPUTED_VALUE"""),"অনুগ্ৰহ কৰি সকলো প্ৰয়োজনীয় ক্ষেত্ৰ ইনপুট কৰক")</f>
        <v>অনুগ্ৰহ কৰি সকলো প্ৰয়োজনীয় ক্ষেত্ৰ ইনপুট কৰক</v>
      </c>
      <c r="H924" s="2" t="str">
        <f>IFERROR(__xludf.DUMMYFUNCTION("""COMPUTED_VALUE"""),"કૃપા કરીને બધા જરૂરી ક્ષેત્રોને ઇનપુટ કરો")</f>
        <v>કૃપા કરીને બધા જરૂરી ક્ષેત્રોને ઇનપુટ કરો</v>
      </c>
      <c r="I924" s="2" t="str">
        <f>IFERROR(__xludf.DUMMYFUNCTION("""COMPUTED_VALUE"""),"कृपया सर्व आवश्यक फील्ड इनपुट करा")</f>
        <v>कृपया सर्व आवश्यक फील्ड इनपुट करा</v>
      </c>
      <c r="J924" s="2" t="str">
        <f>IFERROR(__xludf.DUMMYFUNCTION("""COMPUTED_VALUE"""),"ആവശ്യമായ എല്ലാ ഫീൽഡുകളും ഇൻപുട്ട് ചെയ്യുക")</f>
        <v>ആവശ്യമായ എല്ലാ ഫീൽഡുകളും ഇൻപുട്ട് ചെയ്യുക</v>
      </c>
      <c r="K924" s="2" t="str">
        <f>IFERROR(__xludf.DUMMYFUNCTION("""COMPUTED_VALUE"""),"ਕਿਰਪਾ ਕਰਕੇ ਸਾਰੇ ਲੋੜੀਂਦੇ ਖੇਤਰਾਂ ਵਿੱਚ ਸ਼ਾਮਲ ਕਰੋ")</f>
        <v>ਕਿਰਪਾ ਕਰਕੇ ਸਾਰੇ ਲੋੜੀਂਦੇ ਖੇਤਰਾਂ ਵਿੱਚ ਸ਼ਾਮਲ ਕਰੋ</v>
      </c>
      <c r="L924" s="2" t="str">
        <f>IFERROR(__xludf.DUMMYFUNCTION("""COMPUTED_VALUE"""),"தேவையான அனைத்து புலங்களையும் உள்ளிடவும்")</f>
        <v>தேவையான அனைத்து புலங்களையும் உள்ளிடவும்</v>
      </c>
      <c r="M924" s="2" t="str">
        <f>IFERROR(__xludf.DUMMYFUNCTION("""COMPUTED_VALUE"""),"దయచేసి అవసరమైన అన్ని ఫీల్డ్‌లను ఇన్పుట్ చేయండి")</f>
        <v>దయచేసి అవసరమైన అన్ని ఫీల్డ్‌లను ఇన్పుట్ చేయండి</v>
      </c>
    </row>
    <row r="925">
      <c r="A925" s="2" t="str">
        <f>Master_en!A925</f>
        <v>byClickingIacceptthe</v>
      </c>
      <c r="B925" s="2" t="str">
        <f>Master_en!B925</f>
        <v>By clicking, I accept the</v>
      </c>
      <c r="C925" s="2" t="str">
        <f>IFERROR(__xludf.DUMMYFUNCTION("""COMPUTED_VALUE"""),"ক্লিক করে, আমি গ্রহণ করি")</f>
        <v>ক্লিক করে, আমি গ্রহণ করি</v>
      </c>
      <c r="D925" s="2" t="str">
        <f>IFERROR(__xludf.DUMMYFUNCTION("""COMPUTED_VALUE"""),"क्लिक करके, मैं स्वीकार करता हूं")</f>
        <v>क्लिक करके, मैं स्वीकार करता हूं</v>
      </c>
      <c r="E925" s="2" t="str">
        <f>IFERROR(__xludf.DUMMYFUNCTION("""COMPUTED_VALUE"""),"ಕ್ಲಿಕ್ ಮಾಡುವ ಮೂಲಕ, ನಾನು ಸ್ವೀಕರಿಸುತ್ತೇನೆ")</f>
        <v>ಕ್ಲಿಕ್ ಮಾಡುವ ಮೂಲಕ, ನಾನು ಸ್ವೀಕರಿಸುತ್ತೇನೆ</v>
      </c>
      <c r="F925" s="2" t="str">
        <f>IFERROR(__xludf.DUMMYFUNCTION("""COMPUTED_VALUE"""),"କ୍ଲିକ୍ କରି, ମୁଁ ଏହାକୁ ଗ୍ରହଣ କରେ |")</f>
        <v>କ୍ଲିକ୍ କରି, ମୁଁ ଏହାକୁ ଗ୍ରହଣ କରେ |</v>
      </c>
      <c r="G925" s="2" t="str">
        <f>IFERROR(__xludf.DUMMYFUNCTION("""COMPUTED_VALUE"""),"ক্লিক কৰি মই গ্ৰহণ কৰো")</f>
        <v>ক্লিক কৰি মই গ্ৰহণ কৰো</v>
      </c>
      <c r="H925" s="2" t="str">
        <f>IFERROR(__xludf.DUMMYFUNCTION("""COMPUTED_VALUE"""),"ક્લિક કરીને, હું સ્વીકારું છું")</f>
        <v>ક્લિક કરીને, હું સ્વીકારું છું</v>
      </c>
      <c r="I925" s="2" t="str">
        <f>IFERROR(__xludf.DUMMYFUNCTION("""COMPUTED_VALUE"""),"क्लिक करून, मी स्वीकारतो")</f>
        <v>क्लिक करून, मी स्वीकारतो</v>
      </c>
      <c r="J925" s="2" t="str">
        <f>IFERROR(__xludf.DUMMYFUNCTION("""COMPUTED_VALUE"""),"ക്ലിക്കുചെയ്യുന്നതിലൂടെ ഞാൻ അംഗീകരിക്കുന്നു")</f>
        <v>ക്ലിക്കുചെയ്യുന്നതിലൂടെ ഞാൻ അംഗീകരിക്കുന്നു</v>
      </c>
      <c r="K925" s="2" t="str">
        <f>IFERROR(__xludf.DUMMYFUNCTION("""COMPUTED_VALUE"""),"ਕਲਿਕ ਕਰਕੇ, ਮੈਂ ਸਵੀਕਾਰ ਕਰਦਾ ਹਾਂ")</f>
        <v>ਕਲਿਕ ਕਰਕੇ, ਮੈਂ ਸਵੀਕਾਰ ਕਰਦਾ ਹਾਂ</v>
      </c>
      <c r="L925" s="2" t="str">
        <f>IFERROR(__xludf.DUMMYFUNCTION("""COMPUTED_VALUE"""),"கிளிக் செய்வதன் மூலம், நான் ஏற்றுக்கொள்கிறேன்")</f>
        <v>கிளிக் செய்வதன் மூலம், நான் ஏற்றுக்கொள்கிறேன்</v>
      </c>
      <c r="M925" s="2" t="str">
        <f>IFERROR(__xludf.DUMMYFUNCTION("""COMPUTED_VALUE"""),"క్లిక్ చేయడం ద్వారా, నేను అంగీకరిస్తున్నాను")</f>
        <v>క్లిక్ చేయడం ద్వారా, నేను అంగీకరిస్తున్నాను</v>
      </c>
    </row>
    <row r="926">
      <c r="A926" s="2" t="str">
        <f>Master_en!A926</f>
        <v>terms&amp;conditions</v>
      </c>
      <c r="B926" s="2" t="str">
        <f>Master_en!B926</f>
        <v>Terms &amp; Conditions</v>
      </c>
      <c r="C926" s="2" t="str">
        <f>IFERROR(__xludf.DUMMYFUNCTION("""COMPUTED_VALUE"""),"শর্তাবলী")</f>
        <v>শর্তাবলী</v>
      </c>
      <c r="D926" s="2" t="str">
        <f>IFERROR(__xludf.DUMMYFUNCTION("""COMPUTED_VALUE"""),"नियम एवं शर्तें")</f>
        <v>नियम एवं शर्तें</v>
      </c>
      <c r="E926" s="2" t="str">
        <f>IFERROR(__xludf.DUMMYFUNCTION("""COMPUTED_VALUE"""),"ನಿಯಮ ಮತ್ತು ಶರತ್ತುಗಳು")</f>
        <v>ನಿಯಮ ಮತ್ತು ಶರತ್ತುಗಳು</v>
      </c>
      <c r="F926" s="2" t="str">
        <f>IFERROR(__xludf.DUMMYFUNCTION("""COMPUTED_VALUE"""),"ସର୍ତ୍ତାବଳୀ ଏବଂ ସର୍ତ୍ତଗୁଡିକ")</f>
        <v>ସର୍ତ୍ତାବଳୀ ଏବଂ ସର୍ତ୍ତଗୁଡିକ</v>
      </c>
      <c r="G926" s="2" t="str">
        <f>IFERROR(__xludf.DUMMYFUNCTION("""COMPUTED_VALUE"""),"চৰ্তাৱলী")</f>
        <v>চৰ্তাৱলী</v>
      </c>
      <c r="H926" s="2" t="str">
        <f>IFERROR(__xludf.DUMMYFUNCTION("""COMPUTED_VALUE"""),"શરતો અને નિયમો")</f>
        <v>શરતો અને નિયમો</v>
      </c>
      <c r="I926" s="2" t="str">
        <f>IFERROR(__xludf.DUMMYFUNCTION("""COMPUTED_VALUE"""),"अटी व शर्ती")</f>
        <v>अटी व शर्ती</v>
      </c>
      <c r="J926" s="2" t="str">
        <f>IFERROR(__xludf.DUMMYFUNCTION("""COMPUTED_VALUE"""),"നിബന്ധനകളും വ്യവസ്ഥകളും")</f>
        <v>നിബന്ധനകളും വ്യവസ്ഥകളും</v>
      </c>
      <c r="K926" s="2" t="str">
        <f>IFERROR(__xludf.DUMMYFUNCTION("""COMPUTED_VALUE"""),"ਨਿਯਮ ਅਤੇ ਸ਼ਰਤਾਂ")</f>
        <v>ਨਿਯਮ ਅਤੇ ਸ਼ਰਤਾਂ</v>
      </c>
      <c r="L926" s="2" t="str">
        <f>IFERROR(__xludf.DUMMYFUNCTION("""COMPUTED_VALUE"""),"விதிமுறைகளும் நிபந்தனைகளும்")</f>
        <v>விதிமுறைகளும் நிபந்தனைகளும்</v>
      </c>
      <c r="M926" s="2" t="str">
        <f>IFERROR(__xludf.DUMMYFUNCTION("""COMPUTED_VALUE"""),"నిబంధనలు &amp; షరతులు")</f>
        <v>నిబంధనలు &amp; షరతులు</v>
      </c>
    </row>
    <row r="927">
      <c r="A927" s="2" t="str">
        <f>Master_en!A927</f>
        <v>and</v>
      </c>
      <c r="B927" s="2" t="str">
        <f>Master_en!A927</f>
        <v>and</v>
      </c>
      <c r="C927" s="2" t="str">
        <f>IFERROR(__xludf.DUMMYFUNCTION("""COMPUTED_VALUE"""),"এবং")</f>
        <v>এবং</v>
      </c>
      <c r="D927" s="2" t="str">
        <f>IFERROR(__xludf.DUMMYFUNCTION("""COMPUTED_VALUE"""),"और")</f>
        <v>और</v>
      </c>
      <c r="E927" s="2" t="str">
        <f>IFERROR(__xludf.DUMMYFUNCTION("""COMPUTED_VALUE"""),"ಮತ್ತು")</f>
        <v>ಮತ್ತು</v>
      </c>
      <c r="F927" s="2" t="str">
        <f>IFERROR(__xludf.DUMMYFUNCTION("""COMPUTED_VALUE"""),"ଏବଂ")</f>
        <v>ଏବଂ</v>
      </c>
      <c r="G927" s="2" t="str">
        <f>IFERROR(__xludf.DUMMYFUNCTION("""COMPUTED_VALUE"""),"আৰু")</f>
        <v>আৰু</v>
      </c>
      <c r="H927" s="2" t="str">
        <f>IFERROR(__xludf.DUMMYFUNCTION("""COMPUTED_VALUE"""),"અને")</f>
        <v>અને</v>
      </c>
      <c r="I927" s="2" t="str">
        <f>IFERROR(__xludf.DUMMYFUNCTION("""COMPUTED_VALUE"""),"आणि")</f>
        <v>आणि</v>
      </c>
      <c r="J927" s="2" t="str">
        <f>IFERROR(__xludf.DUMMYFUNCTION("""COMPUTED_VALUE"""),"ഒപ്പം")</f>
        <v>ഒപ്പം</v>
      </c>
      <c r="K927" s="2" t="str">
        <f>IFERROR(__xludf.DUMMYFUNCTION("""COMPUTED_VALUE"""),"ਅਤੇ")</f>
        <v>ਅਤੇ</v>
      </c>
      <c r="L927" s="2" t="str">
        <f>IFERROR(__xludf.DUMMYFUNCTION("""COMPUTED_VALUE"""),"மற்றும்")</f>
        <v>மற்றும்</v>
      </c>
      <c r="M927" s="2" t="str">
        <f>IFERROR(__xludf.DUMMYFUNCTION("""COMPUTED_VALUE"""),"మరియు")</f>
        <v>మరియు</v>
      </c>
    </row>
    <row r="928">
      <c r="A928" s="2" t="str">
        <f>Master_en!A928</f>
        <v>privacypolicy</v>
      </c>
      <c r="B928" s="2" t="str">
        <f>Master_en!A928</f>
        <v>privacypolicy</v>
      </c>
      <c r="C928" s="2" t="str">
        <f>IFERROR(__xludf.DUMMYFUNCTION("""COMPUTED_VALUE"""),"গোপনীয়তা নীতি")</f>
        <v>গোপনীয়তা নীতি</v>
      </c>
      <c r="D928" s="2" t="str">
        <f>IFERROR(__xludf.DUMMYFUNCTION("""COMPUTED_VALUE"""),"गोपनीयता नीति")</f>
        <v>गोपनीयता नीति</v>
      </c>
      <c r="E928" s="2" t="str">
        <f>IFERROR(__xludf.DUMMYFUNCTION("""COMPUTED_VALUE"""),"ಗೌಪ್ಯತಾ ನೀತಿ")</f>
        <v>ಗೌಪ್ಯತಾ ನೀತಿ</v>
      </c>
      <c r="F928" s="2" t="str">
        <f>IFERROR(__xludf.DUMMYFUNCTION("""COMPUTED_VALUE"""),"ଗୋପନୀୟତା ନୀତି")</f>
        <v>ଗୋପନୀୟତା ନୀତି</v>
      </c>
      <c r="G928" s="2" t="str">
        <f>IFERROR(__xludf.DUMMYFUNCTION("""COMPUTED_VALUE"""),"গোপনীয়তা নীতি")</f>
        <v>গোপনীয়তা নীতি</v>
      </c>
      <c r="H928" s="2" t="str">
        <f>IFERROR(__xludf.DUMMYFUNCTION("""COMPUTED_VALUE"""),"ગોપનીયતા નીતિ")</f>
        <v>ગોપનીયતા નીતિ</v>
      </c>
      <c r="I928" s="2" t="str">
        <f>IFERROR(__xludf.DUMMYFUNCTION("""COMPUTED_VALUE"""),"गोपनीयता धोरण")</f>
        <v>गोपनीयता धोरण</v>
      </c>
      <c r="J928" s="2" t="str">
        <f>IFERROR(__xludf.DUMMYFUNCTION("""COMPUTED_VALUE"""),"സ്വകാര്യതാ നയം")</f>
        <v>സ്വകാര്യതാ നയം</v>
      </c>
      <c r="K928" s="2" t="str">
        <f>IFERROR(__xludf.DUMMYFUNCTION("""COMPUTED_VALUE"""),"ਪਰਾਈਵੇਟ ਨੀਤੀ")</f>
        <v>ਪਰਾਈਵੇਟ ਨੀਤੀ</v>
      </c>
      <c r="L928" s="2" t="str">
        <f>IFERROR(__xludf.DUMMYFUNCTION("""COMPUTED_VALUE"""),"தனியுரிமைக் கொள்கை")</f>
        <v>தனியுரிமைக் கொள்கை</v>
      </c>
      <c r="M928" s="2" t="str">
        <f>IFERROR(__xludf.DUMMYFUNCTION("""COMPUTED_VALUE"""),"గోప్యతా విధానం")</f>
        <v>గోప్యతా విధానం</v>
      </c>
    </row>
    <row r="929">
      <c r="A929" s="2" t="str">
        <f>Master_en!A929</f>
        <v>refConsumer</v>
      </c>
      <c r="B929" s="2" t="str">
        <f>Master_en!A929</f>
        <v>refConsumer</v>
      </c>
      <c r="C929" s="2" t="str">
        <f>IFERROR(__xludf.DUMMYFUNCTION("""COMPUTED_VALUE"""),"গ্রাহক")</f>
        <v>গ্রাহক</v>
      </c>
      <c r="D929" s="2" t="str">
        <f>IFERROR(__xludf.DUMMYFUNCTION("""COMPUTED_VALUE"""),"उपभोक्ता")</f>
        <v>उपभोक्ता</v>
      </c>
      <c r="E929" s="2" t="str">
        <f>IFERROR(__xludf.DUMMYFUNCTION("""COMPUTED_VALUE"""),"ಗ್ರಾಹಕ")</f>
        <v>ಗ್ರಾಹಕ</v>
      </c>
      <c r="F929" s="2" t="str">
        <f>IFERROR(__xludf.DUMMYFUNCTION("""COMPUTED_VALUE"""),"ଗ୍ରାହକ")</f>
        <v>ଗ୍ରାହକ</v>
      </c>
      <c r="G929" s="2" t="str">
        <f>IFERROR(__xludf.DUMMYFUNCTION("""COMPUTED_VALUE"""),"গ্ৰাহক")</f>
        <v>গ্ৰাহক</v>
      </c>
      <c r="H929" s="2" t="str">
        <f>IFERROR(__xludf.DUMMYFUNCTION("""COMPUTED_VALUE"""),"ગ્રાહક")</f>
        <v>ગ્રાહક</v>
      </c>
      <c r="I929" s="2" t="str">
        <f>IFERROR(__xludf.DUMMYFUNCTION("""COMPUTED_VALUE"""),"ग्राहक")</f>
        <v>ग्राहक</v>
      </c>
      <c r="J929" s="2" t="str">
        <f>IFERROR(__xludf.DUMMYFUNCTION("""COMPUTED_VALUE"""),"ഉപഭോക്താവ്")</f>
        <v>ഉപഭോക്താവ്</v>
      </c>
      <c r="K929" s="2" t="str">
        <f>IFERROR(__xludf.DUMMYFUNCTION("""COMPUTED_VALUE"""),"ਖਪਤਕਾਰ")</f>
        <v>ਖਪਤਕਾਰ</v>
      </c>
      <c r="L929" s="2" t="str">
        <f>IFERROR(__xludf.DUMMYFUNCTION("""COMPUTED_VALUE"""),"நுகர்வோர்")</f>
        <v>நுகர்வோர்</v>
      </c>
      <c r="M929" s="2" t="str">
        <f>IFERROR(__xludf.DUMMYFUNCTION("""COMPUTED_VALUE"""),"వినియోగదారు")</f>
        <v>వినియోగదారు</v>
      </c>
    </row>
    <row r="930">
      <c r="A930" s="2" t="str">
        <f>Master_en!A930</f>
        <v>refIncompleted</v>
      </c>
      <c r="B930" s="2" t="str">
        <f>Master_en!A930</f>
        <v>refIncompleted</v>
      </c>
      <c r="C930" s="2" t="str">
        <f>IFERROR(__xludf.DUMMYFUNCTION("""COMPUTED_VALUE"""),"অসম্পূর্ণ")</f>
        <v>অসম্পূর্ণ</v>
      </c>
      <c r="D930" s="2" t="str">
        <f>IFERROR(__xludf.DUMMYFUNCTION("""COMPUTED_VALUE"""),"अपूर्ण")</f>
        <v>अपूर्ण</v>
      </c>
      <c r="E930" s="2" t="str">
        <f>IFERROR(__xludf.DUMMYFUNCTION("""COMPUTED_VALUE"""),"ಅಪೂರ್ಣ")</f>
        <v>ಅಪೂರ್ಣ</v>
      </c>
      <c r="F930" s="2" t="str">
        <f>IFERROR(__xludf.DUMMYFUNCTION("""COMPUTED_VALUE"""),"ଅସମ୍ପୂର୍ଣ୍ଣ")</f>
        <v>ଅସମ୍ପୂର୍ଣ୍ଣ</v>
      </c>
      <c r="G930" s="2" t="str">
        <f>IFERROR(__xludf.DUMMYFUNCTION("""COMPUTED_VALUE"""),"অসম্পূৰ্ণ")</f>
        <v>অসম্পূৰ্ণ</v>
      </c>
      <c r="H930" s="2" t="str">
        <f>IFERROR(__xludf.DUMMYFUNCTION("""COMPUTED_VALUE"""),"અપૂર્ણ")</f>
        <v>અપૂર્ણ</v>
      </c>
      <c r="I930" s="2" t="str">
        <f>IFERROR(__xludf.DUMMYFUNCTION("""COMPUTED_VALUE"""),"अपूर्ण")</f>
        <v>अपूर्ण</v>
      </c>
      <c r="J930" s="2" t="str">
        <f>IFERROR(__xludf.DUMMYFUNCTION("""COMPUTED_VALUE"""),"അപൂർണ്ണമായത്")</f>
        <v>അപൂർണ്ണമായത്</v>
      </c>
      <c r="K930" s="2" t="str">
        <f>IFERROR(__xludf.DUMMYFUNCTION("""COMPUTED_VALUE"""),"ਅਧੂਰਾ")</f>
        <v>ਅਧੂਰਾ</v>
      </c>
      <c r="L930" s="2" t="str">
        <f>IFERROR(__xludf.DUMMYFUNCTION("""COMPUTED_VALUE"""),"முழுமையடையாத")</f>
        <v>முழுமையடையாத</v>
      </c>
      <c r="M930" s="2" t="str">
        <f>IFERROR(__xludf.DUMMYFUNCTION("""COMPUTED_VALUE"""),"అసంపూర్ణంగా ఉంది")</f>
        <v>అసంపూర్ణంగా ఉంది</v>
      </c>
    </row>
    <row r="931">
      <c r="A931" s="2" t="str">
        <f>Master_en!A931</f>
        <v>refComplteted</v>
      </c>
      <c r="B931" s="2" t="str">
        <f>Master_en!A931</f>
        <v>refComplteted</v>
      </c>
      <c r="C931" s="2" t="str">
        <f>IFERROR(__xludf.DUMMYFUNCTION("""COMPUTED_VALUE"""),"সম্পূর্ণ")</f>
        <v>সম্পূর্ণ</v>
      </c>
      <c r="D931" s="2" t="str">
        <f>IFERROR(__xludf.DUMMYFUNCTION("""COMPUTED_VALUE"""),"पुरा होना।")</f>
        <v>पुरा होना।</v>
      </c>
      <c r="E931" s="2" t="str">
        <f>IFERROR(__xludf.DUMMYFUNCTION("""COMPUTED_VALUE"""),"ಪೂರ್ಣಗೊಂಡ")</f>
        <v>ಪೂರ್ಣಗೊಂಡ</v>
      </c>
      <c r="F931" s="2" t="str">
        <f>IFERROR(__xludf.DUMMYFUNCTION("""COMPUTED_VALUE"""),"ସମାପ୍ତ")</f>
        <v>ସମାପ୍ତ</v>
      </c>
      <c r="G931" s="2" t="str">
        <f>IFERROR(__xludf.DUMMYFUNCTION("""COMPUTED_VALUE"""),"সম্পূৰ্ণ হ’ল")</f>
        <v>সম্পূৰ্ণ হ’ল</v>
      </c>
      <c r="H931" s="2" t="str">
        <f>IFERROR(__xludf.DUMMYFUNCTION("""COMPUTED_VALUE"""),"પૂર્ણ")</f>
        <v>પૂર્ણ</v>
      </c>
      <c r="I931" s="2" t="str">
        <f>IFERROR(__xludf.DUMMYFUNCTION("""COMPUTED_VALUE"""),"पूर्ण")</f>
        <v>पूर्ण</v>
      </c>
      <c r="J931" s="2" t="str">
        <f>IFERROR(__xludf.DUMMYFUNCTION("""COMPUTED_VALUE"""),"പൂർത്തിയായ")</f>
        <v>പൂർത്തിയായ</v>
      </c>
      <c r="K931" s="2" t="str">
        <f>IFERROR(__xludf.DUMMYFUNCTION("""COMPUTED_VALUE"""),"ਪੂਰਾ")</f>
        <v>ਪੂਰਾ</v>
      </c>
      <c r="L931" s="2" t="str">
        <f>IFERROR(__xludf.DUMMYFUNCTION("""COMPUTED_VALUE"""),"நிறைவு")</f>
        <v>நிறைவு</v>
      </c>
      <c r="M931" s="2" t="str">
        <f>IFERROR(__xludf.DUMMYFUNCTION("""COMPUTED_VALUE"""),"పూర్తయింది")</f>
        <v>పూర్తయింది</v>
      </c>
    </row>
    <row r="932">
      <c r="A932" s="2" t="str">
        <f>Master_en!A932</f>
        <v>refall</v>
      </c>
      <c r="B932" s="2" t="str">
        <f>Master_en!A932</f>
        <v>refall</v>
      </c>
      <c r="C932" s="2" t="str">
        <f>IFERROR(__xludf.DUMMYFUNCTION("""COMPUTED_VALUE"""),"সব")</f>
        <v>সব</v>
      </c>
      <c r="D932" s="2" t="str">
        <f>IFERROR(__xludf.DUMMYFUNCTION("""COMPUTED_VALUE"""),"सभी")</f>
        <v>सभी</v>
      </c>
      <c r="E932" s="2" t="str">
        <f>IFERROR(__xludf.DUMMYFUNCTION("""COMPUTED_VALUE"""),"ಎಲ್ಲರೂ")</f>
        <v>ಎಲ್ಲರೂ</v>
      </c>
      <c r="F932" s="2" t="str">
        <f>IFERROR(__xludf.DUMMYFUNCTION("""COMPUTED_VALUE"""),"ସମସ୍ତ")</f>
        <v>ସମସ୍ତ</v>
      </c>
      <c r="G932" s="2" t="str">
        <f>IFERROR(__xludf.DUMMYFUNCTION("""COMPUTED_VALUE"""),"আটাইবোৰ")</f>
        <v>আটাইবোৰ</v>
      </c>
      <c r="H932" s="2" t="str">
        <f>IFERROR(__xludf.DUMMYFUNCTION("""COMPUTED_VALUE"""),"બધા")</f>
        <v>બધા</v>
      </c>
      <c r="I932" s="2" t="str">
        <f>IFERROR(__xludf.DUMMYFUNCTION("""COMPUTED_VALUE"""),"सर्व")</f>
        <v>सर्व</v>
      </c>
      <c r="J932" s="2" t="str">
        <f>IFERROR(__xludf.DUMMYFUNCTION("""COMPUTED_VALUE"""),"എല്ലാം")</f>
        <v>എല്ലാം</v>
      </c>
      <c r="K932" s="2" t="str">
        <f>IFERROR(__xludf.DUMMYFUNCTION("""COMPUTED_VALUE"""),"ਸਾਰੇ")</f>
        <v>ਸਾਰੇ</v>
      </c>
      <c r="L932" s="2" t="str">
        <f>IFERROR(__xludf.DUMMYFUNCTION("""COMPUTED_VALUE"""),"அனைத்தும்")</f>
        <v>அனைத்தும்</v>
      </c>
      <c r="M932" s="2" t="str">
        <f>IFERROR(__xludf.DUMMYFUNCTION("""COMPUTED_VALUE"""),"అన్నీ")</f>
        <v>అన్నీ</v>
      </c>
    </row>
    <row r="933">
      <c r="A933" s="2" t="str">
        <f>Master_en!A933</f>
        <v>reforder</v>
      </c>
      <c r="B933" s="2" t="str">
        <f>Master_en!A933</f>
        <v>reforder</v>
      </c>
      <c r="C933" s="2" t="str">
        <f>IFERROR(__xludf.DUMMYFUNCTION("""COMPUTED_VALUE"""),"অর্ডার")</f>
        <v>অর্ডার</v>
      </c>
      <c r="D933" s="2" t="str">
        <f>IFERROR(__xludf.DUMMYFUNCTION("""COMPUTED_VALUE"""),"आदेश")</f>
        <v>आदेश</v>
      </c>
      <c r="E933" s="2" t="str">
        <f>IFERROR(__xludf.DUMMYFUNCTION("""COMPUTED_VALUE"""),"ಆಜ್ಞ")</f>
        <v>ಆಜ್ಞ</v>
      </c>
      <c r="F933" s="2" t="str">
        <f>IFERROR(__xludf.DUMMYFUNCTION("""COMPUTED_VALUE"""),"କ୍ରମ")</f>
        <v>କ୍ରମ</v>
      </c>
      <c r="G933" s="2" t="str">
        <f>IFERROR(__xludf.DUMMYFUNCTION("""COMPUTED_VALUE"""),"ক্ৰম")</f>
        <v>ক্ৰম</v>
      </c>
      <c r="H933" s="2" t="str">
        <f>IFERROR(__xludf.DUMMYFUNCTION("""COMPUTED_VALUE"""),"હુકમ")</f>
        <v>હુકમ</v>
      </c>
      <c r="I933" s="2" t="str">
        <f>IFERROR(__xludf.DUMMYFUNCTION("""COMPUTED_VALUE"""),"ऑर्डर")</f>
        <v>ऑर्डर</v>
      </c>
      <c r="J933" s="2" t="str">
        <f>IFERROR(__xludf.DUMMYFUNCTION("""COMPUTED_VALUE"""),"ആജ്ഞകൊടുക്കുക")</f>
        <v>ആജ്ഞകൊടുക്കുക</v>
      </c>
      <c r="K933" s="2" t="str">
        <f>IFERROR(__xludf.DUMMYFUNCTION("""COMPUTED_VALUE"""),"ਆਰਡਰ")</f>
        <v>ਆਰਡਰ</v>
      </c>
      <c r="L933" s="2" t="str">
        <f>IFERROR(__xludf.DUMMYFUNCTION("""COMPUTED_VALUE"""),"ஒழுங்கு")</f>
        <v>ஒழுங்கு</v>
      </c>
      <c r="M933" s="2" t="str">
        <f>IFERROR(__xludf.DUMMYFUNCTION("""COMPUTED_VALUE"""),"ఆర్డర్")</f>
        <v>ఆర్డర్</v>
      </c>
    </row>
    <row r="934">
      <c r="A934" s="2" t="str">
        <f>Master_en!A934</f>
        <v>refsignup</v>
      </c>
      <c r="B934" s="2" t="str">
        <f>Master_en!A934</f>
        <v>refsignup</v>
      </c>
      <c r="C934" s="2" t="str">
        <f>IFERROR(__xludf.DUMMYFUNCTION("""COMPUTED_VALUE"""),"নিবন্ধন করুন")</f>
        <v>নিবন্ধন করুন</v>
      </c>
      <c r="D934" s="2" t="str">
        <f>IFERROR(__xludf.DUMMYFUNCTION("""COMPUTED_VALUE"""),"साइन अप करें")</f>
        <v>साइन अप करें</v>
      </c>
      <c r="E934" s="2" t="str">
        <f>IFERROR(__xludf.DUMMYFUNCTION("""COMPUTED_VALUE"""),"ಸೈನ್ ಅಪ್")</f>
        <v>ಸೈನ್ ಅಪ್</v>
      </c>
      <c r="F934" s="2" t="str">
        <f>IFERROR(__xludf.DUMMYFUNCTION("""COMPUTED_VALUE"""),"ସାଇନ୍ ଅପ୍ କରନ୍ତୁ")</f>
        <v>ସାଇନ୍ ଅପ୍ କରନ୍ତୁ</v>
      </c>
      <c r="G934" s="2" t="str">
        <f>IFERROR(__xludf.DUMMYFUNCTION("""COMPUTED_VALUE"""),"চাইনআপ কৰক")</f>
        <v>চাইনআপ কৰক</v>
      </c>
      <c r="H934" s="2" t="str">
        <f>IFERROR(__xludf.DUMMYFUNCTION("""COMPUTED_VALUE"""),"સાઇનઅપ")</f>
        <v>સાઇનઅપ</v>
      </c>
      <c r="I934" s="2" t="str">
        <f>IFERROR(__xludf.DUMMYFUNCTION("""COMPUTED_VALUE"""),"साइनअप")</f>
        <v>साइनअप</v>
      </c>
      <c r="J934" s="2" t="str">
        <f>IFERROR(__xludf.DUMMYFUNCTION("""COMPUTED_VALUE"""),"സൈൻ അപ്പ് ചെയ്യുക")</f>
        <v>സൈൻ അപ്പ് ചെയ്യുക</v>
      </c>
      <c r="K934" s="2" t="str">
        <f>IFERROR(__xludf.DUMMYFUNCTION("""COMPUTED_VALUE"""),"ਸਾਇਨ ਅਪ")</f>
        <v>ਸਾਇਨ ਅਪ</v>
      </c>
      <c r="L934" s="2" t="str">
        <f>IFERROR(__xludf.DUMMYFUNCTION("""COMPUTED_VALUE"""),"பதிவுபெறுதல்")</f>
        <v>பதிவுபெறுதல்</v>
      </c>
      <c r="M934" s="2" t="str">
        <f>IFERROR(__xludf.DUMMYFUNCTION("""COMPUTED_VALUE"""),"చేరడం")</f>
        <v>చేరడం</v>
      </c>
    </row>
    <row r="935">
      <c r="A935" s="2" t="str">
        <f>Master_en!A935</f>
        <v>refratings</v>
      </c>
      <c r="B935" s="2" t="str">
        <f>Master_en!A935</f>
        <v>refratings</v>
      </c>
      <c r="C935" s="2" t="str">
        <f>IFERROR(__xludf.DUMMYFUNCTION("""COMPUTED_VALUE"""),"রেটিং")</f>
        <v>রেটিং</v>
      </c>
      <c r="D935" s="2" t="str">
        <f>IFERROR(__xludf.DUMMYFUNCTION("""COMPUTED_VALUE"""),"रेटिंग")</f>
        <v>रेटिंग</v>
      </c>
      <c r="E935" s="2" t="str">
        <f>IFERROR(__xludf.DUMMYFUNCTION("""COMPUTED_VALUE"""),"ರೇಟಿಂಗ್")</f>
        <v>ರೇಟಿಂಗ್</v>
      </c>
      <c r="F935" s="2" t="str">
        <f>IFERROR(__xludf.DUMMYFUNCTION("""COMPUTED_VALUE"""),"ଗଡା")</f>
        <v>ଗଡା</v>
      </c>
      <c r="G935" s="2" t="str">
        <f>IFERROR(__xludf.DUMMYFUNCTION("""COMPUTED_VALUE"""),"ৰেটিং")</f>
        <v>ৰেটিং</v>
      </c>
      <c r="H935" s="2" t="str">
        <f>IFERROR(__xludf.DUMMYFUNCTION("""COMPUTED_VALUE"""),"રેટિંગ્સ")</f>
        <v>રેટિંગ્સ</v>
      </c>
      <c r="I935" s="2" t="str">
        <f>IFERROR(__xludf.DUMMYFUNCTION("""COMPUTED_VALUE"""),"रेटिंग्ज")</f>
        <v>रेटिंग्ज</v>
      </c>
      <c r="J935" s="2" t="str">
        <f>IFERROR(__xludf.DUMMYFUNCTION("""COMPUTED_VALUE"""),"റേറ്റിംഗുകൾ")</f>
        <v>റേറ്റിംഗുകൾ</v>
      </c>
      <c r="K935" s="2" t="str">
        <f>IFERROR(__xludf.DUMMYFUNCTION("""COMPUTED_VALUE"""),"ਰੇਟਿੰਗ")</f>
        <v>ਰੇਟਿੰਗ</v>
      </c>
      <c r="L935" s="2" t="str">
        <f>IFERROR(__xludf.DUMMYFUNCTION("""COMPUTED_VALUE"""),"மதிப்பீடுகள்")</f>
        <v>மதிப்பீடுகள்</v>
      </c>
      <c r="M935" s="2" t="str">
        <f>IFERROR(__xludf.DUMMYFUNCTION("""COMPUTED_VALUE"""),"రేటింగ్స్")</f>
        <v>రేటింగ్స్</v>
      </c>
    </row>
    <row r="936">
      <c r="A936" s="2" t="str">
        <f>Master_en!A936</f>
        <v>refretailer</v>
      </c>
      <c r="B936" s="2" t="str">
        <f>Master_en!A936</f>
        <v>refretailer</v>
      </c>
      <c r="C936" s="2" t="str">
        <f>IFERROR(__xludf.DUMMYFUNCTION("""COMPUTED_VALUE"""),"খুচরা বিক্রেতা")</f>
        <v>খুচরা বিক্রেতা</v>
      </c>
      <c r="D936" s="2" t="str">
        <f>IFERROR(__xludf.DUMMYFUNCTION("""COMPUTED_VALUE"""),"फुटकर विक्रेता")</f>
        <v>फुटकर विक्रेता</v>
      </c>
      <c r="E936" s="2" t="str">
        <f>IFERROR(__xludf.DUMMYFUNCTION("""COMPUTED_VALUE"""),"ಚಿಲ್ಲರೆ ವ್ಯಾಪಾರಿ")</f>
        <v>ಚಿಲ್ಲರೆ ವ್ಯಾಪಾರಿ</v>
      </c>
      <c r="F936" s="2" t="str">
        <f>IFERROR(__xludf.DUMMYFUNCTION("""COMPUTED_VALUE"""),"ଖୁଚୁରା ବ୍ୟବସାୟୀ")</f>
        <v>ଖୁଚୁରା ବ୍ୟବସାୟୀ</v>
      </c>
      <c r="G936" s="2" t="str">
        <f>IFERROR(__xludf.DUMMYFUNCTION("""COMPUTED_VALUE"""),"খুচুৰা বিক্ৰেতা")</f>
        <v>খুচুৰা বিক্ৰেতা</v>
      </c>
      <c r="H936" s="2" t="str">
        <f>IFERROR(__xludf.DUMMYFUNCTION("""COMPUTED_VALUE"""),"છૂટક વેચાણ કરનાર")</f>
        <v>છૂટક વેચાણ કરનાર</v>
      </c>
      <c r="I936" s="2" t="str">
        <f>IFERROR(__xludf.DUMMYFUNCTION("""COMPUTED_VALUE"""),"किरकोळ विक्रेता")</f>
        <v>किरकोळ विक्रेता</v>
      </c>
      <c r="J936" s="2" t="str">
        <f>IFERROR(__xludf.DUMMYFUNCTION("""COMPUTED_VALUE"""),"ചില്ലറകാട്")</f>
        <v>ചില്ലറകാട്</v>
      </c>
      <c r="K936" s="2" t="str">
        <f>IFERROR(__xludf.DUMMYFUNCTION("""COMPUTED_VALUE"""),"ਪ੍ਰਚੂਨ ਵਿਕਰੇਤਾ")</f>
        <v>ਪ੍ਰਚੂਨ ਵਿਕਰੇਤਾ</v>
      </c>
      <c r="L936" s="2" t="str">
        <f>IFERROR(__xludf.DUMMYFUNCTION("""COMPUTED_VALUE"""),"சில்லறை விற்பனையாளர்")</f>
        <v>சில்லறை விற்பனையாளர்</v>
      </c>
      <c r="M936" s="2" t="str">
        <f>IFERROR(__xludf.DUMMYFUNCTION("""COMPUTED_VALUE"""),"చిల్లర వర్తకుడు")</f>
        <v>చిల్లర వర్తకుడు</v>
      </c>
    </row>
    <row r="937">
      <c r="A937" s="2" t="str">
        <f>Master_en!A937</f>
        <v>refunsubscribe</v>
      </c>
      <c r="B937" s="2" t="str">
        <f>Master_en!A937</f>
        <v>refunsubscribe</v>
      </c>
      <c r="C937" s="2" t="str">
        <f>IFERROR(__xludf.DUMMYFUNCTION("""COMPUTED_VALUE"""),"সাবস্ক্রাইব")</f>
        <v>সাবস্ক্রাইব</v>
      </c>
      <c r="D937" s="2" t="str">
        <f>IFERROR(__xludf.DUMMYFUNCTION("""COMPUTED_VALUE"""),"सदस्यता रद्द")</f>
        <v>सदस्यता रद्द</v>
      </c>
      <c r="E937" s="2" t="str">
        <f>IFERROR(__xludf.DUMMYFUNCTION("""COMPUTED_VALUE"""),"ಮುಚ್ಚಿಹೋಗು")</f>
        <v>ಮುಚ್ಚಿಹೋಗು</v>
      </c>
      <c r="F937" s="2" t="str">
        <f>IFERROR(__xludf.DUMMYFUNCTION("""COMPUTED_VALUE"""),"ସଦସ୍ୟତା ରଦ୍ଦ କରନ୍ତୁ |")</f>
        <v>ସଦସ୍ୟତା ରଦ୍ଦ କରନ୍ତୁ |</v>
      </c>
      <c r="G937" s="2" t="str">
        <f>IFERROR(__xludf.DUMMYFUNCTION("""COMPUTED_VALUE"""),"আনচাবস্ক্ৰাইব কৰক")</f>
        <v>আনচাবস্ক্ৰাইব কৰক</v>
      </c>
      <c r="H937" s="2" t="str">
        <f>IFERROR(__xludf.DUMMYFUNCTION("""COMPUTED_VALUE"""),"અનબ્સ્ક્રાઇબ કરવું")</f>
        <v>અનબ્સ્ક્રાઇબ કરવું</v>
      </c>
      <c r="I937" s="2" t="str">
        <f>IFERROR(__xludf.DUMMYFUNCTION("""COMPUTED_VALUE"""),"सदस्यता रद्द करा")</f>
        <v>सदस्यता रद्द करा</v>
      </c>
      <c r="J937" s="2" t="str">
        <f>IFERROR(__xludf.DUMMYFUNCTION("""COMPUTED_VALUE"""),"അൺസബ്സ്ക്രൈബുചെയ്യുക")</f>
        <v>അൺസബ്സ്ക്രൈബുചെയ്യുക</v>
      </c>
      <c r="K937" s="2" t="str">
        <f>IFERROR(__xludf.DUMMYFUNCTION("""COMPUTED_VALUE"""),"ਗਾਹਕੀ ਰੱਦ ਕਰੋ")</f>
        <v>ਗਾਹਕੀ ਰੱਦ ਕਰੋ</v>
      </c>
      <c r="L937" s="2" t="str">
        <f>IFERROR(__xludf.DUMMYFUNCTION("""COMPUTED_VALUE"""),"குழுவிலகவும்")</f>
        <v>குழுவிலகவும்</v>
      </c>
      <c r="M937" s="2" t="str">
        <f>IFERROR(__xludf.DUMMYFUNCTION("""COMPUTED_VALUE"""),"చందాను తొలగించండి")</f>
        <v>చందాను తొలగించండి</v>
      </c>
    </row>
    <row r="938">
      <c r="A938" s="2" t="str">
        <f>Master_en!A938</f>
        <v>refsubscription</v>
      </c>
      <c r="B938" s="2" t="str">
        <f>Master_en!A938</f>
        <v>refsubscription</v>
      </c>
      <c r="C938" s="2" t="str">
        <f>IFERROR(__xludf.DUMMYFUNCTION("""COMPUTED_VALUE"""),"সাবস্ক্রিপশন")</f>
        <v>সাবস্ক্রিপশন</v>
      </c>
      <c r="D938" s="2" t="str">
        <f>IFERROR(__xludf.DUMMYFUNCTION("""COMPUTED_VALUE"""),"अंशदान")</f>
        <v>अंशदान</v>
      </c>
      <c r="E938" s="2" t="str">
        <f>IFERROR(__xludf.DUMMYFUNCTION("""COMPUTED_VALUE"""),"ಚಂದಾದಾರಿಕೆ")</f>
        <v>ಚಂದಾದಾರಿಕೆ</v>
      </c>
      <c r="F938" s="2" t="str">
        <f>IFERROR(__xludf.DUMMYFUNCTION("""COMPUTED_VALUE"""),"ସଦସ୍ୟତା")</f>
        <v>ସଦସ୍ୟତା</v>
      </c>
      <c r="G938" s="2" t="str">
        <f>IFERROR(__xludf.DUMMYFUNCTION("""COMPUTED_VALUE"""),"চাবস্ক্ৰিপচন")</f>
        <v>চাবস্ক্ৰিপচন</v>
      </c>
      <c r="H938" s="2" t="str">
        <f>IFERROR(__xludf.DUMMYFUNCTION("""COMPUTED_VALUE"""),"લવાજમ")</f>
        <v>લવાજમ</v>
      </c>
      <c r="I938" s="2" t="str">
        <f>IFERROR(__xludf.DUMMYFUNCTION("""COMPUTED_VALUE"""),"सदस्यता")</f>
        <v>सदस्यता</v>
      </c>
      <c r="J938" s="2" t="str">
        <f>IFERROR(__xludf.DUMMYFUNCTION("""COMPUTED_VALUE"""),"സബ്സ്ക്രിപ്ഷൻ")</f>
        <v>സബ്സ്ക്രിപ്ഷൻ</v>
      </c>
      <c r="K938" s="2" t="str">
        <f>IFERROR(__xludf.DUMMYFUNCTION("""COMPUTED_VALUE"""),"ਗਾਹਕੀ")</f>
        <v>ਗਾਹਕੀ</v>
      </c>
      <c r="L938" s="2" t="str">
        <f>IFERROR(__xludf.DUMMYFUNCTION("""COMPUTED_VALUE"""),"சந்தா")</f>
        <v>சந்தா</v>
      </c>
      <c r="M938" s="2" t="str">
        <f>IFERROR(__xludf.DUMMYFUNCTION("""COMPUTED_VALUE"""),"చందా")</f>
        <v>చందా</v>
      </c>
    </row>
    <row r="939">
      <c r="A939" s="2" t="str">
        <f>Master_en!A939</f>
        <v>Searchnumber</v>
      </c>
      <c r="B939" s="2" t="str">
        <f>Master_en!B939</f>
        <v>Search Number</v>
      </c>
      <c r="C939" s="2" t="str">
        <f>IFERROR(__xludf.DUMMYFUNCTION("""COMPUTED_VALUE"""),"অনুসন্ধান নম্বর")</f>
        <v>অনুসন্ধান নম্বর</v>
      </c>
      <c r="D939" s="2" t="str">
        <f>IFERROR(__xludf.DUMMYFUNCTION("""COMPUTED_VALUE"""),"खोज संख्या")</f>
        <v>खोज संख्या</v>
      </c>
      <c r="E939" s="2" t="str">
        <f>IFERROR(__xludf.DUMMYFUNCTION("""COMPUTED_VALUE"""),"ಹುಡುಕಾಟ ಸಂಖ್ಯೆ")</f>
        <v>ಹುಡುಕಾಟ ಸಂಖ್ಯೆ</v>
      </c>
      <c r="F939" s="2" t="str">
        <f>IFERROR(__xludf.DUMMYFUNCTION("""COMPUTED_VALUE"""),"ସନ୍ଧାନ ସଂଖ୍ୟା")</f>
        <v>ସନ୍ଧାନ ସଂଖ୍ୟା</v>
      </c>
      <c r="G939" s="2" t="str">
        <f>IFERROR(__xludf.DUMMYFUNCTION("""COMPUTED_VALUE"""),"সন্ধান নম্বৰ")</f>
        <v>সন্ধান নম্বৰ</v>
      </c>
      <c r="H939" s="2" t="str">
        <f>IFERROR(__xludf.DUMMYFUNCTION("""COMPUTED_VALUE"""),"શોધ -નંબર")</f>
        <v>શોધ -નંબર</v>
      </c>
      <c r="I939" s="2" t="str">
        <f>IFERROR(__xludf.DUMMYFUNCTION("""COMPUTED_VALUE"""),"शोध क्रमांक")</f>
        <v>शोध क्रमांक</v>
      </c>
      <c r="J939" s="2" t="str">
        <f>IFERROR(__xludf.DUMMYFUNCTION("""COMPUTED_VALUE"""),"തിരയൽ നമ്പർ")</f>
        <v>തിരയൽ നമ്പർ</v>
      </c>
      <c r="K939" s="2" t="str">
        <f>IFERROR(__xludf.DUMMYFUNCTION("""COMPUTED_VALUE"""),"ਖੋਜ ਨੰਬਰ")</f>
        <v>ਖੋਜ ਨੰਬਰ</v>
      </c>
      <c r="L939" s="2" t="str">
        <f>IFERROR(__xludf.DUMMYFUNCTION("""COMPUTED_VALUE"""),"தேடல் எண்")</f>
        <v>தேடல் எண்</v>
      </c>
      <c r="M939" s="2" t="str">
        <f>IFERROR(__xludf.DUMMYFUNCTION("""COMPUTED_VALUE"""),"శోధన సంఖ్య")</f>
        <v>శోధన సంఖ్య</v>
      </c>
    </row>
    <row r="940">
      <c r="A940" s="2" t="str">
        <f>Master_en!A940</f>
        <v>updaterating</v>
      </c>
      <c r="B940" s="2" t="str">
        <f>Master_en!B940</f>
        <v>Update Rating </v>
      </c>
      <c r="C940" s="2" t="str">
        <f>IFERROR(__xludf.DUMMYFUNCTION("""COMPUTED_VALUE"""),"আপডেট রেটিং")</f>
        <v>আপডেট রেটিং</v>
      </c>
      <c r="D940" s="2" t="str">
        <f>IFERROR(__xludf.DUMMYFUNCTION("""COMPUTED_VALUE"""),"अद्यतन रेटिंग")</f>
        <v>अद्यतन रेटिंग</v>
      </c>
      <c r="E940" s="2" t="str">
        <f>IFERROR(__xludf.DUMMYFUNCTION("""COMPUTED_VALUE"""),"ರೇಟಿಂಗ್ ನವೀಕರಿಸಿ")</f>
        <v>ರೇಟಿಂಗ್ ನವೀಕರಿಸಿ</v>
      </c>
      <c r="F940" s="2" t="str">
        <f>IFERROR(__xludf.DUMMYFUNCTION("""COMPUTED_VALUE"""),"ଅଦ୍ୟତନ")</f>
        <v>ଅଦ୍ୟତନ</v>
      </c>
      <c r="G940" s="2" t="str">
        <f>IFERROR(__xludf.DUMMYFUNCTION("""COMPUTED_VALUE"""),"ৰেটিং আপডেট কৰক")</f>
        <v>ৰেটিং আপডেট কৰক</v>
      </c>
      <c r="H940" s="2" t="str">
        <f>IFERROR(__xludf.DUMMYFUNCTION("""COMPUTED_VALUE"""),"અપડેટ રેટિંગ")</f>
        <v>અપડેટ રેટિંગ</v>
      </c>
      <c r="I940" s="2" t="str">
        <f>IFERROR(__xludf.DUMMYFUNCTION("""COMPUTED_VALUE"""),"अद्यतनित रेटिंग")</f>
        <v>अद्यतनित रेटिंग</v>
      </c>
      <c r="J940" s="2" t="str">
        <f>IFERROR(__xludf.DUMMYFUNCTION("""COMPUTED_VALUE"""),"അപ്ഡേറ്റ് റേറ്റിംഗ്")</f>
        <v>അപ്ഡേറ്റ് റേറ്റിംഗ്</v>
      </c>
      <c r="K940" s="2" t="str">
        <f>IFERROR(__xludf.DUMMYFUNCTION("""COMPUTED_VALUE"""),"ਅਪਡੇਟ ਰੇਟਿੰਗ")</f>
        <v>ਅਪਡੇਟ ਰੇਟਿੰਗ</v>
      </c>
      <c r="L940" s="2" t="str">
        <f>IFERROR(__xludf.DUMMYFUNCTION("""COMPUTED_VALUE"""),"புதுப்பிப்பு மதிப்பீடு")</f>
        <v>புதுப்பிப்பு மதிப்பீடு</v>
      </c>
      <c r="M940" s="2" t="str">
        <f>IFERROR(__xludf.DUMMYFUNCTION("""COMPUTED_VALUE"""),"రేటింగ్ నవీకరణ")</f>
        <v>రేటింగ్ నవీకరణ</v>
      </c>
    </row>
    <row r="941">
      <c r="A941" s="2" t="str">
        <f>Master_en!A941</f>
        <v>remarks</v>
      </c>
      <c r="B941" s="2" t="str">
        <f>Master_en!B941</f>
        <v>Remarks</v>
      </c>
      <c r="C941" s="2" t="str">
        <f>IFERROR(__xludf.DUMMYFUNCTION("""COMPUTED_VALUE"""),"মন্তব্য")</f>
        <v>মন্তব্য</v>
      </c>
      <c r="D941" s="2" t="str">
        <f>IFERROR(__xludf.DUMMYFUNCTION("""COMPUTED_VALUE"""),"टिप्पणियां")</f>
        <v>टिप्पणियां</v>
      </c>
      <c r="E941" s="2" t="str">
        <f>IFERROR(__xludf.DUMMYFUNCTION("""COMPUTED_VALUE"""),"ಟೀಕೆಗಳು")</f>
        <v>ಟೀಕೆಗಳು</v>
      </c>
      <c r="F941" s="2" t="str">
        <f>IFERROR(__xludf.DUMMYFUNCTION("""COMPUTED_VALUE"""),"ଟିପ୍ପଣୀ")</f>
        <v>ଟିପ୍ପଣୀ</v>
      </c>
      <c r="G941" s="2" t="str">
        <f>IFERROR(__xludf.DUMMYFUNCTION("""COMPUTED_VALUE"""),"মন্তব্য")</f>
        <v>মন্তব্য</v>
      </c>
      <c r="H941" s="2" t="str">
        <f>IFERROR(__xludf.DUMMYFUNCTION("""COMPUTED_VALUE"""),"ટીકા")</f>
        <v>ટીકા</v>
      </c>
      <c r="I941" s="2" t="str">
        <f>IFERROR(__xludf.DUMMYFUNCTION("""COMPUTED_VALUE"""),"टीका")</f>
        <v>टीका</v>
      </c>
      <c r="J941" s="2" t="str">
        <f>IFERROR(__xludf.DUMMYFUNCTION("""COMPUTED_VALUE"""),"പരാമർശത്തെ")</f>
        <v>പരാമർശത്തെ</v>
      </c>
      <c r="K941" s="2" t="str">
        <f>IFERROR(__xludf.DUMMYFUNCTION("""COMPUTED_VALUE"""),"ਟਿੱਪਣੀ")</f>
        <v>ਟਿੱਪਣੀ</v>
      </c>
      <c r="L941" s="2" t="str">
        <f>IFERROR(__xludf.DUMMYFUNCTION("""COMPUTED_VALUE"""),"கருத்துக்கள்")</f>
        <v>கருத்துக்கள்</v>
      </c>
      <c r="M941" s="2" t="str">
        <f>IFERROR(__xludf.DUMMYFUNCTION("""COMPUTED_VALUE"""),"వ్యాఖ్యలు")</f>
        <v>వ్యాఖ్యలు</v>
      </c>
    </row>
    <row r="942">
      <c r="A942" s="2" t="str">
        <f>Master_en!A942</f>
        <v>Sweet</v>
      </c>
      <c r="B942" s="2" t="str">
        <f>Master_en!B942</f>
        <v>Sweet</v>
      </c>
      <c r="C942" s="2" t="str">
        <f>IFERROR(__xludf.DUMMYFUNCTION("""COMPUTED_VALUE"""),"মিষ্টি")</f>
        <v>মিষ্টি</v>
      </c>
      <c r="D942" s="2" t="str">
        <f>IFERROR(__xludf.DUMMYFUNCTION("""COMPUTED_VALUE"""),"मिठाई")</f>
        <v>मिठाई</v>
      </c>
      <c r="E942" s="2" t="str">
        <f>IFERROR(__xludf.DUMMYFUNCTION("""COMPUTED_VALUE"""),"ಸಿಹಿಯಾದ")</f>
        <v>ಸಿಹಿಯಾದ</v>
      </c>
      <c r="F942" s="2" t="str">
        <f>IFERROR(__xludf.DUMMYFUNCTION("""COMPUTED_VALUE"""),"ମିଠା")</f>
        <v>ମିଠା</v>
      </c>
      <c r="G942" s="2" t="str">
        <f>IFERROR(__xludf.DUMMYFUNCTION("""COMPUTED_VALUE"""),"মিঠা")</f>
        <v>মিঠা</v>
      </c>
      <c r="H942" s="2" t="str">
        <f>IFERROR(__xludf.DUMMYFUNCTION("""COMPUTED_VALUE"""),"મધુર")</f>
        <v>મધુર</v>
      </c>
      <c r="I942" s="2" t="str">
        <f>IFERROR(__xludf.DUMMYFUNCTION("""COMPUTED_VALUE"""),"गोड")</f>
        <v>गोड</v>
      </c>
      <c r="J942" s="2" t="str">
        <f>IFERROR(__xludf.DUMMYFUNCTION("""COMPUTED_VALUE"""),"മധുരിക്കുന്ന")</f>
        <v>മധുരിക്കുന്ന</v>
      </c>
      <c r="K942" s="2" t="str">
        <f>IFERROR(__xludf.DUMMYFUNCTION("""COMPUTED_VALUE"""),"ਮਿੱਠਾ")</f>
        <v>ਮਿੱਠਾ</v>
      </c>
      <c r="L942" s="2" t="str">
        <f>IFERROR(__xludf.DUMMYFUNCTION("""COMPUTED_VALUE"""),"இனிப்பு")</f>
        <v>இனிப்பு</v>
      </c>
      <c r="M942" s="2" t="str">
        <f>IFERROR(__xludf.DUMMYFUNCTION("""COMPUTED_VALUE"""),"తీపి")</f>
        <v>తీపి</v>
      </c>
    </row>
    <row r="943">
      <c r="A943" s="2" t="str">
        <f>Master_en!A943</f>
        <v>Paan</v>
      </c>
      <c r="B943" s="2" t="str">
        <f>Master_en!B943</f>
        <v>Paan</v>
      </c>
      <c r="C943" s="2" t="str">
        <f>IFERROR(__xludf.DUMMYFUNCTION("""COMPUTED_VALUE"""),"পান")</f>
        <v>পান</v>
      </c>
      <c r="D943" s="2" t="str">
        <f>IFERROR(__xludf.DUMMYFUNCTION("""COMPUTED_VALUE"""),"पान")</f>
        <v>पान</v>
      </c>
      <c r="E943" s="2" t="str">
        <f>IFERROR(__xludf.DUMMYFUNCTION("""COMPUTED_VALUE"""),"ಪಾಂಟ್")</f>
        <v>ಪಾಂಟ್</v>
      </c>
      <c r="F943" s="2" t="str">
        <f>IFERROR(__xludf.DUMMYFUNCTION("""COMPUTED_VALUE"""),"ପାନ୍")</f>
        <v>ପାନ୍</v>
      </c>
      <c r="G943" s="2" t="str">
        <f>IFERROR(__xludf.DUMMYFUNCTION("""COMPUTED_VALUE"""),"পান")</f>
        <v>পান</v>
      </c>
      <c r="H943" s="2" t="str">
        <f>IFERROR(__xludf.DUMMYFUNCTION("""COMPUTED_VALUE"""),"પાન")</f>
        <v>પાન</v>
      </c>
      <c r="I943" s="2" t="str">
        <f>IFERROR(__xludf.DUMMYFUNCTION("""COMPUTED_VALUE"""),"पान")</f>
        <v>पान</v>
      </c>
      <c r="J943" s="2" t="str">
        <f>IFERROR(__xludf.DUMMYFUNCTION("""COMPUTED_VALUE"""),"പാൺ")</f>
        <v>പാൺ</v>
      </c>
      <c r="K943" s="2" t="str">
        <f>IFERROR(__xludf.DUMMYFUNCTION("""COMPUTED_VALUE"""),"ਪੇਨ")</f>
        <v>ਪੇਨ</v>
      </c>
      <c r="L943" s="2" t="str">
        <f>IFERROR(__xludf.DUMMYFUNCTION("""COMPUTED_VALUE"""),"பான்")</f>
        <v>பான்</v>
      </c>
      <c r="M943" s="2" t="str">
        <f>IFERROR(__xludf.DUMMYFUNCTION("""COMPUTED_VALUE"""),"పాన్")</f>
        <v>పాన్</v>
      </c>
    </row>
    <row r="944">
      <c r="A944" s="2" t="str">
        <f>Master_en!A944</f>
        <v>Pooja Items</v>
      </c>
      <c r="B944" s="2" t="str">
        <f>Master_en!B944</f>
        <v>Pooja Items</v>
      </c>
      <c r="C944" s="2" t="str">
        <f>IFERROR(__xludf.DUMMYFUNCTION("""COMPUTED_VALUE"""),"পূজা আইটেম")</f>
        <v>পূজা আইটেম</v>
      </c>
      <c r="D944" s="2" t="str">
        <f>IFERROR(__xludf.DUMMYFUNCTION("""COMPUTED_VALUE"""),"पूजा आइटम")</f>
        <v>पूजा आइटम</v>
      </c>
      <c r="E944" s="2" t="str">
        <f>IFERROR(__xludf.DUMMYFUNCTION("""COMPUTED_VALUE"""),"ಪೂಜಾ ವಸ್ತುಗಳು")</f>
        <v>ಪೂಜಾ ವಸ್ತುಗಳು</v>
      </c>
      <c r="F944" s="2" t="str">
        <f>IFERROR(__xludf.DUMMYFUNCTION("""COMPUTED_VALUE"""),"Pooja ଆଇଟମ୍ |")</f>
        <v>Pooja ଆଇଟମ୍ |</v>
      </c>
      <c r="G944" s="2" t="str">
        <f>IFERROR(__xludf.DUMMYFUNCTION("""COMPUTED_VALUE"""),"পূজাৰ বস্তু")</f>
        <v>পূজাৰ বস্তু</v>
      </c>
      <c r="H944" s="2" t="str">
        <f>IFERROR(__xludf.DUMMYFUNCTION("""COMPUTED_VALUE"""),"પૂજા વસ્તુઓ")</f>
        <v>પૂજા વસ્તુઓ</v>
      </c>
      <c r="I944" s="2" t="str">
        <f>IFERROR(__xludf.DUMMYFUNCTION("""COMPUTED_VALUE"""),"पूजा आयटम")</f>
        <v>पूजा आयटम</v>
      </c>
      <c r="J944" s="2" t="str">
        <f>IFERROR(__xludf.DUMMYFUNCTION("""COMPUTED_VALUE"""),"പൂജ ഇനങ്ങൾ")</f>
        <v>പൂജ ഇനങ്ങൾ</v>
      </c>
      <c r="K944" s="2" t="str">
        <f>IFERROR(__xludf.DUMMYFUNCTION("""COMPUTED_VALUE"""),"ਪੂਜਾ ਆਈਟਮਾਂ")</f>
        <v>ਪੂਜਾ ਆਈਟਮਾਂ</v>
      </c>
      <c r="L944" s="2" t="str">
        <f>IFERROR(__xludf.DUMMYFUNCTION("""COMPUTED_VALUE"""),"பூஜை பொருட்கள் ")</f>
        <v>பூஜை பொருட்கள் </v>
      </c>
      <c r="M944" s="2" t="str">
        <f>IFERROR(__xludf.DUMMYFUNCTION("""COMPUTED_VALUE"""),"పూజా అంశాలు")</f>
        <v>పూజా అంశాలు</v>
      </c>
    </row>
    <row r="945">
      <c r="A945" s="2" t="str">
        <f>Master_en!A945</f>
        <v>Home Foods</v>
      </c>
      <c r="B945" s="2" t="str">
        <f>Master_en!B945</f>
        <v>Home Foods</v>
      </c>
      <c r="C945" s="2" t="str">
        <f>IFERROR(__xludf.DUMMYFUNCTION("""COMPUTED_VALUE"""),"হোম খাবার")</f>
        <v>হোম খাবার</v>
      </c>
      <c r="D945" s="2" t="str">
        <f>IFERROR(__xludf.DUMMYFUNCTION("""COMPUTED_VALUE"""),"घर का खाद्य पदार्थ")</f>
        <v>घर का खाद्य पदार्थ</v>
      </c>
      <c r="E945" s="2" t="str">
        <f>IFERROR(__xludf.DUMMYFUNCTION("""COMPUTED_VALUE"""),"ಮನೆ ಆಹಾರಗಳು")</f>
        <v>ಮನೆ ಆಹಾರಗಳು</v>
      </c>
      <c r="F945" s="2" t="str">
        <f>IFERROR(__xludf.DUMMYFUNCTION("""COMPUTED_VALUE"""),"ଗୃହ ଖାଦ୍ୟ")</f>
        <v>ଗୃହ ଖାଦ୍ୟ</v>
      </c>
      <c r="G945" s="2" t="str">
        <f>IFERROR(__xludf.DUMMYFUNCTION("""COMPUTED_VALUE"""),"ঘৰুৱা খাদ্য")</f>
        <v>ঘৰুৱা খাদ্য</v>
      </c>
      <c r="H945" s="2" t="str">
        <f>IFERROR(__xludf.DUMMYFUNCTION("""COMPUTED_VALUE"""),"ગૃહ ખોરાક")</f>
        <v>ગૃહ ખોરાક</v>
      </c>
      <c r="I945" s="2" t="str">
        <f>IFERROR(__xludf.DUMMYFUNCTION("""COMPUTED_VALUE"""),"होम फूड्स")</f>
        <v>होम फूड्स</v>
      </c>
      <c r="J945" s="2" t="str">
        <f>IFERROR(__xludf.DUMMYFUNCTION("""COMPUTED_VALUE"""),"ഹോം ഫുഡുകൾ")</f>
        <v>ഹോം ഫുഡുകൾ</v>
      </c>
      <c r="K945" s="2" t="str">
        <f>IFERROR(__xludf.DUMMYFUNCTION("""COMPUTED_VALUE"""),"ਘਰ ਦੇ ਭੋਜਨ")</f>
        <v>ਘਰ ਦੇ ਭੋਜਨ</v>
      </c>
      <c r="L945" s="2" t="str">
        <f>IFERROR(__xludf.DUMMYFUNCTION("""COMPUTED_VALUE"""),"வீட்டு உணவுகள்")</f>
        <v>வீட்டு உணவுகள்</v>
      </c>
      <c r="M945" s="2" t="str">
        <f>IFERROR(__xludf.DUMMYFUNCTION("""COMPUTED_VALUE"""),"ఇంటి ఆహారాలు")</f>
        <v>ఇంటి ఆహారాలు</v>
      </c>
    </row>
    <row r="946">
      <c r="A946" s="2" t="str">
        <f>Master_en!A946</f>
        <v>Pet Foods</v>
      </c>
      <c r="B946" s="2" t="str">
        <f>Master_en!B946</f>
        <v>Pet Foods</v>
      </c>
      <c r="C946" s="2" t="str">
        <f>IFERROR(__xludf.DUMMYFUNCTION("""COMPUTED_VALUE"""),"পোষা খাবার")</f>
        <v>পোষা খাবার</v>
      </c>
      <c r="D946" s="2" t="str">
        <f>IFERROR(__xludf.DUMMYFUNCTION("""COMPUTED_VALUE"""),"पालतू खाद्य पदार्थ")</f>
        <v>पालतू खाद्य पदार्थ</v>
      </c>
      <c r="E946" s="2" t="str">
        <f>IFERROR(__xludf.DUMMYFUNCTION("""COMPUTED_VALUE"""),"ಸಾಕು ಆಹಾರಗಳು")</f>
        <v>ಸಾಕು ಆಹಾರಗಳು</v>
      </c>
      <c r="F946" s="2" t="str">
        <f>IFERROR(__xludf.DUMMYFUNCTION("""COMPUTED_VALUE"""),"ଗୃହପାଳିତ ପଶୁ ଖାଦ୍ୟ")</f>
        <v>ଗୃହପାଳିତ ପଶୁ ଖାଦ୍ୟ</v>
      </c>
      <c r="G946" s="2" t="str">
        <f>IFERROR(__xludf.DUMMYFUNCTION("""COMPUTED_VALUE"""),"পোহনীয়া জন্তুৰ খাদ্য")</f>
        <v>পোহনীয়া জন্তুৰ খাদ্য</v>
      </c>
      <c r="H946" s="2" t="str">
        <f>IFERROR(__xludf.DUMMYFUNCTION("""COMPUTED_VALUE"""),"પાળતુ પ્રાણી")</f>
        <v>પાળતુ પ્રાણી</v>
      </c>
      <c r="I946" s="2" t="str">
        <f>IFERROR(__xludf.DUMMYFUNCTION("""COMPUTED_VALUE"""),"पाळीव प्राणी पदार्थ")</f>
        <v>पाळीव प्राणी पदार्थ</v>
      </c>
      <c r="J946" s="2" t="str">
        <f>IFERROR(__xludf.DUMMYFUNCTION("""COMPUTED_VALUE"""),"വളർത്തുമൃഗങ്ങളുടെ ഭക്ഷണങ്ങൾ")</f>
        <v>വളർത്തുമൃഗങ്ങളുടെ ഭക്ഷണങ്ങൾ</v>
      </c>
      <c r="K946" s="2" t="str">
        <f>IFERROR(__xludf.DUMMYFUNCTION("""COMPUTED_VALUE"""),"ਪਾਲਤੂ ਭੋਜਨ")</f>
        <v>ਪਾਲਤੂ ਭੋਜਨ</v>
      </c>
      <c r="L946" s="2" t="str">
        <f>IFERROR(__xludf.DUMMYFUNCTION("""COMPUTED_VALUE"""),"செல்லப்பிராணி உணவுகள்")</f>
        <v>செல்லப்பிராணி உணவுகள்</v>
      </c>
      <c r="M946" s="2" t="str">
        <f>IFERROR(__xludf.DUMMYFUNCTION("""COMPUTED_VALUE"""),"పెంపుడు ఆహారాలు")</f>
        <v>పెంపుడు ఆహారాలు</v>
      </c>
    </row>
    <row r="947">
      <c r="A947" s="2" t="str">
        <f>Master_en!A947</f>
        <v>Veg/Non-Veg</v>
      </c>
      <c r="B947" s="2" t="str">
        <f>Master_en!B947</f>
        <v>Veg/Non-Veg</v>
      </c>
      <c r="C947" s="2" t="str">
        <f>IFERROR(__xludf.DUMMYFUNCTION("""COMPUTED_VALUE"""),"Veg/non veg")</f>
        <v>Veg/non veg</v>
      </c>
      <c r="D947" s="2" t="str">
        <f>IFERROR(__xludf.DUMMYFUNCTION("""COMPUTED_VALUE"""),"शाकाहारी")</f>
        <v>शाकाहारी</v>
      </c>
      <c r="E947" s="2" t="str">
        <f>IFERROR(__xludf.DUMMYFUNCTION("""COMPUTED_VALUE"""),"ಸಸ್ಯಾಹಾರಿ/ಸಸ್ಯಾಹಾರಿ")</f>
        <v>ಸಸ್ಯಾಹಾರಿ/ಸಸ್ಯಾಹಾರಿ</v>
      </c>
      <c r="F947" s="2" t="str">
        <f>IFERROR(__xludf.DUMMYFUNCTION("""COMPUTED_VALUE"""),"ଭେଜି / ଅଣ-ଭେଗ୍ |")</f>
        <v>ଭେଜି / ଅଣ-ଭେଗ୍ |</v>
      </c>
      <c r="G947" s="2" t="str">
        <f>IFERROR(__xludf.DUMMYFUNCTION("""COMPUTED_VALUE"""),"ভেজ/নন-ভেজ")</f>
        <v>ভেজ/নন-ভেজ</v>
      </c>
      <c r="H947" s="2" t="str">
        <f>IFERROR(__xludf.DUMMYFUNCTION("""COMPUTED_VALUE"""),"શાકાહારી")</f>
        <v>શાકાહારી</v>
      </c>
      <c r="I947" s="2" t="str">
        <f>IFERROR(__xludf.DUMMYFUNCTION("""COMPUTED_VALUE"""),"शाकाहारी/नॉन-व्हीईजी")</f>
        <v>शाकाहारी/नॉन-व्हीईजी</v>
      </c>
      <c r="J947" s="2" t="str">
        <f>IFERROR(__xludf.DUMMYFUNCTION("""COMPUTED_VALUE"""),"വെജ് / നോൺ-വെജിറ്റ്")</f>
        <v>വെജ് / നോൺ-വെജിറ്റ്</v>
      </c>
      <c r="K947" s="2" t="str">
        <f>IFERROR(__xludf.DUMMYFUNCTION("""COMPUTED_VALUE"""),"ਸ਼ਾਕਾਹਾਰੀ / ਗੈਰ-ਸ਼ਾਕਾਹਾਰੀ")</f>
        <v>ਸ਼ਾਕਾਹਾਰੀ / ਗੈਰ-ਸ਼ਾਕਾਹਾਰੀ</v>
      </c>
      <c r="L947" s="2" t="str">
        <f>IFERROR(__xludf.DUMMYFUNCTION("""COMPUTED_VALUE"""),"சைவம்/அசைவம்")</f>
        <v>சைவம்/அசைவம்</v>
      </c>
      <c r="M947" s="2" t="str">
        <f>IFERROR(__xludf.DUMMYFUNCTION("""COMPUTED_VALUE"""),"వెజ్/నాన్-వెజ్")</f>
        <v>వెజ్/నాన్-వెజ్</v>
      </c>
    </row>
    <row r="948">
      <c r="A948" s="2" t="str">
        <f>Master_en!A948</f>
        <v>Vegetable Shops</v>
      </c>
      <c r="B948" s="2" t="str">
        <f>Master_en!B948</f>
        <v>Vegetable Shops</v>
      </c>
      <c r="C948" s="2" t="str">
        <f>IFERROR(__xludf.DUMMYFUNCTION("""COMPUTED_VALUE"""),"উদ্ভিজ্জ দোকান")</f>
        <v>উদ্ভিজ্জ দোকান</v>
      </c>
      <c r="D948" s="2" t="str">
        <f>IFERROR(__xludf.DUMMYFUNCTION("""COMPUTED_VALUE"""),"सब्जी की दुकानें")</f>
        <v>सब्जी की दुकानें</v>
      </c>
      <c r="E948" s="2" t="str">
        <f>IFERROR(__xludf.DUMMYFUNCTION("""COMPUTED_VALUE"""),"ತರಕಾರಿ ಅಂಗಡಿಗಳು")</f>
        <v>ತರಕಾರಿ ಅಂಗಡಿಗಳು</v>
      </c>
      <c r="F948" s="2" t="str">
        <f>IFERROR(__xludf.DUMMYFUNCTION("""COMPUTED_VALUE"""),"ପନିପରିବା ଦୋକାନ |")</f>
        <v>ପନିପରିବା ଦୋକାନ |</v>
      </c>
      <c r="G948" s="2" t="str">
        <f>IFERROR(__xludf.DUMMYFUNCTION("""COMPUTED_VALUE"""),"শাক-পাচলিৰ দোকান")</f>
        <v>শাক-পাচলিৰ দোকান</v>
      </c>
      <c r="H948" s="2" t="str">
        <f>IFERROR(__xludf.DUMMYFUNCTION("""COMPUTED_VALUE"""),"વનસ્પતિની દુકાન")</f>
        <v>વનસ્પતિની દુકાન</v>
      </c>
      <c r="I948" s="2" t="str">
        <f>IFERROR(__xludf.DUMMYFUNCTION("""COMPUTED_VALUE"""),"भाजीपाला दुकाने")</f>
        <v>भाजीपाला दुकाने</v>
      </c>
      <c r="J948" s="2" t="str">
        <f>IFERROR(__xludf.DUMMYFUNCTION("""COMPUTED_VALUE"""),"പച്ചക്കറി ഷോപ്പുകൾ")</f>
        <v>പച്ചക്കറി ഷോപ്പുകൾ</v>
      </c>
      <c r="K948" s="2" t="str">
        <f>IFERROR(__xludf.DUMMYFUNCTION("""COMPUTED_VALUE"""),"ਸਬਜ਼ੀਆਂ ਦੀਆਂ ਦੁਕਾਨਾਂ")</f>
        <v>ਸਬਜ਼ੀਆਂ ਦੀਆਂ ਦੁਕਾਨਾਂ</v>
      </c>
      <c r="L948" s="2" t="str">
        <f>IFERROR(__xludf.DUMMYFUNCTION("""COMPUTED_VALUE"""),"காய்கறி கடைகள்")</f>
        <v>காய்கறி கடைகள்</v>
      </c>
      <c r="M948" s="2" t="str">
        <f>IFERROR(__xludf.DUMMYFUNCTION("""COMPUTED_VALUE"""),"కూరగాయల దుకాణాలు")</f>
        <v>కూరగాయల దుకాణాలు</v>
      </c>
    </row>
    <row r="949">
      <c r="A949" s="2" t="str">
        <f>Master_en!A949</f>
        <v>Fish Shops</v>
      </c>
      <c r="B949" s="2" t="str">
        <f>Master_en!B949</f>
        <v>Fish Shops</v>
      </c>
      <c r="C949" s="2" t="str">
        <f>IFERROR(__xludf.DUMMYFUNCTION("""COMPUTED_VALUE"""),"ফিশ শপস")</f>
        <v>ফিশ শপস</v>
      </c>
      <c r="D949" s="2" t="str">
        <f>IFERROR(__xludf.DUMMYFUNCTION("""COMPUTED_VALUE"""),"मछली की दुकानें")</f>
        <v>मछली की दुकानें</v>
      </c>
      <c r="E949" s="2" t="str">
        <f>IFERROR(__xludf.DUMMYFUNCTION("""COMPUTED_VALUE"""),"ಮೀನು ಅಂಗಡಿಗಳು")</f>
        <v>ಮೀನು ಅಂಗಡಿಗಳು</v>
      </c>
      <c r="F949" s="2" t="str">
        <f>IFERROR(__xludf.DUMMYFUNCTION("""COMPUTED_VALUE"""),"ମାଛ ଦୋକାନଗୁଡିକ |")</f>
        <v>ମାଛ ଦୋକାନଗୁଡିକ |</v>
      </c>
      <c r="G949" s="2" t="str">
        <f>IFERROR(__xludf.DUMMYFUNCTION("""COMPUTED_VALUE"""),"মাছৰ দোকান")</f>
        <v>মাছৰ দোকান</v>
      </c>
      <c r="H949" s="2" t="str">
        <f>IFERROR(__xludf.DUMMYFUNCTION("""COMPUTED_VALUE"""),"મત્સ્ય -દુકાન")</f>
        <v>મત્સ્ય -દુકાન</v>
      </c>
      <c r="I949" s="2" t="str">
        <f>IFERROR(__xludf.DUMMYFUNCTION("""COMPUTED_VALUE"""),"फिश शॉप्स")</f>
        <v>फिश शॉप्स</v>
      </c>
      <c r="J949" s="2" t="str">
        <f>IFERROR(__xludf.DUMMYFUNCTION("""COMPUTED_VALUE"""),"മീഷ് ഷോപ്പുകൾ")</f>
        <v>മീഷ് ഷോപ്പുകൾ</v>
      </c>
      <c r="K949" s="2" t="str">
        <f>IFERROR(__xludf.DUMMYFUNCTION("""COMPUTED_VALUE"""),"ਮੱਛੀ ਦੀਆਂ ਦੁਕਾਨਾਂ")</f>
        <v>ਮੱਛੀ ਦੀਆਂ ਦੁਕਾਨਾਂ</v>
      </c>
      <c r="L949" s="2" t="str">
        <f>IFERROR(__xludf.DUMMYFUNCTION("""COMPUTED_VALUE"""),"மீன் கடைகள்")</f>
        <v>மீன் கடைகள்</v>
      </c>
      <c r="M949" s="2" t="str">
        <f>IFERROR(__xludf.DUMMYFUNCTION("""COMPUTED_VALUE"""),"చేపల దుకాణాలు")</f>
        <v>చేపల దుకాణాలు</v>
      </c>
    </row>
    <row r="950">
      <c r="A950" s="2" t="str">
        <f>Master_en!A950</f>
        <v>Restaurant Shops</v>
      </c>
      <c r="B950" s="2" t="str">
        <f>Master_en!B950</f>
        <v>Restaurant Shops</v>
      </c>
      <c r="C950" s="2" t="str">
        <f>IFERROR(__xludf.DUMMYFUNCTION("""COMPUTED_VALUE"""),"রেস্তোঁরা দোকান")</f>
        <v>রেস্তোঁরা দোকান</v>
      </c>
      <c r="D950" s="2" t="str">
        <f>IFERROR(__xludf.DUMMYFUNCTION("""COMPUTED_VALUE"""),"रेस्तरां की दुकानें")</f>
        <v>रेस्तरां की दुकानें</v>
      </c>
      <c r="E950" s="2" t="str">
        <f>IFERROR(__xludf.DUMMYFUNCTION("""COMPUTED_VALUE"""),"ರೆಸ್ಟೋರೆಸ್ ಅಂಗಡಿಗಳು")</f>
        <v>ರೆಸ್ಟೋರೆಸ್ ಅಂಗಡಿಗಳು</v>
      </c>
      <c r="F950" s="2" t="str">
        <f>IFERROR(__xludf.DUMMYFUNCTION("""COMPUTED_VALUE"""),"ରେଷ୍ଟୁରାଣ୍ଟ ଦୋକାନଗୁଡିକ |")</f>
        <v>ରେଷ୍ଟୁରାଣ୍ଟ ଦୋକାନଗୁଡିକ |</v>
      </c>
      <c r="G950" s="2" t="str">
        <f>IFERROR(__xludf.DUMMYFUNCTION("""COMPUTED_VALUE"""),"ৰেষ্টুৰেণ্টৰ দোকান")</f>
        <v>ৰেষ্টুৰেণ্টৰ দোকান</v>
      </c>
      <c r="H950" s="2" t="str">
        <f>IFERROR(__xludf.DUMMYFUNCTION("""COMPUTED_VALUE"""),"રેસ્ટોરાં")</f>
        <v>રેસ્ટોરાં</v>
      </c>
      <c r="I950" s="2" t="str">
        <f>IFERROR(__xludf.DUMMYFUNCTION("""COMPUTED_VALUE"""),"रेस्टॉरंट शॉप्स")</f>
        <v>रेस्टॉरंट शॉप्स</v>
      </c>
      <c r="J950" s="2" t="str">
        <f>IFERROR(__xludf.DUMMYFUNCTION("""COMPUTED_VALUE"""),"റെസ്റ്റോറന്റ് ഷോപ്പുകൾ")</f>
        <v>റെസ്റ്റോറന്റ് ഷോപ്പുകൾ</v>
      </c>
      <c r="K950" s="2" t="str">
        <f>IFERROR(__xludf.DUMMYFUNCTION("""COMPUTED_VALUE"""),"ਰੈਸਟੋਰੈਂਟ ਦੁਕਾਨਾਂ")</f>
        <v>ਰੈਸਟੋਰੈਂਟ ਦੁਕਾਨਾਂ</v>
      </c>
      <c r="L950" s="2" t="str">
        <f>IFERROR(__xludf.DUMMYFUNCTION("""COMPUTED_VALUE"""),"உணவக கடைகள்")</f>
        <v>உணவக கடைகள்</v>
      </c>
      <c r="M950" s="2" t="str">
        <f>IFERROR(__xludf.DUMMYFUNCTION("""COMPUTED_VALUE"""),"రెస్టారెంట్ షాపులు")</f>
        <v>రెస్టారెంట్ షాపులు</v>
      </c>
    </row>
    <row r="951">
      <c r="A951" s="2" t="str">
        <f>Master_en!A951</f>
        <v>Flowers Shops</v>
      </c>
      <c r="B951" s="2" t="str">
        <f>Master_en!B951</f>
        <v>Flowers Shops</v>
      </c>
      <c r="C951" s="2" t="str">
        <f>IFERROR(__xludf.DUMMYFUNCTION("""COMPUTED_VALUE"""),"ফুলের দোকান")</f>
        <v>ফুলের দোকান</v>
      </c>
      <c r="D951" s="2" t="str">
        <f>IFERROR(__xludf.DUMMYFUNCTION("""COMPUTED_VALUE"""),"फूलों की दुकानें")</f>
        <v>फूलों की दुकानें</v>
      </c>
      <c r="E951" s="2" t="str">
        <f>IFERROR(__xludf.DUMMYFUNCTION("""COMPUTED_VALUE"""),"ಹೂಗಳ ಅಂಗಡಿಗಳು")</f>
        <v>ಹೂಗಳ ಅಂಗಡಿಗಳು</v>
      </c>
      <c r="F951" s="2" t="str">
        <f>IFERROR(__xludf.DUMMYFUNCTION("""COMPUTED_VALUE"""),"ଫୁଲ ଦୋକାନଗୁଡିକ |")</f>
        <v>ଫୁଲ ଦୋକାନଗୁଡିକ |</v>
      </c>
      <c r="G951" s="2" t="str">
        <f>IFERROR(__xludf.DUMMYFUNCTION("""COMPUTED_VALUE"""),"ফুলৰ দোকান")</f>
        <v>ফুলৰ দোকান</v>
      </c>
      <c r="H951" s="2" t="str">
        <f>IFERROR(__xludf.DUMMYFUNCTION("""COMPUTED_VALUE"""),"ફૂલોની દુકાન")</f>
        <v>ફૂલોની દુકાન</v>
      </c>
      <c r="I951" s="2" t="str">
        <f>IFERROR(__xludf.DUMMYFUNCTION("""COMPUTED_VALUE"""),"फुलांची दुकाने")</f>
        <v>फुलांची दुकाने</v>
      </c>
      <c r="J951" s="2" t="str">
        <f>IFERROR(__xludf.DUMMYFUNCTION("""COMPUTED_VALUE"""),"പൂക്കൾ കടകൾ")</f>
        <v>പൂക്കൾ കടകൾ</v>
      </c>
      <c r="K951" s="2" t="str">
        <f>IFERROR(__xludf.DUMMYFUNCTION("""COMPUTED_VALUE"""),"ਫੁੱਲ ਦੁਕਾਨਾਂ")</f>
        <v>ਫੁੱਲ ਦੁਕਾਨਾਂ</v>
      </c>
      <c r="L951" s="2" t="str">
        <f>IFERROR(__xludf.DUMMYFUNCTION("""COMPUTED_VALUE"""),"மலர்கள் கடைகள்")</f>
        <v>மலர்கள் கடைகள்</v>
      </c>
      <c r="M951" s="2" t="str">
        <f>IFERROR(__xludf.DUMMYFUNCTION("""COMPUTED_VALUE"""),"పువ్వుల దుకాణాలు")</f>
        <v>పువ్వుల దుకాణాలు</v>
      </c>
    </row>
    <row r="952">
      <c r="A952" s="2" t="str">
        <f>Master_en!A952</f>
        <v>Bakery Shops</v>
      </c>
      <c r="B952" s="2" t="str">
        <f>Master_en!B952</f>
        <v>Bakery Shops</v>
      </c>
      <c r="C952" s="2" t="str">
        <f>IFERROR(__xludf.DUMMYFUNCTION("""COMPUTED_VALUE"""),"বেকারি শপ")</f>
        <v>বেকারি শপ</v>
      </c>
      <c r="D952" s="2" t="str">
        <f>IFERROR(__xludf.DUMMYFUNCTION("""COMPUTED_VALUE"""),"बेकरी की दुकानें")</f>
        <v>बेकरी की दुकानें</v>
      </c>
      <c r="E952" s="2" t="str">
        <f>IFERROR(__xludf.DUMMYFUNCTION("""COMPUTED_VALUE"""),"ಬೇಕರಿ ಅಂಗಡಿಗಳು")</f>
        <v>ಬೇಕರಿ ಅಂಗಡಿಗಳು</v>
      </c>
      <c r="F952" s="2" t="str">
        <f>IFERROR(__xludf.DUMMYFUNCTION("""COMPUTED_VALUE"""),"ବେକେରୀ ଦୋକାନ |")</f>
        <v>ବେକେରୀ ଦୋକାନ |</v>
      </c>
      <c r="G952" s="2" t="str">
        <f>IFERROR(__xludf.DUMMYFUNCTION("""COMPUTED_VALUE"""),"বেকাৰী দোকান")</f>
        <v>বেকাৰী দোকান</v>
      </c>
      <c r="H952" s="2" t="str">
        <f>IFERROR(__xludf.DUMMYFUNCTION("""COMPUTED_VALUE"""),"બેકરીની દુકાન")</f>
        <v>બેકરીની દુકાન</v>
      </c>
      <c r="I952" s="2" t="str">
        <f>IFERROR(__xludf.DUMMYFUNCTION("""COMPUTED_VALUE"""),"बेकरी दुकाने")</f>
        <v>बेकरी दुकाने</v>
      </c>
      <c r="J952" s="2" t="str">
        <f>IFERROR(__xludf.DUMMYFUNCTION("""COMPUTED_VALUE"""),"ബേക്കറി ഷോപ്പുകൾ")</f>
        <v>ബേക്കറി ഷോപ്പുകൾ</v>
      </c>
      <c r="K952" s="2" t="str">
        <f>IFERROR(__xludf.DUMMYFUNCTION("""COMPUTED_VALUE"""),"ਬੇਕਰੀ ਦੁਕਾਨਾਂ")</f>
        <v>ਬੇਕਰੀ ਦੁਕਾਨਾਂ</v>
      </c>
      <c r="L952" s="2" t="str">
        <f>IFERROR(__xludf.DUMMYFUNCTION("""COMPUTED_VALUE"""),"பேக்கரி கடைகள்")</f>
        <v>பேக்கரி கடைகள்</v>
      </c>
      <c r="M952" s="2" t="str">
        <f>IFERROR(__xludf.DUMMYFUNCTION("""COMPUTED_VALUE"""),"బేకరీ షాపులు")</f>
        <v>బేకరీ షాపులు</v>
      </c>
    </row>
    <row r="953">
      <c r="A953" s="2" t="str">
        <f>Master_en!A953</f>
        <v>Fruits Shops</v>
      </c>
      <c r="B953" s="2" t="str">
        <f>Master_en!B953</f>
        <v>Fruits Shops</v>
      </c>
      <c r="C953" s="2" t="str">
        <f>IFERROR(__xludf.DUMMYFUNCTION("""COMPUTED_VALUE"""),"ফলের দোকান")</f>
        <v>ফলের দোকান</v>
      </c>
      <c r="D953" s="2" t="str">
        <f>IFERROR(__xludf.DUMMYFUNCTION("""COMPUTED_VALUE"""),"फलों की दुकानें")</f>
        <v>फलों की दुकानें</v>
      </c>
      <c r="E953" s="2" t="str">
        <f>IFERROR(__xludf.DUMMYFUNCTION("""COMPUTED_VALUE"""),"ಹಣ್ಣುಗಳ ಅಂಗಡಿಗಳು")</f>
        <v>ಹಣ್ಣುಗಳ ಅಂಗಡಿಗಳು</v>
      </c>
      <c r="F953" s="2" t="str">
        <f>IFERROR(__xludf.DUMMYFUNCTION("""COMPUTED_VALUE"""),"ଫଳ ଦୋକାନଗୁଡିକ")</f>
        <v>ଫଳ ଦୋକାନଗୁଡିକ</v>
      </c>
      <c r="G953" s="2" t="str">
        <f>IFERROR(__xludf.DUMMYFUNCTION("""COMPUTED_VALUE"""),"ফলৰ দোকান")</f>
        <v>ফলৰ দোকান</v>
      </c>
      <c r="H953" s="2" t="str">
        <f>IFERROR(__xludf.DUMMYFUNCTION("""COMPUTED_VALUE"""),"ફળ")</f>
        <v>ફળ</v>
      </c>
      <c r="I953" s="2" t="str">
        <f>IFERROR(__xludf.DUMMYFUNCTION("""COMPUTED_VALUE"""),"फळे दुकाने")</f>
        <v>फळे दुकाने</v>
      </c>
      <c r="J953" s="2" t="str">
        <f>IFERROR(__xludf.DUMMYFUNCTION("""COMPUTED_VALUE"""),"പഴങ്ങൾ കടകൾ")</f>
        <v>പഴങ്ങൾ കടകൾ</v>
      </c>
      <c r="K953" s="2" t="str">
        <f>IFERROR(__xludf.DUMMYFUNCTION("""COMPUTED_VALUE"""),"ਫਲ ਦੁਕਾਨਾਂ")</f>
        <v>ਫਲ ਦੁਕਾਨਾਂ</v>
      </c>
      <c r="L953" s="2" t="str">
        <f>IFERROR(__xludf.DUMMYFUNCTION("""COMPUTED_VALUE"""),"பழங்கள் கடைகள்")</f>
        <v>பழங்கள் கடைகள்</v>
      </c>
      <c r="M953" s="2" t="str">
        <f>IFERROR(__xludf.DUMMYFUNCTION("""COMPUTED_VALUE"""),"పండ్ల దుకాణాలు")</f>
        <v>పండ్ల దుకాణాలు</v>
      </c>
    </row>
    <row r="954">
      <c r="A954" s="2" t="str">
        <f>Master_en!A954</f>
        <v>Meat Shops</v>
      </c>
      <c r="B954" s="2" t="str">
        <f>Master_en!B954</f>
        <v>Meat Shops</v>
      </c>
      <c r="C954" s="2" t="str">
        <f>IFERROR(__xludf.DUMMYFUNCTION("""COMPUTED_VALUE"""),"মাংসের দোকান")</f>
        <v>মাংসের দোকান</v>
      </c>
      <c r="D954" s="2" t="str">
        <f>IFERROR(__xludf.DUMMYFUNCTION("""COMPUTED_VALUE"""),"मांस की दुकानें")</f>
        <v>मांस की दुकानें</v>
      </c>
      <c r="E954" s="2" t="str">
        <f>IFERROR(__xludf.DUMMYFUNCTION("""COMPUTED_VALUE"""),"ಮಾಂಸದ ಅಂಗಡಿಗಳು")</f>
        <v>ಮಾಂಸದ ಅಂಗಡಿಗಳು</v>
      </c>
      <c r="F954" s="2" t="str">
        <f>IFERROR(__xludf.DUMMYFUNCTION("""COMPUTED_VALUE"""),"ମାଂସ ଦୋକାନଗୁଡ଼ିକ")</f>
        <v>ମାଂସ ଦୋକାନଗୁଡ଼ିକ</v>
      </c>
      <c r="G954" s="2" t="str">
        <f>IFERROR(__xludf.DUMMYFUNCTION("""COMPUTED_VALUE"""),"মাংসৰ দোকান")</f>
        <v>মাংসৰ দোকান</v>
      </c>
      <c r="H954" s="2" t="str">
        <f>IFERROR(__xludf.DUMMYFUNCTION("""COMPUTED_VALUE"""),"માંસની દુકાન")</f>
        <v>માંસની દુકાન</v>
      </c>
      <c r="I954" s="2" t="str">
        <f>IFERROR(__xludf.DUMMYFUNCTION("""COMPUTED_VALUE"""),"मांसाची दुकाने")</f>
        <v>मांसाची दुकाने</v>
      </c>
      <c r="J954" s="2" t="str">
        <f>IFERROR(__xludf.DUMMYFUNCTION("""COMPUTED_VALUE"""),"ഇറച്ചി ഷോപ്പുകൾ")</f>
        <v>ഇറച്ചി ഷോപ്പുകൾ</v>
      </c>
      <c r="K954" s="2" t="str">
        <f>IFERROR(__xludf.DUMMYFUNCTION("""COMPUTED_VALUE"""),"ਮੀਟ ਦੀਆਂ ਦੁਕਾਨਾਂ")</f>
        <v>ਮੀਟ ਦੀਆਂ ਦੁਕਾਨਾਂ</v>
      </c>
      <c r="L954" s="2" t="str">
        <f>IFERROR(__xludf.DUMMYFUNCTION("""COMPUTED_VALUE"""),"இறைச்சி கடைகள்")</f>
        <v>இறைச்சி கடைகள்</v>
      </c>
      <c r="M954" s="2" t="str">
        <f>IFERROR(__xludf.DUMMYFUNCTION("""COMPUTED_VALUE"""),"మాంసం షాపులు")</f>
        <v>మాంసం షాపులు</v>
      </c>
    </row>
    <row r="955">
      <c r="A955" s="2" t="str">
        <f>Master_en!A955</f>
        <v>GroceryShops</v>
      </c>
      <c r="B955" s="2" t="str">
        <f>Master_en!B955</f>
        <v>Grocery Shops</v>
      </c>
      <c r="C955" s="2" t="str">
        <f>IFERROR(__xludf.DUMMYFUNCTION("""COMPUTED_VALUE"""),"মুদি দোকান")</f>
        <v>মুদি দোকান</v>
      </c>
      <c r="D955" s="2" t="str">
        <f>IFERROR(__xludf.DUMMYFUNCTION("""COMPUTED_VALUE"""),"किराने की दुकानें")</f>
        <v>किराने की दुकानें</v>
      </c>
      <c r="E955" s="2" t="str">
        <f>IFERROR(__xludf.DUMMYFUNCTION("""COMPUTED_VALUE"""),"ಕಿರಾಣಿ ಅಂಗಡಿಗಳು")</f>
        <v>ಕಿರಾಣಿ ಅಂಗಡಿಗಳು</v>
      </c>
      <c r="F955" s="2" t="str">
        <f>IFERROR(__xludf.DUMMYFUNCTION("""COMPUTED_VALUE"""),"କିରାଣି ଦୋକାନଗୁଡିକ |")</f>
        <v>କିରାଣି ଦୋକାନଗୁଡିକ |</v>
      </c>
      <c r="G955" s="2" t="str">
        <f>IFERROR(__xludf.DUMMYFUNCTION("""COMPUTED_VALUE"""),"গেলামালৰ দোকান")</f>
        <v>গেলামালৰ দোকান</v>
      </c>
      <c r="H955" s="2" t="str">
        <f>IFERROR(__xludf.DUMMYFUNCTION("""COMPUTED_VALUE"""),"કરિયાણાની દુકાન")</f>
        <v>કરિયાણાની દુકાન</v>
      </c>
      <c r="I955" s="2" t="str">
        <f>IFERROR(__xludf.DUMMYFUNCTION("""COMPUTED_VALUE"""),"किराणा दुकान")</f>
        <v>किराणा दुकान</v>
      </c>
      <c r="J955" s="2" t="str">
        <f>IFERROR(__xludf.DUMMYFUNCTION("""COMPUTED_VALUE"""),"പലചരക്ക് കടകൾ")</f>
        <v>പലചരക്ക് കടകൾ</v>
      </c>
      <c r="K955" s="2" t="str">
        <f>IFERROR(__xludf.DUMMYFUNCTION("""COMPUTED_VALUE"""),"ਕਰਿਆਨੇ ਦੀਆਂ ਦੁਕਾਨਾਂ")</f>
        <v>ਕਰਿਆਨੇ ਦੀਆਂ ਦੁਕਾਨਾਂ</v>
      </c>
      <c r="L955" s="2" t="str">
        <f>IFERROR(__xludf.DUMMYFUNCTION("""COMPUTED_VALUE"""),"மளிகை கடைகள்")</f>
        <v>மளிகை கடைகள்</v>
      </c>
      <c r="M955" s="2" t="str">
        <f>IFERROR(__xludf.DUMMYFUNCTION("""COMPUTED_VALUE"""),"కిరాణా దుకాణాలు")</f>
        <v>కిరాణా దుకాణాలు</v>
      </c>
    </row>
    <row r="956">
      <c r="A956" s="2" t="str">
        <f>Master_en!A956</f>
        <v>PaanShops</v>
      </c>
      <c r="B956" s="2" t="str">
        <f>Master_en!B956</f>
        <v>Paan Shops</v>
      </c>
      <c r="C956" s="2" t="str">
        <f>IFERROR(__xludf.DUMMYFUNCTION("""COMPUTED_VALUE"""),"পান দোকান")</f>
        <v>পান দোকান</v>
      </c>
      <c r="D956" s="2" t="str">
        <f>IFERROR(__xludf.DUMMYFUNCTION("""COMPUTED_VALUE"""),"पान की दुकानें")</f>
        <v>पान की दुकानें</v>
      </c>
      <c r="E956" s="2" t="str">
        <f>IFERROR(__xludf.DUMMYFUNCTION("""COMPUTED_VALUE"""),"ಪಾನ್ ಅಂಗಡಿಗಳು")</f>
        <v>ಪಾನ್ ಅಂಗಡಿಗಳು</v>
      </c>
      <c r="F956" s="2" t="str">
        <f>IFERROR(__xludf.DUMMYFUNCTION("""COMPUTED_VALUE"""),"ପାନ୍ ଦୋକାନ |")</f>
        <v>ପାନ୍ ଦୋକାନ |</v>
      </c>
      <c r="G956" s="2" t="str">
        <f>IFERROR(__xludf.DUMMYFUNCTION("""COMPUTED_VALUE"""),"পান দোকান")</f>
        <v>পান দোকান</v>
      </c>
      <c r="H956" s="2" t="str">
        <f>IFERROR(__xludf.DUMMYFUNCTION("""COMPUTED_VALUE"""),"પાન શોપ")</f>
        <v>પાન શોપ</v>
      </c>
      <c r="I956" s="2" t="str">
        <f>IFERROR(__xludf.DUMMYFUNCTION("""COMPUTED_VALUE"""),"पानची दुकाने")</f>
        <v>पानची दुकाने</v>
      </c>
      <c r="J956" s="2" t="str">
        <f>IFERROR(__xludf.DUMMYFUNCTION("""COMPUTED_VALUE"""),"പാൺ ഷോപ്പുകൾ")</f>
        <v>പാൺ ഷോപ്പുകൾ</v>
      </c>
      <c r="K956" s="2" t="str">
        <f>IFERROR(__xludf.DUMMYFUNCTION("""COMPUTED_VALUE"""),"ਪਾਨ ਦੁਕਾਨਾਂ")</f>
        <v>ਪਾਨ ਦੁਕਾਨਾਂ</v>
      </c>
      <c r="L956" s="2" t="str">
        <f>IFERROR(__xludf.DUMMYFUNCTION("""COMPUTED_VALUE"""),"பான் கடைகள்")</f>
        <v>பான் கடைகள்</v>
      </c>
      <c r="M956" s="2" t="str">
        <f>IFERROR(__xludf.DUMMYFUNCTION("""COMPUTED_VALUE"""),"పాన్ షాపులు")</f>
        <v>పాన్ షాపులు</v>
      </c>
    </row>
    <row r="957">
      <c r="A957" s="2" t="str">
        <f>Master_en!A957</f>
        <v>SweetShops</v>
      </c>
      <c r="B957" s="2" t="str">
        <f>Master_en!B957</f>
        <v>Sweet Shops</v>
      </c>
      <c r="C957" s="2" t="str">
        <f>IFERROR(__xludf.DUMMYFUNCTION("""COMPUTED_VALUE"""),"মিষ্টি দোকান")</f>
        <v>মিষ্টি দোকান</v>
      </c>
      <c r="D957" s="2" t="str">
        <f>IFERROR(__xludf.DUMMYFUNCTION("""COMPUTED_VALUE"""),"मीठी दुकानें")</f>
        <v>मीठी दुकानें</v>
      </c>
      <c r="E957" s="2" t="str">
        <f>IFERROR(__xludf.DUMMYFUNCTION("""COMPUTED_VALUE"""),"ಸಿಹಿ ಅಂಗಡಿಗಳು")</f>
        <v>ಸಿಹಿ ಅಂಗಡಿಗಳು</v>
      </c>
      <c r="F957" s="2" t="str">
        <f>IFERROR(__xludf.DUMMYFUNCTION("""COMPUTED_VALUE"""),"ମିଠା ଦୋକାନଗୁଡିକ |")</f>
        <v>ମିଠା ଦୋକାନଗୁଡିକ |</v>
      </c>
      <c r="G957" s="2" t="str">
        <f>IFERROR(__xludf.DUMMYFUNCTION("""COMPUTED_VALUE"""),"মিঠাইৰ দোকান")</f>
        <v>মিঠাইৰ দোকান</v>
      </c>
      <c r="H957" s="2" t="str">
        <f>IFERROR(__xludf.DUMMYFUNCTION("""COMPUTED_VALUE"""),"મીઠી દુકાન")</f>
        <v>મીઠી દુકાન</v>
      </c>
      <c r="I957" s="2" t="str">
        <f>IFERROR(__xludf.DUMMYFUNCTION("""COMPUTED_VALUE"""),"गोड दुकाने")</f>
        <v>गोड दुकाने</v>
      </c>
      <c r="J957" s="2" t="str">
        <f>IFERROR(__xludf.DUMMYFUNCTION("""COMPUTED_VALUE"""),"മധുരപലഹാരങ്ങൾ")</f>
        <v>മധുരപലഹാരങ്ങൾ</v>
      </c>
      <c r="K957" s="2" t="str">
        <f>IFERROR(__xludf.DUMMYFUNCTION("""COMPUTED_VALUE"""),"ਮਿੱਠੀ ਦੁਕਾਨਾਂ")</f>
        <v>ਮਿੱਠੀ ਦੁਕਾਨਾਂ</v>
      </c>
      <c r="L957" s="2" t="str">
        <f>IFERROR(__xludf.DUMMYFUNCTION("""COMPUTED_VALUE"""),"இனிப்பு கடைகள்")</f>
        <v>இனிப்பு கடைகள்</v>
      </c>
      <c r="M957" s="2" t="str">
        <f>IFERROR(__xludf.DUMMYFUNCTION("""COMPUTED_VALUE"""),"తీపి దుకాణాలు")</f>
        <v>తీపి దుకాణాలు</v>
      </c>
    </row>
    <row r="958">
      <c r="A958" s="2" t="str">
        <f>Master_en!A958</f>
        <v>HomeFoodShops</v>
      </c>
      <c r="B958" s="2" t="str">
        <f>Master_en!B958</f>
        <v>Home Food Shops</v>
      </c>
      <c r="C958" s="2" t="str">
        <f>IFERROR(__xludf.DUMMYFUNCTION("""COMPUTED_VALUE"""),"হোম ফুড শপস")</f>
        <v>হোম ফুড শপস</v>
      </c>
      <c r="D958" s="2" t="str">
        <f>IFERROR(__xludf.DUMMYFUNCTION("""COMPUTED_VALUE"""),"होम फूड शॉप्स")</f>
        <v>होम फूड शॉप्स</v>
      </c>
      <c r="E958" s="2" t="str">
        <f>IFERROR(__xludf.DUMMYFUNCTION("""COMPUTED_VALUE"""),"ಮನೆ ಆಹಾರ ಅಂಗಡಿಗಳು")</f>
        <v>ಮನೆ ಆಹಾರ ಅಂಗಡಿಗಳು</v>
      </c>
      <c r="F958" s="2" t="str">
        <f>IFERROR(__xludf.DUMMYFUNCTION("""COMPUTED_VALUE"""),"ଘରୋଇ ଖାଦ୍ୟ ଦୋକାନଗୁଡିକ |")</f>
        <v>ଘରୋଇ ଖାଦ୍ୟ ଦୋକାନଗୁଡିକ |</v>
      </c>
      <c r="G958" s="2" t="str">
        <f>IFERROR(__xludf.DUMMYFUNCTION("""COMPUTED_VALUE"""),"ঘৰুৱা খাদ্যৰ দোকান")</f>
        <v>ঘৰুৱা খাদ্যৰ দোকান</v>
      </c>
      <c r="H958" s="2" t="str">
        <f>IFERROR(__xludf.DUMMYFUNCTION("""COMPUTED_VALUE"""),"હોમ ફૂડ શોપ")</f>
        <v>હોમ ફૂડ શોપ</v>
      </c>
      <c r="I958" s="2" t="str">
        <f>IFERROR(__xludf.DUMMYFUNCTION("""COMPUTED_VALUE"""),"होम फूड शॉप्स")</f>
        <v>होम फूड शॉप्स</v>
      </c>
      <c r="J958" s="2" t="str">
        <f>IFERROR(__xludf.DUMMYFUNCTION("""COMPUTED_VALUE"""),"ഹോം ഫുഡ് ഷോപ്പുകൾ")</f>
        <v>ഹോം ഫുഡ് ഷോപ്പുകൾ</v>
      </c>
      <c r="K958" s="2" t="str">
        <f>IFERROR(__xludf.DUMMYFUNCTION("""COMPUTED_VALUE"""),"ਘਰ ਫੂਡ ਦੁਕਾਨਾਂ")</f>
        <v>ਘਰ ਫੂਡ ਦੁਕਾਨਾਂ</v>
      </c>
      <c r="L958" s="2" t="str">
        <f>IFERROR(__xludf.DUMMYFUNCTION("""COMPUTED_VALUE"""),"வீட்டு உணவு கடைகள்")</f>
        <v>வீட்டு உணவு கடைகள்</v>
      </c>
      <c r="M958" s="2" t="str">
        <f>IFERROR(__xludf.DUMMYFUNCTION("""COMPUTED_VALUE"""),"హోమ్ ఫుడ్ షాపులు")</f>
        <v>హోమ్ ఫుడ్ షాపులు</v>
      </c>
    </row>
    <row r="959">
      <c r="A959" s="2" t="str">
        <f>Master_en!A959</f>
        <v>PetFoodShops</v>
      </c>
      <c r="B959" s="2" t="str">
        <f>Master_en!B959</f>
        <v>Pet Food Shops</v>
      </c>
      <c r="C959" s="2" t="str">
        <f>IFERROR(__xludf.DUMMYFUNCTION("""COMPUTED_VALUE"""),"পোষা খাবারের দোকান")</f>
        <v>পোষা খাবারের দোকান</v>
      </c>
      <c r="D959" s="2" t="str">
        <f>IFERROR(__xludf.DUMMYFUNCTION("""COMPUTED_VALUE"""),"पालतू भोजन की दुकानें")</f>
        <v>पालतू भोजन की दुकानें</v>
      </c>
      <c r="E959" s="2" t="str">
        <f>IFERROR(__xludf.DUMMYFUNCTION("""COMPUTED_VALUE"""),"ಸಾಕು ಆಹಾರ ಅಂಗಡಿಗಳು")</f>
        <v>ಸಾಕು ಆಹಾರ ಅಂಗಡಿಗಳು</v>
      </c>
      <c r="F959" s="2" t="str">
        <f>IFERROR(__xludf.DUMMYFUNCTION("""COMPUTED_VALUE"""),"ଗୃହପାଳିତ ଖାଦ୍ୟ ଦୋକାନ |")</f>
        <v>ଗୃହପାଳିତ ଖାଦ୍ୟ ଦୋକାନ |</v>
      </c>
      <c r="G959" s="2" t="str">
        <f>IFERROR(__xludf.DUMMYFUNCTION("""COMPUTED_VALUE"""),"পোহনীয়া জন্তুৰ খাদ্যৰ দোকান")</f>
        <v>পোহনীয়া জন্তুৰ খাদ্যৰ দোকান</v>
      </c>
      <c r="H959" s="2" t="str">
        <f>IFERROR(__xludf.DUMMYFUNCTION("""COMPUTED_VALUE"""),"પાળતુ પ્રાણી")</f>
        <v>પાળતુ પ્રાણી</v>
      </c>
      <c r="I959" s="2" t="str">
        <f>IFERROR(__xludf.DUMMYFUNCTION("""COMPUTED_VALUE"""),"पाळीव प्राण्यांचे खाद्यपदार्थांची दुकाने")</f>
        <v>पाळीव प्राण्यांचे खाद्यपदार्थांची दुकाने</v>
      </c>
      <c r="J959" s="2" t="str">
        <f>IFERROR(__xludf.DUMMYFUNCTION("""COMPUTED_VALUE"""),"വളർത്തുമൃഗങ്ങളുടെ ഭക്ഷണ ഷോപ്പുകൾ")</f>
        <v>വളർത്തുമൃഗങ്ങളുടെ ഭക്ഷണ ഷോപ്പുകൾ</v>
      </c>
      <c r="K959" s="2" t="str">
        <f>IFERROR(__xludf.DUMMYFUNCTION("""COMPUTED_VALUE"""),"ਪਾਲਤੂ ਜਾਨਵਰਾਂ ਦੇ ਭੋਜਨ ਦੀਆਂ ਦੁਕਾਨਾਂ")</f>
        <v>ਪਾਲਤੂ ਜਾਨਵਰਾਂ ਦੇ ਭੋਜਨ ਦੀਆਂ ਦੁਕਾਨਾਂ</v>
      </c>
      <c r="L959" s="2" t="str">
        <f>IFERROR(__xludf.DUMMYFUNCTION("""COMPUTED_VALUE"""),"செல்லப்பிராணி உணவு கடைகள்")</f>
        <v>செல்லப்பிராணி உணவு கடைகள்</v>
      </c>
      <c r="M959" s="2" t="str">
        <f>IFERROR(__xludf.DUMMYFUNCTION("""COMPUTED_VALUE"""),"పెంపుడు ఆహార దుకాణాలు")</f>
        <v>పెంపుడు ఆహార దుకాణాలు</v>
      </c>
    </row>
    <row r="960">
      <c r="A960" s="2" t="str">
        <f>Master_en!A960</f>
        <v>Youwanttodeleteyouraccount</v>
      </c>
      <c r="B960" s="2" t="str">
        <f>Master_en!B960</f>
        <v>You want to delete your account</v>
      </c>
      <c r="C960" s="2" t="str">
        <f>IFERROR(__xludf.DUMMYFUNCTION("""COMPUTED_VALUE"""),"আপনি আপনার অ্যাকাউন্ট মুছতে চান")</f>
        <v>আপনি আপনার অ্যাকাউন্ট মুছতে চান</v>
      </c>
      <c r="D960" s="2" t="str">
        <f>IFERROR(__xludf.DUMMYFUNCTION("""COMPUTED_VALUE"""),"आप अपना खाता हटाना चाहते हैं")</f>
        <v>आप अपना खाता हटाना चाहते हैं</v>
      </c>
      <c r="E960" s="2" t="str">
        <f>IFERROR(__xludf.DUMMYFUNCTION("""COMPUTED_VALUE"""),"ನಿಮ್ಮ ಖಾತೆಯನ್ನು ಅಳಿಸಲು ನೀವು ಬಯಸುತ್ತೀರಿ")</f>
        <v>ನಿಮ್ಮ ಖಾತೆಯನ್ನು ಅಳಿಸಲು ನೀವು ಬಯಸುತ್ತೀರಿ</v>
      </c>
      <c r="F960" s="2" t="str">
        <f>IFERROR(__xludf.DUMMYFUNCTION("""COMPUTED_VALUE"""),"ଆପଣ ଆପଣଙ୍କର ଖାତା ବିଲୋପ କରିବାକୁ ଚାହୁଁଛନ୍ତି |")</f>
        <v>ଆପଣ ଆପଣଙ୍କର ଖାତା ବିଲୋପ କରିବାକୁ ଚାହୁଁଛନ୍ତି |</v>
      </c>
      <c r="G960" s="2" t="str">
        <f>IFERROR(__xludf.DUMMYFUNCTION("""COMPUTED_VALUE"""),"আপুনি আপোনাৰ একাউণ্টটো মচি পেলাব বিচাৰে")</f>
        <v>আপুনি আপোনাৰ একাউণ্টটো মচি পেলাব বিচাৰে</v>
      </c>
      <c r="H960" s="2" t="str">
        <f>IFERROR(__xludf.DUMMYFUNCTION("""COMPUTED_VALUE"""),"તમે તમારું એકાઉન્ટ કા delete ી નાખવા માંગો છો")</f>
        <v>તમે તમારું એકાઉન્ટ કા delete ી નાખવા માંગો છો</v>
      </c>
      <c r="I960" s="2" t="str">
        <f>IFERROR(__xludf.DUMMYFUNCTION("""COMPUTED_VALUE"""),"आपण आपले खाते हटवू इच्छित आहात")</f>
        <v>आपण आपले खाते हटवू इच्छित आहात</v>
      </c>
      <c r="J960" s="2" t="str">
        <f>IFERROR(__xludf.DUMMYFUNCTION("""COMPUTED_VALUE"""),"നിങ്ങളുടെ അക്കൗണ്ട് ഇല്ലാതാക്കാൻ നിങ്ങൾ ആഗ്രഹിക്കുന്നു")</f>
        <v>നിങ്ങളുടെ അക്കൗണ്ട് ഇല്ലാതാക്കാൻ നിങ്ങൾ ആഗ്രഹിക്കുന്നു</v>
      </c>
      <c r="K960" s="2" t="str">
        <f>IFERROR(__xludf.DUMMYFUNCTION("""COMPUTED_VALUE"""),"ਤੁਸੀਂ ਆਪਣਾ ਖਾਤਾ ਮਿਟਾਉਣਾ ਚਾਹੁੰਦੇ ਹੋ")</f>
        <v>ਤੁਸੀਂ ਆਪਣਾ ਖਾਤਾ ਮਿਟਾਉਣਾ ਚਾਹੁੰਦੇ ਹੋ</v>
      </c>
      <c r="L960" s="2" t="str">
        <f>IFERROR(__xludf.DUMMYFUNCTION("""COMPUTED_VALUE"""),"உங்கள் கணக்கை நீக்க விரும்புகிறீர்கள்")</f>
        <v>உங்கள் கணக்கை நீக்க விரும்புகிறீர்கள்</v>
      </c>
      <c r="M960" s="2" t="str">
        <f>IFERROR(__xludf.DUMMYFUNCTION("""COMPUTED_VALUE"""),"మీరు మీ ఖాతాను తొలగించాలనుకుంటున్నారు")</f>
        <v>మీరు మీ ఖాతాను తొలగించాలనుకుంటున్నారు</v>
      </c>
    </row>
    <row r="961">
      <c r="A961" s="2" t="str">
        <f>Master_en!A961</f>
        <v>AddQuantity(g/kg)</v>
      </c>
      <c r="B961" s="2" t="str">
        <f>Master_en!B961</f>
        <v>Add Quantity (g/kg)</v>
      </c>
      <c r="C961" s="2" t="str">
        <f>IFERROR(__xludf.DUMMYFUNCTION("""COMPUTED_VALUE"""),"পরিমাণ যোগ করুন (জি/কেজি)")</f>
        <v>পরিমাণ যোগ করুন (জি/কেজি)</v>
      </c>
      <c r="D961" s="2" t="str">
        <f>IFERROR(__xludf.DUMMYFUNCTION("""COMPUTED_VALUE"""),"मात्रा जोड़ें (जी/किग्रा)")</f>
        <v>मात्रा जोड़ें (जी/किग्रा)</v>
      </c>
      <c r="E961" s="2" t="str">
        <f>IFERROR(__xludf.DUMMYFUNCTION("""COMPUTED_VALUE"""),"ಪ್ರಮಾಣವನ್ನು ಸೇರಿಸಿ (ಜಿ/ಕೆಜಿ)")</f>
        <v>ಪ್ರಮಾಣವನ್ನು ಸೇರಿಸಿ (ಜಿ/ಕೆಜಿ)</v>
      </c>
      <c r="F961" s="2" t="str">
        <f>IFERROR(__xludf.DUMMYFUNCTION("""COMPUTED_VALUE"""),"ପରିମାଣ (g / kg) ଯୋଡନ୍ତୁ |")</f>
        <v>ପରିମାଣ (g / kg) ଯୋଡନ୍ତୁ |</v>
      </c>
      <c r="G961" s="2" t="str">
        <f>IFERROR(__xludf.DUMMYFUNCTION("""COMPUTED_VALUE"""),"যোগ পৰিমাণ (গ্ৰাম/কিলোগ্ৰাম)")</f>
        <v>যোগ পৰিমাণ (গ্ৰাম/কিলোগ্ৰাম)</v>
      </c>
      <c r="H961" s="2" t="str">
        <f>IFERROR(__xludf.DUMMYFUNCTION("""COMPUTED_VALUE"""),"જથ્થો ઉમેરો (જી/કિગ્રા)")</f>
        <v>જથ્થો ઉમેરો (જી/કિગ્રા)</v>
      </c>
      <c r="I961" s="2" t="str">
        <f>IFERROR(__xludf.DUMMYFUNCTION("""COMPUTED_VALUE"""),"प्रमाण जोडा (जी/किलो)")</f>
        <v>प्रमाण जोडा (जी/किलो)</v>
      </c>
      <c r="J961" s="2" t="str">
        <f>IFERROR(__xludf.DUMMYFUNCTION("""COMPUTED_VALUE"""),"അളവ് ചേർക്കുക (g / kg)")</f>
        <v>അളവ് ചേർക്കുക (g / kg)</v>
      </c>
      <c r="K961" s="2" t="str">
        <f>IFERROR(__xludf.DUMMYFUNCTION("""COMPUTED_VALUE"""),"ਮਾਤਰਾ ਸ਼ਾਮਲ ਕਰੋ (ਜੀ / ਕਿਲੋਗ੍ਰਾਮ)")</f>
        <v>ਮਾਤਰਾ ਸ਼ਾਮਲ ਕਰੋ (ਜੀ / ਕਿਲੋਗ੍ਰਾਮ)</v>
      </c>
      <c r="L961" s="2" t="str">
        <f>IFERROR(__xludf.DUMMYFUNCTION("""COMPUTED_VALUE"""),"அளவு சேர்க்கவும் (g/kg)")</f>
        <v>அளவு சேர்க்கவும் (g/kg)</v>
      </c>
      <c r="M961" s="2" t="str">
        <f>IFERROR(__xludf.DUMMYFUNCTION("""COMPUTED_VALUE"""),"పరిమాణాన్ని జోడించండి (g/kg)")</f>
        <v>పరిమాణాన్ని జోడించండి (g/kg)</v>
      </c>
    </row>
    <row r="962">
      <c r="A962" s="2" t="str">
        <f>Master_en!A962</f>
        <v>AddQuantity(Pieces/Plates)</v>
      </c>
      <c r="B962" s="2" t="str">
        <f>Master_en!B962</f>
        <v>Add Quantity (Pieces/Plates)</v>
      </c>
      <c r="C962" s="2" t="str">
        <f>IFERROR(__xludf.DUMMYFUNCTION("""COMPUTED_VALUE"""),"পরিমাণ যোগ করুন (টুকরা/প্লেট)")</f>
        <v>পরিমাণ যোগ করুন (টুকরা/প্লেট)</v>
      </c>
      <c r="D962" s="2" t="str">
        <f>IFERROR(__xludf.DUMMYFUNCTION("""COMPUTED_VALUE"""),"मात्रा (टुकड़े/प्लेट) जोड़ें")</f>
        <v>मात्रा (टुकड़े/प्लेट) जोड़ें</v>
      </c>
      <c r="E962" s="2" t="str">
        <f>IFERROR(__xludf.DUMMYFUNCTION("""COMPUTED_VALUE"""),"ಪ್ರಮಾಣವನ್ನು ಸೇರಿಸಿ (ತುಣುಕುಗಳು/ಫಲಕಗಳು)")</f>
        <v>ಪ್ರಮಾಣವನ್ನು ಸೇರಿಸಿ (ತುಣುಕುಗಳು/ಫಲಕಗಳು)</v>
      </c>
      <c r="F962" s="2" t="str">
        <f>IFERROR(__xludf.DUMMYFUNCTION("""COMPUTED_VALUE"""),"ପରିମାଣ (ଖଣ୍ଡ / ପ୍ଲେଟ୍) ଯୋଡନ୍ତୁ |")</f>
        <v>ପରିମାଣ (ଖଣ୍ଡ / ପ୍ଲେଟ୍) ଯୋଡନ୍ତୁ |</v>
      </c>
      <c r="G962" s="2" t="str">
        <f>IFERROR(__xludf.DUMMYFUNCTION("""COMPUTED_VALUE"""),"পৰিমাণ যোগ কৰক (টুকুৰা/প্লেট)")</f>
        <v>পৰিমাণ যোগ কৰক (টুকুৰা/প্লেট)</v>
      </c>
      <c r="H962" s="2" t="str">
        <f>IFERROR(__xludf.DUMMYFUNCTION("""COMPUTED_VALUE"""),"જથ્થો (ટુકડાઓ/પ્લેટો) ઉમેરો")</f>
        <v>જથ્થો (ટુકડાઓ/પ્લેટો) ઉમેરો</v>
      </c>
      <c r="I962" s="2" t="str">
        <f>IFERROR(__xludf.DUMMYFUNCTION("""COMPUTED_VALUE"""),"प्रमाण जोडा (तुकडे/प्लेट्स)")</f>
        <v>प्रमाण जोडा (तुकडे/प्लेट्स)</v>
      </c>
      <c r="J962" s="2" t="str">
        <f>IFERROR(__xludf.DUMMYFUNCTION("""COMPUTED_VALUE"""),"അളവ് ചേർക്കുക (കഷണങ്ങൾ / പ്ലേറ്റുകൾ)")</f>
        <v>അളവ് ചേർക്കുക (കഷണങ്ങൾ / പ്ലേറ്റുകൾ)</v>
      </c>
      <c r="K962" s="2" t="str">
        <f>IFERROR(__xludf.DUMMYFUNCTION("""COMPUTED_VALUE"""),"ਮਾਤਰਾ (ਟੁਕੜੇ / ਪਲੇਟਾਂ) ਸ਼ਾਮਲ ਕਰੋ")</f>
        <v>ਮਾਤਰਾ (ਟੁਕੜੇ / ਪਲੇਟਾਂ) ਸ਼ਾਮਲ ਕਰੋ</v>
      </c>
      <c r="L962" s="2" t="str">
        <f>IFERROR(__xludf.DUMMYFUNCTION("""COMPUTED_VALUE"""),"அளவைச் சேர்க்கவும் (துண்டுகள்/தட்டுகள்)")</f>
        <v>அளவைச் சேர்க்கவும் (துண்டுகள்/தட்டுகள்)</v>
      </c>
      <c r="M962" s="2" t="str">
        <f>IFERROR(__xludf.DUMMYFUNCTION("""COMPUTED_VALUE"""),"పరిమాణాన్ని జోడించండి (ముక్కలు/పలకలు)")</f>
        <v>పరిమాణాన్ని జోడించండి (ముక్కలు/పలకలు)</v>
      </c>
    </row>
    <row r="963">
      <c r="A963" s="2" t="str">
        <f>Master_en!A963</f>
        <v>AddQuantity(ml/l)</v>
      </c>
      <c r="B963" s="2" t="str">
        <f>Master_en!B963</f>
        <v>Add Quantity (ml/l)</v>
      </c>
      <c r="C963" s="2" t="str">
        <f>IFERROR(__xludf.DUMMYFUNCTION("""COMPUTED_VALUE"""),"পরিমাণ যোগ করুন (এমএল/এল)")</f>
        <v>পরিমাণ যোগ করুন (এমএল/এল)</v>
      </c>
      <c r="D963" s="2" t="str">
        <f>IFERROR(__xludf.DUMMYFUNCTION("""COMPUTED_VALUE"""),"मात्रा जोड़ें (एमएल/एल)")</f>
        <v>मात्रा जोड़ें (एमएल/एल)</v>
      </c>
      <c r="E963" s="2" t="str">
        <f>IFERROR(__xludf.DUMMYFUNCTION("""COMPUTED_VALUE"""),"ಪ್ರಮಾಣವನ್ನು ಸೇರಿಸಿ (ಎಂಎಲ್/ಎಲ್)")</f>
        <v>ಪ್ರಮಾಣವನ್ನು ಸೇರಿಸಿ (ಎಂಎಲ್/ಎಲ್)</v>
      </c>
      <c r="F963" s="2" t="str">
        <f>IFERROR(__xludf.DUMMYFUNCTION("""COMPUTED_VALUE"""),"ପରିମାଣ ଯୋଗ କରନ୍ତୁ (ML / L)")</f>
        <v>ପରିମାଣ ଯୋଗ କରନ୍ତୁ (ML / L)</v>
      </c>
      <c r="G963" s="2" t="str">
        <f>IFERROR(__xludf.DUMMYFUNCTION("""COMPUTED_VALUE"""),"যোগ পৰিমাণ (মিলিলিটাৰ/লিটাৰ)")</f>
        <v>যোগ পৰিমাণ (মিলিলিটাৰ/লিটাৰ)</v>
      </c>
      <c r="H963" s="2" t="str">
        <f>IFERROR(__xludf.DUMMYFUNCTION("""COMPUTED_VALUE"""),"જથ્થો ઉમેરો (એમએલ/એલ)")</f>
        <v>જથ્થો ઉમેરો (એમએલ/એલ)</v>
      </c>
      <c r="I963" s="2" t="str">
        <f>IFERROR(__xludf.DUMMYFUNCTION("""COMPUTED_VALUE"""),"प्रमाण जोडा (एमएल/एल)")</f>
        <v>प्रमाण जोडा (एमएल/एल)</v>
      </c>
      <c r="J963" s="2" t="str">
        <f>IFERROR(__xludf.DUMMYFUNCTION("""COMPUTED_VALUE"""),"അളവ് ചേർക്കുക (ml / l)")</f>
        <v>അളവ് ചേർക്കുക (ml / l)</v>
      </c>
      <c r="K963" s="2" t="str">
        <f>IFERROR(__xludf.DUMMYFUNCTION("""COMPUTED_VALUE"""),"ਮਾਤਰਾ ਸ਼ਾਮਲ ਕਰੋ (ਐਮ ਐਲ / ਐਲ)")</f>
        <v>ਮਾਤਰਾ ਸ਼ਾਮਲ ਕਰੋ (ਐਮ ਐਲ / ਐਲ)</v>
      </c>
      <c r="L963" s="2" t="str">
        <f>IFERROR(__xludf.DUMMYFUNCTION("""COMPUTED_VALUE"""),"அளவு சேர்க்கவும் (ML/L)")</f>
        <v>அளவு சேர்க்கவும் (ML/L)</v>
      </c>
      <c r="M963" s="2" t="str">
        <f>IFERROR(__xludf.DUMMYFUNCTION("""COMPUTED_VALUE"""),"పరిమాణాన్ని జోడించండి (ml/l)")</f>
        <v>పరిమాణాన్ని జోడించండి (ml/l)</v>
      </c>
    </row>
    <row r="964">
      <c r="A964" s="2" t="str">
        <f>Master_en!A964</f>
        <v>EnterAmount</v>
      </c>
      <c r="B964" s="2" t="str">
        <f>Master_en!B964</f>
        <v>Enter Amount</v>
      </c>
      <c r="C964" s="2" t="str">
        <f>IFERROR(__xludf.DUMMYFUNCTION("""COMPUTED_VALUE"""),"পরিমান লিখুন")</f>
        <v>পরিমান লিখুন</v>
      </c>
      <c r="D964" s="2" t="str">
        <f>IFERROR(__xludf.DUMMYFUNCTION("""COMPUTED_VALUE"""),"राशि डालें")</f>
        <v>राशि डालें</v>
      </c>
      <c r="E964" s="2" t="str">
        <f>IFERROR(__xludf.DUMMYFUNCTION("""COMPUTED_VALUE"""),"ಮೊತ್ತವನ್ನು ನಮೂದಿಸಿ")</f>
        <v>ಮೊತ್ತವನ್ನು ನಮೂದಿಸಿ</v>
      </c>
      <c r="F964" s="2" t="str">
        <f>IFERROR(__xludf.DUMMYFUNCTION("""COMPUTED_VALUE"""),"ରାଶି ପ୍ରବେଶ କରନ୍ତୁ |")</f>
        <v>ରାଶି ପ୍ରବେଶ କରନ୍ତୁ |</v>
      </c>
      <c r="G964" s="2" t="str">
        <f>IFERROR(__xludf.DUMMYFUNCTION("""COMPUTED_VALUE"""),"পৰিমাণ সুমুৱাওক")</f>
        <v>পৰিমাণ সুমুৱাওক</v>
      </c>
      <c r="H964" s="2" t="str">
        <f>IFERROR(__xludf.DUMMYFUNCTION("""COMPUTED_VALUE"""),"દાખલ રકમ")</f>
        <v>દાખલ રકમ</v>
      </c>
      <c r="I964" s="2" t="str">
        <f>IFERROR(__xludf.DUMMYFUNCTION("""COMPUTED_VALUE"""),"रक्कम प्रविष्ट करा")</f>
        <v>रक्कम प्रविष्ट करा</v>
      </c>
      <c r="J964" s="2" t="str">
        <f>IFERROR(__xludf.DUMMYFUNCTION("""COMPUTED_VALUE"""),"തുക നൽകുക")</f>
        <v>തുക നൽകുക</v>
      </c>
      <c r="K964" s="2" t="str">
        <f>IFERROR(__xludf.DUMMYFUNCTION("""COMPUTED_VALUE"""),"ਰਕਮ ਦਾਖਲ ਕਰੋ")</f>
        <v>ਰਕਮ ਦਾਖਲ ਕਰੋ</v>
      </c>
      <c r="L964" s="2" t="str">
        <f>IFERROR(__xludf.DUMMYFUNCTION("""COMPUTED_VALUE"""),"தொகையை உள்ளிடவும்")</f>
        <v>தொகையை உள்ளிடவும்</v>
      </c>
      <c r="M964" s="2" t="str">
        <f>IFERROR(__xludf.DUMMYFUNCTION("""COMPUTED_VALUE"""),"మొత్తాన్ని నమోదు చేయండి")</f>
        <v>మొత్తాన్ని నమోదు చేయండి</v>
      </c>
    </row>
    <row r="965">
      <c r="A965" s="2" t="str">
        <f>Master_en!A965</f>
        <v>Enterno.of Pcs</v>
      </c>
      <c r="B965" s="2" t="str">
        <f>Master_en!B965</f>
        <v>Enter no. of Pcs</v>
      </c>
      <c r="C965" s="2" t="str">
        <f>IFERROR(__xludf.DUMMYFUNCTION("""COMPUTED_VALUE"""),"প্রবেশ করুন। পিসি")</f>
        <v>প্রবেশ করুন। পিসি</v>
      </c>
      <c r="D965" s="2" t="str">
        <f>IFERROR(__xludf.DUMMYFUNCTION("""COMPUTED_VALUE"""),"दर्ज करें नहीं। पीसीएस का")</f>
        <v>दर्ज करें नहीं। पीसीएस का</v>
      </c>
      <c r="E965" s="2" t="str">
        <f>IFERROR(__xludf.DUMMYFUNCTION("""COMPUTED_VALUE"""),"ಸಂಖ್ಯೆ ನಮೂದಿಸಿ. ಪಿಸಿಗಳ")</f>
        <v>ಸಂಖ್ಯೆ ನಮೂದಿಸಿ. ಪಿಸಿಗಳ</v>
      </c>
      <c r="F965" s="2" t="str">
        <f>IFERROR(__xludf.DUMMYFUNCTION("""COMPUTED_VALUE"""),"ନା ପ୍ରବେଶ କର | PC ର")</f>
        <v>ନା ପ୍ରବେଶ କର | PC ର</v>
      </c>
      <c r="G965" s="2" t="str">
        <f>IFERROR(__xludf.DUMMYFUNCTION("""COMPUTED_VALUE"""),"নং লিখক। of Pcs")</f>
        <v>নং লিখক। of Pcs</v>
      </c>
      <c r="H965" s="2" t="str">
        <f>IFERROR(__xludf.DUMMYFUNCTION("""COMPUTED_VALUE"""),"નંબર દાખલ કરો. પી.સી.એસ.")</f>
        <v>નંબર દાખલ કરો. પી.સી.એસ.</v>
      </c>
      <c r="I965" s="2" t="str">
        <f>IFERROR(__xludf.DUMMYFUNCTION("""COMPUTED_VALUE"""),"क्रमांक प्रविष्ट करा. पीसी चे")</f>
        <v>क्रमांक प्रविष्ट करा. पीसी चे</v>
      </c>
      <c r="J965" s="2" t="str">
        <f>IFERROR(__xludf.DUMMYFUNCTION("""COMPUTED_VALUE"""),"ഇല്ല. പിസിഎസിന്റെ")</f>
        <v>ഇല്ല. പിസിഎസിന്റെ</v>
      </c>
      <c r="K965" s="2" t="str">
        <f>IFERROR(__xludf.DUMMYFUNCTION("""COMPUTED_VALUE"""),"ਨੰ. ਪੀਸੀ ਦੇ")</f>
        <v>ਨੰ. ਪੀਸੀ ਦੇ</v>
      </c>
      <c r="L965" s="2" t="str">
        <f>IFERROR(__xludf.DUMMYFUNCTION("""COMPUTED_VALUE"""),"துண்டுகளின் எண்ணிக்கையை உள்ளீடு ")</f>
        <v>துண்டுகளின் எண்ணிக்கையை உள்ளீடு </v>
      </c>
      <c r="M965" s="2" t="str">
        <f>IFERROR(__xludf.DUMMYFUNCTION("""COMPUTED_VALUE"""),"నమోదు చేయండి. పిసిలు")</f>
        <v>నమోదు చేయండి. పిసిలు</v>
      </c>
    </row>
    <row r="966">
      <c r="A966" s="2" t="str">
        <f>Master_en!A966</f>
        <v>Enterno.of Kgs</v>
      </c>
      <c r="B966" s="2" t="str">
        <f>Master_en!B966</f>
        <v>Enter no. of Kgs</v>
      </c>
      <c r="C966" s="2" t="str">
        <f>IFERROR(__xludf.DUMMYFUNCTION("""COMPUTED_VALUE"""),"প্রবেশ করুন। কেজি এর")</f>
        <v>প্রবেশ করুন। কেজি এর</v>
      </c>
      <c r="D966" s="2" t="str">
        <f>IFERROR(__xludf.DUMMYFUNCTION("""COMPUTED_VALUE"""),"दर्ज करें नहीं। केजीएस का")</f>
        <v>दर्ज करें नहीं। केजीएस का</v>
      </c>
      <c r="E966" s="2" t="str">
        <f>IFERROR(__xludf.DUMMYFUNCTION("""COMPUTED_VALUE"""),"ಸಂಖ್ಯೆ ನಮೂದಿಸಿ. ಕೆಜಿಎಸ್")</f>
        <v>ಸಂಖ್ಯೆ ನಮೂದಿಸಿ. ಕೆಜಿಎಸ್</v>
      </c>
      <c r="F966" s="2" t="str">
        <f>IFERROR(__xludf.DUMMYFUNCTION("""COMPUTED_VALUE"""),"ନା ପ୍ରବେଶ କର | kgs ର")</f>
        <v>ନା ପ୍ରବେଶ କର | kgs ର</v>
      </c>
      <c r="G966" s="2" t="str">
        <f>IFERROR(__xludf.DUMMYFUNCTION("""COMPUTED_VALUE"""),"নং লিখক। of Kgs")</f>
        <v>নং লিখক। of Kgs</v>
      </c>
      <c r="H966" s="2" t="str">
        <f>IFERROR(__xludf.DUMMYFUNCTION("""COMPUTED_VALUE"""),"નંબર દાખલ કરો. કિલો")</f>
        <v>નંબર દાખલ કરો. કિલો</v>
      </c>
      <c r="I966" s="2" t="str">
        <f>IFERROR(__xludf.DUMMYFUNCTION("""COMPUTED_VALUE"""),"क्रमांक प्रविष्ट करा. केजीचे")</f>
        <v>क्रमांक प्रविष्ट करा. केजीचे</v>
      </c>
      <c r="J966" s="2" t="str">
        <f>IFERROR(__xludf.DUMMYFUNCTION("""COMPUTED_VALUE"""),"ഇല്ല. കെ.ജി.എസ്")</f>
        <v>ഇല്ല. കെ.ജി.എസ്</v>
      </c>
      <c r="K966" s="2" t="str">
        <f>IFERROR(__xludf.DUMMYFUNCTION("""COMPUTED_VALUE"""),"ਨੰ. ਕਿਲਜ਼ ਦਾ")</f>
        <v>ਨੰ. ਕਿਲਜ਼ ਦਾ</v>
      </c>
      <c r="L966" s="2" t="str">
        <f>IFERROR(__xludf.DUMMYFUNCTION("""COMPUTED_VALUE"""),"கிலோகிராம் எண்ணிக்கையை உள்ளீடு ")</f>
        <v>கிலோகிராம் எண்ணிக்கையை உள்ளீடு </v>
      </c>
      <c r="M966" s="2" t="str">
        <f>IFERROR(__xludf.DUMMYFUNCTION("""COMPUTED_VALUE"""),"నమోదు చేయండి. kgs యొక్క")</f>
        <v>నమోదు చేయండి. kgs యొక్క</v>
      </c>
    </row>
    <row r="967">
      <c r="A967" s="2" t="str">
        <f>Master_en!A967</f>
        <v>Enterno. ofLtr</v>
      </c>
      <c r="B967" s="2" t="str">
        <f>Master_en!B967</f>
        <v>Enter no. of Ltr</v>
      </c>
      <c r="C967" s="2" t="str">
        <f>IFERROR(__xludf.DUMMYFUNCTION("""COMPUTED_VALUE"""),"প্রবেশ করুন। এলটিআর এর")</f>
        <v>প্রবেশ করুন। এলটিআর এর</v>
      </c>
      <c r="D967" s="2" t="str">
        <f>IFERROR(__xludf.DUMMYFUNCTION("""COMPUTED_VALUE"""),"दर्ज करें नहीं। Ltr")</f>
        <v>दर्ज करें नहीं। Ltr</v>
      </c>
      <c r="E967" s="2" t="str">
        <f>IFERROR(__xludf.DUMMYFUNCTION("""COMPUTED_VALUE"""),"ಸಂಖ್ಯೆ ನಮೂದಿಸಿ. ಎಲ್ಟಿಆರ್")</f>
        <v>ಸಂಖ್ಯೆ ನಮೂದಿಸಿ. ಎಲ್ಟಿಆರ್</v>
      </c>
      <c r="F967" s="2" t="str">
        <f>IFERROR(__xludf.DUMMYFUNCTION("""COMPUTED_VALUE"""),"ନା ପ୍ରବେଶ କର | ltr ର")</f>
        <v>ନା ପ୍ରବେଶ କର | ltr ର</v>
      </c>
      <c r="G967" s="2" t="str">
        <f>IFERROR(__xludf.DUMMYFUNCTION("""COMPUTED_VALUE"""),"নং লিখক। of Ltr")</f>
        <v>নং লিখক। of Ltr</v>
      </c>
      <c r="H967" s="2" t="str">
        <f>IFERROR(__xludf.DUMMYFUNCTION("""COMPUTED_VALUE"""),"નંબર દાખલ કરો. એલટીઆરનો")</f>
        <v>નંબર દાખલ કરો. એલટીઆરનો</v>
      </c>
      <c r="I967" s="2" t="str">
        <f>IFERROR(__xludf.DUMMYFUNCTION("""COMPUTED_VALUE"""),"क्रमांक प्रविष्ट करा. एलटीआरचा")</f>
        <v>क्रमांक प्रविष्ट करा. एलटीआरचा</v>
      </c>
      <c r="J967" s="2" t="str">
        <f>IFERROR(__xludf.DUMMYFUNCTION("""COMPUTED_VALUE"""),"ഇല്ല. ltr ന്റെ")</f>
        <v>ഇല്ല. ltr ന്റെ</v>
      </c>
      <c r="K967" s="2" t="str">
        <f>IFERROR(__xludf.DUMMYFUNCTION("""COMPUTED_VALUE"""),"ਨੰ. LTR ਦੇ")</f>
        <v>ਨੰ. LTR ਦੇ</v>
      </c>
      <c r="L967" s="2" t="str">
        <f>IFERROR(__xludf.DUMMYFUNCTION("""COMPUTED_VALUE"""),"லிட்டர் எண்ணிக்கையை உள்ளீடு ")</f>
        <v>லிட்டர் எண்ணிக்கையை உள்ளீடு </v>
      </c>
      <c r="M967" s="2" t="str">
        <f>IFERROR(__xludf.DUMMYFUNCTION("""COMPUTED_VALUE"""),"నమోదు చేయండి. ltr")</f>
        <v>నమోదు చేయండి. ltr</v>
      </c>
    </row>
    <row r="968">
      <c r="A968" s="2" t="str">
        <f>Master_en!A968</f>
        <v>Pickup/Noshow</v>
      </c>
      <c r="B968" s="2" t="str">
        <f>Master_en!B968</f>
        <v>Pickup/No show</v>
      </c>
      <c r="C968" s="2" t="str">
        <f>IFERROR(__xludf.DUMMYFUNCTION("""COMPUTED_VALUE"""),"পিকআপ/না শো")</f>
        <v>পিকআপ/না শো</v>
      </c>
      <c r="D968" s="2" t="str">
        <f>IFERROR(__xludf.DUMMYFUNCTION("""COMPUTED_VALUE"""),"पिकअप/कोई शो नहीं")</f>
        <v>पिकअप/कोई शो नहीं</v>
      </c>
      <c r="E968" s="2" t="str">
        <f>IFERROR(__xludf.DUMMYFUNCTION("""COMPUTED_VALUE"""),"ಪಿಕಪ್/ಪ್ರದರ್ಶನವಿಲ್ಲ")</f>
        <v>ಪಿಕಪ್/ಪ್ರದರ್ಶನವಿಲ್ಲ</v>
      </c>
      <c r="F968" s="2" t="str">
        <f>IFERROR(__xludf.DUMMYFUNCTION("""COMPUTED_VALUE"""),"ପିକଅପ୍ / କ So ଣସି ଶୋ |")</f>
        <v>ପିକଅପ୍ / କ So ଣସି ଶୋ |</v>
      </c>
      <c r="G968" s="2" t="str">
        <f>IFERROR(__xludf.DUMMYFUNCTION("""COMPUTED_VALUE"""),"পিকআপ/নো শ্ব'")</f>
        <v>পিকআপ/নো শ্ব'</v>
      </c>
      <c r="H968" s="2" t="str">
        <f>IFERROR(__xludf.DUMMYFUNCTION("""COMPUTED_VALUE"""),"દુકાન/કોઈ શો")</f>
        <v>દુકાન/કોઈ શો</v>
      </c>
      <c r="I968" s="2" t="str">
        <f>IFERROR(__xludf.DUMMYFUNCTION("""COMPUTED_VALUE"""),"पिकअप/नाही शो")</f>
        <v>पिकअप/नाही शो</v>
      </c>
      <c r="J968" s="2" t="str">
        <f>IFERROR(__xludf.DUMMYFUNCTION("""COMPUTED_VALUE"""),"പിക്കപ്പ് / ഷോ ഇല്ല")</f>
        <v>പിക്കപ്പ് / ഷോ ഇല്ല</v>
      </c>
      <c r="K968" s="2" t="str">
        <f>IFERROR(__xludf.DUMMYFUNCTION("""COMPUTED_VALUE"""),"ਪਿਕਅਪ / ਕੋਈ ਸ਼ੋਅ ਨਹੀਂ")</f>
        <v>ਪਿਕਅਪ / ਕੋਈ ਸ਼ੋਅ ਨਹੀਂ</v>
      </c>
      <c r="L968" s="2" t="str">
        <f>IFERROR(__xludf.DUMMYFUNCTION("""COMPUTED_VALUE"""),"இடும்/நிகழ்ச்சி இல்லை")</f>
        <v>இடும்/நிகழ்ச்சி இல்லை</v>
      </c>
      <c r="M968" s="2" t="str">
        <f>IFERROR(__xludf.DUMMYFUNCTION("""COMPUTED_VALUE"""),"పికప్/ప్రదర్శన లేదు")</f>
        <v>పికప్/ప్రదర్శన లేదు</v>
      </c>
    </row>
    <row r="969">
      <c r="A969" s="2" t="str">
        <f>Master_en!A969</f>
        <v>Shopaddedtofavourites</v>
      </c>
      <c r="B969" s="2" t="str">
        <f>Master_en!B969</f>
        <v>Shop added to favourites</v>
      </c>
      <c r="C969" s="2" t="str">
        <f>IFERROR(__xludf.DUMMYFUNCTION("""COMPUTED_VALUE"""),"পছন্দসই দোকান যুক্ত")</f>
        <v>পছন্দসই দোকান যুক্ত</v>
      </c>
      <c r="D969" s="2" t="str">
        <f>IFERROR(__xludf.DUMMYFUNCTION("""COMPUTED_VALUE"""),"पसंदीदा में जोड़ा गया")</f>
        <v>पसंदीदा में जोड़ा गया</v>
      </c>
      <c r="E969" s="2" t="str">
        <f>IFERROR(__xludf.DUMMYFUNCTION("""COMPUTED_VALUE"""),"ಮೆಚ್ಚಿನವುಗಳಿಗೆ ಅಂಗಡಿ ಸೇರಿಸಲಾಗಿದೆ")</f>
        <v>ಮೆಚ್ಚಿನವುಗಳಿಗೆ ಅಂಗಡಿ ಸೇರಿಸಲಾಗಿದೆ</v>
      </c>
      <c r="F969" s="2" t="str">
        <f>IFERROR(__xludf.DUMMYFUNCTION("""COMPUTED_VALUE"""),"ପ୍ରିୟଙ୍କ ପାଇଁ ଦୋକାନ ଯୋଗ କରାଯାଇଛି |")</f>
        <v>ପ୍ରିୟଙ୍କ ପାଇଁ ଦୋକାନ ଯୋଗ କରାଯାଇଛି |</v>
      </c>
      <c r="G969" s="2" t="str">
        <f>IFERROR(__xludf.DUMMYFUNCTION("""COMPUTED_VALUE"""),"দোকান প্ৰিয়ত যোগ কৰা হৈছে")</f>
        <v>দোকান প্ৰিয়ত যোগ কৰা হৈছে</v>
      </c>
      <c r="H969" s="2" t="str">
        <f>IFERROR(__xludf.DUMMYFUNCTION("""COMPUTED_VALUE"""),"દુકાન મનપસંદમાં ઉમેર્યું")</f>
        <v>દુકાન મનપસંદમાં ઉમેર્યું</v>
      </c>
      <c r="I969" s="2" t="str">
        <f>IFERROR(__xludf.DUMMYFUNCTION("""COMPUTED_VALUE"""),"खरेदी आवडीमध्ये जोडले")</f>
        <v>खरेदी आवडीमध्ये जोडले</v>
      </c>
      <c r="J969" s="2" t="str">
        <f>IFERROR(__xludf.DUMMYFUNCTION("""COMPUTED_VALUE"""),"പ്രിയങ്കരങ്ങളിലേക്ക് ചേർത്ത ഷോപ്പ്")</f>
        <v>പ്രിയങ്കരങ്ങളിലേക്ക് ചേർത്ത ഷോപ്പ്</v>
      </c>
      <c r="K969" s="2" t="str">
        <f>IFERROR(__xludf.DUMMYFUNCTION("""COMPUTED_VALUE"""),"ਦੁਕਾਨਾਂ ਨੂੰ ਮਨਪਸੰਦ ਵਿੱਚ ਸ਼ਾਮਲ ਕੀਤਾ ਗਿਆ")</f>
        <v>ਦੁਕਾਨਾਂ ਨੂੰ ਮਨਪਸੰਦ ਵਿੱਚ ਸ਼ਾਮਲ ਕੀਤਾ ਗਿਆ</v>
      </c>
      <c r="L969" s="2" t="str">
        <f>IFERROR(__xludf.DUMMYFUNCTION("""COMPUTED_VALUE"""),"கடை பிடித்தவைகளில் சேர்க்கப்பட்டது")</f>
        <v>கடை பிடித்தவைகளில் சேர்க்கப்பட்டது</v>
      </c>
      <c r="M969" s="2" t="str">
        <f>IFERROR(__xludf.DUMMYFUNCTION("""COMPUTED_VALUE"""),"షాప్ ఇష్టమైన వాటికి జోడించబడింది")</f>
        <v>షాప్ ఇష్టమైన వాటికి జోడించబడింది</v>
      </c>
    </row>
    <row r="970">
      <c r="A970" s="2" t="str">
        <f>Master_en!A970</f>
        <v>Shopremovedfromfavourites</v>
      </c>
      <c r="B970" s="2" t="str">
        <f>Master_en!B970</f>
        <v>Shop removed from favourites</v>
      </c>
      <c r="C970" s="2" t="str">
        <f>IFERROR(__xludf.DUMMYFUNCTION("""COMPUTED_VALUE"""),"পছন্দ থেকে সরানো শপ")</f>
        <v>পছন্দ থেকে সরানো শপ</v>
      </c>
      <c r="D970" s="2" t="str">
        <f>IFERROR(__xludf.DUMMYFUNCTION("""COMPUTED_VALUE"""),"पसंदीदा से हटाए गए दुकान")</f>
        <v>पसंदीदा से हटाए गए दुकान</v>
      </c>
      <c r="E970" s="2" t="str">
        <f>IFERROR(__xludf.DUMMYFUNCTION("""COMPUTED_VALUE"""),"ಮೆಚ್ಚಿನವುಗಳಿಂದ ಅಂಗಡಿಯನ್ನು ತೆಗೆದುಹಾಕಲಾಗಿದೆ")</f>
        <v>ಮೆಚ್ಚಿನವುಗಳಿಂದ ಅಂಗಡಿಯನ್ನು ತೆಗೆದುಹಾಕಲಾಗಿದೆ</v>
      </c>
      <c r="F970" s="2" t="str">
        <f>IFERROR(__xludf.DUMMYFUNCTION("""COMPUTED_VALUE"""),"ପ୍ରିୟଙ୍କଠାରୁ ଦୋକାନ ହଟାଯାଇଥାଏ |")</f>
        <v>ପ୍ରିୟଙ୍କଠାରୁ ଦୋକାନ ହଟାଯାଇଥାଏ |</v>
      </c>
      <c r="G970" s="2" t="str">
        <f>IFERROR(__xludf.DUMMYFUNCTION("""COMPUTED_VALUE"""),"প্ৰিয়ৰ পৰা দোকান আঁতৰাই দিয়া হৈছে")</f>
        <v>প্ৰিয়ৰ পৰা দোকান আঁতৰাই দিয়া হৈছে</v>
      </c>
      <c r="H970" s="2" t="str">
        <f>IFERROR(__xludf.DUMMYFUNCTION("""COMPUTED_VALUE"""),"દુકાન મનપસંદ માંથી દૂર")</f>
        <v>દુકાન મનપસંદ માંથી દૂર</v>
      </c>
      <c r="I970" s="2" t="str">
        <f>IFERROR(__xludf.DUMMYFUNCTION("""COMPUTED_VALUE"""),"आवडीतून दुकान काढले")</f>
        <v>आवडीतून दुकान काढले</v>
      </c>
      <c r="J970" s="2" t="str">
        <f>IFERROR(__xludf.DUMMYFUNCTION("""COMPUTED_VALUE"""),"പ്രിയങ്കരങ്ങളിൽ നിന്ന് നീക്കംചെയ്തു")</f>
        <v>പ്രിയങ്കരങ്ങളിൽ നിന്ന് നീക്കംചെയ്തു</v>
      </c>
      <c r="K970" s="2" t="str">
        <f>IFERROR(__xludf.DUMMYFUNCTION("""COMPUTED_VALUE"""),"ਦੁਕਾਨਾਂ ਨੂੰ ਫੜੇ ਤੋਂ ਹਟਾ ਦਿੱਤਾ ਗਿਆ")</f>
        <v>ਦੁਕਾਨਾਂ ਨੂੰ ਫੜੇ ਤੋਂ ਹਟਾ ਦਿੱਤਾ ਗਿਆ</v>
      </c>
      <c r="L970" s="2" t="str">
        <f>IFERROR(__xludf.DUMMYFUNCTION("""COMPUTED_VALUE"""),"பிடித்தவைகளிலிருந்து கடை அகற்றப்பட்டது")</f>
        <v>பிடித்தவைகளிலிருந்து கடை அகற்றப்பட்டது</v>
      </c>
      <c r="M970" s="2" t="str">
        <f>IFERROR(__xludf.DUMMYFUNCTION("""COMPUTED_VALUE"""),"షాప్ ఇష్టమైన వాటి నుండి తొలగించబడింది")</f>
        <v>షాప్ ఇష్టమైన వాటి నుండి తొలగించబడింది</v>
      </c>
    </row>
    <row r="971">
      <c r="A971" s="2" t="str">
        <f>Master_en!A971</f>
        <v>PreOrderManagement</v>
      </c>
      <c r="B971" s="2" t="str">
        <f>Master_en!B971</f>
        <v>Pre Order Management</v>
      </c>
      <c r="C971" s="2" t="str">
        <f>IFERROR(__xludf.DUMMYFUNCTION("""COMPUTED_VALUE"""),"প্রাক অর্ডার ম্যানেজমেন্ট")</f>
        <v>প্রাক অর্ডার ম্যানেজমেন্ট</v>
      </c>
      <c r="D971" s="2" t="str">
        <f>IFERROR(__xludf.DUMMYFUNCTION("""COMPUTED_VALUE"""),"पूर्व आदेश प्रबंधन")</f>
        <v>पूर्व आदेश प्रबंधन</v>
      </c>
      <c r="E971" s="2" t="str">
        <f>IFERROR(__xludf.DUMMYFUNCTION("""COMPUTED_VALUE"""),"ಪೂರ್ವ ಆದೇಶ ನಿರ್ವಹಣೆ")</f>
        <v>ಪೂರ್ವ ಆದೇಶ ನಿರ್ವಹಣೆ</v>
      </c>
      <c r="F971" s="2" t="str">
        <f>IFERROR(__xludf.DUMMYFUNCTION("""COMPUTED_VALUE"""),"ପୂର୍ବ ଅର୍ଡର ପରିଚାଳନା")</f>
        <v>ପୂର୍ବ ଅର୍ଡର ପରିଚାଳନା</v>
      </c>
      <c r="G971" s="2" t="str">
        <f>IFERROR(__xludf.DUMMYFUNCTION("""COMPUTED_VALUE"""),"প্ৰি অৰ্ডাৰ ব্যৱস্থাপনা")</f>
        <v>প্ৰি অৰ্ডাৰ ব্যৱস্থাপনা</v>
      </c>
      <c r="H971" s="2" t="str">
        <f>IFERROR(__xludf.DUMMYFUNCTION("""COMPUTED_VALUE"""),"પૂર્વ -હુકમનું સંચાલન")</f>
        <v>પૂર્વ -હુકમનું સંચાલન</v>
      </c>
      <c r="I971" s="2" t="str">
        <f>IFERROR(__xludf.DUMMYFUNCTION("""COMPUTED_VALUE"""),"पूर्व ऑर्डर व्यवस्थापन")</f>
        <v>पूर्व ऑर्डर व्यवस्थापन</v>
      </c>
      <c r="J971" s="2" t="str">
        <f>IFERROR(__xludf.DUMMYFUNCTION("""COMPUTED_VALUE"""),"പ്രീ ഓർഡർ മാനേജുമെന്റ്")</f>
        <v>പ്രീ ഓർഡർ മാനേജുമെന്റ്</v>
      </c>
      <c r="K971" s="2" t="str">
        <f>IFERROR(__xludf.DUMMYFUNCTION("""COMPUTED_VALUE"""),"ਪੂਰਵ ਆਰਡਰ ਪ੍ਰਬੰਧਨ")</f>
        <v>ਪੂਰਵ ਆਰਡਰ ਪ੍ਰਬੰਧਨ</v>
      </c>
      <c r="L971" s="2" t="str">
        <f>IFERROR(__xludf.DUMMYFUNCTION("""COMPUTED_VALUE"""),"முன் ஆர்டர் மேலாண்மை")</f>
        <v>முன் ஆர்டர் மேலாண்மை</v>
      </c>
      <c r="M971" s="2" t="str">
        <f>IFERROR(__xludf.DUMMYFUNCTION("""COMPUTED_VALUE"""),"ప్రీ ఆర్డర్ మేనేజ్‌మెంట్")</f>
        <v>ప్రీ ఆర్డర్ మేనేజ్‌మెంట్</v>
      </c>
    </row>
    <row r="972">
      <c r="A972" s="2" t="str">
        <f>Master_en!A972</f>
        <v>entergstin</v>
      </c>
      <c r="B972" s="2" t="str">
        <f>Master_en!B972</f>
        <v>Enter GSTIN</v>
      </c>
      <c r="C972" s="2" t="str">
        <f>IFERROR(__xludf.DUMMYFUNCTION("""COMPUTED_VALUE"""),"জিএসটিন প্রবেশ করুন")</f>
        <v>জিএসটিন প্রবেশ করুন</v>
      </c>
      <c r="D972" s="2" t="str">
        <f>IFERROR(__xludf.DUMMYFUNCTION("""COMPUTED_VALUE"""),"GSTIN दर्ज करें")</f>
        <v>GSTIN दर्ज करें</v>
      </c>
      <c r="E972" s="2" t="str">
        <f>IFERROR(__xludf.DUMMYFUNCTION("""COMPUTED_VALUE"""),"Gstin ಅನ್ನು ನಮೂದಿಸಿ")</f>
        <v>Gstin ಅನ್ನು ನಮೂದಿಸಿ</v>
      </c>
      <c r="F972" s="2" t="str">
        <f>IFERROR(__xludf.DUMMYFUNCTION("""COMPUTED_VALUE"""),"ଜିଷ୍ଟିନ୍ ପ୍ରବେଶ କରନ୍ତୁ |")</f>
        <v>ଜିଷ୍ଟିନ୍ ପ୍ରବେଶ କରନ୍ତୁ |</v>
      </c>
      <c r="G972" s="2" t="str">
        <f>IFERROR(__xludf.DUMMYFUNCTION("""COMPUTED_VALUE"""),"GSTIN প্ৰৱেশ কৰক")</f>
        <v>GSTIN প্ৰৱেশ কৰক</v>
      </c>
      <c r="H972" s="2" t="str">
        <f>IFERROR(__xludf.DUMMYFUNCTION("""COMPUTED_VALUE"""),"GSTin દાખલ કરો")</f>
        <v>GSTin દાખલ કરો</v>
      </c>
      <c r="I972" s="2" t="str">
        <f>IFERROR(__xludf.DUMMYFUNCTION("""COMPUTED_VALUE"""),"Gstin प्रविष्ट करा")</f>
        <v>Gstin प्रविष्ट करा</v>
      </c>
      <c r="J972" s="2" t="str">
        <f>IFERROR(__xludf.DUMMYFUNCTION("""COMPUTED_VALUE"""),"ജിസ്റ്റിൻ നൽകുക")</f>
        <v>ജിസ്റ്റിൻ നൽകുക</v>
      </c>
      <c r="K972" s="2" t="str">
        <f>IFERROR(__xludf.DUMMYFUNCTION("""COMPUTED_VALUE"""),"ਜੀਸਟਿਨ ਐਂਟਰ ਕਰੋ")</f>
        <v>ਜੀਸਟਿਨ ਐਂਟਰ ਕਰੋ</v>
      </c>
      <c r="L972" s="2" t="str">
        <f>IFERROR(__xludf.DUMMYFUNCTION("""COMPUTED_VALUE"""),"GSTIN ஐ உள்ளிடவும்")</f>
        <v>GSTIN ஐ உள்ளிடவும்</v>
      </c>
      <c r="M972" s="2" t="str">
        <f>IFERROR(__xludf.DUMMYFUNCTION("""COMPUTED_VALUE"""),"GSTIN ను నమోదు చేయండి")</f>
        <v>GSTIN ను నమోదు చేయండి</v>
      </c>
    </row>
    <row r="973">
      <c r="A973" s="2" t="str">
        <f>Master_en!A973</f>
        <v>orderorshop</v>
      </c>
      <c r="B973" s="2" t="str">
        <f>Master_en!B973</f>
        <v>order or shop</v>
      </c>
      <c r="C973" s="2" t="str">
        <f>IFERROR(__xludf.DUMMYFUNCTION("""COMPUTED_VALUE"""),"অর্ডার বা দোকান")</f>
        <v>অর্ডার বা দোকান</v>
      </c>
      <c r="D973" s="2" t="str">
        <f>IFERROR(__xludf.DUMMYFUNCTION("""COMPUTED_VALUE"""),"आदेश या दुकान")</f>
        <v>आदेश या दुकान</v>
      </c>
      <c r="E973" s="2" t="str">
        <f>IFERROR(__xludf.DUMMYFUNCTION("""COMPUTED_VALUE"""),"ಆದೇಶ ಅಥವಾ ಅಂಗಡಿ")</f>
        <v>ಆದೇಶ ಅಥವಾ ಅಂಗಡಿ</v>
      </c>
      <c r="F973" s="2" t="str">
        <f>IFERROR(__xludf.DUMMYFUNCTION("""COMPUTED_VALUE"""),"ଅର୍ଡର କିମ୍ବା ଦୋକାନ")</f>
        <v>ଅର୍ଡର କିମ୍ବା ଦୋକାନ</v>
      </c>
      <c r="G973" s="2" t="str">
        <f>IFERROR(__xludf.DUMMYFUNCTION("""COMPUTED_VALUE"""),"অৰ্ডাৰ বা দোকান")</f>
        <v>অৰ্ডাৰ বা দোকান</v>
      </c>
      <c r="H973" s="2" t="str">
        <f>IFERROR(__xludf.DUMMYFUNCTION("""COMPUTED_VALUE"""),"ઓર્ડર અથવા દુકાન")</f>
        <v>ઓર્ડર અથવા દુકાન</v>
      </c>
      <c r="I973" s="2" t="str">
        <f>IFERROR(__xludf.DUMMYFUNCTION("""COMPUTED_VALUE"""),"ऑर्डर किंवा दुकान")</f>
        <v>ऑर्डर किंवा दुकान</v>
      </c>
      <c r="J973" s="2" t="str">
        <f>IFERROR(__xludf.DUMMYFUNCTION("""COMPUTED_VALUE"""),"ഓർഡർ അല്ലെങ്കിൽ ഷോപ്പ്")</f>
        <v>ഓർഡർ അല്ലെങ്കിൽ ഷോപ്പ്</v>
      </c>
      <c r="K973" s="2" t="str">
        <f>IFERROR(__xludf.DUMMYFUNCTION("""COMPUTED_VALUE"""),"ਆਰਡਰ ਜਾਂ ਦੁਕਾਨ")</f>
        <v>ਆਰਡਰ ਜਾਂ ਦੁਕਾਨ</v>
      </c>
      <c r="L973" s="2" t="str">
        <f>IFERROR(__xludf.DUMMYFUNCTION("""COMPUTED_VALUE"""),"ஆர்டர் அல்லது கடை")</f>
        <v>ஆர்டர் அல்லது கடை</v>
      </c>
      <c r="M973" s="2" t="str">
        <f>IFERROR(__xludf.DUMMYFUNCTION("""COMPUTED_VALUE"""),"ఆర్డర్ లేదా షాప్")</f>
        <v>ఆర్డర్ లేదా షాప్</v>
      </c>
    </row>
    <row r="974">
      <c r="A974" s="2" t="str">
        <f>Master_en!A974</f>
        <v>withinkms</v>
      </c>
      <c r="B974" s="2" t="str">
        <f>Master_en!B974</f>
        <v>within kms</v>
      </c>
      <c r="C974" s="2" t="str">
        <f>IFERROR(__xludf.DUMMYFUNCTION("""COMPUTED_VALUE"""),"কেএমএসের মধ্যে")</f>
        <v>কেএমএসের মধ্যে</v>
      </c>
      <c r="D974" s="2" t="str">
        <f>IFERROR(__xludf.DUMMYFUNCTION("""COMPUTED_VALUE"""),"kms के भीतर")</f>
        <v>kms के भीतर</v>
      </c>
      <c r="E974" s="2" t="str">
        <f>IFERROR(__xludf.DUMMYFUNCTION("""COMPUTED_VALUE"""),"ಕಿ.ಮೀ ಒಳಗೆ")</f>
        <v>ಕಿ.ಮೀ ಒಳಗೆ</v>
      </c>
      <c r="F974" s="2" t="str">
        <f>IFERROR(__xludf.DUMMYFUNCTION("""COMPUTED_VALUE"""),"କିମିରେ |")</f>
        <v>କିମିରେ |</v>
      </c>
      <c r="G974" s="2" t="str">
        <f>IFERROR(__xludf.DUMMYFUNCTION("""COMPUTED_VALUE"""),"কিলোমিটাৰৰ ভিতৰত")</f>
        <v>কিলোমিটাৰৰ ভিতৰত</v>
      </c>
      <c r="H974" s="2" t="str">
        <f>IFERROR(__xludf.DUMMYFUNCTION("""COMPUTED_VALUE"""),"કિ.મી.")</f>
        <v>કિ.મી.</v>
      </c>
      <c r="I974" s="2" t="str">
        <f>IFERROR(__xludf.DUMMYFUNCTION("""COMPUTED_VALUE"""),"केएमएस मध्ये")</f>
        <v>केएमएस मध्ये</v>
      </c>
      <c r="J974" s="2" t="str">
        <f>IFERROR(__xludf.DUMMYFUNCTION("""COMPUTED_VALUE"""),"കെഎംഎസിനുള്ളിൽ")</f>
        <v>കെഎംഎസിനുള്ളിൽ</v>
      </c>
      <c r="K974" s="2" t="str">
        <f>IFERROR(__xludf.DUMMYFUNCTION("""COMPUTED_VALUE"""),"ਕਿਲੋਮੀਟਰ ਦੇ ਅੰਦਰ")</f>
        <v>ਕਿਲੋਮੀਟਰ ਦੇ ਅੰਦਰ</v>
      </c>
      <c r="L974" s="2" t="str">
        <f>IFERROR(__xludf.DUMMYFUNCTION("""COMPUTED_VALUE"""),"கி.மீ.க்குள்")</f>
        <v>கி.மீ.க்குள்</v>
      </c>
      <c r="M974" s="2" t="str">
        <f>IFERROR(__xludf.DUMMYFUNCTION("""COMPUTED_VALUE"""),"KMS లో")</f>
        <v>KMS లో</v>
      </c>
    </row>
    <row r="975">
      <c r="A975" s="2" t="str">
        <f>Master_en!A975</f>
        <v>Uploadprofilephoto</v>
      </c>
      <c r="B975" s="2" t="str">
        <f>Master_en!B975</f>
        <v>Upload profile photo</v>
      </c>
      <c r="C975" s="2" t="str">
        <f>IFERROR(__xludf.DUMMYFUNCTION("""COMPUTED_VALUE"""),"প্রোফাইল ফটো আপলোড করুন")</f>
        <v>প্রোফাইল ফটো আপলোড করুন</v>
      </c>
      <c r="D975" s="2" t="str">
        <f>IFERROR(__xludf.DUMMYFUNCTION("""COMPUTED_VALUE"""),"प्रोफ़ाइल फ़ोटो अपलोड करें")</f>
        <v>प्रोफ़ाइल फ़ोटो अपलोड करें</v>
      </c>
      <c r="E975" s="2" t="str">
        <f>IFERROR(__xludf.DUMMYFUNCTION("""COMPUTED_VALUE"""),"ಪ್ರೊಫೈಲ್ ಫೋಟೋ ಅಪ್‌ಲೋಡ್ ಮಾಡಿ")</f>
        <v>ಪ್ರೊಫೈಲ್ ಫೋಟೋ ಅಪ್‌ಲೋಡ್ ಮಾಡಿ</v>
      </c>
      <c r="F975" s="2" t="str">
        <f>IFERROR(__xludf.DUMMYFUNCTION("""COMPUTED_VALUE"""),"ପ୍ରୋଫାଇଲ୍ ଫଟୋ ଅପଲୋଡ୍ କରନ୍ତୁ |")</f>
        <v>ପ୍ରୋଫାଇଲ୍ ଫଟୋ ଅପଲୋଡ୍ କରନ୍ତୁ |</v>
      </c>
      <c r="G975" s="2" t="str">
        <f>IFERROR(__xludf.DUMMYFUNCTION("""COMPUTED_VALUE"""),"প্ৰফাইল ফটো আপলোড কৰক")</f>
        <v>প্ৰফাইল ফটো আপলোড কৰক</v>
      </c>
      <c r="H975" s="2" t="str">
        <f>IFERROR(__xludf.DUMMYFUNCTION("""COMPUTED_VALUE"""),"પ્રોફાઇલ ફોટો અપલોડ કરો")</f>
        <v>પ્રોફાઇલ ફોટો અપલોડ કરો</v>
      </c>
      <c r="I975" s="2" t="str">
        <f>IFERROR(__xludf.DUMMYFUNCTION("""COMPUTED_VALUE"""),"प्रोफाइल फोटो अपलोड करा")</f>
        <v>प्रोफाइल फोटो अपलोड करा</v>
      </c>
      <c r="J975" s="2" t="str">
        <f>IFERROR(__xludf.DUMMYFUNCTION("""COMPUTED_VALUE"""),"പ്രൊഫൈൽ ഫോട്ടോ അപ്ലോഡുചെയ്യുക")</f>
        <v>പ്രൊഫൈൽ ഫോട്ടോ അപ്ലോഡുചെയ്യുക</v>
      </c>
      <c r="K975" s="2" t="str">
        <f>IFERROR(__xludf.DUMMYFUNCTION("""COMPUTED_VALUE"""),"ਪਰੋਫਾਈਲ ਫੋਟੋ ਅਪਲੋਡ ਕਰੋ")</f>
        <v>ਪਰੋਫਾਈਲ ਫੋਟੋ ਅਪਲੋਡ ਕਰੋ</v>
      </c>
      <c r="L975" s="2" t="str">
        <f>IFERROR(__xludf.DUMMYFUNCTION("""COMPUTED_VALUE"""),"சுயவிவர புகைப்படத்தை பதிவேற்றவும்")</f>
        <v>சுயவிவர புகைப்படத்தை பதிவேற்றவும்</v>
      </c>
      <c r="M975" s="2" t="str">
        <f>IFERROR(__xludf.DUMMYFUNCTION("""COMPUTED_VALUE"""),"ప్రొఫైల్ ఫోటోను అప్‌లోడ్ చేయండి")</f>
        <v>ప్రొఫైల్ ఫోటోను అప్‌లోడ్ చేయండి</v>
      </c>
    </row>
    <row r="976">
      <c r="A976" s="2" t="str">
        <f>Master_en!A976</f>
        <v>Invalidname</v>
      </c>
      <c r="B976" s="2" t="str">
        <f>Master_en!B976</f>
        <v>Invalid name</v>
      </c>
      <c r="C976" s="2" t="str">
        <f>IFERROR(__xludf.DUMMYFUNCTION("""COMPUTED_VALUE"""),"অবৈধ নাম")</f>
        <v>অবৈধ নাম</v>
      </c>
      <c r="D976" s="2" t="str">
        <f>IFERROR(__xludf.DUMMYFUNCTION("""COMPUTED_VALUE"""),"अमान्य नाम")</f>
        <v>अमान्य नाम</v>
      </c>
      <c r="E976" s="2" t="str">
        <f>IFERROR(__xludf.DUMMYFUNCTION("""COMPUTED_VALUE"""),"ಅಮಾನ್ಯ ಹೆಸರು")</f>
        <v>ಅಮಾನ್ಯ ಹೆಸರು</v>
      </c>
      <c r="F976" s="2" t="str">
        <f>IFERROR(__xludf.DUMMYFUNCTION("""COMPUTED_VALUE"""),"ଅବ val ଧ ନାମ |")</f>
        <v>ଅବ val ଧ ନାମ |</v>
      </c>
      <c r="G976" s="2" t="str">
        <f>IFERROR(__xludf.DUMMYFUNCTION("""COMPUTED_VALUE"""),"অবৈধ নাম")</f>
        <v>অবৈধ নাম</v>
      </c>
      <c r="H976" s="2" t="str">
        <f>IFERROR(__xludf.DUMMYFUNCTION("""COMPUTED_VALUE"""),"અમાન્ય નામ")</f>
        <v>અમાન્ય નામ</v>
      </c>
      <c r="I976" s="2" t="str">
        <f>IFERROR(__xludf.DUMMYFUNCTION("""COMPUTED_VALUE"""),"अवैध नाव")</f>
        <v>अवैध नाव</v>
      </c>
      <c r="J976" s="2" t="str">
        <f>IFERROR(__xludf.DUMMYFUNCTION("""COMPUTED_VALUE"""),"അസാധുവിന്റെ പേര്")</f>
        <v>അസാധുവിന്റെ പേര്</v>
      </c>
      <c r="K976" s="2" t="str">
        <f>IFERROR(__xludf.DUMMYFUNCTION("""COMPUTED_VALUE"""),"ਗਲਤ ਨਾਮ")</f>
        <v>ਗਲਤ ਨਾਮ</v>
      </c>
      <c r="L976" s="2" t="str">
        <f>IFERROR(__xludf.DUMMYFUNCTION("""COMPUTED_VALUE"""),"தவறான பெயர்")</f>
        <v>தவறான பெயர்</v>
      </c>
      <c r="M976" s="2" t="str">
        <f>IFERROR(__xludf.DUMMYFUNCTION("""COMPUTED_VALUE"""),"చెల్లని పేరు")</f>
        <v>చెల్లని పేరు</v>
      </c>
    </row>
    <row r="977">
      <c r="A977" s="2" t="str">
        <f>Master_en!A977</f>
        <v>Invalidnumber</v>
      </c>
      <c r="B977" s="2" t="str">
        <f>Master_en!B977</f>
        <v>Invalid number</v>
      </c>
      <c r="C977" s="2" t="str">
        <f>IFERROR(__xludf.DUMMYFUNCTION("""COMPUTED_VALUE"""),"অবৈধ সংখ্যা")</f>
        <v>অবৈধ সংখ্যা</v>
      </c>
      <c r="D977" s="2" t="str">
        <f>IFERROR(__xludf.DUMMYFUNCTION("""COMPUTED_VALUE"""),"अमान्य संख्या")</f>
        <v>अमान्य संख्या</v>
      </c>
      <c r="E977" s="2" t="str">
        <f>IFERROR(__xludf.DUMMYFUNCTION("""COMPUTED_VALUE"""),"ಅಮಾನ್ಯ ಸಂಖ್ಯೆ")</f>
        <v>ಅಮಾನ್ಯ ಸಂಖ್ಯೆ</v>
      </c>
      <c r="F977" s="2" t="str">
        <f>IFERROR(__xludf.DUMMYFUNCTION("""COMPUTED_VALUE"""),"ଅବ val ଧ ସଂଖ୍ୟା |")</f>
        <v>ଅବ val ଧ ସଂଖ୍ୟା |</v>
      </c>
      <c r="G977" s="2" t="str">
        <f>IFERROR(__xludf.DUMMYFUNCTION("""COMPUTED_VALUE"""),"অবৈধ সংখ্যা")</f>
        <v>অবৈধ সংখ্যা</v>
      </c>
      <c r="H977" s="2" t="str">
        <f>IFERROR(__xludf.DUMMYFUNCTION("""COMPUTED_VALUE"""),"અમાન્ય સંખ્યા")</f>
        <v>અમાન્ય સંખ્યા</v>
      </c>
      <c r="I977" s="2" t="str">
        <f>IFERROR(__xludf.DUMMYFUNCTION("""COMPUTED_VALUE"""),"अवैध संख्या")</f>
        <v>अवैध संख्या</v>
      </c>
      <c r="J977" s="2" t="str">
        <f>IFERROR(__xludf.DUMMYFUNCTION("""COMPUTED_VALUE"""),"അസാധുവായ നമ്പർ")</f>
        <v>അസാധുവായ നമ്പർ</v>
      </c>
      <c r="K977" s="2" t="str">
        <f>IFERROR(__xludf.DUMMYFUNCTION("""COMPUTED_VALUE"""),"ਗਲਤ ਨੰਬਰ")</f>
        <v>ਗਲਤ ਨੰਬਰ</v>
      </c>
      <c r="L977" s="2" t="str">
        <f>IFERROR(__xludf.DUMMYFUNCTION("""COMPUTED_VALUE"""),"தவறான எண்")</f>
        <v>தவறான எண்</v>
      </c>
      <c r="M977" s="2" t="str">
        <f>IFERROR(__xludf.DUMMYFUNCTION("""COMPUTED_VALUE"""),"చెల్లని సంఖ్య")</f>
        <v>చెల్లని సంఖ్య</v>
      </c>
    </row>
    <row r="978">
      <c r="A978" s="2" t="str">
        <f>Master_en!A978</f>
        <v>Addressdeleted !!</v>
      </c>
      <c r="B978" s="2" t="str">
        <f>Master_en!B978</f>
        <v>Address deleted !!</v>
      </c>
      <c r="C978" s="2" t="str">
        <f>IFERROR(__xludf.DUMMYFUNCTION("""COMPUTED_VALUE"""),"ঠিকানা মুছে ফেলা !!")</f>
        <v>ঠিকানা মুছে ফেলা !!</v>
      </c>
      <c r="D978" s="2" t="str">
        <f>IFERROR(__xludf.DUMMYFUNCTION("""COMPUTED_VALUE"""),"पता हटा दिया गया !!")</f>
        <v>पता हटा दिया गया !!</v>
      </c>
      <c r="E978" s="2" t="str">
        <f>IFERROR(__xludf.DUMMYFUNCTION("""COMPUTED_VALUE"""),"ವಿಳಾಸ ಅಳಿಸಲಾಗಿದೆ !!")</f>
        <v>ವಿಳಾಸ ಅಳಿಸಲಾಗಿದೆ !!</v>
      </c>
      <c r="F978" s="2" t="str">
        <f>IFERROR(__xludf.DUMMYFUNCTION("""COMPUTED_VALUE"""),"ଠିକଣା ବିଲୋପ ହେଲା !!")</f>
        <v>ଠିକଣା ବିଲୋପ ହେଲା !!</v>
      </c>
      <c r="G978" s="2" t="str">
        <f>IFERROR(__xludf.DUMMYFUNCTION("""COMPUTED_VALUE"""),"ঠিকনা মচি পেলোৱা হ'ল !!")</f>
        <v>ঠিকনা মচি পেলোৱা হ'ল !!</v>
      </c>
      <c r="H978" s="2" t="str">
        <f>IFERROR(__xludf.DUMMYFUNCTION("""COMPUTED_VALUE"""),"સરનામું કા deleted ી નાખ્યું !!")</f>
        <v>સરનામું કા deleted ી નાખ્યું !!</v>
      </c>
      <c r="I978" s="2" t="str">
        <f>IFERROR(__xludf.DUMMYFUNCTION("""COMPUTED_VALUE"""),"पत्ता हटविला !!")</f>
        <v>पत्ता हटविला !!</v>
      </c>
      <c r="J978" s="2" t="str">
        <f>IFERROR(__xludf.DUMMYFUNCTION("""COMPUTED_VALUE"""),"വിലാസം ഇല്ലാതാക്കി !!")</f>
        <v>വിലാസം ഇല്ലാതാക്കി !!</v>
      </c>
      <c r="K978" s="2" t="str">
        <f>IFERROR(__xludf.DUMMYFUNCTION("""COMPUTED_VALUE"""),"ਐਡਰੈੱਸ ਮਿਟਾਏ ਗਏ !!")</f>
        <v>ਐਡਰੈੱਸ ਮਿਟਾਏ ਗਏ !!</v>
      </c>
      <c r="L978" s="2" t="str">
        <f>IFERROR(__xludf.DUMMYFUNCTION("""COMPUTED_VALUE"""),"முகவரி நீக்கப்பட்டது !!")</f>
        <v>முகவரி நீக்கப்பட்டது !!</v>
      </c>
      <c r="M978" s="2" t="str">
        <f>IFERROR(__xludf.DUMMYFUNCTION("""COMPUTED_VALUE"""),"చిరునామా తొలగించబడింది !!")</f>
        <v>చిరునామా తొలగించబడింది !!</v>
      </c>
    </row>
    <row r="979">
      <c r="A979" s="2" t="str">
        <f>Master_en!A979</f>
        <v>Invitevia</v>
      </c>
      <c r="B979" s="2" t="str">
        <f>Master_en!B979</f>
        <v>Invite via</v>
      </c>
      <c r="C979" s="2" t="str">
        <f>IFERROR(__xludf.DUMMYFUNCTION("""COMPUTED_VALUE"""),"মাধ্যমে আমন্ত্রণ")</f>
        <v>মাধ্যমে আমন্ত্রণ</v>
      </c>
      <c r="D979" s="2" t="str">
        <f>IFERROR(__xludf.DUMMYFUNCTION("""COMPUTED_VALUE"""),"के माध्यम से आमंत्रित करें")</f>
        <v>के माध्यम से आमंत्रित करें</v>
      </c>
      <c r="E979" s="2" t="str">
        <f>IFERROR(__xludf.DUMMYFUNCTION("""COMPUTED_VALUE"""),"ಮೂಲಕ ಆಹ್ವಾನಿಸಿ")</f>
        <v>ಮೂಲಕ ಆಹ್ವಾನಿಸಿ</v>
      </c>
      <c r="F979" s="2" t="str">
        <f>IFERROR(__xludf.DUMMYFUNCTION("""COMPUTED_VALUE"""),"ମାଧ୍ୟମରେ ଆମନ୍ତ୍ରଣ କରନ୍ତୁ |")</f>
        <v>ମାଧ୍ୟମରେ ଆମନ୍ତ୍ରଣ କରନ୍ତୁ |</v>
      </c>
      <c r="G979" s="2" t="str">
        <f>IFERROR(__xludf.DUMMYFUNCTION("""COMPUTED_VALUE"""),"মাধ্যমেৰে আমন্ত্ৰণ জনাওক")</f>
        <v>মাধ্যমেৰে আমন্ত্ৰণ জনাওক</v>
      </c>
      <c r="H979" s="2" t="str">
        <f>IFERROR(__xludf.DUMMYFUNCTION("""COMPUTED_VALUE"""),"દ્વારા આમંત્રણ આપવું")</f>
        <v>દ્વારા આમંત્રણ આપવું</v>
      </c>
      <c r="I979" s="2" t="str">
        <f>IFERROR(__xludf.DUMMYFUNCTION("""COMPUTED_VALUE"""),"मार्गे आमंत्रित करा")</f>
        <v>मार्गे आमंत्रित करा</v>
      </c>
      <c r="J979" s="2" t="str">
        <f>IFERROR(__xludf.DUMMYFUNCTION("""COMPUTED_VALUE"""),"വഴി ക്ഷണിക്കുക")</f>
        <v>വഴി ക്ഷണിക്കുക</v>
      </c>
      <c r="K979" s="2" t="str">
        <f>IFERROR(__xludf.DUMMYFUNCTION("""COMPUTED_VALUE"""),"Valite ਦੁਆਰਾ ਸੱਦਾ")</f>
        <v>Valite ਦੁਆਰਾ ਸੱਦਾ</v>
      </c>
      <c r="L979" s="2" t="str">
        <f>IFERROR(__xludf.DUMMYFUNCTION("""COMPUTED_VALUE"""),"வழியாக அழைக்கவும்")</f>
        <v>வழியாக அழைக்கவும்</v>
      </c>
      <c r="M979" s="2" t="str">
        <f>IFERROR(__xludf.DUMMYFUNCTION("""COMPUTED_VALUE"""),"ద్వారా ఆహ్వానించండి")</f>
        <v>ద్వారా ఆహ్వానించండి</v>
      </c>
    </row>
    <row r="980">
      <c r="A980" s="2" t="str">
        <f>Master_en!A980</f>
        <v>whywouldyouliketodeleteyouraccount ?</v>
      </c>
      <c r="B980" s="2" t="str">
        <f>Master_en!B980</f>
        <v>why would you like to delete your account ?</v>
      </c>
      <c r="C980" s="2" t="str">
        <f>IFERROR(__xludf.DUMMYFUNCTION("""COMPUTED_VALUE"""),"আপনি কেন আপনার অ্যাকাউন্ট মুছতে চান?")</f>
        <v>আপনি কেন আপনার অ্যাকাউন্ট মুছতে চান?</v>
      </c>
      <c r="D980" s="2" t="str">
        <f>IFERROR(__xludf.DUMMYFUNCTION("""COMPUTED_VALUE"""),"आप अपना खाता क्यों हटाना चाहेंगे?")</f>
        <v>आप अपना खाता क्यों हटाना चाहेंगे?</v>
      </c>
      <c r="E980" s="2" t="str">
        <f>IFERROR(__xludf.DUMMYFUNCTION("""COMPUTED_VALUE"""),"ನಿಮ್ಮ ಖಾತೆಯನ್ನು ಅಳಿಸಲು ನೀವು ಏಕೆ ಬಯಸುತ್ತೀರಿ?")</f>
        <v>ನಿಮ್ಮ ಖಾತೆಯನ್ನು ಅಳಿಸಲು ನೀವು ಏಕೆ ಬಯಸುತ್ತೀರಿ?</v>
      </c>
      <c r="F980" s="2" t="str">
        <f>IFERROR(__xludf.DUMMYFUNCTION("""COMPUTED_VALUE"""),"ଆପଣ କାହିଁକି ଆପଣଙ୍କର ଖାତା ବିଲୋପ କରିବାକୁ ଚାହୁଁଛନ୍ତି?")</f>
        <v>ଆପଣ କାହିଁକି ଆପଣଙ୍କର ଖାତା ବିଲୋପ କରିବାକୁ ଚାହୁଁଛନ୍ତି?</v>
      </c>
      <c r="G980" s="2" t="str">
        <f>IFERROR(__xludf.DUMMYFUNCTION("""COMPUTED_VALUE"""),"আপুনি আপোনাৰ একাউণ্টটো কিয় মচি পেলাব বিচাৰে ?")</f>
        <v>আপুনি আপোনাৰ একাউণ্টটো কিয় মচি পেলাব বিচাৰে ?</v>
      </c>
      <c r="H980" s="2" t="str">
        <f>IFERROR(__xludf.DUMMYFUNCTION("""COMPUTED_VALUE"""),"તમે તમારું એકાઉન્ટ કેમ કા delete ી નાખવા માંગો છો?")</f>
        <v>તમે તમારું એકાઉન્ટ કેમ કા delete ી નાખવા માંગો છો?</v>
      </c>
      <c r="I980" s="2" t="str">
        <f>IFERROR(__xludf.DUMMYFUNCTION("""COMPUTED_VALUE"""),"आपण आपले खाते हटवू इच्छिता?")</f>
        <v>आपण आपले खाते हटवू इच्छिता?</v>
      </c>
      <c r="J980" s="2" t="str">
        <f>IFERROR(__xludf.DUMMYFUNCTION("""COMPUTED_VALUE"""),"നിങ്ങളുടെ അക്കൗണ്ട് ഇല്ലാതാക്കാൻ നിങ്ങൾ ആഗ്രഹിക്കുന്നത് എന്തുകൊണ്ട്?")</f>
        <v>നിങ്ങളുടെ അക്കൗണ്ട് ഇല്ലാതാക്കാൻ നിങ്ങൾ ആഗ്രഹിക്കുന്നത് എന്തുകൊണ്ട്?</v>
      </c>
      <c r="K980" s="2" t="str">
        <f>IFERROR(__xludf.DUMMYFUNCTION("""COMPUTED_VALUE"""),"ਤੁਸੀਂ ਆਪਣੇ ਖਾਤੇ ਨੂੰ ਕਿਵੇਂ ਮਿਟਾਉਣਾ ਚਾਹੋਗੇ?")</f>
        <v>ਤੁਸੀਂ ਆਪਣੇ ਖਾਤੇ ਨੂੰ ਕਿਵੇਂ ਮਿਟਾਉਣਾ ਚਾਹੋਗੇ?</v>
      </c>
      <c r="L980" s="2" t="str">
        <f>IFERROR(__xludf.DUMMYFUNCTION("""COMPUTED_VALUE"""),"உங்கள் கணக்கை ஏன் நீக்க விரும்புகிறீர்கள்?")</f>
        <v>உங்கள் கணக்கை ஏன் நீக்க விரும்புகிறீர்கள்?</v>
      </c>
      <c r="M980" s="2" t="str">
        <f>IFERROR(__xludf.DUMMYFUNCTION("""COMPUTED_VALUE"""),"మీరు మీ ఖాతాను ఎందుకు తొలగించాలనుకుంటున్నారు?")</f>
        <v>మీరు మీ ఖాతాను ఎందుకు తొలగించాలనుకుంటున్నారు?</v>
      </c>
    </row>
    <row r="981">
      <c r="A981" s="2" t="str">
        <f>Master_en!A981</f>
        <v>Sarvm.aiManagerID</v>
      </c>
      <c r="B981" s="2" t="str">
        <f>Master_en!B981</f>
        <v>Sarvm.ai Manager ID</v>
      </c>
      <c r="C981" s="2" t="str">
        <f>IFERROR(__xludf.DUMMYFUNCTION("""COMPUTED_VALUE"""),"সর্ভ.ই.এই ম্যানেজার আইডি")</f>
        <v>সর্ভ.ই.এই ম্যানেজার আইডি</v>
      </c>
      <c r="D981" s="2" t="str">
        <f>IFERROR(__xludf.DUMMYFUNCTION("""COMPUTED_VALUE"""),"सरवमाई मैनेजर आईडी")</f>
        <v>सरवमाई मैनेजर आईडी</v>
      </c>
      <c r="E981" s="2" t="str">
        <f>IFERROR(__xludf.DUMMYFUNCTION("""COMPUTED_VALUE"""),"Sarvm.ai ಮ್ಯಾನೇಜರ್ ಐಡಿ")</f>
        <v>Sarvm.ai ಮ್ಯಾನೇಜರ್ ಐಡಿ</v>
      </c>
      <c r="F981" s="2" t="str">
        <f>IFERROR(__xludf.DUMMYFUNCTION("""COMPUTED_VALUE"""),"Sarvm.AI ମ୍ୟାନେଜର୍ ଆଇଡି |")</f>
        <v>Sarvm.AI ମ୍ୟାନେଜର୍ ଆଇଡି |</v>
      </c>
      <c r="G981" s="2" t="str">
        <f>IFERROR(__xludf.DUMMYFUNCTION("""COMPUTED_VALUE"""),"Sarvm.ai ব্যৱস্থাপক আইডি")</f>
        <v>Sarvm.ai ব্যৱস্থাপক আইডি</v>
      </c>
      <c r="H981" s="2" t="str">
        <f>IFERROR(__xludf.DUMMYFUNCTION("""COMPUTED_VALUE"""),"સર્વાઇ મેનેજર આઈ.ડી.")</f>
        <v>સર્વાઇ મેનેજર આઈ.ડી.</v>
      </c>
      <c r="I981" s="2" t="str">
        <f>IFERROR(__xludf.DUMMYFUNCTION("""COMPUTED_VALUE"""),"SARVM.AI मॅनेजर आयडी")</f>
        <v>SARVM.AI मॅनेजर आयडी</v>
      </c>
      <c r="J981" s="2" t="str">
        <f>IFERROR(__xludf.DUMMYFUNCTION("""COMPUTED_VALUE"""),"SARVM.AI മാനേജർ ഐഡി")</f>
        <v>SARVM.AI മാനേജർ ഐഡി</v>
      </c>
      <c r="K981" s="2" t="str">
        <f>IFERROR(__xludf.DUMMYFUNCTION("""COMPUTED_VALUE"""),"ਸਾਰਵਮ.ਈ ਮੈਨੇਜਰ ਆਈਡੀ")</f>
        <v>ਸਾਰਵਮ.ਈ ਮੈਨੇਜਰ ਆਈਡੀ</v>
      </c>
      <c r="L981" s="2" t="str">
        <f>IFERROR(__xludf.DUMMYFUNCTION("""COMPUTED_VALUE"""),"Sarvm.ai மேலாளர் ஐடி")</f>
        <v>Sarvm.ai மேலாளர் ஐடி</v>
      </c>
      <c r="M981" s="2" t="str">
        <f>IFERROR(__xludf.DUMMYFUNCTION("""COMPUTED_VALUE"""),"Savm.ai మేనేజర్ ID")</f>
        <v>Savm.ai మేనేజర్ ID</v>
      </c>
    </row>
    <row r="982">
      <c r="A982" s="2" t="str">
        <f>Master_en!A982</f>
        <v>Invalidpincode</v>
      </c>
      <c r="B982" s="2" t="str">
        <f>Master_en!B982</f>
        <v>Invalid pincode</v>
      </c>
      <c r="C982" s="2" t="str">
        <f>IFERROR(__xludf.DUMMYFUNCTION("""COMPUTED_VALUE"""),"অবৈধ পিনকোড")</f>
        <v>অবৈধ পিনকোড</v>
      </c>
      <c r="D982" s="2" t="str">
        <f>IFERROR(__xludf.DUMMYFUNCTION("""COMPUTED_VALUE"""),"अमान्य पिनकोड")</f>
        <v>अमान्य पिनकोड</v>
      </c>
      <c r="E982" s="2" t="str">
        <f>IFERROR(__xludf.DUMMYFUNCTION("""COMPUTED_VALUE"""),"ಅಮಾನ್ಯ ಪಿಂಕೋಡ್")</f>
        <v>ಅಮಾನ್ಯ ಪಿಂಕೋಡ್</v>
      </c>
      <c r="F982" s="2" t="str">
        <f>IFERROR(__xludf.DUMMYFUNCTION("""COMPUTED_VALUE"""),"ଅବ val ଧ ପିନକୋଡ୍ |")</f>
        <v>ଅବ val ଧ ପିନକୋଡ୍ |</v>
      </c>
      <c r="G982" s="2" t="str">
        <f>IFERROR(__xludf.DUMMYFUNCTION("""COMPUTED_VALUE"""),"অবৈধ পিনকোড")</f>
        <v>অবৈধ পিনকোড</v>
      </c>
      <c r="H982" s="2" t="str">
        <f>IFERROR(__xludf.DUMMYFUNCTION("""COMPUTED_VALUE"""),"અમાન્ય પિનકોડ")</f>
        <v>અમાન્ય પિનકોડ</v>
      </c>
      <c r="I982" s="2" t="str">
        <f>IFERROR(__xludf.DUMMYFUNCTION("""COMPUTED_VALUE"""),"अवैध पिनकोड")</f>
        <v>अवैध पिनकोड</v>
      </c>
      <c r="J982" s="2" t="str">
        <f>IFERROR(__xludf.DUMMYFUNCTION("""COMPUTED_VALUE"""),"അസാധുവായ പിങ്കോഡ്")</f>
        <v>അസാധുവായ പിങ്കോഡ്</v>
      </c>
      <c r="K982" s="2" t="str">
        <f>IFERROR(__xludf.DUMMYFUNCTION("""COMPUTED_VALUE"""),"ਗਲਤ ਪਿੰਨਕੋਡ")</f>
        <v>ਗਲਤ ਪਿੰਨਕੋਡ</v>
      </c>
      <c r="L982" s="2" t="str">
        <f>IFERROR(__xludf.DUMMYFUNCTION("""COMPUTED_VALUE"""),"தவறான பின்கோட்")</f>
        <v>தவறான பின்கோட்</v>
      </c>
      <c r="M982" s="2" t="str">
        <f>IFERROR(__xludf.DUMMYFUNCTION("""COMPUTED_VALUE"""),"చెల్లని పిన్‌కోడ్")</f>
        <v>చెల్లని పిన్‌కోడ్</v>
      </c>
    </row>
    <row r="983">
      <c r="A983" s="3" t="str">
        <f>Master_en!A983</f>
        <v>Sarvm.Ai</v>
      </c>
      <c r="B983" s="3" t="str">
        <f>Master_en!B983</f>
        <v>Sarvm.Ai</v>
      </c>
      <c r="C983" s="2" t="str">
        <f>IFERROR(__xludf.DUMMYFUNCTION("""COMPUTED_VALUE"""),"সরভ.ই")</f>
        <v>সরভ.ই</v>
      </c>
      <c r="D983" s="2" t="str">
        <f>IFERROR(__xludf.DUMMYFUNCTION("""COMPUTED_VALUE"""),"सरवमाई")</f>
        <v>सरवमाई</v>
      </c>
      <c r="E983" s="3" t="str">
        <f>IFERROR(__xludf.DUMMYFUNCTION("""COMPUTED_VALUE"""),"Sarvm.ai")</f>
        <v>Sarvm.ai</v>
      </c>
      <c r="F983" s="3" t="str">
        <f>IFERROR(__xludf.DUMMYFUNCTION("""COMPUTED_VALUE"""),"Sarvm.AI")</f>
        <v>Sarvm.AI</v>
      </c>
      <c r="G983" s="3" t="str">
        <f>IFERROR(__xludf.DUMMYFUNCTION("""COMPUTED_VALUE"""),"Sarvm.Ai")</f>
        <v>Sarvm.Ai</v>
      </c>
      <c r="H983" s="3" t="str">
        <f>IFERROR(__xludf.DUMMYFUNCTION("""COMPUTED_VALUE"""),"Sarvm.Ai")</f>
        <v>Sarvm.Ai</v>
      </c>
      <c r="I983" s="3" t="str">
        <f>IFERROR(__xludf.DUMMYFUNCTION("""COMPUTED_VALUE"""),"Sarvm.Ai")</f>
        <v>Sarvm.Ai</v>
      </c>
      <c r="J983" s="3" t="str">
        <f>IFERROR(__xludf.DUMMYFUNCTION("""COMPUTED_VALUE"""),"SARVM.AI")</f>
        <v>SARVM.AI</v>
      </c>
      <c r="K983" s="3" t="str">
        <f>IFERROR(__xludf.DUMMYFUNCTION("""COMPUTED_VALUE"""),"Sarvm.Ai")</f>
        <v>Sarvm.Ai</v>
      </c>
      <c r="L983" s="3" t="str">
        <f>IFERROR(__xludf.DUMMYFUNCTION("""COMPUTED_VALUE"""),"Sarvm.ai")</f>
        <v>Sarvm.ai</v>
      </c>
      <c r="M983" s="3" t="str">
        <f>IFERROR(__xludf.DUMMYFUNCTION("""COMPUTED_VALUE"""),"Sarvm.Ai")</f>
        <v>Sarvm.Ai</v>
      </c>
    </row>
    <row r="984">
      <c r="A984" s="2" t="str">
        <f>Master_en!A984</f>
        <v>Entertext</v>
      </c>
      <c r="B984" s="2" t="str">
        <f>Master_en!B984</f>
        <v>Enter text</v>
      </c>
      <c r="C984" s="2" t="str">
        <f>IFERROR(__xludf.DUMMYFUNCTION("""COMPUTED_VALUE"""),"লেখা অন্তর্ভুক্ত করুন")</f>
        <v>লেখা অন্তর্ভুক্ত করুন</v>
      </c>
      <c r="D984" s="2" t="str">
        <f>IFERROR(__xludf.DUMMYFUNCTION("""COMPUTED_VALUE"""),"पाठ दर्ज करें")</f>
        <v>पाठ दर्ज करें</v>
      </c>
      <c r="E984" s="2" t="str">
        <f>IFERROR(__xludf.DUMMYFUNCTION("""COMPUTED_VALUE"""),"ಪಠ್ಯವನ್ನು ನಮೂದಿಸಿ")</f>
        <v>ಪಠ್ಯವನ್ನು ನಮೂದಿಸಿ</v>
      </c>
      <c r="F984" s="2" t="str">
        <f>IFERROR(__xludf.DUMMYFUNCTION("""COMPUTED_VALUE"""),"ପାଠ ପ୍ରବେଶ କରନ୍ତୁ |")</f>
        <v>ପାଠ ପ୍ରବେଶ କରନ୍ତୁ |</v>
      </c>
      <c r="G984" s="2" t="str">
        <f>IFERROR(__xludf.DUMMYFUNCTION("""COMPUTED_VALUE"""),"লিখনী প্ৰবিষ্ট কৰক")</f>
        <v>লিখনী প্ৰবিষ্ট কৰক</v>
      </c>
      <c r="H984" s="2" t="str">
        <f>IFERROR(__xludf.DUMMYFUNCTION("""COMPUTED_VALUE"""),"લખાણ દાખલ કરો")</f>
        <v>લખાણ દાખલ કરો</v>
      </c>
      <c r="I984" s="2" t="str">
        <f>IFERROR(__xludf.DUMMYFUNCTION("""COMPUTED_VALUE"""),"मजकूर प्रविष्ट करा")</f>
        <v>मजकूर प्रविष्ट करा</v>
      </c>
      <c r="J984" s="2" t="str">
        <f>IFERROR(__xludf.DUMMYFUNCTION("""COMPUTED_VALUE"""),"വാചകം നൽകുക")</f>
        <v>വാചകം നൽകുക</v>
      </c>
      <c r="K984" s="2" t="str">
        <f>IFERROR(__xludf.DUMMYFUNCTION("""COMPUTED_VALUE"""),"ਟੈਕਸਟ ਦਰਜ ਕਰੋ")</f>
        <v>ਟੈਕਸਟ ਦਰਜ ਕਰੋ</v>
      </c>
      <c r="L984" s="2" t="str">
        <f>IFERROR(__xludf.DUMMYFUNCTION("""COMPUTED_VALUE"""),"உரையை உள்ளிடவும்")</f>
        <v>உரையை உள்ளிடவும்</v>
      </c>
      <c r="M984" s="2" t="str">
        <f>IFERROR(__xludf.DUMMYFUNCTION("""COMPUTED_VALUE"""),"వచనాన్ని నమోదు చేయండి")</f>
        <v>వచనాన్ని నమోదు చేయండి</v>
      </c>
    </row>
    <row r="985">
      <c r="A985" s="2" t="str">
        <f>Master_en!A985</f>
        <v>Shopalready exist for this user</v>
      </c>
      <c r="B985" s="2" t="str">
        <f>Master_en!B985</f>
        <v>Shop already exist for this user</v>
      </c>
      <c r="C985" s="2" t="str">
        <f>IFERROR(__xludf.DUMMYFUNCTION("""COMPUTED_VALUE"""),"এই ব্যবহারকারীর জন্য ইতিমধ্যে দোকান বিদ্যমান")</f>
        <v>এই ব্যবহারকারীর জন্য ইতিমধ্যে দোকান বিদ্যমান</v>
      </c>
      <c r="D985" s="2" t="str">
        <f>IFERROR(__xludf.DUMMYFUNCTION("""COMPUTED_VALUE"""),"इस उपयोगकर्ता के लिए पहले से ही दुकान मौजूद है")</f>
        <v>इस उपयोगकर्ता के लिए पहले से ही दुकान मौजूद है</v>
      </c>
      <c r="E985" s="2" t="str">
        <f>IFERROR(__xludf.DUMMYFUNCTION("""COMPUTED_VALUE"""),"ಈ ಬಳಕೆದಾರರಿಗಾಗಿ ಈಗಾಗಲೇ ಅಂಗಡಿ ಅಸ್ತಿತ್ವದಲ್ಲಿದೆ")</f>
        <v>ಈ ಬಳಕೆದಾರರಿಗಾಗಿ ಈಗಾಗಲೇ ಅಂಗಡಿ ಅಸ್ತಿತ್ವದಲ್ಲಿದೆ</v>
      </c>
      <c r="F985" s="2" t="str">
        <f>IFERROR(__xludf.DUMMYFUNCTION("""COMPUTED_VALUE"""),"ଏହି ଉପଭୋକ୍ତା ପାଇଁ ପୂର୍ବରୁ ଦୋକାନ ବିଦ୍ୟମାନ ଅଛି |")</f>
        <v>ଏହି ଉପଭୋକ୍ତା ପାଇଁ ପୂର୍ବରୁ ଦୋକାନ ବିଦ୍ୟମାନ ଅଛି |</v>
      </c>
      <c r="G985" s="2" t="str">
        <f>IFERROR(__xludf.DUMMYFUNCTION("""COMPUTED_VALUE"""),"এই ব্যৱহাৰকাৰীৰ বাবে দোকান ইতিমধ্যে বিদ্যমান")</f>
        <v>এই ব্যৱহাৰকাৰীৰ বাবে দোকান ইতিমধ্যে বিদ্যমান</v>
      </c>
      <c r="H985" s="2" t="str">
        <f>IFERROR(__xludf.DUMMYFUNCTION("""COMPUTED_VALUE"""),"આ વપરાશકર્તા માટે ખરીદી પહેલાથી જ અસ્તિત્વમાં છે")</f>
        <v>આ વપરાશકર્તા માટે ખરીદી પહેલાથી જ અસ્તિત્વમાં છે</v>
      </c>
      <c r="I985" s="2" t="str">
        <f>IFERROR(__xludf.DUMMYFUNCTION("""COMPUTED_VALUE"""),"या वापरकर्त्यासाठी खरेदी आधीच आहे")</f>
        <v>या वापरकर्त्यासाठी खरेदी आधीच आहे</v>
      </c>
      <c r="J985" s="2" t="str">
        <f>IFERROR(__xludf.DUMMYFUNCTION("""COMPUTED_VALUE"""),"ഈ ഉപയോക്താവിനായി ഷോപ്പ് ഇതിനകം തന്നെ നിലവിലുണ്ട്")</f>
        <v>ഈ ഉപയോക്താവിനായി ഷോപ്പ് ഇതിനകം തന്നെ നിലവിലുണ്ട്</v>
      </c>
      <c r="K985" s="2" t="str">
        <f>IFERROR(__xludf.DUMMYFUNCTION("""COMPUTED_VALUE"""),"ਇਸ ਉਪਭੋਗਤਾ ਲਈ ਦੁਕਾਨ ਪਹਿਲਾਂ ਹੀ ਮੌਜੂਦ ਹੈ")</f>
        <v>ਇਸ ਉਪਭੋਗਤਾ ਲਈ ਦੁਕਾਨ ਪਹਿਲਾਂ ਹੀ ਮੌਜੂਦ ਹੈ</v>
      </c>
      <c r="L985" s="2" t="str">
        <f>IFERROR(__xludf.DUMMYFUNCTION("""COMPUTED_VALUE"""),"இந்த பயனருக்கு கடை ஏற்கனவே உள்ளது")</f>
        <v>இந்த பயனருக்கு கடை ஏற்கனவே உள்ளது</v>
      </c>
      <c r="M985" s="2" t="str">
        <f>IFERROR(__xludf.DUMMYFUNCTION("""COMPUTED_VALUE"""),"ఈ వినియోగదారు కోసం ఇప్పటికే షాప్ ఉంది")</f>
        <v>ఈ వినియోగదారు కోసం ఇప్పటికే షాప్ ఉంది</v>
      </c>
    </row>
    <row r="986">
      <c r="A986" s="2" t="str">
        <f>Master_en!A986</f>
        <v>ScanQRcode</v>
      </c>
      <c r="B986" s="2" t="str">
        <f>Master_en!B986</f>
        <v>Scan QR code</v>
      </c>
      <c r="C986" s="2" t="str">
        <f>IFERROR(__xludf.DUMMYFUNCTION("""COMPUTED_VALUE"""),"স্ক্যান কিউআর কোড")</f>
        <v>স্ক্যান কিউআর কোড</v>
      </c>
      <c r="D986" s="2" t="str">
        <f>IFERROR(__xludf.DUMMYFUNCTION("""COMPUTED_VALUE"""),"स्कैन क्यू आर कोड")</f>
        <v>स्कैन क्यू आर कोड</v>
      </c>
      <c r="E986" s="2" t="str">
        <f>IFERROR(__xludf.DUMMYFUNCTION("""COMPUTED_VALUE"""),"ಕ್ಯೂಆರ್ ಕೋಡ್ ಅನ್ನು ಸ್ಕ್ಯಾನ್ ಮಾಡಿ")</f>
        <v>ಕ್ಯೂಆರ್ ಕೋಡ್ ಅನ್ನು ಸ್ಕ್ಯಾನ್ ಮಾಡಿ</v>
      </c>
      <c r="F986" s="2" t="str">
        <f>IFERROR(__xludf.DUMMYFUNCTION("""COMPUTED_VALUE"""),"QR କୋଡ୍ ସ୍କାନ୍ କରନ୍ତୁ |")</f>
        <v>QR କୋଡ୍ ସ୍କାନ୍ କରନ୍ତୁ |</v>
      </c>
      <c r="G986" s="2" t="str">
        <f>IFERROR(__xludf.DUMMYFUNCTION("""COMPUTED_VALUE"""),"কিউআৰ কোড স্কেন কৰক")</f>
        <v>কিউআৰ কোড স্কেন কৰক</v>
      </c>
      <c r="H986" s="2" t="str">
        <f>IFERROR(__xludf.DUMMYFUNCTION("""COMPUTED_VALUE"""),"સ્કેન ક્યૂઆર કોડ")</f>
        <v>સ્કેન ક્યૂઆર કોડ</v>
      </c>
      <c r="I986" s="2" t="str">
        <f>IFERROR(__xludf.DUMMYFUNCTION("""COMPUTED_VALUE"""),"स्कॅन क्यूआर कोड")</f>
        <v>स्कॅन क्यूआर कोड</v>
      </c>
      <c r="J986" s="2" t="str">
        <f>IFERROR(__xludf.DUMMYFUNCTION("""COMPUTED_VALUE"""),"QR കോഡ് സ്കാൻ ചെയ്യുക")</f>
        <v>QR കോഡ് സ്കാൻ ചെയ്യുക</v>
      </c>
      <c r="K986" s="2" t="str">
        <f>IFERROR(__xludf.DUMMYFUNCTION("""COMPUTED_VALUE"""),"ਸਕੈਨ QR ਕੋਡ")</f>
        <v>ਸਕੈਨ QR ਕੋਡ</v>
      </c>
      <c r="L986" s="2" t="str">
        <f>IFERROR(__xludf.DUMMYFUNCTION("""COMPUTED_VALUE"""),"QR குறியீட்டை ஸ்கேன் செய்யுங்கள்")</f>
        <v>QR குறியீட்டை ஸ்கேன் செய்யுங்கள்</v>
      </c>
      <c r="M986" s="2" t="str">
        <f>IFERROR(__xludf.DUMMYFUNCTION("""COMPUTED_VALUE"""),"QR కోడ్‌ను స్కాన్ చేయండి")</f>
        <v>QR కోడ్‌ను స్కాన్ చేయండి</v>
      </c>
    </row>
    <row r="987">
      <c r="A987" s="2" t="str">
        <f>Master_en!A987</f>
        <v>Select UPI App</v>
      </c>
      <c r="B987" s="2" t="str">
        <f>Master_en!B987</f>
        <v>Select UPI App</v>
      </c>
      <c r="C987" s="2" t="str">
        <f>IFERROR(__xludf.DUMMYFUNCTION("""COMPUTED_VALUE"""),"ইউপিআই অ্যাপ্লিকেশন নির্বাচন করুন")</f>
        <v>ইউপিআই অ্যাপ্লিকেশন নির্বাচন করুন</v>
      </c>
      <c r="D987" s="2" t="str">
        <f>IFERROR(__xludf.DUMMYFUNCTION("""COMPUTED_VALUE"""),"यूपीआई ऐप का चयन करें")</f>
        <v>यूपीआई ऐप का चयन करें</v>
      </c>
      <c r="E987" s="2" t="str">
        <f>IFERROR(__xludf.DUMMYFUNCTION("""COMPUTED_VALUE"""),"ಯುಪಿಐ ಅಪ್ಲಿಕೇಶನ್ ಆಯ್ಕೆಮಾಡಿ")</f>
        <v>ಯುಪಿಐ ಅಪ್ಲಿಕೇಶನ್ ಆಯ್ಕೆಮಾಡಿ</v>
      </c>
      <c r="F987" s="2" t="str">
        <f>IFERROR(__xludf.DUMMYFUNCTION("""COMPUTED_VALUE"""),"ଅପ୍ ଆପ୍ ଚୟନ କରନ୍ତୁ |")</f>
        <v>ଅପ୍ ଆପ୍ ଚୟନ କରନ୍ତୁ |</v>
      </c>
      <c r="G987" s="2" t="str">
        <f>IFERROR(__xludf.DUMMYFUNCTION("""COMPUTED_VALUE"""),"ইউপিআই এপ্প বাছক")</f>
        <v>ইউপিআই এপ্প বাছক</v>
      </c>
      <c r="H987" s="2" t="str">
        <f>IFERROR(__xludf.DUMMYFUNCTION("""COMPUTED_VALUE"""),"યુપીઆઈ એપ્લિકેશન પસંદ કરો")</f>
        <v>યુપીઆઈ એપ્લિકેશન પસંદ કરો</v>
      </c>
      <c r="I987" s="2" t="str">
        <f>IFERROR(__xludf.DUMMYFUNCTION("""COMPUTED_VALUE"""),"यूपीआय अॅप निवडा")</f>
        <v>यूपीआय अॅप निवडा</v>
      </c>
      <c r="J987" s="2" t="str">
        <f>IFERROR(__xludf.DUMMYFUNCTION("""COMPUTED_VALUE"""),"പി.പി.ഐ അപ്ലിക്കേഷൻ തിരഞ്ഞെടുക്കുക")</f>
        <v>പി.പി.ഐ അപ്ലിക്കേഷൻ തിരഞ്ഞെടുക്കുക</v>
      </c>
      <c r="K987" s="2" t="str">
        <f>IFERROR(__xludf.DUMMYFUNCTION("""COMPUTED_VALUE"""),"ਅਪ ਐਪ ਦੀ ਚੋਣ ਕਰੋ")</f>
        <v>ਅਪ ਐਪ ਦੀ ਚੋਣ ਕਰੋ</v>
      </c>
      <c r="L987" s="2" t="str">
        <f>IFERROR(__xludf.DUMMYFUNCTION("""COMPUTED_VALUE"""),"யுபிஐ பயன்பாட்டைத் தேர்ந்தெடுக்கவும்")</f>
        <v>யுபிஐ பயன்பாட்டைத் தேர்ந்தெடுக்கவும்</v>
      </c>
      <c r="M987" s="2" t="str">
        <f>IFERROR(__xludf.DUMMYFUNCTION("""COMPUTED_VALUE"""),"యుపిఐ అనువర్తనాన్ని ఎంచుకోండి")</f>
        <v>యుపిఐ అనువర్తనాన్ని ఎంచుకోండి</v>
      </c>
    </row>
    <row r="988">
      <c r="A988" s="2" t="str">
        <f>Master_en!A988</f>
        <v>Please enter valid number</v>
      </c>
      <c r="B988" s="2" t="str">
        <f>Master_en!B988</f>
        <v>Please enter valid number</v>
      </c>
      <c r="C988" s="2" t="str">
        <f>IFERROR(__xludf.DUMMYFUNCTION("""COMPUTED_VALUE"""),"বৈধ নম্বর লিখুন দয়া করে")</f>
        <v>বৈধ নম্বর লিখুন দয়া করে</v>
      </c>
      <c r="D988" s="2" t="str">
        <f>IFERROR(__xludf.DUMMYFUNCTION("""COMPUTED_VALUE"""),"कृपया मान्य नंबर दर्ज करें")</f>
        <v>कृपया मान्य नंबर दर्ज करें</v>
      </c>
      <c r="E988" s="2" t="str">
        <f>IFERROR(__xludf.DUMMYFUNCTION("""COMPUTED_VALUE"""),"ದಯವಿಟ್ಟು ಮಾನ್ಯ ಸಂಖ್ಯೆಯನ್ನು ನಮೂದಿಸಿ")</f>
        <v>ದಯವಿಟ್ಟು ಮಾನ್ಯ ಸಂಖ್ಯೆಯನ್ನು ನಮೂದಿಸಿ</v>
      </c>
      <c r="F988" s="2" t="str">
        <f>IFERROR(__xludf.DUMMYFUNCTION("""COMPUTED_VALUE"""),"ଦୟାକରି ବ valid ଧ ସଂଖ୍ୟା ପ୍ରବେଶ କରନ୍ତୁ |")</f>
        <v>ଦୟାକରି ବ valid ଧ ସଂଖ୍ୟା ପ୍ରବେଶ କରନ୍ତୁ |</v>
      </c>
      <c r="G988" s="2" t="str">
        <f>IFERROR(__xludf.DUMMYFUNCTION("""COMPUTED_VALUE"""),"অনুগ্ৰহ কৰি বৈধ সংখ্যা প্ৰবিষ্ট কৰক")</f>
        <v>অনুগ্ৰহ কৰি বৈধ সংখ্যা প্ৰবিষ্ট কৰক</v>
      </c>
      <c r="H988" s="2" t="str">
        <f>IFERROR(__xludf.DUMMYFUNCTION("""COMPUTED_VALUE"""),"કૃપા કરીને માન્ય નંબર દાખલ કરો")</f>
        <v>કૃપા કરીને માન્ય નંબર દાખલ કરો</v>
      </c>
      <c r="I988" s="2" t="str">
        <f>IFERROR(__xludf.DUMMYFUNCTION("""COMPUTED_VALUE"""),"कृपया वैध क्रमांक प्रविष्ट करा")</f>
        <v>कृपया वैध क्रमांक प्रविष्ट करा</v>
      </c>
      <c r="J988" s="2" t="str">
        <f>IFERROR(__xludf.DUMMYFUNCTION("""COMPUTED_VALUE"""),"സാധുവായ നമ്പർ നൽകുക")</f>
        <v>സാധുവായ നമ്പർ നൽകുക</v>
      </c>
      <c r="K988" s="2" t="str">
        <f>IFERROR(__xludf.DUMMYFUNCTION("""COMPUTED_VALUE"""),"ਕਿਰਪਾ ਕਰਕੇ ਵੈਧ ਨੰਬਰ ਦਾਖਲ ਕਰੋ")</f>
        <v>ਕਿਰਪਾ ਕਰਕੇ ਵੈਧ ਨੰਬਰ ਦਾਖਲ ਕਰੋ</v>
      </c>
      <c r="L988" s="2" t="str">
        <f>IFERROR(__xludf.DUMMYFUNCTION("""COMPUTED_VALUE"""),"செல்லுபடியாகும் எண்ணை உள்ளிடவும்")</f>
        <v>செல்லுபடியாகும் எண்ணை உள்ளிடவும்</v>
      </c>
      <c r="M988" s="2" t="str">
        <f>IFERROR(__xludf.DUMMYFUNCTION("""COMPUTED_VALUE"""),"దయచేసి చెల్లుబాటు అయ్యే సంఖ్యను నమోదు చేయండి")</f>
        <v>దయచేసి చెల్లుబాటు అయ్యే సంఖ్యను నమోదు చేయండి</v>
      </c>
    </row>
    <row r="989">
      <c r="A989" s="2" t="str">
        <f>Master_en!A989</f>
        <v>Payment : Pending</v>
      </c>
      <c r="B989" s="2" t="str">
        <f>Master_en!B989</f>
        <v>Payment : Pending</v>
      </c>
      <c r="C989" s="2" t="str">
        <f>IFERROR(__xludf.DUMMYFUNCTION("""COMPUTED_VALUE"""),"অর্থ প্রদান: মুলতুবি")</f>
        <v>অর্থ প্রদান: মুলতুবি</v>
      </c>
      <c r="D989" s="2" t="str">
        <f>IFERROR(__xludf.DUMMYFUNCTION("""COMPUTED_VALUE"""),"भुगतान लंबित")</f>
        <v>भुगतान लंबित</v>
      </c>
      <c r="E989" s="2" t="str">
        <f>IFERROR(__xludf.DUMMYFUNCTION("""COMPUTED_VALUE"""),"ಪಾವತಿ ಬಾಕಿ ಇದೆ")</f>
        <v>ಪಾವತಿ ಬಾಕಿ ಇದೆ</v>
      </c>
      <c r="F989" s="2" t="str">
        <f>IFERROR(__xludf.DUMMYFUNCTION("""COMPUTED_VALUE"""),"ଦେୟ: ବିଚାରାଧୀନ |")</f>
        <v>ଦେୟ: ବିଚାରାଧୀନ |</v>
      </c>
      <c r="G989" s="2" t="str">
        <f>IFERROR(__xludf.DUMMYFUNCTION("""COMPUTED_VALUE"""),"পৰিশোধ : অমীমাংসিত")</f>
        <v>পৰিশোধ : অমীমাংসিত</v>
      </c>
      <c r="H989" s="2" t="str">
        <f>IFERROR(__xludf.DUMMYFUNCTION("""COMPUTED_VALUE"""),"ચુકવણી: બાકી")</f>
        <v>ચુકવણી: બાકી</v>
      </c>
      <c r="I989" s="2" t="str">
        <f>IFERROR(__xludf.DUMMYFUNCTION("""COMPUTED_VALUE"""),"देयक प्रलंबित")</f>
        <v>देयक प्रलंबित</v>
      </c>
      <c r="J989" s="2" t="str">
        <f>IFERROR(__xludf.DUMMYFUNCTION("""COMPUTED_VALUE"""),"പണമടയ്ക്കൽ ശേഷിക്കുന്നു")</f>
        <v>പണമടയ്ക്കൽ ശേഷിക്കുന്നു</v>
      </c>
      <c r="K989" s="2" t="str">
        <f>IFERROR(__xludf.DUMMYFUNCTION("""COMPUTED_VALUE"""),"ਭੁਗਤਾਨ: ਬਕਾਇਆ")</f>
        <v>ਭੁਗਤਾਨ: ਬਕਾਇਆ</v>
      </c>
      <c r="L989" s="2" t="str">
        <f>IFERROR(__xludf.DUMMYFUNCTION("""COMPUTED_VALUE"""),"கட்டணம்: நிலுவையில் உள்ளது")</f>
        <v>கட்டணம்: நிலுவையில் உள்ளது</v>
      </c>
      <c r="M989" s="2" t="str">
        <f>IFERROR(__xludf.DUMMYFUNCTION("""COMPUTED_VALUE"""),"చెల్లింపు: పెండింగ్‌లో ఉంది")</f>
        <v>చెల్లింపు: పెండింగ్‌లో ఉంది</v>
      </c>
    </row>
    <row r="990">
      <c r="A990" s="2" t="str">
        <f>Master_en!A990</f>
        <v>Start Delivery</v>
      </c>
      <c r="B990" s="2" t="str">
        <f>Master_en!B990</f>
        <v>Start Delivery</v>
      </c>
      <c r="C990" s="2" t="str">
        <f>IFERROR(__xludf.DUMMYFUNCTION("""COMPUTED_VALUE"""),"ডেলিভারি শুরু করুন")</f>
        <v>ডেলিভারি শুরু করুন</v>
      </c>
      <c r="D990" s="2" t="str">
        <f>IFERROR(__xludf.DUMMYFUNCTION("""COMPUTED_VALUE"""),"वितरण शुरू करें")</f>
        <v>वितरण शुरू करें</v>
      </c>
      <c r="E990" s="2" t="str">
        <f>IFERROR(__xludf.DUMMYFUNCTION("""COMPUTED_VALUE"""),"ವಿತರಣೆಯನ್ನು ಪ್ರಾರಂಭಿಸಿ")</f>
        <v>ವಿತರಣೆಯನ್ನು ಪ್ರಾರಂಭಿಸಿ</v>
      </c>
      <c r="F990" s="2" t="str">
        <f>IFERROR(__xludf.DUMMYFUNCTION("""COMPUTED_VALUE"""),"ବିତରଣ ଆରମ୍ଭ କରନ୍ତୁ |")</f>
        <v>ବିତରଣ ଆରମ୍ଭ କରନ୍ତୁ |</v>
      </c>
      <c r="G990" s="2" t="str">
        <f>IFERROR(__xludf.DUMMYFUNCTION("""COMPUTED_VALUE"""),"বিতৰণ আৰম্ভ কৰক")</f>
        <v>বিতৰণ আৰম্ভ কৰক</v>
      </c>
      <c r="H990" s="2" t="str">
        <f>IFERROR(__xludf.DUMMYFUNCTION("""COMPUTED_VALUE"""),"પ્રારંભ ડિલિવરી")</f>
        <v>પ્રારંભ ડિલિવરી</v>
      </c>
      <c r="I990" s="2" t="str">
        <f>IFERROR(__xludf.DUMMYFUNCTION("""COMPUTED_VALUE"""),"वितरण सुरू करा")</f>
        <v>वितरण सुरू करा</v>
      </c>
      <c r="J990" s="2" t="str">
        <f>IFERROR(__xludf.DUMMYFUNCTION("""COMPUTED_VALUE"""),"ഡെലിവറി ആരംഭിക്കുക")</f>
        <v>ഡെലിവറി ആരംഭിക്കുക</v>
      </c>
      <c r="K990" s="2" t="str">
        <f>IFERROR(__xludf.DUMMYFUNCTION("""COMPUTED_VALUE"""),"ਡਿਲਿਵਰੀ ਸ਼ੁਰੂ ਕਰੋ")</f>
        <v>ਡਿਲਿਵਰੀ ਸ਼ੁਰੂ ਕਰੋ</v>
      </c>
      <c r="L990" s="2" t="str">
        <f>IFERROR(__xludf.DUMMYFUNCTION("""COMPUTED_VALUE"""),"டெலிவரி தொடங்கவும்")</f>
        <v>டெலிவரி தொடங்கவும்</v>
      </c>
      <c r="M990" s="2" t="str">
        <f>IFERROR(__xludf.DUMMYFUNCTION("""COMPUTED_VALUE"""),"డెలివరీ ప్రారంభించండి")</f>
        <v>డెలివరీ ప్రారంభించండి</v>
      </c>
    </row>
    <row r="991">
      <c r="A991" s="2" t="str">
        <f>Master_en!A991</f>
        <v>Order dispatch</v>
      </c>
      <c r="B991" s="2" t="str">
        <f>Master_en!B991</f>
        <v>Order dispatch</v>
      </c>
      <c r="C991" s="2" t="str">
        <f>IFERROR(__xludf.DUMMYFUNCTION("""COMPUTED_VALUE"""),"অর্ডার প্রেরণ")</f>
        <v>অর্ডার প্রেরণ</v>
      </c>
      <c r="D991" s="2" t="str">
        <f>IFERROR(__xludf.DUMMYFUNCTION("""COMPUTED_VALUE"""),"आदेश प्रेषण")</f>
        <v>आदेश प्रेषण</v>
      </c>
      <c r="E991" s="2" t="str">
        <f>IFERROR(__xludf.DUMMYFUNCTION("""COMPUTED_VALUE"""),"ಆದೇಶ ರವಾನೆ")</f>
        <v>ಆದೇಶ ರವಾನೆ</v>
      </c>
      <c r="F991" s="2" t="str">
        <f>IFERROR(__xludf.DUMMYFUNCTION("""COMPUTED_VALUE"""),"ପଠାଇବା ଅର୍ଡର କରନ୍ତୁ |")</f>
        <v>ପଠାଇବା ଅର୍ଡର କରନ୍ତୁ |</v>
      </c>
      <c r="G991" s="2" t="str">
        <f>IFERROR(__xludf.DUMMYFUNCTION("""COMPUTED_VALUE"""),"প্ৰেৰণৰ অৰ্ডাৰ দিয়ক")</f>
        <v>প্ৰেৰণৰ অৰ্ডাৰ দিয়ক</v>
      </c>
      <c r="H991" s="2" t="str">
        <f>IFERROR(__xludf.DUMMYFUNCTION("""COMPUTED_VALUE"""),"હુકમ રવાનગી")</f>
        <v>હુકમ રવાનગી</v>
      </c>
      <c r="I991" s="2" t="str">
        <f>IFERROR(__xludf.DUMMYFUNCTION("""COMPUTED_VALUE"""),"ऑर्डर पाठव")</f>
        <v>ऑर्डर पाठव</v>
      </c>
      <c r="J991" s="2" t="str">
        <f>IFERROR(__xludf.DUMMYFUNCTION("""COMPUTED_VALUE"""),"ഓർഡർ അയയ്ക്കുക")</f>
        <v>ഓർഡർ അയയ്ക്കുക</v>
      </c>
      <c r="K991" s="2" t="str">
        <f>IFERROR(__xludf.DUMMYFUNCTION("""COMPUTED_VALUE"""),"ਆਰਡਰ ਭੇਜਣ")</f>
        <v>ਆਰਡਰ ਭੇਜਣ</v>
      </c>
      <c r="L991" s="2" t="str">
        <f>IFERROR(__xludf.DUMMYFUNCTION("""COMPUTED_VALUE"""),"ஆர்டர் அனுப்பு")</f>
        <v>ஆர்டர் அனுப்பு</v>
      </c>
      <c r="M991" s="2" t="str">
        <f>IFERROR(__xludf.DUMMYFUNCTION("""COMPUTED_VALUE"""),"ఆర్డర్ పంపకం")</f>
        <v>ఆర్డర్ పంపకం</v>
      </c>
    </row>
    <row r="992">
      <c r="A992" s="2" t="str">
        <f>Master_en!A992</f>
        <v>Order dispatched</v>
      </c>
      <c r="B992" s="2" t="str">
        <f>Master_en!B992</f>
        <v>Order dispatched</v>
      </c>
      <c r="C992" s="2" t="str">
        <f>IFERROR(__xludf.DUMMYFUNCTION("""COMPUTED_VALUE"""),"আদেশ দ্রুত প্রেরন")</f>
        <v>আদেশ দ্রুত প্রেরন</v>
      </c>
      <c r="D992" s="2" t="str">
        <f>IFERROR(__xludf.DUMMYFUNCTION("""COMPUTED_VALUE"""),"ऑर्डर भेजा गया")</f>
        <v>ऑर्डर भेजा गया</v>
      </c>
      <c r="E992" s="2" t="str">
        <f>IFERROR(__xludf.DUMMYFUNCTION("""COMPUTED_VALUE"""),"ಆದೇಶವನ್ನು ರವಾನಿಸಲಾಗಿದೆ")</f>
        <v>ಆದೇಶವನ್ನು ರವಾನಿಸಲಾಗಿದೆ</v>
      </c>
      <c r="F992" s="2" t="str">
        <f>IFERROR(__xludf.DUMMYFUNCTION("""COMPUTED_VALUE"""),"ଅର୍ଡର ପଠାଯାଇଛି |")</f>
        <v>ଅର୍ଡର ପଠାଯାଇଛି |</v>
      </c>
      <c r="G992" s="2" t="str">
        <f>IFERROR(__xludf.DUMMYFUNCTION("""COMPUTED_VALUE"""),"অৰ্ডাৰ প্ৰেৰণ কৰা হৈছে")</f>
        <v>অৰ্ডাৰ প্ৰেৰণ কৰা হৈছে</v>
      </c>
      <c r="H992" s="2" t="str">
        <f>IFERROR(__xludf.DUMMYFUNCTION("""COMPUTED_VALUE"""),"હુકમ")</f>
        <v>હુકમ</v>
      </c>
      <c r="I992" s="2" t="str">
        <f>IFERROR(__xludf.DUMMYFUNCTION("""COMPUTED_VALUE"""),"ऑर्डर पाठविली")</f>
        <v>ऑर्डर पाठविली</v>
      </c>
      <c r="J992" s="2" t="str">
        <f>IFERROR(__xludf.DUMMYFUNCTION("""COMPUTED_VALUE"""),"ഓർഡർ അയച്ചു")</f>
        <v>ഓർഡർ അയച്ചു</v>
      </c>
      <c r="K992" s="2" t="str">
        <f>IFERROR(__xludf.DUMMYFUNCTION("""COMPUTED_VALUE"""),"ਆਰਡਰ ਭੇਜਿਆ")</f>
        <v>ਆਰਡਰ ਭੇਜਿਆ</v>
      </c>
      <c r="L992" s="2" t="str">
        <f>IFERROR(__xludf.DUMMYFUNCTION("""COMPUTED_VALUE"""),"ஆர்டர் அனுப்பப்பட்டது")</f>
        <v>ஆர்டர் அனுப்பப்பட்டது</v>
      </c>
      <c r="M992" s="2" t="str">
        <f>IFERROR(__xludf.DUMMYFUNCTION("""COMPUTED_VALUE"""),"ఆర్డర్ పంపబడింది")</f>
        <v>ఆర్డర్ పంపబడింది</v>
      </c>
    </row>
    <row r="993">
      <c r="A993" s="2" t="str">
        <f>Master_en!A993</f>
        <v>Reached Delivery Location</v>
      </c>
      <c r="B993" s="2" t="str">
        <f>Master_en!B993</f>
        <v>Reached Delivery Location</v>
      </c>
      <c r="C993" s="2" t="str">
        <f>IFERROR(__xludf.DUMMYFUNCTION("""COMPUTED_VALUE"""),"ডেলিভারি অবস্থান পৌঁছেছে")</f>
        <v>ডেলিভারি অবস্থান পৌঁছেছে</v>
      </c>
      <c r="D993" s="2" t="str">
        <f>IFERROR(__xludf.DUMMYFUNCTION("""COMPUTED_VALUE"""),"वितरण स्थान पर पहुंच गया")</f>
        <v>वितरण स्थान पर पहुंच गया</v>
      </c>
      <c r="E993" s="2" t="str">
        <f>IFERROR(__xludf.DUMMYFUNCTION("""COMPUTED_VALUE"""),"ವಿತರಣಾ ಸ್ಥಳವನ್ನು ತಲುಪಿದೆ")</f>
        <v>ವಿತರಣಾ ಸ್ಥಳವನ್ನು ತಲುಪಿದೆ</v>
      </c>
      <c r="F993" s="2" t="str">
        <f>IFERROR(__xludf.DUMMYFUNCTION("""COMPUTED_VALUE"""),"ବିତରଣ ସ୍ଥାନରେ ପହଞ୍ଚିଲା |")</f>
        <v>ବିତରଣ ସ୍ଥାନରେ ପହଞ୍ଚିଲା |</v>
      </c>
      <c r="G993" s="2" t="str">
        <f>IFERROR(__xludf.DUMMYFUNCTION("""COMPUTED_VALUE"""),"ডেলিভাৰী অৱস্থানত উপনীত হৈছে")</f>
        <v>ডেলিভাৰী অৱস্থানত উপনীত হৈছে</v>
      </c>
      <c r="H993" s="2" t="str">
        <f>IFERROR(__xludf.DUMMYFUNCTION("""COMPUTED_VALUE"""),"ડિલિવરી સ્થાન પહોંચ્યું")</f>
        <v>ડિલિવરી સ્થાન પહોંચ્યું</v>
      </c>
      <c r="I993" s="2" t="str">
        <f>IFERROR(__xludf.DUMMYFUNCTION("""COMPUTED_VALUE"""),"वितरण स्थान गाठले")</f>
        <v>वितरण स्थान गाठले</v>
      </c>
      <c r="J993" s="2" t="str">
        <f>IFERROR(__xludf.DUMMYFUNCTION("""COMPUTED_VALUE"""),"എത്തിയ ഡെലിവറി ലൊക്കേഷനിൽ")</f>
        <v>എത്തിയ ഡെലിവറി ലൊക്കേഷനിൽ</v>
      </c>
      <c r="K993" s="2" t="str">
        <f>IFERROR(__xludf.DUMMYFUNCTION("""COMPUTED_VALUE"""),"ਡਿਲੀਵਰੀ ਦੀ ਸਥਿਤੀ ਤੱਕ ਪਹੁੰਚ ਗਈ")</f>
        <v>ਡਿਲੀਵਰੀ ਦੀ ਸਥਿਤੀ ਤੱਕ ਪਹੁੰਚ ਗਈ</v>
      </c>
      <c r="L993" s="2" t="str">
        <f>IFERROR(__xludf.DUMMYFUNCTION("""COMPUTED_VALUE"""),"டெலிவரி இருப்பிடத்தை எட்டியது")</f>
        <v>டெலிவரி இருப்பிடத்தை எட்டியது</v>
      </c>
      <c r="M993" s="2" t="str">
        <f>IFERROR(__xludf.DUMMYFUNCTION("""COMPUTED_VALUE"""),"డెలివరీ స్థానానికి చేరుకుంది")</f>
        <v>డెలివరీ స్థానానికి చేరుకుంది</v>
      </c>
    </row>
    <row r="994">
      <c r="A994" s="2" t="str">
        <f>Master_en!A994</f>
        <v>Order Pickedup</v>
      </c>
      <c r="B994" s="2" t="str">
        <f>Master_en!B994</f>
        <v>Order Pickedup</v>
      </c>
      <c r="C994" s="2" t="str">
        <f>IFERROR(__xludf.DUMMYFUNCTION("""COMPUTED_VALUE"""),"অর্ডার পিকআপ")</f>
        <v>অর্ডার পিকআপ</v>
      </c>
      <c r="D994" s="2" t="str">
        <f>IFERROR(__xludf.DUMMYFUNCTION("""COMPUTED_VALUE"""),"आदेश चुना")</f>
        <v>आदेश चुना</v>
      </c>
      <c r="E994" s="2" t="str">
        <f>IFERROR(__xludf.DUMMYFUNCTION("""COMPUTED_VALUE"""),"ಆರ್ಡರ್ ಪಿಕ್ಕನ್")</f>
        <v>ಆರ್ಡರ್ ಪಿಕ್ಕನ್</v>
      </c>
      <c r="F994" s="2" t="str">
        <f>IFERROR(__xludf.DUMMYFUNCTION("""COMPUTED_VALUE"""),"ଅର୍ଡର ପିଲ୍ୟୁପ୍ |")</f>
        <v>ଅର୍ଡର ପିଲ୍ୟୁପ୍ |</v>
      </c>
      <c r="G994" s="2" t="str">
        <f>IFERROR(__xludf.DUMMYFUNCTION("""COMPUTED_VALUE"""),"অৰ্ডাৰ পিকআপ")</f>
        <v>অৰ্ডাৰ পিকআপ</v>
      </c>
      <c r="H994" s="2" t="str">
        <f>IFERROR(__xludf.DUMMYFUNCTION("""COMPUTED_VALUE"""),"ઓર્ડર ઉપાડ")</f>
        <v>ઓર્ડર ઉપાડ</v>
      </c>
      <c r="I994" s="2" t="str">
        <f>IFERROR(__xludf.DUMMYFUNCTION("""COMPUTED_VALUE"""),"ऑर्डर पिकअपअप")</f>
        <v>ऑर्डर पिकअपअप</v>
      </c>
      <c r="J994" s="2" t="str">
        <f>IFERROR(__xludf.DUMMYFUNCTION("""COMPUTED_VALUE"""),"ഓർഡർ എടുക്കപ്പ്")</f>
        <v>ഓർഡർ എടുക്കപ്പ്</v>
      </c>
      <c r="K994" s="2" t="str">
        <f>IFERROR(__xludf.DUMMYFUNCTION("""COMPUTED_VALUE"""),"ਆਰਡਰ ਚੁਣੇ")</f>
        <v>ਆਰਡਰ ਚੁਣੇ</v>
      </c>
      <c r="L994" s="2" t="str">
        <f>IFERROR(__xludf.DUMMYFUNCTION("""COMPUTED_VALUE"""),"ஆர்டர் எடுப்பது")</f>
        <v>ஆர்டர் எடுப்பது</v>
      </c>
      <c r="M994" s="2" t="str">
        <f>IFERROR(__xludf.DUMMYFUNCTION("""COMPUTED_VALUE"""),"ఆర్డర్ పిక్‌డప్")</f>
        <v>ఆర్డర్ పిక్‌డప్</v>
      </c>
    </row>
    <row r="995">
      <c r="A995" s="2" t="str">
        <f>Master_en!A995</f>
        <v>OrderIDorCustomerNumber</v>
      </c>
      <c r="B995" s="2" t="str">
        <f>Master_en!B995</f>
        <v>Order ID or Customer Number</v>
      </c>
      <c r="C995" s="2" t="str">
        <f>IFERROR(__xludf.DUMMYFUNCTION("""COMPUTED_VALUE"""),"অর্ডার আইডি বা গ্রাহক নম্বর")</f>
        <v>অর্ডার আইডি বা গ্রাহক নম্বর</v>
      </c>
      <c r="D995" s="2" t="str">
        <f>IFERROR(__xludf.DUMMYFUNCTION("""COMPUTED_VALUE"""),"ऑर्डर आईडी या ग्राहक नंबर")</f>
        <v>ऑर्डर आईडी या ग्राहक नंबर</v>
      </c>
      <c r="E995" s="2" t="str">
        <f>IFERROR(__xludf.DUMMYFUNCTION("""COMPUTED_VALUE"""),"ಆದೇಶ ID ಅಥವಾ ಗ್ರಾಹಕ ಸಂಖ್ಯೆ")</f>
        <v>ಆದೇಶ ID ಅಥವಾ ಗ್ರಾಹಕ ಸಂಖ್ಯೆ</v>
      </c>
      <c r="F995" s="2" t="str">
        <f>IFERROR(__xludf.DUMMYFUNCTION("""COMPUTED_VALUE"""),"ଅର୍ଡର ID କିମ୍ବା ଗ୍ରାହକ ସଂଖ୍ୟା |")</f>
        <v>ଅର୍ଡର ID କିମ୍ବା ଗ୍ରାହକ ସଂଖ୍ୟା |</v>
      </c>
      <c r="G995" s="2" t="str">
        <f>IFERROR(__xludf.DUMMYFUNCTION("""COMPUTED_VALUE"""),"অৰ্ডাৰ আইডি বা গ্ৰাহক নম্বৰ")</f>
        <v>অৰ্ডাৰ আইডি বা গ্ৰাহক নম্বৰ</v>
      </c>
      <c r="H995" s="2" t="str">
        <f>IFERROR(__xludf.DUMMYFUNCTION("""COMPUTED_VALUE"""),"ઓર્ડર આઈડી અથવા ગ્રાહક નંબર")</f>
        <v>ઓર્ડર આઈડી અથવા ગ્રાહક નંબર</v>
      </c>
      <c r="I995" s="2" t="str">
        <f>IFERROR(__xludf.DUMMYFUNCTION("""COMPUTED_VALUE"""),"ऑर्डर आयडी किंवा ग्राहक क्रमांक")</f>
        <v>ऑर्डर आयडी किंवा ग्राहक क्रमांक</v>
      </c>
      <c r="J995" s="2" t="str">
        <f>IFERROR(__xludf.DUMMYFUNCTION("""COMPUTED_VALUE"""),"ഓർഡർ ഐഡി അല്ലെങ്കിൽ ഉപഭോക്തൃ നമ്പർ")</f>
        <v>ഓർഡർ ഐഡി അല്ലെങ്കിൽ ഉപഭോക്തൃ നമ്പർ</v>
      </c>
      <c r="K995" s="2" t="str">
        <f>IFERROR(__xludf.DUMMYFUNCTION("""COMPUTED_VALUE"""),"ਆਰਡਰ ਆਈਡੀ ਜਾਂ ਗਾਹਕ ਨੰਬਰ")</f>
        <v>ਆਰਡਰ ਆਈਡੀ ਜਾਂ ਗਾਹਕ ਨੰਬਰ</v>
      </c>
      <c r="L995" s="2" t="str">
        <f>IFERROR(__xludf.DUMMYFUNCTION("""COMPUTED_VALUE"""),"ஆர்டர் ஐடி அல்லது வாடிக்கையாளர் எண்")</f>
        <v>ஆர்டர் ஐடி அல்லது வாடிக்கையாளர் எண்</v>
      </c>
      <c r="M995" s="2" t="str">
        <f>IFERROR(__xludf.DUMMYFUNCTION("""COMPUTED_VALUE"""),"ఆర్డర్ ID లేదా కస్టమర్ నంబర్")</f>
        <v>ఆర్డర్ ID లేదా కస్టమర్ నంబర్</v>
      </c>
    </row>
    <row r="996">
      <c r="A996" s="2" t="str">
        <f>Master_en!A996</f>
        <v>OrderRejected</v>
      </c>
      <c r="B996" s="2" t="str">
        <f>Master_en!B996</f>
        <v>Order Rejected</v>
      </c>
      <c r="C996" s="2" t="str">
        <f>IFERROR(__xludf.DUMMYFUNCTION("""COMPUTED_VALUE"""),"আদেশ প্রত্যাখ্যান")</f>
        <v>আদেশ প্রত্যাখ্যান</v>
      </c>
      <c r="D996" s="2" t="str">
        <f>IFERROR(__xludf.DUMMYFUNCTION("""COMPUTED_VALUE"""),"आदेश अस्वीकार कर दिया")</f>
        <v>आदेश अस्वीकार कर दिया</v>
      </c>
      <c r="E996" s="2" t="str">
        <f>IFERROR(__xludf.DUMMYFUNCTION("""COMPUTED_VALUE"""),"ಆದೇಶವನ್ನು ತಿರಸ್ಕರಿಸಲಾಗಿದೆ")</f>
        <v>ಆದೇಶವನ್ನು ತಿರಸ್ಕರಿಸಲಾಗಿದೆ</v>
      </c>
      <c r="F996" s="2" t="str">
        <f>IFERROR(__xludf.DUMMYFUNCTION("""COMPUTED_VALUE"""),"ଅର୍ଡର ପ୍ରତ୍ୟାଖ୍ୟାନ |")</f>
        <v>ଅର୍ଡର ପ୍ରତ୍ୟାଖ୍ୟାନ |</v>
      </c>
      <c r="G996" s="2" t="str">
        <f>IFERROR(__xludf.DUMMYFUNCTION("""COMPUTED_VALUE"""),"অৰ্ডাৰ নাকচ কৰা হৈছে")</f>
        <v>অৰ্ডাৰ নাকচ কৰা হৈছে</v>
      </c>
      <c r="H996" s="2" t="str">
        <f>IFERROR(__xludf.DUMMYFUNCTION("""COMPUTED_VALUE"""),"અસ્વીકૃત હુકમ")</f>
        <v>અસ્વીકૃત હુકમ</v>
      </c>
      <c r="I996" s="2" t="str">
        <f>IFERROR(__xludf.DUMMYFUNCTION("""COMPUTED_VALUE"""),"ऑर्डर नाकारली")</f>
        <v>ऑर्डर नाकारली</v>
      </c>
      <c r="J996" s="2" t="str">
        <f>IFERROR(__xludf.DUMMYFUNCTION("""COMPUTED_VALUE"""),"ഓർഡർ നിരസിച്ചു")</f>
        <v>ഓർഡർ നിരസിച്ചു</v>
      </c>
      <c r="K996" s="2" t="str">
        <f>IFERROR(__xludf.DUMMYFUNCTION("""COMPUTED_VALUE"""),"ਆਰਡਰ ਰੱਦ")</f>
        <v>ਆਰਡਰ ਰੱਦ</v>
      </c>
      <c r="L996" s="2" t="str">
        <f>IFERROR(__xludf.DUMMYFUNCTION("""COMPUTED_VALUE"""),"ஆர்டர் நிராகரிக்கப்பட்டது")</f>
        <v>ஆர்டர் நிராகரிக்கப்பட்டது</v>
      </c>
      <c r="M996" s="2" t="str">
        <f>IFERROR(__xludf.DUMMYFUNCTION("""COMPUTED_VALUE"""),"ఆర్డర్ తిరస్కరించబడింది")</f>
        <v>ఆర్డర్ తిరస్కరించబడింది</v>
      </c>
    </row>
    <row r="997">
      <c r="A997" s="2" t="str">
        <f>Master_en!A997</f>
        <v>OrderCompleted</v>
      </c>
      <c r="B997" s="2" t="str">
        <f>Master_en!B997</f>
        <v>Order Completed</v>
      </c>
      <c r="C997" s="2" t="str">
        <f>IFERROR(__xludf.DUMMYFUNCTION("""COMPUTED_VALUE"""),"আদেশ সম্পন্ন")</f>
        <v>আদেশ সম্পন্ন</v>
      </c>
      <c r="D997" s="2" t="str">
        <f>IFERROR(__xludf.DUMMYFUNCTION("""COMPUTED_VALUE"""),"आर्डर पूरा हुआ")</f>
        <v>आर्डर पूरा हुआ</v>
      </c>
      <c r="E997" s="2" t="str">
        <f>IFERROR(__xludf.DUMMYFUNCTION("""COMPUTED_VALUE"""),"ಆದೇಶ ಪೂರ್ಣಗೊಂಡಿದೆ")</f>
        <v>ಆದೇಶ ಪೂರ್ಣಗೊಂಡಿದೆ</v>
      </c>
      <c r="F997" s="2" t="str">
        <f>IFERROR(__xludf.DUMMYFUNCTION("""COMPUTED_VALUE"""),"ଅର୍ଡର ସମାପ୍ତ")</f>
        <v>ଅର୍ଡର ସମାପ୍ତ</v>
      </c>
      <c r="G997" s="2" t="str">
        <f>IFERROR(__xludf.DUMMYFUNCTION("""COMPUTED_VALUE"""),"অৰ্ডাৰ সম্পূৰ্ণ হৈছে")</f>
        <v>অৰ্ডাৰ সম্পূৰ্ণ হৈছে</v>
      </c>
      <c r="H997" s="2" t="str">
        <f>IFERROR(__xludf.DUMMYFUNCTION("""COMPUTED_VALUE"""),"ઓર્ડર પૂર્ણ")</f>
        <v>ઓર્ડર પૂર્ણ</v>
      </c>
      <c r="I997" s="2" t="str">
        <f>IFERROR(__xludf.DUMMYFUNCTION("""COMPUTED_VALUE"""),"ऑर्डर पूर्ण")</f>
        <v>ऑर्डर पूर्ण</v>
      </c>
      <c r="J997" s="2" t="str">
        <f>IFERROR(__xludf.DUMMYFUNCTION("""COMPUTED_VALUE"""),"ഓർഡർ പൂർത്തിയാക്കി")</f>
        <v>ഓർഡർ പൂർത്തിയാക്കി</v>
      </c>
      <c r="K997" s="2" t="str">
        <f>IFERROR(__xludf.DUMMYFUNCTION("""COMPUTED_VALUE"""),"ਆਰਡਰ ਪੂਰਾ")</f>
        <v>ਆਰਡਰ ਪੂਰਾ</v>
      </c>
      <c r="L997" s="2" t="str">
        <f>IFERROR(__xludf.DUMMYFUNCTION("""COMPUTED_VALUE"""),"ஆர்டர் முடிந்தது")</f>
        <v>ஆர்டர் முடிந்தது</v>
      </c>
      <c r="M997" s="2" t="str">
        <f>IFERROR(__xludf.DUMMYFUNCTION("""COMPUTED_VALUE"""),"ఆర్డర్ పూర్తయింది")</f>
        <v>ఆర్డర్ పూర్తయింది</v>
      </c>
    </row>
    <row r="998">
      <c r="A998" s="2" t="str">
        <f>Master_en!A998</f>
        <v>OrderCancelled</v>
      </c>
      <c r="B998" s="2" t="str">
        <f>Master_en!B998</f>
        <v>Order Cancelled</v>
      </c>
      <c r="C998" s="2" t="str">
        <f>IFERROR(__xludf.DUMMYFUNCTION("""COMPUTED_VALUE"""),"আদেশ বাতিল")</f>
        <v>আদেশ বাতিল</v>
      </c>
      <c r="D998" s="2" t="str">
        <f>IFERROR(__xludf.DUMMYFUNCTION("""COMPUTED_VALUE"""),"आदेश रद्द किया गया")</f>
        <v>आदेश रद्द किया गया</v>
      </c>
      <c r="E998" s="2" t="str">
        <f>IFERROR(__xludf.DUMMYFUNCTION("""COMPUTED_VALUE"""),"ಆದೇಶವನ್ನು ರದ್ದುಗೊಳಿಸಲಾಗಿದೆ")</f>
        <v>ಆದೇಶವನ್ನು ರದ್ದುಗೊಳಿಸಲಾಗಿದೆ</v>
      </c>
      <c r="F998" s="2" t="str">
        <f>IFERROR(__xludf.DUMMYFUNCTION("""COMPUTED_VALUE"""),"ଅର୍ଡର ବାତିଲ ହୋଇଛି |")</f>
        <v>ଅର୍ଡର ବାତିଲ ହୋଇଛି |</v>
      </c>
      <c r="G998" s="2" t="str">
        <f>IFERROR(__xludf.DUMMYFUNCTION("""COMPUTED_VALUE"""),"অৰ্ডাৰ বাতিল কৰা হৈছে")</f>
        <v>অৰ্ডাৰ বাতিল কৰা হৈছে</v>
      </c>
      <c r="H998" s="2" t="str">
        <f>IFERROR(__xludf.DUMMYFUNCTION("""COMPUTED_VALUE"""),"ઓર્ડર રદ")</f>
        <v>ઓર્ડર રદ</v>
      </c>
      <c r="I998" s="2" t="str">
        <f>IFERROR(__xludf.DUMMYFUNCTION("""COMPUTED_VALUE"""),"ऑर्डर रद्द")</f>
        <v>ऑर्डर रद्द</v>
      </c>
      <c r="J998" s="2" t="str">
        <f>IFERROR(__xludf.DUMMYFUNCTION("""COMPUTED_VALUE"""),"ഓർഡർ റദ്ദാക്കി")</f>
        <v>ഓർഡർ റദ്ദാക്കി</v>
      </c>
      <c r="K998" s="2" t="str">
        <f>IFERROR(__xludf.DUMMYFUNCTION("""COMPUTED_VALUE"""),"ਆਰਡਰ ਰੱਦ")</f>
        <v>ਆਰਡਰ ਰੱਦ</v>
      </c>
      <c r="L998" s="2" t="str">
        <f>IFERROR(__xludf.DUMMYFUNCTION("""COMPUTED_VALUE"""),"ஆர்டர் ரத்து செய்யப்பட்டது")</f>
        <v>ஆர்டர் ரத்து செய்யப்பட்டது</v>
      </c>
      <c r="M998" s="2" t="str">
        <f>IFERROR(__xludf.DUMMYFUNCTION("""COMPUTED_VALUE"""),"ఆర్డర్ రద్దు చేయబడింది")</f>
        <v>ఆర్డర్ రద్దు చేయబడింది</v>
      </c>
    </row>
    <row r="999">
      <c r="A999" s="2" t="str">
        <f>Master_en!A999</f>
        <v>CustomerPickedup</v>
      </c>
      <c r="B999" s="2" t="str">
        <f>Master_en!B999</f>
        <v>Customer Picked up</v>
      </c>
      <c r="C999" s="2" t="str">
        <f>IFERROR(__xludf.DUMMYFUNCTION("""COMPUTED_VALUE"""),"গ্রাহক বাছাই")</f>
        <v>গ্রাহক বাছাই</v>
      </c>
      <c r="D999" s="2" t="str">
        <f>IFERROR(__xludf.DUMMYFUNCTION("""COMPUTED_VALUE"""),"ग्राहक उठाया")</f>
        <v>ग्राहक उठाया</v>
      </c>
      <c r="E999" s="2" t="str">
        <f>IFERROR(__xludf.DUMMYFUNCTION("""COMPUTED_VALUE"""),"ಗ್ರಾಹಕರನ್ನು ಎತ್ತಿಕೊಂಡರು")</f>
        <v>ಗ್ರಾಹಕರನ್ನು ಎತ್ತಿಕೊಂಡರು</v>
      </c>
      <c r="F999" s="2" t="str">
        <f>IFERROR(__xludf.DUMMYFUNCTION("""COMPUTED_VALUE"""),"ଗ୍ରାହକ ଉଠାଇଲେ |")</f>
        <v>ଗ୍ରାହକ ଉଠାଇଲେ |</v>
      </c>
      <c r="G999" s="2" t="str">
        <f>IFERROR(__xludf.DUMMYFUNCTION("""COMPUTED_VALUE"""),"গ্ৰাহক কঢ়িয়াই অনা হৈছে")</f>
        <v>গ্ৰাহক কঢ়িয়াই অনা হৈছে</v>
      </c>
      <c r="H999" s="2" t="str">
        <f>IFERROR(__xludf.DUMMYFUNCTION("""COMPUTED_VALUE"""),"ગ્રાહકે ઉપડ્યો")</f>
        <v>ગ્રાહકે ઉપડ્યો</v>
      </c>
      <c r="I999" s="2" t="str">
        <f>IFERROR(__xludf.DUMMYFUNCTION("""COMPUTED_VALUE"""),"ग्राहक उचलला")</f>
        <v>ग्राहक उचलला</v>
      </c>
      <c r="J999" s="2" t="str">
        <f>IFERROR(__xludf.DUMMYFUNCTION("""COMPUTED_VALUE"""),"ഉപഭോക്താവ് എടുത്തു")</f>
        <v>ഉപഭോക്താവ് എടുത്തു</v>
      </c>
      <c r="K999" s="2" t="str">
        <f>IFERROR(__xludf.DUMMYFUNCTION("""COMPUTED_VALUE"""),"ਗਾਹਕ ਚੁੱਕਿਆ")</f>
        <v>ਗਾਹਕ ਚੁੱਕਿਆ</v>
      </c>
      <c r="L999" s="2" t="str">
        <f>IFERROR(__xludf.DUMMYFUNCTION("""COMPUTED_VALUE"""),"வாடிக்கையாளர் எடுத்தார்")</f>
        <v>வாடிக்கையாளர் எடுத்தார்</v>
      </c>
      <c r="M999" s="2" t="str">
        <f>IFERROR(__xludf.DUMMYFUNCTION("""COMPUTED_VALUE"""),"కస్టమర్ ఎంచుకున్నారు")</f>
        <v>కస్టమర్ ఎంచుకున్నారు</v>
      </c>
    </row>
    <row r="1000">
      <c r="A1000" s="2" t="str">
        <f>Master_en!A1000</f>
        <v>DeliveryBoy</v>
      </c>
      <c r="B1000" s="2" t="str">
        <f>Master_en!B1000</f>
        <v>Delivery Boy</v>
      </c>
      <c r="C1000" s="2" t="str">
        <f>IFERROR(__xludf.DUMMYFUNCTION("""COMPUTED_VALUE"""),"ডেলিভারি বয়")</f>
        <v>ডেলিভারি বয়</v>
      </c>
      <c r="D1000" s="2" t="str">
        <f>IFERROR(__xludf.DUMMYFUNCTION("""COMPUTED_VALUE"""),"वितरण करने वाला लड़का")</f>
        <v>वितरण करने वाला लड़का</v>
      </c>
      <c r="E1000" s="2" t="str">
        <f>IFERROR(__xludf.DUMMYFUNCTION("""COMPUTED_VALUE"""),"ಹಂಚಿಕೆ ಅಥವ ವಿತರಣೆ ಮಾಡುವ ಹುಡುಗ")</f>
        <v>ಹಂಚಿಕೆ ಅಥವ ವಿತರಣೆ ಮಾಡುವ ಹುಡುಗ</v>
      </c>
      <c r="F1000" s="2" t="str">
        <f>IFERROR(__xludf.DUMMYFUNCTION("""COMPUTED_VALUE"""),"ବିତରଣ ବାଳକ")</f>
        <v>ବିତରଣ ବାଳକ</v>
      </c>
      <c r="G1000" s="2" t="str">
        <f>IFERROR(__xludf.DUMMYFUNCTION("""COMPUTED_VALUE"""),"ডেলিভাৰী বয়")</f>
        <v>ডেলিভাৰী বয়</v>
      </c>
      <c r="H1000" s="2" t="str">
        <f>IFERROR(__xludf.DUMMYFUNCTION("""COMPUTED_VALUE"""),"ડિલિવરી બોય")</f>
        <v>ડિલિવરી બોય</v>
      </c>
      <c r="I1000" s="2" t="str">
        <f>IFERROR(__xludf.DUMMYFUNCTION("""COMPUTED_VALUE"""),"वितरण करणारा मुलगा")</f>
        <v>वितरण करणारा मुलगा</v>
      </c>
      <c r="J1000" s="2" t="str">
        <f>IFERROR(__xludf.DUMMYFUNCTION("""COMPUTED_VALUE"""),"ഡെലിവറി ബോയ്")</f>
        <v>ഡെലിവറി ബോയ്</v>
      </c>
      <c r="K1000" s="2" t="str">
        <f>IFERROR(__xludf.DUMMYFUNCTION("""COMPUTED_VALUE"""),"ਡਿਲਿਵਰੀ ਲੜਕੇ")</f>
        <v>ਡਿਲਿਵਰੀ ਲੜਕੇ</v>
      </c>
      <c r="L1000" s="2" t="str">
        <f>IFERROR(__xludf.DUMMYFUNCTION("""COMPUTED_VALUE"""),"டெலிவரி பையன்")</f>
        <v>டெலிவரி பையன்</v>
      </c>
      <c r="M1000" s="2" t="str">
        <f>IFERROR(__xludf.DUMMYFUNCTION("""COMPUTED_VALUE"""),"డెలివరీ బాయ్")</f>
        <v>డెలివరీ బాయ్</v>
      </c>
    </row>
    <row r="1001">
      <c r="A1001" s="2" t="str">
        <f>Master_en!A1001</f>
        <v>Removefromfavourites</v>
      </c>
      <c r="B1001" s="2" t="str">
        <f>Master_en!B1001</f>
        <v>Remove from favourites</v>
      </c>
      <c r="C1001" s="2" t="str">
        <f>IFERROR(__xludf.DUMMYFUNCTION("""COMPUTED_VALUE"""),"প্রিয় থেকে সরান")</f>
        <v>প্রিয় থেকে সরান</v>
      </c>
      <c r="D1001" s="2" t="str">
        <f>IFERROR(__xludf.DUMMYFUNCTION("""COMPUTED_VALUE"""),"पसंदीदा से निकालें")</f>
        <v>पसंदीदा से निकालें</v>
      </c>
      <c r="E1001" s="2" t="str">
        <f>IFERROR(__xludf.DUMMYFUNCTION("""COMPUTED_VALUE"""),"ಮೆಚ್ಚಿನವುಗಳಿಂದ ತೆಗೆದುಹಾಕಿ")</f>
        <v>ಮೆಚ್ಚಿನವುಗಳಿಂದ ತೆಗೆದುಹಾಕಿ</v>
      </c>
      <c r="F1001" s="2" t="str">
        <f>IFERROR(__xludf.DUMMYFUNCTION("""COMPUTED_VALUE"""),"ପୂଜାପାଠରୁ ହଟାନ୍ତୁ |")</f>
        <v>ପୂଜାପାଠରୁ ହଟାନ୍ତୁ |</v>
      </c>
      <c r="G1001" s="2" t="str">
        <f>IFERROR(__xludf.DUMMYFUNCTION("""COMPUTED_VALUE"""),"প্ৰিয়ৰ পৰা আঁতৰাওক")</f>
        <v>প্ৰিয়ৰ পৰা আঁতৰাওক</v>
      </c>
      <c r="H1001" s="2" t="str">
        <f>IFERROR(__xludf.DUMMYFUNCTION("""COMPUTED_VALUE"""),"મનપસંદથી દૂર કરો")</f>
        <v>મનપસંદથી દૂર કરો</v>
      </c>
      <c r="I1001" s="2" t="str">
        <f>IFERROR(__xludf.DUMMYFUNCTION("""COMPUTED_VALUE"""),"आवडीतून काढा")</f>
        <v>आवडीतून काढा</v>
      </c>
      <c r="J1001" s="2" t="str">
        <f>IFERROR(__xludf.DUMMYFUNCTION("""COMPUTED_VALUE"""),"പ്രിയങ്കരങ്ങളിൽ നിന്ന് നീക്കംചെയ്യുക")</f>
        <v>പ്രിയങ്കരങ്ങളിൽ നിന്ന് നീക്കംചെയ്യുക</v>
      </c>
      <c r="K1001" s="2" t="str">
        <f>IFERROR(__xludf.DUMMYFUNCTION("""COMPUTED_VALUE"""),"ਮਨਪਸੰਦ ਤੋਂ ਹਟਾਓ")</f>
        <v>ਮਨਪਸੰਦ ਤੋਂ ਹਟਾਓ</v>
      </c>
      <c r="L1001" s="2" t="str">
        <f>IFERROR(__xludf.DUMMYFUNCTION("""COMPUTED_VALUE"""),"பிடித்தவைகளிலிருந்து அகற்று")</f>
        <v>பிடித்தவைகளிலிருந்து அகற்று</v>
      </c>
      <c r="M1001" s="2" t="str">
        <f>IFERROR(__xludf.DUMMYFUNCTION("""COMPUTED_VALUE"""),"ఇష్టమైన వాటి నుండి తొలగించండి")</f>
        <v>ఇష్టమైన వాటి నుండి తొలగించండి</v>
      </c>
    </row>
    <row r="1002">
      <c r="A1002" s="2" t="str">
        <f>Master_en!A1002</f>
        <v>Searchforproductname</v>
      </c>
      <c r="B1002" s="2" t="str">
        <f>Master_en!B1002</f>
        <v>Search for product name</v>
      </c>
      <c r="C1002" s="2" t="str">
        <f>IFERROR(__xludf.DUMMYFUNCTION("""COMPUTED_VALUE"""),"পণ্যের নাম অনুসন্ধান করুন")</f>
        <v>পণ্যের নাম অনুসন্ধান করুন</v>
      </c>
      <c r="D1002" s="2" t="str">
        <f>IFERROR(__xludf.DUMMYFUNCTION("""COMPUTED_VALUE"""),"उत्पाद का नाम खोजें")</f>
        <v>उत्पाद का नाम खोजें</v>
      </c>
      <c r="E1002" s="2" t="str">
        <f>IFERROR(__xludf.DUMMYFUNCTION("""COMPUTED_VALUE"""),"ಉತ್ಪನ್ನದ ಹೆಸರಿಗಾಗಿ ಹುಡುಕಿ")</f>
        <v>ಉತ್ಪನ್ನದ ಹೆಸರಿಗಾಗಿ ಹುಡುಕಿ</v>
      </c>
      <c r="F1002" s="2" t="str">
        <f>IFERROR(__xludf.DUMMYFUNCTION("""COMPUTED_VALUE"""),"ଉତ୍ପାଦ ନାମ ଖୋଜ |")</f>
        <v>ଉତ୍ପାଦ ନାମ ଖୋଜ |</v>
      </c>
      <c r="G1002" s="2" t="str">
        <f>IFERROR(__xludf.DUMMYFUNCTION("""COMPUTED_VALUE"""),"সামগ্ৰীৰ নাম সন্ধান কৰক")</f>
        <v>সামগ্ৰীৰ নাম সন্ধান কৰক</v>
      </c>
      <c r="H1002" s="2" t="str">
        <f>IFERROR(__xludf.DUMMYFUNCTION("""COMPUTED_VALUE"""),"ઉત્પાદન નામ માટે શોધ")</f>
        <v>ઉત્પાદન નામ માટે શોધ</v>
      </c>
      <c r="I1002" s="2" t="str">
        <f>IFERROR(__xludf.DUMMYFUNCTION("""COMPUTED_VALUE"""),"उत्पादनाच्या नावाचा शोध घ्या")</f>
        <v>उत्पादनाच्या नावाचा शोध घ्या</v>
      </c>
      <c r="J1002" s="2" t="str">
        <f>IFERROR(__xludf.DUMMYFUNCTION("""COMPUTED_VALUE"""),"ഉൽപ്പന്ന നാമം തിരയുക")</f>
        <v>ഉൽപ്പന്ന നാമം തിരയുക</v>
      </c>
      <c r="K1002" s="2" t="str">
        <f>IFERROR(__xludf.DUMMYFUNCTION("""COMPUTED_VALUE"""),"ਉਤਪਾਦ ਦੇ ਨਾਮ ਦੀ ਭਾਲ ਕਰੋ")</f>
        <v>ਉਤਪਾਦ ਦੇ ਨਾਮ ਦੀ ਭਾਲ ਕਰੋ</v>
      </c>
      <c r="L1002" s="2" t="str">
        <f>IFERROR(__xludf.DUMMYFUNCTION("""COMPUTED_VALUE"""),"பொருள் பெயரை தேடுங்கள்")</f>
        <v>பொருள் பெயரை தேடுங்கள்</v>
      </c>
      <c r="M1002" s="2" t="str">
        <f>IFERROR(__xludf.DUMMYFUNCTION("""COMPUTED_VALUE"""),"ఉత్పత్తి పేరు కోసం శోధించండి")</f>
        <v>ఉత్పత్తి పేరు కోసం శోధించండి</v>
      </c>
    </row>
    <row r="1003">
      <c r="A1003" s="2" t="str">
        <f>Master_en!A1003</f>
        <v>Apply</v>
      </c>
      <c r="B1003" s="2" t="str">
        <f>Master_en!B1003</f>
        <v>Apply</v>
      </c>
      <c r="C1003" s="2" t="str">
        <f>IFERROR(__xludf.DUMMYFUNCTION("""COMPUTED_VALUE"""),"প্রয়োগ করুন")</f>
        <v>প্রয়োগ করুন</v>
      </c>
      <c r="D1003" s="2" t="str">
        <f>IFERROR(__xludf.DUMMYFUNCTION("""COMPUTED_VALUE"""),"आवेदन करना")</f>
        <v>आवेदन करना</v>
      </c>
      <c r="E1003" s="2" t="str">
        <f>IFERROR(__xludf.DUMMYFUNCTION("""COMPUTED_VALUE"""),"ಅನ್ವಯಿಸು")</f>
        <v>ಅನ್ವಯಿಸು</v>
      </c>
      <c r="F1003" s="2" t="str">
        <f>IFERROR(__xludf.DUMMYFUNCTION("""COMPUTED_VALUE"""),"ପ୍ରୟୋଗ କରନ୍ତୁ |")</f>
        <v>ପ୍ରୟୋଗ କରନ୍ତୁ |</v>
      </c>
      <c r="G1003" s="2" t="str">
        <f>IFERROR(__xludf.DUMMYFUNCTION("""COMPUTED_VALUE"""),"প্ৰয়োগ কৰক")</f>
        <v>প্ৰয়োগ কৰক</v>
      </c>
      <c r="H1003" s="2" t="str">
        <f>IFERROR(__xludf.DUMMYFUNCTION("""COMPUTED_VALUE"""),"અરજી કરવી")</f>
        <v>અરજી કરવી</v>
      </c>
      <c r="I1003" s="2" t="str">
        <f>IFERROR(__xludf.DUMMYFUNCTION("""COMPUTED_VALUE"""),"अर्ज करा")</f>
        <v>अर्ज करा</v>
      </c>
      <c r="J1003" s="2" t="str">
        <f>IFERROR(__xludf.DUMMYFUNCTION("""COMPUTED_VALUE"""),"അപേക്ഷിക്കുക")</f>
        <v>അപേക്ഷിക്കുക</v>
      </c>
      <c r="K1003" s="2" t="str">
        <f>IFERROR(__xludf.DUMMYFUNCTION("""COMPUTED_VALUE"""),"ਲਾਗੂ ਕਰੋ")</f>
        <v>ਲਾਗੂ ਕਰੋ</v>
      </c>
      <c r="L1003" s="2" t="str">
        <f>IFERROR(__xludf.DUMMYFUNCTION("""COMPUTED_VALUE"""),"விண்ணப்பிக்கவும்")</f>
        <v>விண்ணப்பிக்கவும்</v>
      </c>
      <c r="M1003" s="2" t="str">
        <f>IFERROR(__xludf.DUMMYFUNCTION("""COMPUTED_VALUE"""),"వర్తించండి")</f>
        <v>వర్తించండి</v>
      </c>
    </row>
    <row r="1004">
      <c r="A1004" s="2" t="str">
        <f>Master_en!A1004</f>
        <v>for</v>
      </c>
      <c r="B1004" s="2" t="str">
        <f>Master_en!B1004</f>
        <v>for</v>
      </c>
      <c r="C1004" s="2" t="str">
        <f>IFERROR(__xludf.DUMMYFUNCTION("""COMPUTED_VALUE"""),"জন্য")</f>
        <v>জন্য</v>
      </c>
      <c r="D1004" s="2" t="str">
        <f>IFERROR(__xludf.DUMMYFUNCTION("""COMPUTED_VALUE"""),"के लिए")</f>
        <v>के लिए</v>
      </c>
      <c r="E1004" s="2" t="str">
        <f>IFERROR(__xludf.DUMMYFUNCTION("""COMPUTED_VALUE"""),"ಇದಕ್ಕೆ")</f>
        <v>ಇದಕ್ಕೆ</v>
      </c>
      <c r="F1004" s="2" t="str">
        <f>IFERROR(__xludf.DUMMYFUNCTION("""COMPUTED_VALUE"""),"ପାଇଁ")</f>
        <v>ପାଇଁ</v>
      </c>
      <c r="G1004" s="2" t="str">
        <f>IFERROR(__xludf.DUMMYFUNCTION("""COMPUTED_VALUE"""),"কাৰণ")</f>
        <v>কাৰণ</v>
      </c>
      <c r="H1004" s="2" t="str">
        <f>IFERROR(__xludf.DUMMYFUNCTION("""COMPUTED_VALUE"""),"ને માટે")</f>
        <v>ને માટે</v>
      </c>
      <c r="I1004" s="2" t="str">
        <f>IFERROR(__xludf.DUMMYFUNCTION("""COMPUTED_VALUE"""),"च्या साठी")</f>
        <v>च्या साठी</v>
      </c>
      <c r="J1004" s="2" t="str">
        <f>IFERROR(__xludf.DUMMYFUNCTION("""COMPUTED_VALUE"""),"വേണ്ടി")</f>
        <v>വേണ്ടി</v>
      </c>
      <c r="K1004" s="2" t="str">
        <f>IFERROR(__xludf.DUMMYFUNCTION("""COMPUTED_VALUE"""),"ਲਈ")</f>
        <v>ਲਈ</v>
      </c>
      <c r="L1004" s="2" t="str">
        <f>IFERROR(__xludf.DUMMYFUNCTION("""COMPUTED_VALUE"""),"க்கு")</f>
        <v>க்கு</v>
      </c>
      <c r="M1004" s="2" t="str">
        <f>IFERROR(__xludf.DUMMYFUNCTION("""COMPUTED_VALUE"""),"కోసం")</f>
        <v>కోసం</v>
      </c>
    </row>
    <row r="1005">
      <c r="A1005" s="2" t="str">
        <f>Master_en!A1005</f>
        <v>Readyfordelivery</v>
      </c>
      <c r="B1005" s="2" t="str">
        <f>Master_en!B1005</f>
        <v>Ready for delivery</v>
      </c>
      <c r="C1005" s="2" t="str">
        <f>IFERROR(__xludf.DUMMYFUNCTION("""COMPUTED_VALUE"""),"সরবরাহের জন্য প্রস্তুত")</f>
        <v>সরবরাহের জন্য প্রস্তুত</v>
      </c>
      <c r="D1005" s="2" t="str">
        <f>IFERROR(__xludf.DUMMYFUNCTION("""COMPUTED_VALUE"""),"पहुँचाने के लिए तैयार")</f>
        <v>पहुँचाने के लिए तैयार</v>
      </c>
      <c r="E1005" s="2" t="str">
        <f>IFERROR(__xludf.DUMMYFUNCTION("""COMPUTED_VALUE"""),"ವಿತರಣೆಗೆ ಸಿದ್ಧವಾಗಿದೆ")</f>
        <v>ವಿತರಣೆಗೆ ಸಿದ್ಧವಾಗಿದೆ</v>
      </c>
      <c r="F1005" s="2" t="str">
        <f>IFERROR(__xludf.DUMMYFUNCTION("""COMPUTED_VALUE"""),"ବିତରଣ ପାଇଁ ପ୍ରସ୍ତୁତ |")</f>
        <v>ବିତରଣ ପାଇଁ ପ୍ରସ୍ତୁତ |</v>
      </c>
      <c r="G1005" s="2" t="str">
        <f>IFERROR(__xludf.DUMMYFUNCTION("""COMPUTED_VALUE"""),"ডেলিভাৰীৰ বাবে সাজু")</f>
        <v>ডেলিভাৰীৰ বাবে সাজু</v>
      </c>
      <c r="H1005" s="2" t="str">
        <f>IFERROR(__xludf.DUMMYFUNCTION("""COMPUTED_VALUE"""),"ડિલિવરી માટે તૈયાર")</f>
        <v>ડિલિવરી માટે તૈયાર</v>
      </c>
      <c r="I1005" s="2" t="str">
        <f>IFERROR(__xludf.DUMMYFUNCTION("""COMPUTED_VALUE"""),"वितरणासाठी सज्ज")</f>
        <v>वितरणासाठी सज्ज</v>
      </c>
      <c r="J1005" s="2" t="str">
        <f>IFERROR(__xludf.DUMMYFUNCTION("""COMPUTED_VALUE"""),"ഡെലിവറിക്ക് തയ്യാറാണ്")</f>
        <v>ഡെലിവറിക്ക് തയ്യാറാണ്</v>
      </c>
      <c r="K1005" s="2" t="str">
        <f>IFERROR(__xludf.DUMMYFUNCTION("""COMPUTED_VALUE"""),"ਡਿਲਿਵਰੀ ਲਈ ਤਿਆਰ")</f>
        <v>ਡਿਲਿਵਰੀ ਲਈ ਤਿਆਰ</v>
      </c>
      <c r="L1005" s="2" t="str">
        <f>IFERROR(__xludf.DUMMYFUNCTION("""COMPUTED_VALUE"""),"டெலிவரிக்கு தயாராக உள்ளது")</f>
        <v>டெலிவரிக்கு தயாராக உள்ளது</v>
      </c>
      <c r="M1005" s="2" t="str">
        <f>IFERROR(__xludf.DUMMYFUNCTION("""COMPUTED_VALUE"""),"డెలివరీ కోసం సిద్ధంగా ఉంది")</f>
        <v>డెలివరీ కోసం సిద్ధంగా ఉంది</v>
      </c>
    </row>
    <row r="1006">
      <c r="A1006" s="2" t="str">
        <f>Master_en!A1006</f>
        <v>Pickedupfordelivery</v>
      </c>
      <c r="B1006" s="2" t="str">
        <f>Master_en!B1006</f>
        <v>Picked up for delivery</v>
      </c>
      <c r="C1006" s="2" t="str">
        <f>IFERROR(__xludf.DUMMYFUNCTION("""COMPUTED_VALUE"""),"প্রসবের জন্য বাছাই")</f>
        <v>প্রসবের জন্য বাছাই</v>
      </c>
      <c r="D1006" s="2" t="str">
        <f>IFERROR(__xludf.DUMMYFUNCTION("""COMPUTED_VALUE"""),"डिलीवरी के लिए उठाया")</f>
        <v>डिलीवरी के लिए उठाया</v>
      </c>
      <c r="E1006" s="2" t="str">
        <f>IFERROR(__xludf.DUMMYFUNCTION("""COMPUTED_VALUE"""),"ವಿತರಣೆಗೆ ತೆಗೆದುಕೊಳ್ಳಲಾಗಿದೆ")</f>
        <v>ವಿತರಣೆಗೆ ತೆಗೆದುಕೊಳ್ಳಲಾಗಿದೆ</v>
      </c>
      <c r="F1006" s="2" t="str">
        <f>IFERROR(__xludf.DUMMYFUNCTION("""COMPUTED_VALUE"""),"ବିତରଣ ପାଇଁ ଉଠାଇଲେ |")</f>
        <v>ବିତରଣ ପାଇଁ ଉଠାଇଲେ |</v>
      </c>
      <c r="G1006" s="2" t="str">
        <f>IFERROR(__xludf.DUMMYFUNCTION("""COMPUTED_VALUE"""),"ডেলিভাৰীৰ বাবে লোৱা হৈছে")</f>
        <v>ডেলিভাৰীৰ বাবে লোৱা হৈছে</v>
      </c>
      <c r="H1006" s="2" t="str">
        <f>IFERROR(__xludf.DUMMYFUNCTION("""COMPUTED_VALUE"""),"ડિલિવરી માટે ઉપાય")</f>
        <v>ડિલિવરી માટે ઉપાય</v>
      </c>
      <c r="I1006" s="2" t="str">
        <f>IFERROR(__xludf.DUMMYFUNCTION("""COMPUTED_VALUE"""),"प्रसूतीसाठी उचलले")</f>
        <v>प्रसूतीसाठी उचलले</v>
      </c>
      <c r="J1006" s="2" t="str">
        <f>IFERROR(__xludf.DUMMYFUNCTION("""COMPUTED_VALUE"""),"ഡെലിവറിക്ക് എടുത്തു")</f>
        <v>ഡെലിവറിക്ക് എടുത്തു</v>
      </c>
      <c r="K1006" s="2" t="str">
        <f>IFERROR(__xludf.DUMMYFUNCTION("""COMPUTED_VALUE"""),"ਡਿਲਿਵਰੀ ਲਈ ਚੁੱਕਿਆ")</f>
        <v>ਡਿਲਿਵਰੀ ਲਈ ਚੁੱਕਿਆ</v>
      </c>
      <c r="L1006" s="2" t="str">
        <f>IFERROR(__xludf.DUMMYFUNCTION("""COMPUTED_VALUE"""),"டெலிவெரிக்காக பிக்கப் செய்யப்பட்டது")</f>
        <v>டெலிவெரிக்காக பிக்கப் செய்யப்பட்டது</v>
      </c>
      <c r="M1006" s="2" t="str">
        <f>IFERROR(__xludf.DUMMYFUNCTION("""COMPUTED_VALUE"""),"డెలివరీ కోసం తీసుకున్నారు")</f>
        <v>డెలివరీ కోసం తీసుకున్నారు</v>
      </c>
    </row>
    <row r="1007">
      <c r="A1007" s="2" t="str">
        <f>Master_en!A1007</f>
        <v>AsmaaIndia</v>
      </c>
      <c r="B1007" s="2" t="str">
        <f>Master_en!B1007</f>
        <v>Asmaa India</v>
      </c>
      <c r="C1007" s="2" t="str">
        <f>IFERROR(__xludf.DUMMYFUNCTION("""COMPUTED_VALUE"""),"আসমা ভারত")</f>
        <v>আসমা ভারত</v>
      </c>
      <c r="D1007" s="2" t="str">
        <f>IFERROR(__xludf.DUMMYFUNCTION("""COMPUTED_VALUE"""),"असमा इंडिया")</f>
        <v>असमा इंडिया</v>
      </c>
      <c r="E1007" s="2" t="str">
        <f>IFERROR(__xludf.DUMMYFUNCTION("""COMPUTED_VALUE"""),"ಅಸ್ಮಾ ಇಂಡಿಯಾ")</f>
        <v>ಅಸ್ಮಾ ಇಂಡಿಯಾ</v>
      </c>
      <c r="F1007" s="2" t="str">
        <f>IFERROR(__xludf.DUMMYFUNCTION("""COMPUTED_VALUE"""),"ଆସମା ଇଣ୍ଡିଆ")</f>
        <v>ଆସମା ଇଣ୍ଡିଆ</v>
      </c>
      <c r="G1007" s="2" t="str">
        <f>IFERROR(__xludf.DUMMYFUNCTION("""COMPUTED_VALUE"""),"আসমা ভাৰত")</f>
        <v>আসমা ভাৰত</v>
      </c>
      <c r="H1007" s="2" t="str">
        <f>IFERROR(__xludf.DUMMYFUNCTION("""COMPUTED_VALUE"""),"અસ્મા ભારત")</f>
        <v>અસ્મા ભારત</v>
      </c>
      <c r="I1007" s="2" t="str">
        <f>IFERROR(__xludf.DUMMYFUNCTION("""COMPUTED_VALUE"""),"अस्मा इंडिया")</f>
        <v>अस्मा इंडिया</v>
      </c>
      <c r="J1007" s="2" t="str">
        <f>IFERROR(__xludf.DUMMYFUNCTION("""COMPUTED_VALUE"""),"അസ്മാ ഇന്ത്യ")</f>
        <v>അസ്മാ ഇന്ത്യ</v>
      </c>
      <c r="K1007" s="2" t="str">
        <f>IFERROR(__xludf.DUMMYFUNCTION("""COMPUTED_VALUE"""),"ਅਸਮਾ ਇੰਡੀਆ")</f>
        <v>ਅਸਮਾ ਇੰਡੀਆ</v>
      </c>
      <c r="L1007" s="2" t="str">
        <f>IFERROR(__xludf.DUMMYFUNCTION("""COMPUTED_VALUE"""),"அஸ்மா இந்தியா")</f>
        <v>அஸ்மா இந்தியா</v>
      </c>
      <c r="M1007" s="2" t="str">
        <f>IFERROR(__xludf.DUMMYFUNCTION("""COMPUTED_VALUE"""),"అస్మా ఇండియా")</f>
        <v>అస్మా ఇండియా</v>
      </c>
    </row>
    <row r="1008">
      <c r="A1008" s="2" t="str">
        <f>Master_en!A1008</f>
        <v>JyotiEnterprises</v>
      </c>
      <c r="B1008" s="2" t="str">
        <f>Master_en!B1008</f>
        <v>Jyoti Enterprises</v>
      </c>
      <c r="C1008" s="2" t="str">
        <f>IFERROR(__xludf.DUMMYFUNCTION("""COMPUTED_VALUE"""),"জ্যোতি উদ্যোগ")</f>
        <v>জ্যোতি উদ্যোগ</v>
      </c>
      <c r="D1008" s="2" t="str">
        <f>IFERROR(__xludf.DUMMYFUNCTION("""COMPUTED_VALUE"""),"ज्योति एंटरप्राइजेज")</f>
        <v>ज्योति एंटरप्राइजेज</v>
      </c>
      <c r="E1008" s="2" t="str">
        <f>IFERROR(__xludf.DUMMYFUNCTION("""COMPUTED_VALUE"""),"ಜ್ಯೋತಿ ಉದ್ಯಮಗಳು")</f>
        <v>ಜ್ಯೋತಿ ಉದ್ಯಮಗಳು</v>
      </c>
      <c r="F1008" s="2" t="str">
        <f>IFERROR(__xludf.DUMMYFUNCTION("""COMPUTED_VALUE"""),"ଜ୍ୟୋତି ଉଦ୍ୟୋଗଗୁଡିକ |")</f>
        <v>ଜ୍ୟୋତି ଉଦ୍ୟୋଗଗୁଡିକ |</v>
      </c>
      <c r="G1008" s="2" t="str">
        <f>IFERROR(__xludf.DUMMYFUNCTION("""COMPUTED_VALUE"""),"জ্যোতি এণ্টাৰপ্ৰাইজেছ")</f>
        <v>জ্যোতি এণ্টাৰপ্ৰাইজেছ</v>
      </c>
      <c r="H1008" s="2" t="str">
        <f>IFERROR(__xludf.DUMMYFUNCTION("""COMPUTED_VALUE"""),"જ્યોતિ સાહસ")</f>
        <v>જ્યોતિ સાહસ</v>
      </c>
      <c r="I1008" s="2" t="str">
        <f>IFERROR(__xludf.DUMMYFUNCTION("""COMPUTED_VALUE"""),"ज्योती उपक्रम")</f>
        <v>ज्योती उपक्रम</v>
      </c>
      <c r="J1008" s="2" t="str">
        <f>IFERROR(__xludf.DUMMYFUNCTION("""COMPUTED_VALUE"""),"ജ്യോതി എന്റർപ്രൈസസ്")</f>
        <v>ജ്യോതി എന്റർപ്രൈസസ്</v>
      </c>
      <c r="K1008" s="2" t="str">
        <f>IFERROR(__xludf.DUMMYFUNCTION("""COMPUTED_VALUE"""),"ਜੋਤੀ ਐਂਟਰਪ੍ਰਾਈਜਜ")</f>
        <v>ਜੋਤੀ ਐਂਟਰਪ੍ਰਾਈਜਜ</v>
      </c>
      <c r="L1008" s="2" t="str">
        <f>IFERROR(__xludf.DUMMYFUNCTION("""COMPUTED_VALUE"""),"ஜியோடி எண்டர்பிரைசஸ்")</f>
        <v>ஜியோடி எண்டர்பிரைசஸ்</v>
      </c>
      <c r="M1008" s="2" t="str">
        <f>IFERROR(__xludf.DUMMYFUNCTION("""COMPUTED_VALUE"""),"జ్యోతి ఎంటర్ప్రైజెస్")</f>
        <v>జ్యోతి ఎంటర్ప్రైజెస్</v>
      </c>
    </row>
    <row r="1009">
      <c r="A1009" s="2" t="str">
        <f>Master_en!A1009</f>
        <v>CleanTech</v>
      </c>
      <c r="B1009" s="2" t="str">
        <f>Master_en!B1009</f>
        <v>Clean Tech</v>
      </c>
      <c r="C1009" s="2" t="str">
        <f>IFERROR(__xludf.DUMMYFUNCTION("""COMPUTED_VALUE"""),"ক্লিন টেক")</f>
        <v>ক্লিন টেক</v>
      </c>
      <c r="D1009" s="2" t="str">
        <f>IFERROR(__xludf.DUMMYFUNCTION("""COMPUTED_VALUE"""),"स्वच्छ तकनीक")</f>
        <v>स्वच्छ तकनीक</v>
      </c>
      <c r="E1009" s="2" t="str">
        <f>IFERROR(__xludf.DUMMYFUNCTION("""COMPUTED_VALUE"""),"ಶುದ್ಧ ತಂತ್ರಜ್ಞಾನ")</f>
        <v>ಶುದ್ಧ ತಂತ್ರಜ್ಞಾನ</v>
      </c>
      <c r="F1009" s="2" t="str">
        <f>IFERROR(__xludf.DUMMYFUNCTION("""COMPUTED_VALUE"""),"ପରିଷ୍କାର ବେକ୍")</f>
        <v>ପରିଷ୍କାର ବେକ୍</v>
      </c>
      <c r="G1009" s="2" t="str">
        <f>IFERROR(__xludf.DUMMYFUNCTION("""COMPUTED_VALUE"""),"পৰিষ্কাৰ প্ৰযুক্তি")</f>
        <v>পৰিষ্কাৰ প্ৰযুক্তি</v>
      </c>
      <c r="H1009" s="2" t="str">
        <f>IFERROR(__xludf.DUMMYFUNCTION("""COMPUTED_VALUE"""),"શુદ્ધ તકનીક")</f>
        <v>શુદ્ધ તકનીક</v>
      </c>
      <c r="I1009" s="2" t="str">
        <f>IFERROR(__xludf.DUMMYFUNCTION("""COMPUTED_VALUE"""),"स्वच्छ तंत्रज्ञान")</f>
        <v>स्वच्छ तंत्रज्ञान</v>
      </c>
      <c r="J1009" s="2" t="str">
        <f>IFERROR(__xludf.DUMMYFUNCTION("""COMPUTED_VALUE"""),"ടെക്")</f>
        <v>ടെക്</v>
      </c>
      <c r="K1009" s="2" t="str">
        <f>IFERROR(__xludf.DUMMYFUNCTION("""COMPUTED_VALUE"""),"ਸਾਫ਼ ਤਕਨੀਕ")</f>
        <v>ਸਾਫ਼ ਤਕਨੀਕ</v>
      </c>
      <c r="L1009" s="2" t="str">
        <f>IFERROR(__xludf.DUMMYFUNCTION("""COMPUTED_VALUE"""),"கிளீன் டெக்")</f>
        <v>கிளீன் டெக்</v>
      </c>
      <c r="M1009" s="2" t="str">
        <f>IFERROR(__xludf.DUMMYFUNCTION("""COMPUTED_VALUE"""),"క్లీన్ టెక్")</f>
        <v>క్లీన్ టెక్</v>
      </c>
    </row>
    <row r="1010">
      <c r="A1010" s="2" t="str">
        <f>Master_en!A1010</f>
        <v>Agency-Excelience</v>
      </c>
      <c r="B1010" s="2" t="str">
        <f>Master_en!B1010</f>
        <v>Agency - Excelience</v>
      </c>
      <c r="C1010" s="2" t="str">
        <f>IFERROR(__xludf.DUMMYFUNCTION("""COMPUTED_VALUE"""),"এজেন্সি - এক্সিলিয়েন্স")</f>
        <v>এজেন্সি - এক্সিলিয়েন্স</v>
      </c>
      <c r="D1010" s="2" t="str">
        <f>IFERROR(__xludf.DUMMYFUNCTION("""COMPUTED_VALUE"""),"एजेंसी - उत्कृष्टता")</f>
        <v>एजेंसी - उत्कृष्टता</v>
      </c>
      <c r="E1010" s="2" t="str">
        <f>IFERROR(__xludf.DUMMYFUNCTION("""COMPUTED_VALUE"""),"ಏಜೆನ್ಸಿ - ಎಕ್ಸೆಲಿಯನ್ಸ್")</f>
        <v>ಏಜೆನ್ಸಿ - ಎಕ್ಸೆಲಿಯನ್ಸ್</v>
      </c>
      <c r="F1010" s="2" t="str">
        <f>IFERROR(__xludf.DUMMYFUNCTION("""COMPUTED_VALUE"""),"ଏଜେନ୍ସି - Excialce |")</f>
        <v>ଏଜେନ୍ସି - Excialce |</v>
      </c>
      <c r="G1010" s="2" t="str">
        <f>IFERROR(__xludf.DUMMYFUNCTION("""COMPUTED_VALUE"""),"এজেন্সি - এক্সেলিয়েন্স")</f>
        <v>এজেন্সি - এক্সেলিয়েন্স</v>
      </c>
      <c r="H1010" s="2" t="str">
        <f>IFERROR(__xludf.DUMMYFUNCTION("""COMPUTED_VALUE"""),"એજન્સી - ઉત્કૃષ્ટતા")</f>
        <v>એજન્સી - ઉત્કૃષ્ટતા</v>
      </c>
      <c r="I1010" s="2" t="str">
        <f>IFERROR(__xludf.DUMMYFUNCTION("""COMPUTED_VALUE"""),"एजन्सी - उत्कृष्टता")</f>
        <v>एजन्सी - उत्कृष्टता</v>
      </c>
      <c r="J1010" s="2" t="str">
        <f>IFERROR(__xludf.DUMMYFUNCTION("""COMPUTED_VALUE"""),"ഏജൻസി - എടുക്കുക")</f>
        <v>ഏജൻസി - എടുക്കുക</v>
      </c>
      <c r="K1010" s="2" t="str">
        <f>IFERROR(__xludf.DUMMYFUNCTION("""COMPUTED_VALUE"""),"ਏਜੰਸੀ - ਨਿਮਰਤਾ")</f>
        <v>ਏਜੰਸੀ - ਨਿਮਰਤਾ</v>
      </c>
      <c r="L1010" s="2" t="str">
        <f>IFERROR(__xludf.DUMMYFUNCTION("""COMPUTED_VALUE"""),"ஏஜென்சி - எஸ்சிலேன்ஸ்")</f>
        <v>ஏஜென்சி - எஸ்சிலேன்ஸ்</v>
      </c>
      <c r="M1010" s="2" t="str">
        <f>IFERROR(__xludf.DUMMYFUNCTION("""COMPUTED_VALUE"""),"ఏజెన్సీ - ఎక్సెలియెన్స్")</f>
        <v>ఏజెన్సీ - ఎక్సెలియెన్స్</v>
      </c>
    </row>
    <row r="1011">
      <c r="A1011" s="2" t="str">
        <f>Master_en!A1011</f>
        <v>within</v>
      </c>
      <c r="B1011" s="2" t="str">
        <f>Master_en!B1011</f>
        <v>within</v>
      </c>
      <c r="C1011" s="2" t="str">
        <f>IFERROR(__xludf.DUMMYFUNCTION("""COMPUTED_VALUE"""),"মধ্যে")</f>
        <v>মধ্যে</v>
      </c>
      <c r="D1011" s="2" t="str">
        <f>IFERROR(__xludf.DUMMYFUNCTION("""COMPUTED_VALUE"""),"अंदर")</f>
        <v>अंदर</v>
      </c>
      <c r="E1011" s="2" t="str">
        <f>IFERROR(__xludf.DUMMYFUNCTION("""COMPUTED_VALUE"""),"ಒಳಗೆ")</f>
        <v>ಒಳಗೆ</v>
      </c>
      <c r="F1011" s="2" t="str">
        <f>IFERROR(__xludf.DUMMYFUNCTION("""COMPUTED_VALUE"""),"ଭିତରେ")</f>
        <v>ଭିତରେ</v>
      </c>
      <c r="G1011" s="2" t="str">
        <f>IFERROR(__xludf.DUMMYFUNCTION("""COMPUTED_VALUE"""),"ভিতৰৰ")</f>
        <v>ভিতৰৰ</v>
      </c>
      <c r="H1011" s="2" t="str">
        <f>IFERROR(__xludf.DUMMYFUNCTION("""COMPUTED_VALUE"""),"અંદર")</f>
        <v>અંદર</v>
      </c>
      <c r="I1011" s="2" t="str">
        <f>IFERROR(__xludf.DUMMYFUNCTION("""COMPUTED_VALUE"""),"आत")</f>
        <v>आत</v>
      </c>
      <c r="J1011" s="2" t="str">
        <f>IFERROR(__xludf.DUMMYFUNCTION("""COMPUTED_VALUE"""),"അകവശത്ത്")</f>
        <v>അകവശത്ത്</v>
      </c>
      <c r="K1011" s="2" t="str">
        <f>IFERROR(__xludf.DUMMYFUNCTION("""COMPUTED_VALUE"""),"ਦੇ ਅੰਦਰ")</f>
        <v>ਦੇ ਅੰਦਰ</v>
      </c>
      <c r="L1011" s="2" t="str">
        <f>IFERROR(__xludf.DUMMYFUNCTION("""COMPUTED_VALUE"""),"உள்ளே")</f>
        <v>உள்ளே</v>
      </c>
      <c r="M1011" s="2" t="str">
        <f>IFERROR(__xludf.DUMMYFUNCTION("""COMPUTED_VALUE"""),"లోపల")</f>
        <v>లోపల</v>
      </c>
    </row>
    <row r="1012">
      <c r="A1012" s="2" t="str">
        <f>Master_en!A1012</f>
        <v>kms</v>
      </c>
      <c r="B1012" s="2" t="str">
        <f>Master_en!B1012</f>
        <v>kms</v>
      </c>
      <c r="C1012" s="2" t="str">
        <f>IFERROR(__xludf.DUMMYFUNCTION("""COMPUTED_VALUE"""),"কেএমএস")</f>
        <v>কেএমএস</v>
      </c>
      <c r="D1012" s="2" t="str">
        <f>IFERROR(__xludf.DUMMYFUNCTION("""COMPUTED_VALUE"""),"कि.मी.")</f>
        <v>कि.मी.</v>
      </c>
      <c r="E1012" s="2" t="str">
        <f>IFERROR(__xludf.DUMMYFUNCTION("""COMPUTED_VALUE"""),"ಒಂದು ಬಗೆಯ")</f>
        <v>ಒಂದು ಬಗೆಯ</v>
      </c>
      <c r="F1012" s="2" t="str">
        <f>IFERROR(__xludf.DUMMYFUNCTION("""COMPUTED_VALUE"""),"କିଲ୍ସ")</f>
        <v>କିଲ୍ସ</v>
      </c>
      <c r="G1012" s="2" t="str">
        <f>IFERROR(__xludf.DUMMYFUNCTION("""COMPUTED_VALUE"""),"কিমি")</f>
        <v>কিমি</v>
      </c>
      <c r="H1012" s="2" t="str">
        <f>IFERROR(__xludf.DUMMYFUNCTION("""COMPUTED_VALUE"""),"કિ.મી.")</f>
        <v>કિ.મી.</v>
      </c>
      <c r="I1012" s="2" t="str">
        <f>IFERROR(__xludf.DUMMYFUNCTION("""COMPUTED_VALUE"""),"केएमएस")</f>
        <v>केएमएस</v>
      </c>
      <c r="J1012" s="2" t="str">
        <f>IFERROR(__xludf.DUMMYFUNCTION("""COMPUTED_VALUE"""),"കെഎംഎസ്")</f>
        <v>കെഎംഎസ്</v>
      </c>
      <c r="K1012" s="2" t="str">
        <f>IFERROR(__xludf.DUMMYFUNCTION("""COMPUTED_VALUE"""),"ਕਿਲੋਮੀਟਰ")</f>
        <v>ਕਿਲੋਮੀਟਰ</v>
      </c>
      <c r="L1012" s="2" t="str">
        <f>IFERROR(__xludf.DUMMYFUNCTION("""COMPUTED_VALUE"""),"கி.மீ.")</f>
        <v>கி.மீ.</v>
      </c>
      <c r="M1012" s="2" t="str">
        <f>IFERROR(__xludf.DUMMYFUNCTION("""COMPUTED_VALUE"""),"KMS")</f>
        <v>KMS</v>
      </c>
    </row>
    <row r="1013">
      <c r="A1013" s="2" t="str">
        <f>Master_en!A1013</f>
        <v>EnterIDCardNo</v>
      </c>
      <c r="B1013" s="2" t="str">
        <f>Master_en!B1013</f>
        <v>Enter ID Card No</v>
      </c>
      <c r="C1013" s="2" t="str">
        <f>IFERROR(__xludf.DUMMYFUNCTION("""COMPUTED_VALUE"""),"আইডি কার্ড নং প্রবেশ করান")</f>
        <v>আইডি কার্ড নং প্রবেশ করান</v>
      </c>
      <c r="D1013" s="2" t="str">
        <f>IFERROR(__xludf.DUMMYFUNCTION("""COMPUTED_VALUE"""),"आईडी कार्ड नं दर्ज करें")</f>
        <v>आईडी कार्ड नं दर्ज करें</v>
      </c>
      <c r="E1013" s="2" t="str">
        <f>IFERROR(__xludf.DUMMYFUNCTION("""COMPUTED_VALUE"""),"ಗುರುತಿನ ಚೀಟಿ ಇಲ್ಲ")</f>
        <v>ಗುರುತಿನ ಚೀಟಿ ಇಲ್ಲ</v>
      </c>
      <c r="F1013" s="2" t="str">
        <f>IFERROR(__xludf.DUMMYFUNCTION("""COMPUTED_VALUE"""),"ID କାର୍ଡ ନାହିଁ")</f>
        <v>ID କାର୍ଡ ନାହିଁ</v>
      </c>
      <c r="G1013" s="2" t="str">
        <f>IFERROR(__xludf.DUMMYFUNCTION("""COMPUTED_VALUE"""),"আইডি কাৰ্ড নম্বৰ প্ৰবিষ্ট কৰক")</f>
        <v>আইডি কাৰ্ড নম্বৰ প্ৰবিষ্ট কৰক</v>
      </c>
      <c r="H1013" s="2" t="str">
        <f>IFERROR(__xludf.DUMMYFUNCTION("""COMPUTED_VALUE"""),"આઈડી કાર્ડ નંબર દાખલ કરો")</f>
        <v>આઈડી કાર્ડ નંબર દાખલ કરો</v>
      </c>
      <c r="I1013" s="2" t="str">
        <f>IFERROR(__xludf.DUMMYFUNCTION("""COMPUTED_VALUE"""),"आयडी कार्ड क्रमांक प्रविष्ट करा")</f>
        <v>आयडी कार्ड क्रमांक प्रविष्ट करा</v>
      </c>
      <c r="J1013" s="2" t="str">
        <f>IFERROR(__xludf.DUMMYFUNCTION("""COMPUTED_VALUE"""),"ഐഡി കാർഡ് നമ്പർ നൽകുക ഇല്ല")</f>
        <v>ഐഡി കാർഡ് നമ്പർ നൽകുക ഇല്ല</v>
      </c>
      <c r="K1013" s="2" t="str">
        <f>IFERROR(__xludf.DUMMYFUNCTION("""COMPUTED_VALUE"""),"ID ਕਾਰਡ ਨੰਬਰ ਦਰਜ ਕਰੋ")</f>
        <v>ID ਕਾਰਡ ਨੰਬਰ ਦਰਜ ਕਰੋ</v>
      </c>
      <c r="L1013" s="2" t="str">
        <f>IFERROR(__xludf.DUMMYFUNCTION("""COMPUTED_VALUE"""),"அடையாள அட்டை எண் உள்ளிடவும்")</f>
        <v>அடையாள அட்டை எண் உள்ளிடவும்</v>
      </c>
      <c r="M1013" s="2" t="str">
        <f>IFERROR(__xludf.DUMMYFUNCTION("""COMPUTED_VALUE"""),"ID కార్డ్ సంఖ్యను నమోదు చేయండి")</f>
        <v>ID కార్డ్ సంఖ్యను నమోదు చేయండి</v>
      </c>
    </row>
    <row r="1014">
      <c r="A1014" s="2" t="str">
        <f>Master_en!A1014</f>
        <v>EnterName</v>
      </c>
      <c r="B1014" s="2" t="str">
        <f>Master_en!B1014</f>
        <v>Enter Name</v>
      </c>
      <c r="C1014" s="2" t="str">
        <f>IFERROR(__xludf.DUMMYFUNCTION("""COMPUTED_VALUE"""),"নাম লিখুন")</f>
        <v>নাম লিখুন</v>
      </c>
      <c r="D1014" s="2" t="str">
        <f>IFERROR(__xludf.DUMMYFUNCTION("""COMPUTED_VALUE"""),"नाम दर्ज करें")</f>
        <v>नाम दर्ज करें</v>
      </c>
      <c r="E1014" s="2" t="str">
        <f>IFERROR(__xludf.DUMMYFUNCTION("""COMPUTED_VALUE"""),"ಹೆಸರನ್ನು ನಮೂದಿಸಿ")</f>
        <v>ಹೆಸರನ್ನು ನಮೂದಿಸಿ</v>
      </c>
      <c r="F1014" s="2" t="str">
        <f>IFERROR(__xludf.DUMMYFUNCTION("""COMPUTED_VALUE"""),"ନାମ ପ୍ରବେଶ କରନ୍ତୁ |")</f>
        <v>ନାମ ପ୍ରବେଶ କରନ୍ତୁ |</v>
      </c>
      <c r="G1014" s="2" t="str">
        <f>IFERROR(__xludf.DUMMYFUNCTION("""COMPUTED_VALUE"""),"নাম প্ৰবিষ্ট কৰক")</f>
        <v>নাম প্ৰবিষ্ট কৰক</v>
      </c>
      <c r="H1014" s="2" t="str">
        <f>IFERROR(__xludf.DUMMYFUNCTION("""COMPUTED_VALUE"""),"નામ દાખલ કરવું")</f>
        <v>નામ દાખલ કરવું</v>
      </c>
      <c r="I1014" s="2" t="str">
        <f>IFERROR(__xludf.DUMMYFUNCTION("""COMPUTED_VALUE"""),"नाव प्रविष्ट करा")</f>
        <v>नाव प्रविष्ट करा</v>
      </c>
      <c r="J1014" s="2" t="str">
        <f>IFERROR(__xludf.DUMMYFUNCTION("""COMPUTED_VALUE"""),"പേര് നൽകുക")</f>
        <v>പേര് നൽകുക</v>
      </c>
      <c r="K1014" s="2" t="str">
        <f>IFERROR(__xludf.DUMMYFUNCTION("""COMPUTED_VALUE"""),"ਨਾਮ ਦਰਜ ਕਰੋ")</f>
        <v>ਨਾਮ ਦਰਜ ਕਰੋ</v>
      </c>
      <c r="L1014" s="2" t="str">
        <f>IFERROR(__xludf.DUMMYFUNCTION("""COMPUTED_VALUE"""),"பெயரை உள்ளிடுக")</f>
        <v>பெயரை உள்ளிடுக</v>
      </c>
      <c r="M1014" s="2" t="str">
        <f>IFERROR(__xludf.DUMMYFUNCTION("""COMPUTED_VALUE"""),"పేరు నమోదు చేయండి")</f>
        <v>పేరు నమోదు చేయండి</v>
      </c>
    </row>
    <row r="1015">
      <c r="A1015" s="2" t="str">
        <f>Master_en!A1015</f>
        <v>EnterShopNoorBuilding</v>
      </c>
      <c r="B1015" s="2" t="str">
        <f>Master_en!B1015</f>
        <v>Enter Shop No or Building</v>
      </c>
      <c r="C1015" s="2" t="str">
        <f>IFERROR(__xludf.DUMMYFUNCTION("""COMPUTED_VALUE"""),"শপ নং বা বিল্ডিং প্রবেশ করুন")</f>
        <v>শপ নং বা বিল্ডিং প্রবেশ করুন</v>
      </c>
      <c r="D1015" s="2" t="str">
        <f>IFERROR(__xludf.DUMMYFUNCTION("""COMPUTED_VALUE"""),"दुकान नहीं या भवन में प्रवेश करें")</f>
        <v>दुकान नहीं या भवन में प्रवेश करें</v>
      </c>
      <c r="E1015" s="2" t="str">
        <f>IFERROR(__xludf.DUMMYFUNCTION("""COMPUTED_VALUE"""),"ಅಂಗಡಿ ಇಲ್ಲ ಅಥವಾ ಕಟ್ಟಡವನ್ನು ನಮೂದಿಸಿ")</f>
        <v>ಅಂಗಡಿ ಇಲ್ಲ ಅಥವಾ ಕಟ್ಟಡವನ್ನು ನಮೂದಿಸಿ</v>
      </c>
      <c r="F1015" s="2" t="str">
        <f>IFERROR(__xludf.DUMMYFUNCTION("""COMPUTED_VALUE"""),"ଦୋକାନ ନଂ କିମ୍ବା ବିଲ୍ଡିଂରେ ପ୍ରବେଶ କରନ୍ତୁ |")</f>
        <v>ଦୋକାନ ନଂ କିମ୍ବା ବିଲ୍ଡିଂରେ ପ୍ରବେଶ କରନ୍ତୁ |</v>
      </c>
      <c r="G1015" s="2" t="str">
        <f>IFERROR(__xludf.DUMMYFUNCTION("""COMPUTED_VALUE"""),"দোকান নং/বিল্ডিং প্ৰবিষ্ট কৰক")</f>
        <v>দোকান নং/বিল্ডিং প্ৰবিষ্ট কৰক</v>
      </c>
      <c r="H1015" s="2" t="str">
        <f>IFERROR(__xludf.DUMMYFUNCTION("""COMPUTED_VALUE"""),"દુકાન ના અથવા બિલ્ડિંગ દાખલ કરો")</f>
        <v>દુકાન ના અથવા બિલ્ડિંગ દાખલ કરો</v>
      </c>
      <c r="I1015" s="2" t="str">
        <f>IFERROR(__xludf.DUMMYFUNCTION("""COMPUTED_VALUE"""),"दुकान नाही किंवा इमारत प्रविष्ट करा")</f>
        <v>दुकान नाही किंवा इमारत प्रविष्ट करा</v>
      </c>
      <c r="J1015" s="2" t="str">
        <f>IFERROR(__xludf.DUMMYFUNCTION("""COMPUTED_VALUE"""),"ഷോപ്പ് നമ്പർ അല്ലെങ്കിൽ കെട്ടിടം നൽകുക")</f>
        <v>ഷോപ്പ് നമ്പർ അല്ലെങ്കിൽ കെട്ടിടം നൽകുക</v>
      </c>
      <c r="K1015" s="2" t="str">
        <f>IFERROR(__xludf.DUMMYFUNCTION("""COMPUTED_VALUE"""),"ਦੁਕਾਨ ਨਾ ਜਾਂ ਇਮਾਰਤ ਦਾਖਲ ਕਰੋ")</f>
        <v>ਦੁਕਾਨ ਨਾ ਜਾਂ ਇਮਾਰਤ ਦਾਖਲ ਕਰੋ</v>
      </c>
      <c r="L1015" s="2" t="str">
        <f>IFERROR(__xludf.DUMMYFUNCTION("""COMPUTED_VALUE"""),"கடை இல்லை அல்லது கட்டிடத்தை உள்ளிடவும்")</f>
        <v>கடை இல்லை அல்லது கட்டிடத்தை உள்ளிடவும்</v>
      </c>
      <c r="M1015" s="2" t="str">
        <f>IFERROR(__xludf.DUMMYFUNCTION("""COMPUTED_VALUE"""),"షాప్ నో లేదా బిల్డింగ్ నమోదు చేయండి")</f>
        <v>షాప్ నో లేదా బిల్డింగ్ నమోదు చేయండి</v>
      </c>
    </row>
    <row r="1016">
      <c r="A1016" s="2" t="str">
        <f>Master_en!A1016</f>
        <v>EnterLocalityorArea</v>
      </c>
      <c r="B1016" s="2" t="str">
        <f>Master_en!B1016</f>
        <v>Enter Locality or Area</v>
      </c>
      <c r="C1016" s="2" t="str">
        <f>IFERROR(__xludf.DUMMYFUNCTION("""COMPUTED_VALUE"""),"লোকাল বা অঞ্চল প্রবেশ করান")</f>
        <v>লোকাল বা অঞ্চল প্রবেশ করান</v>
      </c>
      <c r="D1016" s="2" t="str">
        <f>IFERROR(__xludf.DUMMYFUNCTION("""COMPUTED_VALUE"""),"इलाके या क्षेत्र दर्ज करें")</f>
        <v>इलाके या क्षेत्र दर्ज करें</v>
      </c>
      <c r="E1016" s="2" t="str">
        <f>IFERROR(__xludf.DUMMYFUNCTION("""COMPUTED_VALUE"""),"ಸ್ಥಳ ಅಥವಾ ಪ್ರದೇಶವನ್ನು ನಮೂದಿಸಿ")</f>
        <v>ಸ್ಥಳ ಅಥವಾ ಪ್ರದೇಶವನ್ನು ನಮೂದಿಸಿ</v>
      </c>
      <c r="F1016" s="2" t="str">
        <f>IFERROR(__xludf.DUMMYFUNCTION("""COMPUTED_VALUE"""),"ସ୍ଥାନ କିମ୍ବା କ୍ଷେତ୍ର ପ୍ରବେଶ କରନ୍ତୁ |")</f>
        <v>ସ୍ଥାନ କିମ୍ବା କ୍ଷେତ୍ର ପ୍ରବେଶ କରନ୍ତୁ |</v>
      </c>
      <c r="G1016" s="2" t="str">
        <f>IFERROR(__xludf.DUMMYFUNCTION("""COMPUTED_VALUE"""),"এলেকা/এলেকা প্ৰবিষ্ট কৰক")</f>
        <v>এলেকা/এলেকা প্ৰবিষ্ট কৰক</v>
      </c>
      <c r="H1016" s="2" t="str">
        <f>IFERROR(__xludf.DUMMYFUNCTION("""COMPUTED_VALUE"""),"સ્થાન અથવા ક્ષેત્ર દાખલ કરો")</f>
        <v>સ્થાન અથવા ક્ષેત્ર દાખલ કરો</v>
      </c>
      <c r="I1016" s="2" t="str">
        <f>IFERROR(__xludf.DUMMYFUNCTION("""COMPUTED_VALUE"""),"परिसर किंवा क्षेत्र प्रविष्ट करा")</f>
        <v>परिसर किंवा क्षेत्र प्रविष्ट करा</v>
      </c>
      <c r="J1016" s="2" t="str">
        <f>IFERROR(__xludf.DUMMYFUNCTION("""COMPUTED_VALUE"""),"പ്രദേശമോ പ്രദേശമോ നൽകുക")</f>
        <v>പ്രദേശമോ പ്രദേശമോ നൽകുക</v>
      </c>
      <c r="K1016" s="2" t="str">
        <f>IFERROR(__xludf.DUMMYFUNCTION("""COMPUTED_VALUE"""),"ਇਲਾਕਾ ਜਾਂ ਖੇਤਰ ਦਾਖਲ ਕਰੋ")</f>
        <v>ਇਲਾਕਾ ਜਾਂ ਖੇਤਰ ਦਾਖਲ ਕਰੋ</v>
      </c>
      <c r="L1016" s="2" t="str">
        <f>IFERROR(__xludf.DUMMYFUNCTION("""COMPUTED_VALUE"""),"இடம் அல்லது பகுதியை உள்ளிடவும்")</f>
        <v>இடம் அல்லது பகுதியை உள்ளிடவும்</v>
      </c>
      <c r="M1016" s="2" t="str">
        <f>IFERROR(__xludf.DUMMYFUNCTION("""COMPUTED_VALUE"""),"ప్రాంతం లేదా ప్రాంతాన్ని నమోదు చేయండి")</f>
        <v>ప్రాంతం లేదా ప్రాంతాన్ని నమోదు చేయండి</v>
      </c>
    </row>
    <row r="1017">
      <c r="A1017" s="2" t="str">
        <f>Master_en!A1017</f>
        <v>EnterStreetno</v>
      </c>
      <c r="B1017" s="2" t="str">
        <f>Master_en!B1017</f>
        <v>Enter Street no</v>
      </c>
      <c r="C1017" s="2" t="str">
        <f>IFERROR(__xludf.DUMMYFUNCTION("""COMPUTED_VALUE"""),"স্ট্রিট নং প্রবেশ করুন")</f>
        <v>স্ট্রিট নং প্রবেশ করুন</v>
      </c>
      <c r="D1017" s="2" t="str">
        <f>IFERROR(__xludf.DUMMYFUNCTION("""COMPUTED_VALUE"""),"स्ट्रीट नं दर्ज करें")</f>
        <v>स्ट्रीट नं दर्ज करें</v>
      </c>
      <c r="E1017" s="2" t="str">
        <f>IFERROR(__xludf.DUMMYFUNCTION("""COMPUTED_VALUE"""),"ರಸ್ತೆ ಸಂಖ್ಯೆ ನಮೂದಿಸಿ")</f>
        <v>ರಸ್ತೆ ಸಂಖ್ಯೆ ನಮೂದಿಸಿ</v>
      </c>
      <c r="F1017" s="2" t="str">
        <f>IFERROR(__xludf.DUMMYFUNCTION("""COMPUTED_VALUE"""),"ରାସ୍ତାରେ ପ୍ରବେଶ କର ନାହିଁ")</f>
        <v>ରାସ୍ତାରେ ପ୍ରବେଶ କର ନାହିଁ</v>
      </c>
      <c r="G1017" s="2" t="str">
        <f>IFERROR(__xludf.DUMMYFUNCTION("""COMPUTED_VALUE"""),"ষ্ট্ৰীট নম্বৰ প্ৰবিষ্ট কৰক")</f>
        <v>ষ্ট্ৰীট নম্বৰ প্ৰবিষ্ট কৰক</v>
      </c>
      <c r="H1017" s="2" t="str">
        <f>IFERROR(__xludf.DUMMYFUNCTION("""COMPUTED_VALUE"""),"શેરી નં.")</f>
        <v>શેરી નં.</v>
      </c>
      <c r="I1017" s="2" t="str">
        <f>IFERROR(__xludf.DUMMYFUNCTION("""COMPUTED_VALUE"""),"स्ट्रीट क्र")</f>
        <v>स्ट्रीट क्र</v>
      </c>
      <c r="J1017" s="2" t="str">
        <f>IFERROR(__xludf.DUMMYFUNCTION("""COMPUTED_VALUE"""),"തെരുവ് നമ്പർ നൽകുക")</f>
        <v>തെരുവ് നമ്പർ നൽകുക</v>
      </c>
      <c r="K1017" s="2" t="str">
        <f>IFERROR(__xludf.DUMMYFUNCTION("""COMPUTED_VALUE"""),"ਸਟ੍ਰੀਟ ਨੰ")</f>
        <v>ਸਟ੍ਰੀਟ ਨੰ</v>
      </c>
      <c r="L1017" s="2" t="str">
        <f>IFERROR(__xludf.DUMMYFUNCTION("""COMPUTED_VALUE"""),"ஸ்ட்ரீட் எண் உள்ளிடவும்")</f>
        <v>ஸ்ட்ரீட் எண் உள்ளிடவும்</v>
      </c>
      <c r="M1017" s="2" t="str">
        <f>IFERROR(__xludf.DUMMYFUNCTION("""COMPUTED_VALUE"""),"వీధి సంఖ్యను నమోదు చేయండి")</f>
        <v>వీధి సంఖ్యను నమోదు చేయండి</v>
      </c>
    </row>
    <row r="1018">
      <c r="A1018" s="2" t="str">
        <f>Master_en!A1018</f>
        <v>EnterLandmark</v>
      </c>
      <c r="B1018" s="2" t="str">
        <f>Master_en!B1018</f>
        <v>Enter Landmark</v>
      </c>
      <c r="C1018" s="2" t="str">
        <f>IFERROR(__xludf.DUMMYFUNCTION("""COMPUTED_VALUE"""),"ল্যান্ডমার্ক প্রবেশ করুন")</f>
        <v>ল্যান্ডমার্ক প্রবেশ করুন</v>
      </c>
      <c r="D1018" s="2" t="str">
        <f>IFERROR(__xludf.DUMMYFUNCTION("""COMPUTED_VALUE"""),"लैंडमार्क दर्ज करें")</f>
        <v>लैंडमार्क दर्ज करें</v>
      </c>
      <c r="E1018" s="2" t="str">
        <f>IFERROR(__xludf.DUMMYFUNCTION("""COMPUTED_VALUE"""),"ಹೆಗ್ಗುರುತು ನಮೂದಿಸಿ")</f>
        <v>ಹೆಗ್ಗುರುತು ನಮೂದಿಸಿ</v>
      </c>
      <c r="F1018" s="2" t="str">
        <f>IFERROR(__xludf.DUMMYFUNCTION("""COMPUTED_VALUE"""),"ଲ୍ୟାଣ୍ଡମାର୍କ ପ୍ରବେଶ କରନ୍ତୁ |")</f>
        <v>ଲ୍ୟାଣ୍ଡମାର୍କ ପ୍ରବେଶ କରନ୍ତୁ |</v>
      </c>
      <c r="G1018" s="2" t="str">
        <f>IFERROR(__xludf.DUMMYFUNCTION("""COMPUTED_VALUE"""),"লেণ্ডমাৰ্ক প্ৰবিষ্ট কৰক")</f>
        <v>লেণ্ডমাৰ্ক প্ৰবিষ্ট কৰক</v>
      </c>
      <c r="H1018" s="2" t="str">
        <f>IFERROR(__xludf.DUMMYFUNCTION("""COMPUTED_VALUE"""),"સીમાચિહ્ન દાખલ કરો")</f>
        <v>સીમાચિહ્ન દાખલ કરો</v>
      </c>
      <c r="I1018" s="2" t="str">
        <f>IFERROR(__xludf.DUMMYFUNCTION("""COMPUTED_VALUE"""),"लँडमार्क प्रविष्ट करा")</f>
        <v>लँडमार्क प्रविष्ट करा</v>
      </c>
      <c r="J1018" s="2" t="str">
        <f>IFERROR(__xludf.DUMMYFUNCTION("""COMPUTED_VALUE"""),"ലാൻഡ്മാർക്ക് നൽകുക")</f>
        <v>ലാൻഡ്മാർക്ക് നൽകുക</v>
      </c>
      <c r="K1018" s="2" t="str">
        <f>IFERROR(__xludf.DUMMYFUNCTION("""COMPUTED_VALUE"""),"ਲੈਂਡਮਾਰਕ ਵਿੱਚ ਦਾਖਲ ਹੋਵੋ")</f>
        <v>ਲੈਂਡਮਾਰਕ ਵਿੱਚ ਦਾਖਲ ਹੋਵੋ</v>
      </c>
      <c r="L1018" s="2" t="str">
        <f>IFERROR(__xludf.DUMMYFUNCTION("""COMPUTED_VALUE"""),"மைல்கல் உள்ளிடவும்")</f>
        <v>மைல்கல் உள்ளிடவும்</v>
      </c>
      <c r="M1018" s="2" t="str">
        <f>IFERROR(__xludf.DUMMYFUNCTION("""COMPUTED_VALUE"""),"మైలురాయిని నమోదు చేయండి")</f>
        <v>మైలురాయిని నమోదు చేయండి</v>
      </c>
    </row>
    <row r="1019">
      <c r="A1019" s="2" t="str">
        <f>Master_en!A1019</f>
        <v>EnterCityorState</v>
      </c>
      <c r="B1019" s="2" t="str">
        <f>Master_en!B1019</f>
        <v>Enter City or State</v>
      </c>
      <c r="C1019" s="2" t="str">
        <f>IFERROR(__xludf.DUMMYFUNCTION("""COMPUTED_VALUE"""),"শহর বা রাজ্যে প্রবেশ করুন")</f>
        <v>শহর বা রাজ্যে প্রবেশ করুন</v>
      </c>
      <c r="D1019" s="2" t="str">
        <f>IFERROR(__xludf.DUMMYFUNCTION("""COMPUTED_VALUE"""),"शहर या राज्य में प्रवेश करें")</f>
        <v>शहर या राज्य में प्रवेश करें</v>
      </c>
      <c r="E1019" s="2" t="str">
        <f>IFERROR(__xludf.DUMMYFUNCTION("""COMPUTED_VALUE"""),"ನಗರ ಅಥವಾ ರಾಜ್ಯವನ್ನು ನಮೂದಿಸಿ")</f>
        <v>ನಗರ ಅಥವಾ ರಾಜ್ಯವನ್ನು ನಮೂದಿಸಿ</v>
      </c>
      <c r="F1019" s="2" t="str">
        <f>IFERROR(__xludf.DUMMYFUNCTION("""COMPUTED_VALUE"""),"ସହର କିମ୍ବା ରାଜ୍ୟ ପ୍ରବେଶ କରନ୍ତୁ |")</f>
        <v>ସହର କିମ୍ବା ରାଜ୍ୟ ପ୍ରବେଶ କରନ୍ତୁ |</v>
      </c>
      <c r="G1019" s="2" t="str">
        <f>IFERROR(__xludf.DUMMYFUNCTION("""COMPUTED_VALUE"""),"মহানগৰ/ৰাজ্য প্ৰবিষ্ট কৰক")</f>
        <v>মহানগৰ/ৰাজ্য প্ৰবিষ্ট কৰক</v>
      </c>
      <c r="H1019" s="2" t="str">
        <f>IFERROR(__xludf.DUMMYFUNCTION("""COMPUTED_VALUE"""),"શહેર અથવા રાજ્ય દાખલ કરો")</f>
        <v>શહેર અથવા રાજ્ય દાખલ કરો</v>
      </c>
      <c r="I1019" s="2" t="str">
        <f>IFERROR(__xludf.DUMMYFUNCTION("""COMPUTED_VALUE"""),"शहर किंवा राज्य प्रविष्ट करा")</f>
        <v>शहर किंवा राज्य प्रविष्ट करा</v>
      </c>
      <c r="J1019" s="2" t="str">
        <f>IFERROR(__xludf.DUMMYFUNCTION("""COMPUTED_VALUE"""),"നഗരം അല്ലെങ്കിൽ സംസ്ഥാനം നൽകുക")</f>
        <v>നഗരം അല്ലെങ്കിൽ സംസ്ഥാനം നൽകുക</v>
      </c>
      <c r="K1019" s="2" t="str">
        <f>IFERROR(__xludf.DUMMYFUNCTION("""COMPUTED_VALUE"""),"ਸ਼ਹਿਰ ਜਾਂ ਰਾਜ ਦਾਖਲ ਕਰੋ")</f>
        <v>ਸ਼ਹਿਰ ਜਾਂ ਰਾਜ ਦਾਖਲ ਕਰੋ</v>
      </c>
      <c r="L1019" s="2" t="str">
        <f>IFERROR(__xludf.DUMMYFUNCTION("""COMPUTED_VALUE"""),"நகரம் அல்லது மாநிலத்தை உள்ளிடவும்")</f>
        <v>நகரம் அல்லது மாநிலத்தை உள்ளிடவும்</v>
      </c>
      <c r="M1019" s="2" t="str">
        <f>IFERROR(__xludf.DUMMYFUNCTION("""COMPUTED_VALUE"""),"నగరం లేదా రాష్ట్రంలోకి ప్రవేశించండి")</f>
        <v>నగరం లేదా రాష్ట్రంలోకి ప్రవేశించండి</v>
      </c>
    </row>
    <row r="1020">
      <c r="A1020" s="2" t="str">
        <f>Master_en!A1020</f>
        <v>EnterPincode</v>
      </c>
      <c r="B1020" s="2" t="str">
        <f>Master_en!B1020</f>
        <v>Enter Pincode</v>
      </c>
      <c r="C1020" s="2" t="str">
        <f>IFERROR(__xludf.DUMMYFUNCTION("""COMPUTED_VALUE"""),"পিনকোড প্রবেশ করান")</f>
        <v>পিনকোড প্রবেশ করান</v>
      </c>
      <c r="D1020" s="2" t="str">
        <f>IFERROR(__xludf.DUMMYFUNCTION("""COMPUTED_VALUE"""),"पिनकोड दर्ज करें")</f>
        <v>पिनकोड दर्ज करें</v>
      </c>
      <c r="E1020" s="2" t="str">
        <f>IFERROR(__xludf.DUMMYFUNCTION("""COMPUTED_VALUE"""),"ಪಿನ್ಕೋಡ್ ನಮೂದಿಸಿ")</f>
        <v>ಪಿನ್ಕೋಡ್ ನಮೂದಿಸಿ</v>
      </c>
      <c r="F1020" s="2" t="str">
        <f>IFERROR(__xludf.DUMMYFUNCTION("""COMPUTED_VALUE"""),"ପିନ୍code ପ୍ରବେଶ କରନ୍ତୁ |")</f>
        <v>ପିନ୍code ପ୍ରବେଶ କରନ୍ତୁ |</v>
      </c>
      <c r="G1020" s="2" t="str">
        <f>IFERROR(__xludf.DUMMYFUNCTION("""COMPUTED_VALUE"""),"পিনকোড প্ৰবিষ্ট কৰক")</f>
        <v>পিনকোড প্ৰবিষ্ট কৰক</v>
      </c>
      <c r="H1020" s="2" t="str">
        <f>IFERROR(__xludf.DUMMYFUNCTION("""COMPUTED_VALUE"""),"પિનકોડ દાખલ કરો")</f>
        <v>પિનકોડ દાખલ કરો</v>
      </c>
      <c r="I1020" s="2" t="str">
        <f>IFERROR(__xludf.DUMMYFUNCTION("""COMPUTED_VALUE"""),"पिनकोड प्रविष्ट करा")</f>
        <v>पिनकोड प्रविष्ट करा</v>
      </c>
      <c r="J1020" s="2" t="str">
        <f>IFERROR(__xludf.DUMMYFUNCTION("""COMPUTED_VALUE"""),"പിങ്കോഡ് നൽകുക")</f>
        <v>പിങ്കോഡ് നൽകുക</v>
      </c>
      <c r="K1020" s="2" t="str">
        <f>IFERROR(__xludf.DUMMYFUNCTION("""COMPUTED_VALUE"""),"ਪਿਨਕੋਡ ਦਰਜ ਕਰੋ")</f>
        <v>ਪਿਨਕੋਡ ਦਰਜ ਕਰੋ</v>
      </c>
      <c r="L1020" s="2" t="str">
        <f>IFERROR(__xludf.DUMMYFUNCTION("""COMPUTED_VALUE"""),"பின்கோட் உள்ளிடவும்")</f>
        <v>பின்கோட் உள்ளிடவும்</v>
      </c>
      <c r="M1020" s="2" t="str">
        <f>IFERROR(__xludf.DUMMYFUNCTION("""COMPUTED_VALUE"""),"పిన్‌కోడ్‌ను నమోదు చేయండి")</f>
        <v>పిన్‌కోడ్‌ను నమోదు చేయండి</v>
      </c>
    </row>
    <row r="1021">
      <c r="A1021" s="2" t="str">
        <f>Master_en!A1021</f>
        <v>EnterPANCardNo</v>
      </c>
      <c r="B1021" s="2" t="str">
        <f>Master_en!B1021</f>
        <v>Enter PAN Card No</v>
      </c>
      <c r="C1021" s="2" t="str">
        <f>IFERROR(__xludf.DUMMYFUNCTION("""COMPUTED_VALUE"""),"প্যান কার্ড নং প্রবেশ করান")</f>
        <v>প্যান কার্ড নং প্রবেশ করান</v>
      </c>
      <c r="D1021" s="2" t="str">
        <f>IFERROR(__xludf.DUMMYFUNCTION("""COMPUTED_VALUE"""),"पैन कार्ड नहीं दर्ज करें")</f>
        <v>पैन कार्ड नहीं दर्ज करें</v>
      </c>
      <c r="E1021" s="2" t="str">
        <f>IFERROR(__xludf.DUMMYFUNCTION("""COMPUTED_VALUE"""),"ಪ್ಯಾನ್ ಕಾರ್ಡ್ ಸಂಖ್ಯೆ ನಮೂದಿಸಿ")</f>
        <v>ಪ್ಯಾನ್ ಕಾರ್ಡ್ ಸಂಖ್ಯೆ ನಮೂದಿಸಿ</v>
      </c>
      <c r="F1021" s="2" t="str">
        <f>IFERROR(__xludf.DUMMYFUNCTION("""COMPUTED_VALUE"""),"ପାନ୍ କାର୍ଡ ନଂ ପ୍ରବେଶ କରନ୍ତୁ |")</f>
        <v>ପାନ୍ କାର୍ଡ ନଂ ପ୍ରବେଶ କରନ୍ତୁ |</v>
      </c>
      <c r="G1021" s="2" t="str">
        <f>IFERROR(__xludf.DUMMYFUNCTION("""COMPUTED_VALUE"""),"পেন কাৰ্ড নম্বৰ প্ৰবিষ্ট কৰক")</f>
        <v>পেন কাৰ্ড নম্বৰ প্ৰবিষ্ট কৰক</v>
      </c>
      <c r="H1021" s="2" t="str">
        <f>IFERROR(__xludf.DUMMYFUNCTION("""COMPUTED_VALUE"""),"પાન કાર્ડ નંબર દાખલ કરો")</f>
        <v>પાન કાર્ડ નંબર દાખલ કરો</v>
      </c>
      <c r="I1021" s="2" t="str">
        <f>IFERROR(__xludf.DUMMYFUNCTION("""COMPUTED_VALUE"""),"पॅन कार्ड क्रमांक प्रविष्ट करा")</f>
        <v>पॅन कार्ड क्रमांक प्रविष्ट करा</v>
      </c>
      <c r="J1021" s="2" t="str">
        <f>IFERROR(__xludf.DUMMYFUNCTION("""COMPUTED_VALUE"""),"പാൻ കാർഡ് നമ്പർ നൽകുക")</f>
        <v>പാൻ കാർഡ് നമ്പർ നൽകുക</v>
      </c>
      <c r="K1021" s="2" t="str">
        <f>IFERROR(__xludf.DUMMYFUNCTION("""COMPUTED_VALUE"""),"ਪੈਨ ਕਾਰਡ ਨੰਬਰ ਦਰਜ ਕਰੋ")</f>
        <v>ਪੈਨ ਕਾਰਡ ਨੰਬਰ ਦਰਜ ਕਰੋ</v>
      </c>
      <c r="L1021" s="2" t="str">
        <f>IFERROR(__xludf.DUMMYFUNCTION("""COMPUTED_VALUE"""),"பான் கார்டு எண் உள்ளிடவும்")</f>
        <v>பான் கார்டு எண் உள்ளிடவும்</v>
      </c>
      <c r="M1021" s="2" t="str">
        <f>IFERROR(__xludf.DUMMYFUNCTION("""COMPUTED_VALUE"""),"పాన్ కార్డ్ సంఖ్యను నమోదు చేయండి")</f>
        <v>పాన్ కార్డ్ సంఖ్యను నమోదు చేయండి</v>
      </c>
    </row>
    <row r="1022">
      <c r="A1022" s="2" t="str">
        <f>Master_en!A1022</f>
        <v>EnterNameasperPANcard</v>
      </c>
      <c r="B1022" s="2" t="str">
        <f>Master_en!B1022</f>
        <v>Enter Name as per PAN card</v>
      </c>
      <c r="C1022" s="2" t="str">
        <f>IFERROR(__xludf.DUMMYFUNCTION("""COMPUTED_VALUE"""),"প্যান কার্ড অনুসারে নাম লিখুন")</f>
        <v>প্যান কার্ড অনুসারে নাম লিখুন</v>
      </c>
      <c r="D1022" s="2" t="str">
        <f>IFERROR(__xludf.DUMMYFUNCTION("""COMPUTED_VALUE"""),"पैन कार्ड के अनुसार नाम दर्ज करें")</f>
        <v>पैन कार्ड के अनुसार नाम दर्ज करें</v>
      </c>
      <c r="E1022" s="2" t="str">
        <f>IFERROR(__xludf.DUMMYFUNCTION("""COMPUTED_VALUE"""),"ಪ್ಯಾನ್ ಕಾರ್ಡ್ ಪ್ರಕಾರ ಹೆಸರನ್ನು ನಮೂದಿಸಿ")</f>
        <v>ಪ್ಯಾನ್ ಕಾರ್ಡ್ ಪ್ರಕಾರ ಹೆಸರನ್ನು ನಮೂದಿಸಿ</v>
      </c>
      <c r="F1022" s="2" t="str">
        <f>IFERROR(__xludf.DUMMYFUNCTION("""COMPUTED_VALUE"""),"ପାନ୍ କାର୍ଡ ଅନୁଯାୟୀ ନାମ ପ୍ରବେଶ କରନ୍ତୁ |")</f>
        <v>ପାନ୍ କାର୍ଡ ଅନୁଯାୟୀ ନାମ ପ୍ରବେଶ କରନ୍ତୁ |</v>
      </c>
      <c r="G1022" s="2" t="str">
        <f>IFERROR(__xludf.DUMMYFUNCTION("""COMPUTED_VALUE"""),"পেন কাৰ্ড অনুসৰি নাম প্ৰবিষ্ট কৰক")</f>
        <v>পেন কাৰ্ড অনুসৰি নাম প্ৰবিষ্ট কৰক</v>
      </c>
      <c r="H1022" s="2" t="str">
        <f>IFERROR(__xludf.DUMMYFUNCTION("""COMPUTED_VALUE"""),"પાન કાર્ડ મુજબ નામ દાખલ કરો")</f>
        <v>પાન કાર્ડ મુજબ નામ દાખલ કરો</v>
      </c>
      <c r="I1022" s="2" t="str">
        <f>IFERROR(__xludf.DUMMYFUNCTION("""COMPUTED_VALUE"""),"पॅन कार्डनुसार नाव प्रविष्ट करा")</f>
        <v>पॅन कार्डनुसार नाव प्रविष्ट करा</v>
      </c>
      <c r="J1022" s="2" t="str">
        <f>IFERROR(__xludf.DUMMYFUNCTION("""COMPUTED_VALUE"""),"പാൻ കാർഡ് അനുസരിച്ച് പേര് നൽകുക")</f>
        <v>പാൻ കാർഡ് അനുസരിച്ച് പേര് നൽകുക</v>
      </c>
      <c r="K1022" s="2" t="str">
        <f>IFERROR(__xludf.DUMMYFUNCTION("""COMPUTED_VALUE"""),"ਪੈਨ ਕਾਰਡ ਦੇ ਅਨੁਸਾਰ ਨਾਮ ਦਰਜ ਕਰੋ")</f>
        <v>ਪੈਨ ਕਾਰਡ ਦੇ ਅਨੁਸਾਰ ਨਾਮ ਦਰਜ ਕਰੋ</v>
      </c>
      <c r="L1022" s="2" t="str">
        <f>IFERROR(__xludf.DUMMYFUNCTION("""COMPUTED_VALUE"""),"பான் கார்டின் படி பெயரை உள்ளிடவும்")</f>
        <v>பான் கார்டின் படி பெயரை உள்ளிடவும்</v>
      </c>
      <c r="M1022" s="2" t="str">
        <f>IFERROR(__xludf.DUMMYFUNCTION("""COMPUTED_VALUE"""),"పాన్ కార్డు ప్రకారం పేరును నమోదు చేయండి")</f>
        <v>పాన్ కార్డు ప్రకారం పేరును నమోదు చేయండి</v>
      </c>
    </row>
    <row r="1023">
      <c r="A1023" s="2" t="str">
        <f>Master_en!A1023</f>
        <v>EnterFather’sName</v>
      </c>
      <c r="B1023" s="2" t="str">
        <f>Master_en!B1023</f>
        <v>Enter Father’s Name</v>
      </c>
      <c r="C1023" s="2" t="str">
        <f>IFERROR(__xludf.DUMMYFUNCTION("""COMPUTED_VALUE"""),"পিতার নাম প্রবেশ করুন")</f>
        <v>পিতার নাম প্রবেশ করুন</v>
      </c>
      <c r="D1023" s="2" t="str">
        <f>IFERROR(__xludf.DUMMYFUNCTION("""COMPUTED_VALUE"""),"पिता का नाम दर्ज करें")</f>
        <v>पिता का नाम दर्ज करें</v>
      </c>
      <c r="E1023" s="2" t="str">
        <f>IFERROR(__xludf.DUMMYFUNCTION("""COMPUTED_VALUE"""),"ತಂದೆಯ ಹೆಸರನ್ನು ನಮೂದಿಸಿ")</f>
        <v>ತಂದೆಯ ಹೆಸರನ್ನು ನಮೂದಿಸಿ</v>
      </c>
      <c r="F1023" s="2" t="str">
        <f>IFERROR(__xludf.DUMMYFUNCTION("""COMPUTED_VALUE"""),"ପିତାଙ୍କ ନାମ ପ୍ରବେଶ କରନ୍ତୁ |")</f>
        <v>ପିତାଙ୍କ ନାମ ପ୍ରବେଶ କରନ୍ତୁ |</v>
      </c>
      <c r="G1023" s="2" t="str">
        <f>IFERROR(__xludf.DUMMYFUNCTION("""COMPUTED_VALUE"""),"পিতৃৰ নাম প্ৰবিষ্ট কৰক")</f>
        <v>পিতৃৰ নাম প্ৰবিষ্ট কৰক</v>
      </c>
      <c r="H1023" s="2" t="str">
        <f>IFERROR(__xludf.DUMMYFUNCTION("""COMPUTED_VALUE"""),"પિતાનું નામ દાખલ કરો")</f>
        <v>પિતાનું નામ દાખલ કરો</v>
      </c>
      <c r="I1023" s="2" t="str">
        <f>IFERROR(__xludf.DUMMYFUNCTION("""COMPUTED_VALUE"""),"वडिलांचे नाव प्रविष्ट करा")</f>
        <v>वडिलांचे नाव प्रविष्ट करा</v>
      </c>
      <c r="J1023" s="2" t="str">
        <f>IFERROR(__xludf.DUMMYFUNCTION("""COMPUTED_VALUE"""),"പിതാവിന്റെ പേര് നൽകുക")</f>
        <v>പിതാവിന്റെ പേര് നൽകുക</v>
      </c>
      <c r="K1023" s="2" t="str">
        <f>IFERROR(__xludf.DUMMYFUNCTION("""COMPUTED_VALUE"""),"ਪਿਤਾ ਦਾ ਨਾਮ ਦਰਜ ਕਰੋ")</f>
        <v>ਪਿਤਾ ਦਾ ਨਾਮ ਦਰਜ ਕਰੋ</v>
      </c>
      <c r="L1023" s="2" t="str">
        <f>IFERROR(__xludf.DUMMYFUNCTION("""COMPUTED_VALUE"""),"தந்தையின் பெயரை உள்ளிடவும்")</f>
        <v>தந்தையின் பெயரை உள்ளிடவும்</v>
      </c>
      <c r="M1023" s="2" t="str">
        <f>IFERROR(__xludf.DUMMYFUNCTION("""COMPUTED_VALUE"""),"తండ్రి పేరును నమోదు చేయండి")</f>
        <v>తండ్రి పేరును నమోదు చేయండి</v>
      </c>
    </row>
    <row r="1024">
      <c r="A1024" s="2" t="str">
        <f>Master_en!A1024</f>
        <v>findthedate</v>
      </c>
      <c r="B1024" s="2" t="str">
        <f>Master_en!B1024</f>
        <v>find the date</v>
      </c>
      <c r="C1024" s="2" t="str">
        <f>IFERROR(__xludf.DUMMYFUNCTION("""COMPUTED_VALUE"""),"তারিখটি সন্ধান করুন")</f>
        <v>তারিখটি সন্ধান করুন</v>
      </c>
      <c r="D1024" s="2" t="str">
        <f>IFERROR(__xludf.DUMMYFUNCTION("""COMPUTED_VALUE"""),"तिथि खोजें")</f>
        <v>तिथि खोजें</v>
      </c>
      <c r="E1024" s="2" t="str">
        <f>IFERROR(__xludf.DUMMYFUNCTION("""COMPUTED_VALUE"""),"ದಿನಾಂಕವನ್ನು ಹುಡುಕಿ")</f>
        <v>ದಿನಾಂಕವನ್ನು ಹುಡುಕಿ</v>
      </c>
      <c r="F1024" s="2" t="str">
        <f>IFERROR(__xludf.DUMMYFUNCTION("""COMPUTED_VALUE"""),"ତାରିଖ ଖୋଜ |")</f>
        <v>ତାରିଖ ଖୋଜ |</v>
      </c>
      <c r="G1024" s="2" t="str">
        <f>IFERROR(__xludf.DUMMYFUNCTION("""COMPUTED_VALUE"""),"তাৰিখ বিচাৰক")</f>
        <v>তাৰিখ বিচাৰক</v>
      </c>
      <c r="H1024" s="2" t="str">
        <f>IFERROR(__xludf.DUMMYFUNCTION("""COMPUTED_VALUE"""),"તારીખ શોધો")</f>
        <v>તારીખ શોધો</v>
      </c>
      <c r="I1024" s="2" t="str">
        <f>IFERROR(__xludf.DUMMYFUNCTION("""COMPUTED_VALUE"""),"तारीख शोधा")</f>
        <v>तारीख शोधा</v>
      </c>
      <c r="J1024" s="2" t="str">
        <f>IFERROR(__xludf.DUMMYFUNCTION("""COMPUTED_VALUE"""),"തീയതി കണ്ടെത്തുക")</f>
        <v>തീയതി കണ്ടെത്തുക</v>
      </c>
      <c r="K1024" s="2" t="str">
        <f>IFERROR(__xludf.DUMMYFUNCTION("""COMPUTED_VALUE"""),"ਤਾਰੀਖ ਲੱਭੋ")</f>
        <v>ਤਾਰੀਖ ਲੱਭੋ</v>
      </c>
      <c r="L1024" s="2" t="str">
        <f>IFERROR(__xludf.DUMMYFUNCTION("""COMPUTED_VALUE"""),"தேதியைக் கண்டறியவும்")</f>
        <v>தேதியைக் கண்டறியவும்</v>
      </c>
      <c r="M1024" s="2" t="str">
        <f>IFERROR(__xludf.DUMMYFUNCTION("""COMPUTED_VALUE"""),"తేదీని కనుగొనండి")</f>
        <v>తేదీని కనుగొనండి</v>
      </c>
    </row>
    <row r="1025">
      <c r="A1025" s="2" t="str">
        <f>Master_en!A1025</f>
        <v>scanmyshop</v>
      </c>
      <c r="B1025" s="2" t="str">
        <f>Master_en!B1025</f>
        <v>scan my shop</v>
      </c>
      <c r="C1025" s="2" t="str">
        <f>IFERROR(__xludf.DUMMYFUNCTION("""COMPUTED_VALUE"""),"আমার দোকান স্ক্যান করুন")</f>
        <v>আমার দোকান স্ক্যান করুন</v>
      </c>
      <c r="D1025" s="2" t="str">
        <f>IFERROR(__xludf.DUMMYFUNCTION("""COMPUTED_VALUE"""),"मेरी दुकान को स्कैन करें")</f>
        <v>मेरी दुकान को स्कैन करें</v>
      </c>
      <c r="E1025" s="2" t="str">
        <f>IFERROR(__xludf.DUMMYFUNCTION("""COMPUTED_VALUE"""),"ನನ್ನ ಅಂಗಡಿಯನ್ನು ಸ್ಕ್ಯಾನ್ ಮಾಡಿ")</f>
        <v>ನನ್ನ ಅಂಗಡಿಯನ್ನು ಸ್ಕ್ಯಾನ್ ಮಾಡಿ</v>
      </c>
      <c r="F1025" s="2" t="str">
        <f>IFERROR(__xludf.DUMMYFUNCTION("""COMPUTED_VALUE"""),"ମୋ ଦୋକାନକୁ ସ୍କାନ୍ କରନ୍ତୁ |")</f>
        <v>ମୋ ଦୋକାନକୁ ସ୍କାନ୍ କରନ୍ତୁ |</v>
      </c>
      <c r="G1025" s="2" t="str">
        <f>IFERROR(__xludf.DUMMYFUNCTION("""COMPUTED_VALUE"""),"মোৰ দোকান খন স্কেন কৰক")</f>
        <v>মোৰ দোকান খন স্কেন কৰক</v>
      </c>
      <c r="H1025" s="2" t="str">
        <f>IFERROR(__xludf.DUMMYFUNCTION("""COMPUTED_VALUE"""),"મારી દુકાન સ્કેન કરો")</f>
        <v>મારી દુકાન સ્કેન કરો</v>
      </c>
      <c r="I1025" s="2" t="str">
        <f>IFERROR(__xludf.DUMMYFUNCTION("""COMPUTED_VALUE"""),"माझे दुकान स्कॅन करा")</f>
        <v>माझे दुकान स्कॅन करा</v>
      </c>
      <c r="J1025" s="2" t="str">
        <f>IFERROR(__xludf.DUMMYFUNCTION("""COMPUTED_VALUE"""),"എന്റെ ഷോപ്പ് സ്കാൻ ചെയ്യുക")</f>
        <v>എന്റെ ഷോപ്പ് സ്കാൻ ചെയ്യുക</v>
      </c>
      <c r="K1025" s="2" t="str">
        <f>IFERROR(__xludf.DUMMYFUNCTION("""COMPUTED_VALUE"""),"ਮੇਰੀ ਦੁਕਾਨ ਨੂੰ ਸਕੈਨ ਕਰੋ")</f>
        <v>ਮੇਰੀ ਦੁਕਾਨ ਨੂੰ ਸਕੈਨ ਕਰੋ</v>
      </c>
      <c r="L1025" s="2" t="str">
        <f>IFERROR(__xludf.DUMMYFUNCTION("""COMPUTED_VALUE"""),"என் கடையை ஸ்கேன் செய்யுங்கள்")</f>
        <v>என் கடையை ஸ்கேன் செய்யுங்கள்</v>
      </c>
      <c r="M1025" s="2" t="str">
        <f>IFERROR(__xludf.DUMMYFUNCTION("""COMPUTED_VALUE"""),"నా దుకాణాన్ని స్కాన్ చేయండి")</f>
        <v>నా దుకాణాన్ని స్కాన్ చేయండి</v>
      </c>
    </row>
    <row r="1026">
      <c r="A1026" s="2" t="str">
        <f>Master_en!A1026</f>
        <v>MyShopQRCode</v>
      </c>
      <c r="B1026" s="2" t="str">
        <f>Master_en!B1026</f>
        <v>My Shop QR Code</v>
      </c>
      <c r="C1026" s="2" t="str">
        <f>IFERROR(__xludf.DUMMYFUNCTION("""COMPUTED_VALUE"""),"আমার দোকান কিউআর কোড")</f>
        <v>আমার দোকান কিউআর কোড</v>
      </c>
      <c r="D1026" s="2" t="str">
        <f>IFERROR(__xludf.DUMMYFUNCTION("""COMPUTED_VALUE"""),"मेरी दुकान क्यूआर कोड")</f>
        <v>मेरी दुकान क्यूआर कोड</v>
      </c>
      <c r="E1026" s="2" t="str">
        <f>IFERROR(__xludf.DUMMYFUNCTION("""COMPUTED_VALUE"""),"ನನ್ನ ಅಂಗಡಿ ಕ್ಯೂಆರ್ ಕೋಡ್")</f>
        <v>ನನ್ನ ಅಂಗಡಿ ಕ್ಯೂಆರ್ ಕೋಡ್</v>
      </c>
      <c r="F1026" s="2" t="str">
        <f>IFERROR(__xludf.DUMMYFUNCTION("""COMPUTED_VALUE"""),"ମୋ ଦୋକାନ QR କୋଡ୍ |")</f>
        <v>ମୋ ଦୋକାନ QR କୋଡ୍ |</v>
      </c>
      <c r="G1026" s="2" t="str">
        <f>IFERROR(__xludf.DUMMYFUNCTION("""COMPUTED_VALUE"""),"মোৰ দোকানৰ কিউআৰ কোড")</f>
        <v>মোৰ দোকানৰ কিউআৰ কোড</v>
      </c>
      <c r="H1026" s="2" t="str">
        <f>IFERROR(__xludf.DUMMYFUNCTION("""COMPUTED_VALUE"""),"મારી દુકાન ક્યૂઆર કોડ")</f>
        <v>મારી દુકાન ક્યૂઆર કોડ</v>
      </c>
      <c r="I1026" s="2" t="str">
        <f>IFERROR(__xludf.DUMMYFUNCTION("""COMPUTED_VALUE"""),"माझे दुकान क्यूआर कोड")</f>
        <v>माझे दुकान क्यूआर कोड</v>
      </c>
      <c r="J1026" s="2" t="str">
        <f>IFERROR(__xludf.DUMMYFUNCTION("""COMPUTED_VALUE"""),"എന്റെ ഷോപ്പ് ക്യുആർ കോഡ്")</f>
        <v>എന്റെ ഷോപ്പ് ക്യുആർ കോഡ്</v>
      </c>
      <c r="K1026" s="2" t="str">
        <f>IFERROR(__xludf.DUMMYFUNCTION("""COMPUTED_VALUE"""),"ਮੇਰੀ ਦੁਕਾਨ QR ਕੋਡ")</f>
        <v>ਮੇਰੀ ਦੁਕਾਨ QR ਕੋਡ</v>
      </c>
      <c r="L1026" s="2" t="str">
        <f>IFERROR(__xludf.DUMMYFUNCTION("""COMPUTED_VALUE"""),"எனது கடை QR குறியீடு")</f>
        <v>எனது கடை QR குறியீடு</v>
      </c>
      <c r="M1026" s="2" t="str">
        <f>IFERROR(__xludf.DUMMYFUNCTION("""COMPUTED_VALUE"""),"నా షాప్ QR కోడ్")</f>
        <v>నా షాప్ QR కోడ్</v>
      </c>
    </row>
    <row r="1027">
      <c r="A1027" s="2" t="str">
        <f>Master_en!A1027</f>
        <v>Comment</v>
      </c>
      <c r="B1027" s="2" t="str">
        <f>Master_en!B1027</f>
        <v>Comment</v>
      </c>
      <c r="C1027" s="2" t="str">
        <f>IFERROR(__xludf.DUMMYFUNCTION("""COMPUTED_VALUE"""),"মন্তব্য")</f>
        <v>মন্তব্য</v>
      </c>
      <c r="D1027" s="2" t="str">
        <f>IFERROR(__xludf.DUMMYFUNCTION("""COMPUTED_VALUE"""),"टिप्पणी")</f>
        <v>टिप्पणी</v>
      </c>
      <c r="E1027" s="2" t="str">
        <f>IFERROR(__xludf.DUMMYFUNCTION("""COMPUTED_VALUE"""),"ಪ್ರತಿಕ್ರಿಯೆ")</f>
        <v>ಪ್ರತಿಕ್ರಿಯೆ</v>
      </c>
      <c r="F1027" s="2" t="str">
        <f>IFERROR(__xludf.DUMMYFUNCTION("""COMPUTED_VALUE"""),"ମନ୍ତବ୍ୟ ଦିଅନ୍ତୁ |")</f>
        <v>ମନ୍ତବ୍ୟ ଦିଅନ୍ତୁ |</v>
      </c>
      <c r="G1027" s="2" t="str">
        <f>IFERROR(__xludf.DUMMYFUNCTION("""COMPUTED_VALUE"""),"মন্তব্য")</f>
        <v>মন্তব্য</v>
      </c>
      <c r="H1027" s="2" t="str">
        <f>IFERROR(__xludf.DUMMYFUNCTION("""COMPUTED_VALUE"""),"ટીકા")</f>
        <v>ટીકા</v>
      </c>
      <c r="I1027" s="2" t="str">
        <f>IFERROR(__xludf.DUMMYFUNCTION("""COMPUTED_VALUE"""),"टिप्पणी")</f>
        <v>टिप्पणी</v>
      </c>
      <c r="J1027" s="2" t="str">
        <f>IFERROR(__xludf.DUMMYFUNCTION("""COMPUTED_VALUE"""),"അഭിപായം")</f>
        <v>അഭിപായം</v>
      </c>
      <c r="K1027" s="2" t="str">
        <f>IFERROR(__xludf.DUMMYFUNCTION("""COMPUTED_VALUE"""),"ਟਿੱਪਣੀ")</f>
        <v>ਟਿੱਪਣੀ</v>
      </c>
      <c r="L1027" s="2" t="str">
        <f>IFERROR(__xludf.DUMMYFUNCTION("""COMPUTED_VALUE"""),"கருத்து")</f>
        <v>கருத்து</v>
      </c>
      <c r="M1027" s="2" t="str">
        <f>IFERROR(__xludf.DUMMYFUNCTION("""COMPUTED_VALUE"""),"వ్యాఖ్య")</f>
        <v>వ్యాఖ్య</v>
      </c>
    </row>
    <row r="1028">
      <c r="A1028" s="2" t="str">
        <f>Master_en!A1028</f>
        <v>Download</v>
      </c>
      <c r="B1028" s="2" t="str">
        <f>Master_en!B1028</f>
        <v>Download</v>
      </c>
      <c r="C1028" s="2" t="str">
        <f>IFERROR(__xludf.DUMMYFUNCTION("""COMPUTED_VALUE"""),"ডাউনলোড")</f>
        <v>ডাউনলোড</v>
      </c>
      <c r="D1028" s="2" t="str">
        <f>IFERROR(__xludf.DUMMYFUNCTION("""COMPUTED_VALUE"""),"डाउनलोड करना")</f>
        <v>डाउनलोड करना</v>
      </c>
      <c r="E1028" s="2" t="str">
        <f>IFERROR(__xludf.DUMMYFUNCTION("""COMPUTED_VALUE"""),"ಡೌನ್‌ಲೋಡ್")</f>
        <v>ಡೌನ್‌ಲೋಡ್</v>
      </c>
      <c r="F1028" s="2" t="str">
        <f>IFERROR(__xludf.DUMMYFUNCTION("""COMPUTED_VALUE"""),"ଡାଉନଲୋଡ୍ କରନ୍ତୁ |")</f>
        <v>ଡାଉନଲୋଡ୍ କରନ୍ତୁ |</v>
      </c>
      <c r="G1028" s="2" t="str">
        <f>IFERROR(__xludf.DUMMYFUNCTION("""COMPUTED_VALUE"""),"ডাউনলোড কৰক")</f>
        <v>ডাউনলোড কৰক</v>
      </c>
      <c r="H1028" s="2" t="str">
        <f>IFERROR(__xludf.DUMMYFUNCTION("""COMPUTED_VALUE"""),"ડાઉનલોડ કરવું")</f>
        <v>ડાઉનલોડ કરવું</v>
      </c>
      <c r="I1028" s="2" t="str">
        <f>IFERROR(__xludf.DUMMYFUNCTION("""COMPUTED_VALUE"""),"डाउनलोड करा")</f>
        <v>डाउनलोड करा</v>
      </c>
      <c r="J1028" s="2" t="str">
        <f>IFERROR(__xludf.DUMMYFUNCTION("""COMPUTED_VALUE"""),"ഡൗൺലോഡ്")</f>
        <v>ഡൗൺലോഡ്</v>
      </c>
      <c r="K1028" s="2" t="str">
        <f>IFERROR(__xludf.DUMMYFUNCTION("""COMPUTED_VALUE"""),"ਡਾਉਨਲੋਡ ਕਰੋ")</f>
        <v>ਡਾਉਨਲੋਡ ਕਰੋ</v>
      </c>
      <c r="L1028" s="2" t="str">
        <f>IFERROR(__xludf.DUMMYFUNCTION("""COMPUTED_VALUE"""),"பதிவிறக்கு")</f>
        <v>பதிவிறக்கு</v>
      </c>
      <c r="M1028" s="2" t="str">
        <f>IFERROR(__xludf.DUMMYFUNCTION("""COMPUTED_VALUE"""),"డౌన్‌లోడ్")</f>
        <v>డౌన్‌లోడ్</v>
      </c>
    </row>
    <row r="1029">
      <c r="A1029" s="2" t="str">
        <f>Master_en!A1029</f>
        <v>Environment</v>
      </c>
      <c r="B1029" s="7" t="s">
        <v>0</v>
      </c>
      <c r="C1029" s="2" t="str">
        <f>IFERROR(__xludf.DUMMYFUNCTION("""COMPUTED_VALUE"""),"পরিবেশ")</f>
        <v>পরিবেশ</v>
      </c>
      <c r="D1029" s="2" t="str">
        <f>IFERROR(__xludf.DUMMYFUNCTION("""COMPUTED_VALUE"""),"पर्यावरण")</f>
        <v>पर्यावरण</v>
      </c>
      <c r="E1029" s="2" t="str">
        <f>IFERROR(__xludf.DUMMYFUNCTION("""COMPUTED_VALUE"""),"ವಾತಾವರಣ")</f>
        <v>ವಾತಾವರಣ</v>
      </c>
      <c r="F1029" s="2" t="str">
        <f>IFERROR(__xludf.DUMMYFUNCTION("""COMPUTED_VALUE"""),"ପରିବେଶ")</f>
        <v>ପରିବେଶ</v>
      </c>
      <c r="G1029" s="2" t="str">
        <f>IFERROR(__xludf.DUMMYFUNCTION("""COMPUTED_VALUE"""),"পৰিৱেশ")</f>
        <v>পৰিৱেশ</v>
      </c>
      <c r="H1029" s="2" t="str">
        <f>IFERROR(__xludf.DUMMYFUNCTION("""COMPUTED_VALUE"""),"વાતાવરણ")</f>
        <v>વાતાવરણ</v>
      </c>
      <c r="I1029" s="2" t="str">
        <f>IFERROR(__xludf.DUMMYFUNCTION("""COMPUTED_VALUE"""),"वातावरण")</f>
        <v>वातावरण</v>
      </c>
      <c r="J1029" s="2" t="str">
        <f>IFERROR(__xludf.DUMMYFUNCTION("""COMPUTED_VALUE"""),"പരിസ്ഥിതി")</f>
        <v>പരിസ്ഥിതി</v>
      </c>
      <c r="K1029" s="2" t="str">
        <f>IFERROR(__xludf.DUMMYFUNCTION("""COMPUTED_VALUE"""),"ਵਾਤਾਵਰਣ")</f>
        <v>ਵਾਤਾਵਰਣ</v>
      </c>
      <c r="L1029" s="2" t="str">
        <f>IFERROR(__xludf.DUMMYFUNCTION("""COMPUTED_VALUE"""),"சூழல்")</f>
        <v>சூழல்</v>
      </c>
      <c r="M1029" s="2" t="str">
        <f>IFERROR(__xludf.DUMMYFUNCTION("""COMPUTED_VALUE"""),"పర్యావరణం")</f>
        <v>పర్యావరణం</v>
      </c>
    </row>
    <row r="1030">
      <c r="A1030" s="2" t="str">
        <f>Master_en!A1030</f>
        <v>Map</v>
      </c>
      <c r="B1030" s="2" t="str">
        <f>Master_en!B1030</f>
        <v>Map</v>
      </c>
      <c r="C1030" s="2" t="str">
        <f>IFERROR(__xludf.DUMMYFUNCTION("""COMPUTED_VALUE"""),"মানচিত্র")</f>
        <v>মানচিত্র</v>
      </c>
      <c r="D1030" s="2" t="str">
        <f>IFERROR(__xludf.DUMMYFUNCTION("""COMPUTED_VALUE"""),"नक्शा")</f>
        <v>नक्शा</v>
      </c>
      <c r="E1030" s="2" t="str">
        <f>IFERROR(__xludf.DUMMYFUNCTION("""COMPUTED_VALUE"""),"ನಕ್ಷೆ")</f>
        <v>ನಕ್ಷೆ</v>
      </c>
      <c r="F1030" s="2" t="str">
        <f>IFERROR(__xludf.DUMMYFUNCTION("""COMPUTED_VALUE"""),"ମାନଚିତ୍ର")</f>
        <v>ମାନଚିତ୍ର</v>
      </c>
      <c r="G1030" s="2" t="str">
        <f>IFERROR(__xludf.DUMMYFUNCTION("""COMPUTED_VALUE"""),"মানচিত্ৰ")</f>
        <v>মানচিত্ৰ</v>
      </c>
      <c r="H1030" s="2" t="str">
        <f>IFERROR(__xludf.DUMMYFUNCTION("""COMPUTED_VALUE"""),"નકશો")</f>
        <v>નકશો</v>
      </c>
      <c r="I1030" s="2" t="str">
        <f>IFERROR(__xludf.DUMMYFUNCTION("""COMPUTED_VALUE"""),"नकाशा")</f>
        <v>नकाशा</v>
      </c>
      <c r="J1030" s="2" t="str">
        <f>IFERROR(__xludf.DUMMYFUNCTION("""COMPUTED_VALUE"""),"ഭൂപടം")</f>
        <v>ഭൂപടം</v>
      </c>
      <c r="K1030" s="2" t="str">
        <f>IFERROR(__xludf.DUMMYFUNCTION("""COMPUTED_VALUE"""),"ਨਕਸ਼ਾ")</f>
        <v>ਨਕਸ਼ਾ</v>
      </c>
      <c r="L1030" s="2" t="str">
        <f>IFERROR(__xludf.DUMMYFUNCTION("""COMPUTED_VALUE"""),"வரைபடம்")</f>
        <v>வரைபடம்</v>
      </c>
      <c r="M1030" s="2" t="str">
        <f>IFERROR(__xludf.DUMMYFUNCTION("""COMPUTED_VALUE"""),"మ్యాప్")</f>
        <v>మ్యాప్</v>
      </c>
    </row>
    <row r="1031">
      <c r="A1031" s="2" t="str">
        <f>Master_en!A1031</f>
        <v>Satellite</v>
      </c>
      <c r="B1031" s="2" t="str">
        <f>Master_en!B1031</f>
        <v>Satellite</v>
      </c>
      <c r="C1031" s="2" t="str">
        <f>IFERROR(__xludf.DUMMYFUNCTION("""COMPUTED_VALUE"""),"স্যাটেলাইট")</f>
        <v>স্যাটেলাইট</v>
      </c>
      <c r="D1031" s="2" t="str">
        <f>IFERROR(__xludf.DUMMYFUNCTION("""COMPUTED_VALUE"""),"उपग्रह")</f>
        <v>उपग्रह</v>
      </c>
      <c r="E1031" s="2" t="str">
        <f>IFERROR(__xludf.DUMMYFUNCTION("""COMPUTED_VALUE"""),"ಉಪಗ್ರಹ")</f>
        <v>ಉಪಗ್ರಹ</v>
      </c>
      <c r="F1031" s="2" t="str">
        <f>IFERROR(__xludf.DUMMYFUNCTION("""COMPUTED_VALUE"""),"ଉପଗ୍ରହ")</f>
        <v>ଉପଗ୍ରହ</v>
      </c>
      <c r="G1031" s="2" t="str">
        <f>IFERROR(__xludf.DUMMYFUNCTION("""COMPUTED_VALUE"""),"উপগ্ৰহ")</f>
        <v>উপগ্ৰহ</v>
      </c>
      <c r="H1031" s="2" t="str">
        <f>IFERROR(__xludf.DUMMYFUNCTION("""COMPUTED_VALUE"""),"ઉપગ્રહ")</f>
        <v>ઉપગ્રહ</v>
      </c>
      <c r="I1031" s="2" t="str">
        <f>IFERROR(__xludf.DUMMYFUNCTION("""COMPUTED_VALUE"""),"उपग्रह")</f>
        <v>उपग्रह</v>
      </c>
      <c r="J1031" s="2" t="str">
        <f>IFERROR(__xludf.DUMMYFUNCTION("""COMPUTED_VALUE"""),"ഉപഗഹം")</f>
        <v>ഉപഗഹം</v>
      </c>
      <c r="K1031" s="2" t="str">
        <f>IFERROR(__xludf.DUMMYFUNCTION("""COMPUTED_VALUE"""),"ਸੈਟੇਲਾਈਟ")</f>
        <v>ਸੈਟੇਲਾਈਟ</v>
      </c>
      <c r="L1031" s="2" t="str">
        <f>IFERROR(__xludf.DUMMYFUNCTION("""COMPUTED_VALUE"""),"செயற்கைக்கோள்")</f>
        <v>செயற்கைக்கோள்</v>
      </c>
      <c r="M1031" s="2" t="str">
        <f>IFERROR(__xludf.DUMMYFUNCTION("""COMPUTED_VALUE"""),"ఉపగ్రహ")</f>
        <v>ఉపగ్రహ</v>
      </c>
    </row>
    <row r="1032">
      <c r="A1032" s="2" t="str">
        <f>Master_en!A1032</f>
        <v>BHIM</v>
      </c>
      <c r="B1032" s="2" t="str">
        <f>Master_en!B1032</f>
        <v>BHIM</v>
      </c>
      <c r="C1032" s="2" t="str">
        <f>IFERROR(__xludf.DUMMYFUNCTION("""COMPUTED_VALUE"""),"ভিম")</f>
        <v>ভিম</v>
      </c>
      <c r="D1032" s="2" t="str">
        <f>IFERROR(__xludf.DUMMYFUNCTION("""COMPUTED_VALUE"""),"भीम")</f>
        <v>भीम</v>
      </c>
      <c r="E1032" s="2" t="str">
        <f>IFERROR(__xludf.DUMMYFUNCTION("""COMPUTED_VALUE"""),"ಭಿಮ್")</f>
        <v>ಭಿಮ್</v>
      </c>
      <c r="F1032" s="2" t="str">
        <f>IFERROR(__xludf.DUMMYFUNCTION("""COMPUTED_VALUE"""),"ଭିମ୍")</f>
        <v>ଭିମ୍</v>
      </c>
      <c r="G1032" s="2" t="str">
        <f>IFERROR(__xludf.DUMMYFUNCTION("""COMPUTED_VALUE"""),"ভীম")</f>
        <v>ভীম</v>
      </c>
      <c r="H1032" s="2" t="str">
        <f>IFERROR(__xludf.DUMMYFUNCTION("""COMPUTED_VALUE"""),"ભ્રષ્ટાચાર")</f>
        <v>ભ્રષ્ટાચાર</v>
      </c>
      <c r="I1032" s="2" t="str">
        <f>IFERROR(__xludf.DUMMYFUNCTION("""COMPUTED_VALUE"""),"भिम")</f>
        <v>भिम</v>
      </c>
      <c r="J1032" s="2" t="str">
        <f>IFERROR(__xludf.DUMMYFUNCTION("""COMPUTED_VALUE"""),"ഭീം")</f>
        <v>ഭീം</v>
      </c>
      <c r="K1032" s="2" t="str">
        <f>IFERROR(__xludf.DUMMYFUNCTION("""COMPUTED_VALUE"""),"ਭੀਮ")</f>
        <v>ਭੀਮ</v>
      </c>
      <c r="L1032" s="2" t="str">
        <f>IFERROR(__xludf.DUMMYFUNCTION("""COMPUTED_VALUE"""),"பீம்")</f>
        <v>பீம்</v>
      </c>
      <c r="M1032" s="2" t="str">
        <f>IFERROR(__xludf.DUMMYFUNCTION("""COMPUTED_VALUE"""),"భిమ్")</f>
        <v>భిమ్</v>
      </c>
    </row>
    <row r="1033">
      <c r="A1033" s="2" t="str">
        <f>Master_en!A1033</f>
        <v>Uber</v>
      </c>
      <c r="B1033" s="2" t="str">
        <f>Master_en!B1033</f>
        <v>Uber</v>
      </c>
      <c r="C1033" s="2" t="str">
        <f>IFERROR(__xludf.DUMMYFUNCTION("""COMPUTED_VALUE"""),"উবার")</f>
        <v>উবার</v>
      </c>
      <c r="D1033" s="2" t="str">
        <f>IFERROR(__xludf.DUMMYFUNCTION("""COMPUTED_VALUE"""),"उबेर")</f>
        <v>उबेर</v>
      </c>
      <c r="E1033" s="2" t="str">
        <f>IFERROR(__xludf.DUMMYFUNCTION("""COMPUTED_VALUE"""),"ಉಬರ್")</f>
        <v>ಉಬರ್</v>
      </c>
      <c r="F1033" s="2" t="str">
        <f>IFERROR(__xludf.DUMMYFUNCTION("""COMPUTED_VALUE"""),"ଉବର")</f>
        <v>ଉବର</v>
      </c>
      <c r="G1033" s="2" t="str">
        <f>IFERROR(__xludf.DUMMYFUNCTION("""COMPUTED_VALUE"""),"উবেৰ")</f>
        <v>উবেৰ</v>
      </c>
      <c r="H1033" s="2" t="str">
        <f>IFERROR(__xludf.DUMMYFUNCTION("""COMPUTED_VALUE"""),"અકસ્માત")</f>
        <v>અકસ્માત</v>
      </c>
      <c r="I1033" s="2" t="str">
        <f>IFERROR(__xludf.DUMMYFUNCTION("""COMPUTED_VALUE"""),"उबर")</f>
        <v>उबर</v>
      </c>
      <c r="J1033" s="2" t="str">
        <f>IFERROR(__xludf.DUMMYFUNCTION("""COMPUTED_VALUE"""),"ഉബെർ")</f>
        <v>ഉബെർ</v>
      </c>
      <c r="K1033" s="2" t="str">
        <f>IFERROR(__xludf.DUMMYFUNCTION("""COMPUTED_VALUE"""),"ਉਬੇਰ")</f>
        <v>ਉਬੇਰ</v>
      </c>
      <c r="L1033" s="2" t="str">
        <f>IFERROR(__xludf.DUMMYFUNCTION("""COMPUTED_VALUE"""),"உபெர்")</f>
        <v>உபெர்</v>
      </c>
      <c r="M1033" s="2" t="str">
        <f>IFERROR(__xludf.DUMMYFUNCTION("""COMPUTED_VALUE"""),"ఉబెర్")</f>
        <v>ఉబెర్</v>
      </c>
    </row>
    <row r="1034">
      <c r="A1034" s="2" t="str">
        <f>Master_en!A1034</f>
        <v>Gpay</v>
      </c>
      <c r="B1034" s="2" t="str">
        <f>Master_en!B1034</f>
        <v>G pay</v>
      </c>
      <c r="C1034" s="2" t="str">
        <f>IFERROR(__xludf.DUMMYFUNCTION("""COMPUTED_VALUE"""),"জি পে")</f>
        <v>জি পে</v>
      </c>
      <c r="D1034" s="2" t="str">
        <f>IFERROR(__xludf.DUMMYFUNCTION("""COMPUTED_VALUE"""),"जी वेतन")</f>
        <v>जी वेतन</v>
      </c>
      <c r="E1034" s="2" t="str">
        <f>IFERROR(__xludf.DUMMYFUNCTION("""COMPUTED_VALUE"""),"G ಪೇ")</f>
        <v>G ಪೇ</v>
      </c>
      <c r="F1034" s="2" t="str">
        <f>IFERROR(__xludf.DUMMYFUNCTION("""COMPUTED_VALUE"""),"G ଦରମା")</f>
        <v>G ଦରମା</v>
      </c>
      <c r="G1034" s="2" t="str">
        <f>IFERROR(__xludf.DUMMYFUNCTION("""COMPUTED_VALUE"""),"জি পে")</f>
        <v>জি পে</v>
      </c>
      <c r="H1034" s="2" t="str">
        <f>IFERROR(__xludf.DUMMYFUNCTION("""COMPUTED_VALUE"""),"જી પગાર")</f>
        <v>જી પગાર</v>
      </c>
      <c r="I1034" s="2" t="str">
        <f>IFERROR(__xludf.DUMMYFUNCTION("""COMPUTED_VALUE"""),"जी वेतन")</f>
        <v>जी वेतन</v>
      </c>
      <c r="J1034" s="2" t="str">
        <f>IFERROR(__xludf.DUMMYFUNCTION("""COMPUTED_VALUE"""),"ജി ശമ്പളം")</f>
        <v>ജി ശമ്പളം</v>
      </c>
      <c r="K1034" s="2" t="str">
        <f>IFERROR(__xludf.DUMMYFUNCTION("""COMPUTED_VALUE"""),"ਜੀ ਤਨਖਾਹ")</f>
        <v>ਜੀ ਤਨਖਾਹ</v>
      </c>
      <c r="L1034" s="2" t="str">
        <f>IFERROR(__xludf.DUMMYFUNCTION("""COMPUTED_VALUE"""),"ஜி பே")</f>
        <v>ஜி பே</v>
      </c>
      <c r="M1034" s="2" t="str">
        <f>IFERROR(__xludf.DUMMYFUNCTION("""COMPUTED_VALUE"""),"G పే")</f>
        <v>G పే</v>
      </c>
    </row>
    <row r="1035">
      <c r="A1035" s="2" t="str">
        <f>Master_en!A1035</f>
        <v>Axispay</v>
      </c>
      <c r="B1035" s="2" t="str">
        <f>Master_en!B1035</f>
        <v>Axis pay</v>
      </c>
      <c r="C1035" s="2" t="str">
        <f>IFERROR(__xludf.DUMMYFUNCTION("""COMPUTED_VALUE"""),"অক্ষ পে")</f>
        <v>অক্ষ পে</v>
      </c>
      <c r="D1035" s="2" t="str">
        <f>IFERROR(__xludf.DUMMYFUNCTION("""COMPUTED_VALUE"""),"अक्ष वेतन")</f>
        <v>अक्ष वेतन</v>
      </c>
      <c r="E1035" s="2" t="str">
        <f>IFERROR(__xludf.DUMMYFUNCTION("""COMPUTED_VALUE"""),"ಆಕ್ಸಿಸ್ ಪೇ")</f>
        <v>ಆಕ್ಸಿಸ್ ಪೇ</v>
      </c>
      <c r="F1035" s="2" t="str">
        <f>IFERROR(__xludf.DUMMYFUNCTION("""COMPUTED_VALUE"""),"ଅକ୍ଷ ଦେୟ")</f>
        <v>ଅକ୍ଷ ଦେୟ</v>
      </c>
      <c r="G1035" s="2" t="str">
        <f>IFERROR(__xludf.DUMMYFUNCTION("""COMPUTED_VALUE"""),"অক্ষ পৰিশোধ")</f>
        <v>অক্ষ পৰিশোধ</v>
      </c>
      <c r="H1035" s="2" t="str">
        <f>IFERROR(__xludf.DUMMYFUNCTION("""COMPUTED_VALUE"""),"ધરી પગાર")</f>
        <v>ધરી પગાર</v>
      </c>
      <c r="I1035" s="2" t="str">
        <f>IFERROR(__xludf.DUMMYFUNCTION("""COMPUTED_VALUE"""),"अक्ष वेतन")</f>
        <v>अक्ष वेतन</v>
      </c>
      <c r="J1035" s="2" t="str">
        <f>IFERROR(__xludf.DUMMYFUNCTION("""COMPUTED_VALUE"""),"ആക്സിസ് ശമ്പളം")</f>
        <v>ആക്സിസ് ശമ്പളം</v>
      </c>
      <c r="K1035" s="2" t="str">
        <f>IFERROR(__xludf.DUMMYFUNCTION("""COMPUTED_VALUE"""),"ਧੁਰਾ ਤਨਖਾਹ")</f>
        <v>ਧੁਰਾ ਤਨਖਾਹ</v>
      </c>
      <c r="L1035" s="2" t="str">
        <f>IFERROR(__xludf.DUMMYFUNCTION("""COMPUTED_VALUE"""),"ஆக்ஸிஸ் பே")</f>
        <v>ஆக்ஸிஸ் பே</v>
      </c>
      <c r="M1035" s="2" t="str">
        <f>IFERROR(__xludf.DUMMYFUNCTION("""COMPUTED_VALUE"""),"యాక్సిస్ పే")</f>
        <v>యాక్సిస్ పే</v>
      </c>
    </row>
    <row r="1036">
      <c r="A1036" s="2" t="str">
        <f>Master_en!A1036</f>
        <v>Mobikwik</v>
      </c>
      <c r="B1036" s="2" t="str">
        <f>Master_en!B1036</f>
        <v>Mobikwik</v>
      </c>
      <c r="C1036" s="2" t="str">
        <f>IFERROR(__xludf.DUMMYFUNCTION("""COMPUTED_VALUE"""),"মোবিকউইক")</f>
        <v>মোবিকউইক</v>
      </c>
      <c r="D1036" s="2" t="str">
        <f>IFERROR(__xludf.DUMMYFUNCTION("""COMPUTED_VALUE"""),"MobiKwik")</f>
        <v>MobiKwik</v>
      </c>
      <c r="E1036" s="2" t="str">
        <f>IFERROR(__xludf.DUMMYFUNCTION("""COMPUTED_VALUE"""),"ಮಾಬಿಕ್ವಿಕ್")</f>
        <v>ಮಾಬಿಕ್ವಿಕ್</v>
      </c>
      <c r="F1036" s="2" t="str">
        <f>IFERROR(__xludf.DUMMYFUNCTION("""COMPUTED_VALUE"""),"ମୋବିକୱିକ୍ |")</f>
        <v>ମୋବିକୱିକ୍ |</v>
      </c>
      <c r="G1036" s="2" t="str">
        <f>IFERROR(__xludf.DUMMYFUNCTION("""COMPUTED_VALUE"""),"মোবিকুইক")</f>
        <v>মোবিকুইক</v>
      </c>
      <c r="H1036" s="2" t="str">
        <f>IFERROR(__xludf.DUMMYFUNCTION("""COMPUTED_VALUE"""),"ટોળું")</f>
        <v>ટોળું</v>
      </c>
      <c r="I1036" s="2" t="str">
        <f>IFERROR(__xludf.DUMMYFUNCTION("""COMPUTED_VALUE"""),"मोबिकविक")</f>
        <v>मोबिकविक</v>
      </c>
      <c r="J1036" s="2" t="str">
        <f>IFERROR(__xludf.DUMMYFUNCTION("""COMPUTED_VALUE"""),"മൊബീക്വിക്")</f>
        <v>മൊബീക്വിക്</v>
      </c>
      <c r="K1036" s="2" t="str">
        <f>IFERROR(__xludf.DUMMYFUNCTION("""COMPUTED_VALUE"""),"ਮੋਬੀਕਵਿਕ")</f>
        <v>ਮੋਬੀਕਵਿਕ</v>
      </c>
      <c r="L1036" s="2" t="str">
        <f>IFERROR(__xludf.DUMMYFUNCTION("""COMPUTED_VALUE"""),"மொபிக்விக்")</f>
        <v>மொபிக்விக்</v>
      </c>
      <c r="M1036" s="2" t="str">
        <f>IFERROR(__xludf.DUMMYFUNCTION("""COMPUTED_VALUE"""),"మోబిక్విక్")</f>
        <v>మోబిక్విక్</v>
      </c>
    </row>
    <row r="1037">
      <c r="A1037" s="2" t="str">
        <f>Master_en!A1037</f>
        <v>SBIpay</v>
      </c>
      <c r="B1037" s="2" t="str">
        <f>Master_en!B1037</f>
        <v>SBI pay</v>
      </c>
      <c r="C1037" s="2" t="str">
        <f>IFERROR(__xludf.DUMMYFUNCTION("""COMPUTED_VALUE"""),"এসবিআই পে")</f>
        <v>এসবিআই পে</v>
      </c>
      <c r="D1037" s="2" t="str">
        <f>IFERROR(__xludf.DUMMYFUNCTION("""COMPUTED_VALUE"""),"एसबीआई वेतन")</f>
        <v>एसबीआई वेतन</v>
      </c>
      <c r="E1037" s="2" t="str">
        <f>IFERROR(__xludf.DUMMYFUNCTION("""COMPUTED_VALUE"""),"ಎಸ್‌ಬಿಐ ಪೇ")</f>
        <v>ಎಸ್‌ಬಿಐ ಪೇ</v>
      </c>
      <c r="F1037" s="2" t="str">
        <f>IFERROR(__xludf.DUMMYFUNCTION("""COMPUTED_VALUE"""),"SBI ଦେୟ")</f>
        <v>SBI ଦେୟ</v>
      </c>
      <c r="G1037" s="2" t="str">
        <f>IFERROR(__xludf.DUMMYFUNCTION("""COMPUTED_VALUE"""),"এছ.বি.আই. পৰিশোধ")</f>
        <v>এছ.বি.আই. পৰিশোধ</v>
      </c>
      <c r="H1037" s="2" t="str">
        <f>IFERROR(__xludf.DUMMYFUNCTION("""COMPUTED_VALUE"""),"એસ.બી.આઇ. પગાર")</f>
        <v>એસ.બી.આઇ. પગાર</v>
      </c>
      <c r="I1037" s="2" t="str">
        <f>IFERROR(__xludf.DUMMYFUNCTION("""COMPUTED_VALUE"""),"एसबीआय वेतन")</f>
        <v>एसबीआय वेतन</v>
      </c>
      <c r="J1037" s="2" t="str">
        <f>IFERROR(__xludf.DUMMYFUNCTION("""COMPUTED_VALUE"""),"എസ്ബിഐ പേ")</f>
        <v>എസ്ബിഐ പേ</v>
      </c>
      <c r="K1037" s="2" t="str">
        <f>IFERROR(__xludf.DUMMYFUNCTION("""COMPUTED_VALUE"""),"ਐਸਬੀਆਈ ਦਾ ਭੁਗਤਾਨ")</f>
        <v>ਐਸਬੀਆਈ ਦਾ ਭੁਗਤਾਨ</v>
      </c>
      <c r="L1037" s="2" t="str">
        <f>IFERROR(__xludf.DUMMYFUNCTION("""COMPUTED_VALUE"""),"எஸ்பிஐ பே")</f>
        <v>எஸ்பிஐ பே</v>
      </c>
      <c r="M1037" s="2" t="str">
        <f>IFERROR(__xludf.DUMMYFUNCTION("""COMPUTED_VALUE"""),"SBI పే")</f>
        <v>SBI పే</v>
      </c>
    </row>
    <row r="1038">
      <c r="A1038" s="2" t="str">
        <f>Master_en!A1038</f>
        <v>Existing</v>
      </c>
      <c r="B1038" s="2" t="str">
        <f>Master_en!B1038</f>
        <v>Existing</v>
      </c>
      <c r="C1038" s="2" t="str">
        <f>IFERROR(__xludf.DUMMYFUNCTION("""COMPUTED_VALUE"""),"বিদ্যমান")</f>
        <v>বিদ্যমান</v>
      </c>
      <c r="D1038" s="2" t="str">
        <f>IFERROR(__xludf.DUMMYFUNCTION("""COMPUTED_VALUE"""),"मौजूदा")</f>
        <v>मौजूदा</v>
      </c>
      <c r="E1038" s="2" t="str">
        <f>IFERROR(__xludf.DUMMYFUNCTION("""COMPUTED_VALUE"""),"ಅಸ್ತಿತ್ವದಲ್ಲಿರುವ")</f>
        <v>ಅಸ್ತಿತ್ವದಲ್ಲಿರುವ</v>
      </c>
      <c r="F1038" s="2" t="str">
        <f>IFERROR(__xludf.DUMMYFUNCTION("""COMPUTED_VALUE"""),"ବିଦ୍ୟମାନ |")</f>
        <v>ବିଦ୍ୟମାନ |</v>
      </c>
      <c r="G1038" s="2" t="str">
        <f>IFERROR(__xludf.DUMMYFUNCTION("""COMPUTED_VALUE"""),"বিদ্যমান")</f>
        <v>বিদ্যমান</v>
      </c>
      <c r="H1038" s="2" t="str">
        <f>IFERROR(__xludf.DUMMYFUNCTION("""COMPUTED_VALUE"""),"હાલનું")</f>
        <v>હાલનું</v>
      </c>
      <c r="I1038" s="2" t="str">
        <f>IFERROR(__xludf.DUMMYFUNCTION("""COMPUTED_VALUE"""),"विद्यमान")</f>
        <v>विद्यमान</v>
      </c>
      <c r="J1038" s="2" t="str">
        <f>IFERROR(__xludf.DUMMYFUNCTION("""COMPUTED_VALUE"""),"നിലവിലുള്ള")</f>
        <v>നിലവിലുള്ള</v>
      </c>
      <c r="K1038" s="2" t="str">
        <f>IFERROR(__xludf.DUMMYFUNCTION("""COMPUTED_VALUE"""),"ਮੌਜੂਦਾ")</f>
        <v>ਮੌਜੂਦਾ</v>
      </c>
      <c r="L1038" s="2" t="str">
        <f>IFERROR(__xludf.DUMMYFUNCTION("""COMPUTED_VALUE"""),"உள்ளது")</f>
        <v>உள்ளது</v>
      </c>
      <c r="M1038" s="2" t="str">
        <f>IFERROR(__xludf.DUMMYFUNCTION("""COMPUTED_VALUE"""),"ఉన్నది")</f>
        <v>ఉన్నది</v>
      </c>
    </row>
    <row r="1039">
      <c r="A1039" s="2" t="str">
        <f>Master_en!A1039</f>
        <v>Active</v>
      </c>
      <c r="B1039" s="2" t="str">
        <f>Master_en!B1039</f>
        <v>Active</v>
      </c>
      <c r="C1039" s="2" t="str">
        <f>IFERROR(__xludf.DUMMYFUNCTION("""COMPUTED_VALUE"""),"সক্রিয়")</f>
        <v>সক্রিয়</v>
      </c>
      <c r="D1039" s="2" t="str">
        <f>IFERROR(__xludf.DUMMYFUNCTION("""COMPUTED_VALUE"""),"सक्रिय")</f>
        <v>सक्रिय</v>
      </c>
      <c r="E1039" s="2" t="str">
        <f>IFERROR(__xludf.DUMMYFUNCTION("""COMPUTED_VALUE"""),"ಸಕ್ರಿಯ")</f>
        <v>ಸಕ್ರಿಯ</v>
      </c>
      <c r="F1039" s="2" t="str">
        <f>IFERROR(__xludf.DUMMYFUNCTION("""COMPUTED_VALUE"""),"ସକ୍ରିୟ")</f>
        <v>ସକ୍ରିୟ</v>
      </c>
      <c r="G1039" s="2" t="str">
        <f>IFERROR(__xludf.DUMMYFUNCTION("""COMPUTED_VALUE"""),"সক্ৰিয়")</f>
        <v>সক্ৰিয়</v>
      </c>
      <c r="H1039" s="2" t="str">
        <f>IFERROR(__xludf.DUMMYFUNCTION("""COMPUTED_VALUE"""),"સક્રિય")</f>
        <v>સક્રિય</v>
      </c>
      <c r="I1039" s="2" t="str">
        <f>IFERROR(__xludf.DUMMYFUNCTION("""COMPUTED_VALUE"""),"सक्रिय")</f>
        <v>सक्रिय</v>
      </c>
      <c r="J1039" s="2" t="str">
        <f>IFERROR(__xludf.DUMMYFUNCTION("""COMPUTED_VALUE"""),"സജീവമായ")</f>
        <v>സജീവമായ</v>
      </c>
      <c r="K1039" s="2" t="str">
        <f>IFERROR(__xludf.DUMMYFUNCTION("""COMPUTED_VALUE"""),"ਕਿਰਿਆਸ਼ੀਲ")</f>
        <v>ਕਿਰਿਆਸ਼ੀਲ</v>
      </c>
      <c r="L1039" s="2" t="str">
        <f>IFERROR(__xludf.DUMMYFUNCTION("""COMPUTED_VALUE"""),"செயலில்")</f>
        <v>செயலில்</v>
      </c>
      <c r="M1039" s="2" t="str">
        <f>IFERROR(__xludf.DUMMYFUNCTION("""COMPUTED_VALUE"""),"క్రియాశీల")</f>
        <v>క్రియాశీల</v>
      </c>
    </row>
    <row r="1040">
      <c r="A1040" s="2" t="str">
        <f>Master_en!A1040</f>
        <v>InActive</v>
      </c>
      <c r="B1040" s="2" t="str">
        <f>Master_en!B1040</f>
        <v>InActive</v>
      </c>
      <c r="C1040" s="2" t="str">
        <f>IFERROR(__xludf.DUMMYFUNCTION("""COMPUTED_VALUE"""),"নিষ্ক্রিয়")</f>
        <v>নিষ্ক্রিয়</v>
      </c>
      <c r="D1040" s="2" t="str">
        <f>IFERROR(__xludf.DUMMYFUNCTION("""COMPUTED_VALUE"""),"निष्क्रिय")</f>
        <v>निष्क्रिय</v>
      </c>
      <c r="E1040" s="2" t="str">
        <f>IFERROR(__xludf.DUMMYFUNCTION("""COMPUTED_VALUE"""),"ನಿಷ್ಪಲವಾದ")</f>
        <v>ನಿಷ್ಪಲವಾದ</v>
      </c>
      <c r="F1040" s="2" t="str">
        <f>IFERROR(__xludf.DUMMYFUNCTION("""COMPUTED_VALUE"""),"ନିଷ୍କ୍ରିୟ |")</f>
        <v>ନିଷ୍କ୍ରିୟ |</v>
      </c>
      <c r="G1040" s="2" t="str">
        <f>IFERROR(__xludf.DUMMYFUNCTION("""COMPUTED_VALUE"""),"নিষ্ক্ৰিয়")</f>
        <v>নিষ্ক্ৰিয়</v>
      </c>
      <c r="H1040" s="2" t="str">
        <f>IFERROR(__xludf.DUMMYFUNCTION("""COMPUTED_VALUE"""),"નિષ્ક્રિય")</f>
        <v>નિષ્ક્રિય</v>
      </c>
      <c r="I1040" s="2" t="str">
        <f>IFERROR(__xludf.DUMMYFUNCTION("""COMPUTED_VALUE"""),"निष्क्रिय")</f>
        <v>निष्क्रिय</v>
      </c>
      <c r="J1040" s="2" t="str">
        <f>IFERROR(__xludf.DUMMYFUNCTION("""COMPUTED_VALUE"""),"അലസമായ")</f>
        <v>അലസമായ</v>
      </c>
      <c r="K1040" s="2" t="str">
        <f>IFERROR(__xludf.DUMMYFUNCTION("""COMPUTED_VALUE"""),"ਅਕਿਰਿਆਸ਼ੀਲ")</f>
        <v>ਅਕਿਰਿਆਸ਼ੀਲ</v>
      </c>
      <c r="L1040" s="2" t="str">
        <f>IFERROR(__xludf.DUMMYFUNCTION("""COMPUTED_VALUE"""),"செயலற்றது")</f>
        <v>செயலற்றது</v>
      </c>
      <c r="M1040" s="2" t="str">
        <f>IFERROR(__xludf.DUMMYFUNCTION("""COMPUTED_VALUE"""),"క్రియారహితం")</f>
        <v>క్రియారహితం</v>
      </c>
    </row>
    <row r="1041">
      <c r="A1041" s="2" t="str">
        <f>Master_en!A1041</f>
        <v>3days</v>
      </c>
      <c r="B1041" s="2" t="str">
        <f>Master_en!B1041</f>
        <v>3 days</v>
      </c>
      <c r="C1041" s="2" t="str">
        <f>IFERROR(__xludf.DUMMYFUNCTION("""COMPUTED_VALUE"""),"3 দিন")</f>
        <v>3 দিন</v>
      </c>
      <c r="D1041" s="2" t="str">
        <f>IFERROR(__xludf.DUMMYFUNCTION("""COMPUTED_VALUE"""),"3 दिन")</f>
        <v>3 दिन</v>
      </c>
      <c r="E1041" s="2" t="str">
        <f>IFERROR(__xludf.DUMMYFUNCTION("""COMPUTED_VALUE"""),"3 ದಿನಗಳು")</f>
        <v>3 ದಿನಗಳು</v>
      </c>
      <c r="F1041" s="2" t="str">
        <f>IFERROR(__xludf.DUMMYFUNCTION("""COMPUTED_VALUE"""),"3 ଦିନ")</f>
        <v>3 ଦିନ</v>
      </c>
      <c r="G1041" s="2" t="str">
        <f>IFERROR(__xludf.DUMMYFUNCTION("""COMPUTED_VALUE"""),"3 দিন")</f>
        <v>3 দিন</v>
      </c>
      <c r="H1041" s="2" t="str">
        <f>IFERROR(__xludf.DUMMYFUNCTION("""COMPUTED_VALUE"""),"3 દિવસ")</f>
        <v>3 દિવસ</v>
      </c>
      <c r="I1041" s="2" t="str">
        <f>IFERROR(__xludf.DUMMYFUNCTION("""COMPUTED_VALUE"""),"3 दिवस")</f>
        <v>3 दिवस</v>
      </c>
      <c r="J1041" s="2" t="str">
        <f>IFERROR(__xludf.DUMMYFUNCTION("""COMPUTED_VALUE"""),"3 ദിവസം")</f>
        <v>3 ദിവസം</v>
      </c>
      <c r="K1041" s="2" t="str">
        <f>IFERROR(__xludf.DUMMYFUNCTION("""COMPUTED_VALUE"""),"3 ਦਿਨ")</f>
        <v>3 ਦਿਨ</v>
      </c>
      <c r="L1041" s="2" t="str">
        <f>IFERROR(__xludf.DUMMYFUNCTION("""COMPUTED_VALUE"""),"3 நாட்கள்")</f>
        <v>3 நாட்கள்</v>
      </c>
      <c r="M1041" s="2" t="str">
        <f>IFERROR(__xludf.DUMMYFUNCTION("""COMPUTED_VALUE"""),"3 రోజులు")</f>
        <v>3 రోజులు</v>
      </c>
    </row>
    <row r="1042">
      <c r="A1042" s="2" t="str">
        <f>Master_en!A1042</f>
        <v>5days</v>
      </c>
      <c r="B1042" s="2" t="str">
        <f>Master_en!B1042</f>
        <v>5 days</v>
      </c>
      <c r="C1042" s="2" t="str">
        <f>IFERROR(__xludf.DUMMYFUNCTION("""COMPUTED_VALUE"""),"5 দিন")</f>
        <v>5 দিন</v>
      </c>
      <c r="D1042" s="2" t="str">
        <f>IFERROR(__xludf.DUMMYFUNCTION("""COMPUTED_VALUE"""),"पांच दिन")</f>
        <v>पांच दिन</v>
      </c>
      <c r="E1042" s="2" t="str">
        <f>IFERROR(__xludf.DUMMYFUNCTION("""COMPUTED_VALUE"""),"5 ದಿನಗಳು")</f>
        <v>5 ದಿನಗಳು</v>
      </c>
      <c r="F1042" s="2" t="str">
        <f>IFERROR(__xludf.DUMMYFUNCTION("""COMPUTED_VALUE"""),"5 ଦିନ")</f>
        <v>5 ଦିନ</v>
      </c>
      <c r="G1042" s="2" t="str">
        <f>IFERROR(__xludf.DUMMYFUNCTION("""COMPUTED_VALUE"""),"5 দিন")</f>
        <v>5 দিন</v>
      </c>
      <c r="H1042" s="2" t="str">
        <f>IFERROR(__xludf.DUMMYFUNCTION("""COMPUTED_VALUE"""),"5 દિવસ")</f>
        <v>5 દિવસ</v>
      </c>
      <c r="I1042" s="2" t="str">
        <f>IFERROR(__xludf.DUMMYFUNCTION("""COMPUTED_VALUE"""),"5 दिवस")</f>
        <v>5 दिवस</v>
      </c>
      <c r="J1042" s="2" t="str">
        <f>IFERROR(__xludf.DUMMYFUNCTION("""COMPUTED_VALUE"""),"5 ദിവസം")</f>
        <v>5 ദിവസം</v>
      </c>
      <c r="K1042" s="2" t="str">
        <f>IFERROR(__xludf.DUMMYFUNCTION("""COMPUTED_VALUE"""),"5 ਦਿਨ")</f>
        <v>5 ਦਿਨ</v>
      </c>
      <c r="L1042" s="2" t="str">
        <f>IFERROR(__xludf.DUMMYFUNCTION("""COMPUTED_VALUE"""),"5 நாட்கள்")</f>
        <v>5 நாட்கள்</v>
      </c>
      <c r="M1042" s="2" t="str">
        <f>IFERROR(__xludf.DUMMYFUNCTION("""COMPUTED_VALUE"""),"5 రోజులు")</f>
        <v>5 రోజులు</v>
      </c>
    </row>
    <row r="1043">
      <c r="A1043" s="2" t="str">
        <f>Master_en!A1043</f>
        <v>7days</v>
      </c>
      <c r="B1043" s="2" t="str">
        <f>Master_en!B1043</f>
        <v>7 days</v>
      </c>
      <c r="C1043" s="2" t="str">
        <f>IFERROR(__xludf.DUMMYFUNCTION("""COMPUTED_VALUE"""),"7 দিন")</f>
        <v>7 দিন</v>
      </c>
      <c r="D1043" s="2" t="str">
        <f>IFERROR(__xludf.DUMMYFUNCTION("""COMPUTED_VALUE"""),"7 दिन")</f>
        <v>7 दिन</v>
      </c>
      <c r="E1043" s="2" t="str">
        <f>IFERROR(__xludf.DUMMYFUNCTION("""COMPUTED_VALUE"""),"7 ದಿನಗಳು")</f>
        <v>7 ದಿನಗಳು</v>
      </c>
      <c r="F1043" s="2" t="str">
        <f>IFERROR(__xludf.DUMMYFUNCTION("""COMPUTED_VALUE"""),"7 ଦିନ")</f>
        <v>7 ଦିନ</v>
      </c>
      <c r="G1043" s="2" t="str">
        <f>IFERROR(__xludf.DUMMYFUNCTION("""COMPUTED_VALUE"""),"7 দিন")</f>
        <v>7 দিন</v>
      </c>
      <c r="H1043" s="2" t="str">
        <f>IFERROR(__xludf.DUMMYFUNCTION("""COMPUTED_VALUE"""),"7 દિવસ")</f>
        <v>7 દિવસ</v>
      </c>
      <c r="I1043" s="2" t="str">
        <f>IFERROR(__xludf.DUMMYFUNCTION("""COMPUTED_VALUE"""),"7 दिवस")</f>
        <v>7 दिवस</v>
      </c>
      <c r="J1043" s="2" t="str">
        <f>IFERROR(__xludf.DUMMYFUNCTION("""COMPUTED_VALUE"""),"7 ദിവസം")</f>
        <v>7 ദിവസം</v>
      </c>
      <c r="K1043" s="2" t="str">
        <f>IFERROR(__xludf.DUMMYFUNCTION("""COMPUTED_VALUE"""),"7 ਦਿਨ")</f>
        <v>7 ਦਿਨ</v>
      </c>
      <c r="L1043" s="2" t="str">
        <f>IFERROR(__xludf.DUMMYFUNCTION("""COMPUTED_VALUE"""),"7 நாட்கள்")</f>
        <v>7 நாட்கள்</v>
      </c>
      <c r="M1043" s="2" t="str">
        <f>IFERROR(__xludf.DUMMYFUNCTION("""COMPUTED_VALUE"""),"7 రోజులు")</f>
        <v>7 రోజులు</v>
      </c>
    </row>
    <row r="1044">
      <c r="A1044" s="2" t="str">
        <f>Master_en!A1044</f>
        <v>Pushnotification</v>
      </c>
      <c r="B1044" s="2" t="str">
        <f>Master_en!B1044</f>
        <v>Push notification</v>
      </c>
      <c r="C1044" s="2" t="str">
        <f>IFERROR(__xludf.DUMMYFUNCTION("""COMPUTED_VALUE"""),"ধাক্কা বিজ্ঞপ্তি")</f>
        <v>ধাক্কা বিজ্ঞপ্তি</v>
      </c>
      <c r="D1044" s="2" t="str">
        <f>IFERROR(__xludf.DUMMYFUNCTION("""COMPUTED_VALUE"""),"सर्वर पुश नोटीफिकेशन")</f>
        <v>सर्वर पुश नोटीफिकेशन</v>
      </c>
      <c r="E1044" s="2" t="str">
        <f>IFERROR(__xludf.DUMMYFUNCTION("""COMPUTED_VALUE"""),"ತಳ್ಳಿ ಅಧಿಸೂಚನೆ")</f>
        <v>ತಳ್ಳಿ ಅಧಿಸೂಚನೆ</v>
      </c>
      <c r="F1044" s="2" t="str">
        <f>IFERROR(__xludf.DUMMYFUNCTION("""COMPUTED_VALUE"""),"ପୁସ୍ ବିଜ୍ଞପ୍ତି |")</f>
        <v>ପୁସ୍ ବିଜ୍ଞପ୍ତି |</v>
      </c>
      <c r="G1044" s="2" t="str">
        <f>IFERROR(__xludf.DUMMYFUNCTION("""COMPUTED_VALUE"""),"অধিসূচনা কঢ়িয়াই আনিব")</f>
        <v>অধিসূচনা কঢ়িয়াই আনিব</v>
      </c>
      <c r="H1044" s="2" t="str">
        <f>IFERROR(__xludf.DUMMYFUNCTION("""COMPUTED_VALUE"""),"સૂચના")</f>
        <v>સૂચના</v>
      </c>
      <c r="I1044" s="2" t="str">
        <f>IFERROR(__xludf.DUMMYFUNCTION("""COMPUTED_VALUE"""),"पुश सूचना")</f>
        <v>पुश सूचना</v>
      </c>
      <c r="J1044" s="2" t="str">
        <f>IFERROR(__xludf.DUMMYFUNCTION("""COMPUTED_VALUE"""),"പുഷ് അറിയിപ്പ്")</f>
        <v>പുഷ് അറിയിപ്പ്</v>
      </c>
      <c r="K1044" s="2" t="str">
        <f>IFERROR(__xludf.DUMMYFUNCTION("""COMPUTED_VALUE"""),"ਪੁਸ਼ ਨੋਟੀਫਿਕੇਸ਼ਨ")</f>
        <v>ਪੁਸ਼ ਨੋਟੀਫਿਕੇਸ਼ਨ</v>
      </c>
      <c r="L1044" s="2" t="str">
        <f>IFERROR(__xludf.DUMMYFUNCTION("""COMPUTED_VALUE"""),"அறிவிப்பைத் தள்ளுங்கள்")</f>
        <v>அறிவிப்பைத் தள்ளுங்கள்</v>
      </c>
      <c r="M1044" s="2" t="str">
        <f>IFERROR(__xludf.DUMMYFUNCTION("""COMPUTED_VALUE"""),"పుష్ నోటిఫికేషన్")</f>
        <v>పుష్ నోటిఫికేషన్</v>
      </c>
    </row>
    <row r="1045">
      <c r="A1045" s="2" t="str">
        <f>Master_en!A1045</f>
        <v>Remainder</v>
      </c>
      <c r="B1045" s="2" t="str">
        <f>Master_en!B1045</f>
        <v>Remainder</v>
      </c>
      <c r="C1045" s="2" t="str">
        <f>IFERROR(__xludf.DUMMYFUNCTION("""COMPUTED_VALUE"""),"বাকি")</f>
        <v>বাকি</v>
      </c>
      <c r="D1045" s="2" t="str">
        <f>IFERROR(__xludf.DUMMYFUNCTION("""COMPUTED_VALUE"""),"शेष")</f>
        <v>शेष</v>
      </c>
      <c r="E1045" s="2" t="str">
        <f>IFERROR(__xludf.DUMMYFUNCTION("""COMPUTED_VALUE"""),"ಉಳಿದ")</f>
        <v>ಉಳಿದ</v>
      </c>
      <c r="F1045" s="2" t="str">
        <f>IFERROR(__xludf.DUMMYFUNCTION("""COMPUTED_VALUE"""),"ଅବଶିଷ୍ଟ")</f>
        <v>ଅବଶିଷ୍ଟ</v>
      </c>
      <c r="G1045" s="2" t="str">
        <f>IFERROR(__xludf.DUMMYFUNCTION("""COMPUTED_VALUE"""),"অৱশিষ্ট")</f>
        <v>অৱশিষ্ট</v>
      </c>
      <c r="H1045" s="2" t="str">
        <f>IFERROR(__xludf.DUMMYFUNCTION("""COMPUTED_VALUE"""),"મુક્તિ")</f>
        <v>મુક્તિ</v>
      </c>
      <c r="I1045" s="2" t="str">
        <f>IFERROR(__xludf.DUMMYFUNCTION("""COMPUTED_VALUE"""),"उर्वरित")</f>
        <v>उर्वरित</v>
      </c>
      <c r="J1045" s="2" t="str">
        <f>IFERROR(__xludf.DUMMYFUNCTION("""COMPUTED_VALUE"""),"അവശേഷം")</f>
        <v>അവശേഷം</v>
      </c>
      <c r="K1045" s="2" t="str">
        <f>IFERROR(__xludf.DUMMYFUNCTION("""COMPUTED_VALUE"""),"ਬਾਕੀ")</f>
        <v>ਬਾਕੀ</v>
      </c>
      <c r="L1045" s="2" t="str">
        <f>IFERROR(__xludf.DUMMYFUNCTION("""COMPUTED_VALUE"""),"மீதமுள்ள")</f>
        <v>மீதமுள்ள</v>
      </c>
      <c r="M1045" s="2" t="str">
        <f>IFERROR(__xludf.DUMMYFUNCTION("""COMPUTED_VALUE"""),"మిగిలినవి")</f>
        <v>మిగిలినవి</v>
      </c>
    </row>
    <row r="1046">
      <c r="A1046" s="2" t="str">
        <f>Master_en!A1046</f>
        <v>ProcessOrder</v>
      </c>
      <c r="B1046" s="2" t="str">
        <f>Master_en!B1046</f>
        <v>Process Order</v>
      </c>
      <c r="C1046" s="2" t="str">
        <f>IFERROR(__xludf.DUMMYFUNCTION("""COMPUTED_VALUE"""),"প্রক্রিয়া আদেশ")</f>
        <v>প্রক্রিয়া আদেশ</v>
      </c>
      <c r="D1046" s="2" t="str">
        <f>IFERROR(__xludf.DUMMYFUNCTION("""COMPUTED_VALUE"""),"आदेश प्रक्रिया में लाएं")</f>
        <v>आदेश प्रक्रिया में लाएं</v>
      </c>
      <c r="E1046" s="2" t="str">
        <f>IFERROR(__xludf.DUMMYFUNCTION("""COMPUTED_VALUE"""),"ಪ್ರಕ್ರಿಯೆಯ ಆದೇಶ")</f>
        <v>ಪ್ರಕ್ರಿಯೆಯ ಆದೇಶ</v>
      </c>
      <c r="F1046" s="2" t="str">
        <f>IFERROR(__xludf.DUMMYFUNCTION("""COMPUTED_VALUE"""),"ପ୍ରକ୍ରିୟା କ୍ରମ")</f>
        <v>ପ୍ରକ୍ରିୟା କ୍ରମ</v>
      </c>
      <c r="G1046" s="2" t="str">
        <f>IFERROR(__xludf.DUMMYFUNCTION("""COMPUTED_VALUE"""),"প্ৰক্ৰিয়া ক্ৰম")</f>
        <v>প্ৰক্ৰিয়া ক্ৰম</v>
      </c>
      <c r="H1046" s="2" t="str">
        <f>IFERROR(__xludf.DUMMYFUNCTION("""COMPUTED_VALUE"""),"પ્રક્રિયા હુકમ")</f>
        <v>પ્રક્રિયા હુકમ</v>
      </c>
      <c r="I1046" s="2" t="str">
        <f>IFERROR(__xludf.DUMMYFUNCTION("""COMPUTED_VALUE"""),"प्रक्रिया ऑर्डर")</f>
        <v>प्रक्रिया ऑर्डर</v>
      </c>
      <c r="J1046" s="2" t="str">
        <f>IFERROR(__xludf.DUMMYFUNCTION("""COMPUTED_VALUE"""),"പ്രോസസ്സ് ഓർഡർ")</f>
        <v>പ്രോസസ്സ് ഓർഡർ</v>
      </c>
      <c r="K1046" s="2" t="str">
        <f>IFERROR(__xludf.DUMMYFUNCTION("""COMPUTED_VALUE"""),"ਪ੍ਰਕਿਰਿਆ ਆਰਡਰ")</f>
        <v>ਪ੍ਰਕਿਰਿਆ ਆਰਡਰ</v>
      </c>
      <c r="L1046" s="2" t="str">
        <f>IFERROR(__xludf.DUMMYFUNCTION("""COMPUTED_VALUE"""),"செயல்முறை ஒழுங்கு")</f>
        <v>செயல்முறை ஒழுங்கு</v>
      </c>
      <c r="M1046" s="2" t="str">
        <f>IFERROR(__xludf.DUMMYFUNCTION("""COMPUTED_VALUE"""),"ప్రాసెస్ ఆర్డర్")</f>
        <v>ప్రాసెస్ ఆర్డర్</v>
      </c>
    </row>
    <row r="1047">
      <c r="A1047" s="2" t="str">
        <f>Master_en!A1047</f>
        <v>DispatchOrder</v>
      </c>
      <c r="B1047" s="2" t="str">
        <f>Master_en!B1047</f>
        <v>Dispatch Order</v>
      </c>
      <c r="C1047" s="2" t="str">
        <f>IFERROR(__xludf.DUMMYFUNCTION("""COMPUTED_VALUE"""),"প্রেরণ আদেশ")</f>
        <v>প্রেরণ আদেশ</v>
      </c>
      <c r="D1047" s="2" t="str">
        <f>IFERROR(__xludf.DUMMYFUNCTION("""COMPUTED_VALUE"""),"प्रेषण आदेश")</f>
        <v>प्रेषण आदेश</v>
      </c>
      <c r="E1047" s="2" t="str">
        <f>IFERROR(__xludf.DUMMYFUNCTION("""COMPUTED_VALUE"""),"ರವಾನೆ ಆದೇಶ")</f>
        <v>ರವಾನೆ ಆದೇಶ</v>
      </c>
      <c r="F1047" s="2" t="str">
        <f>IFERROR(__xludf.DUMMYFUNCTION("""COMPUTED_VALUE"""),"ପଠାଇବା ଆଦେଶ |")</f>
        <v>ପଠାଇବା ଆଦେଶ |</v>
      </c>
      <c r="G1047" s="2" t="str">
        <f>IFERROR(__xludf.DUMMYFUNCTION("""COMPUTED_VALUE"""),"প্ৰেৰণ ৰ ক্ৰম")</f>
        <v>প্ৰেৰণ ৰ ক্ৰম</v>
      </c>
      <c r="H1047" s="2" t="str">
        <f>IFERROR(__xludf.DUMMYFUNCTION("""COMPUTED_VALUE"""),"રવાનગી હુકમ")</f>
        <v>રવાનગી હુકમ</v>
      </c>
      <c r="I1047" s="2" t="str">
        <f>IFERROR(__xludf.DUMMYFUNCTION("""COMPUTED_VALUE"""),"पाठवण्याचा आदेश")</f>
        <v>पाठवण्याचा आदेश</v>
      </c>
      <c r="J1047" s="2" t="str">
        <f>IFERROR(__xludf.DUMMYFUNCTION("""COMPUTED_VALUE"""),"ഓർഡർ ഓർഡർ അയയ്ക്കുക")</f>
        <v>ഓർഡർ ഓർഡർ അയയ്ക്കുക</v>
      </c>
      <c r="K1047" s="2" t="str">
        <f>IFERROR(__xludf.DUMMYFUNCTION("""COMPUTED_VALUE"""),"ਡਿਸਪੈਚ ਆਰਡਰ")</f>
        <v>ਡਿਸਪੈਚ ਆਰਡਰ</v>
      </c>
      <c r="L1047" s="2" t="str">
        <f>IFERROR(__xludf.DUMMYFUNCTION("""COMPUTED_VALUE"""),"அனுப்பும் உத்தரவு")</f>
        <v>அனுப்பும் உத்தரவு</v>
      </c>
      <c r="M1047" s="2" t="str">
        <f>IFERROR(__xludf.DUMMYFUNCTION("""COMPUTED_VALUE"""),"డిస్పాచ్ ఆర్డర్")</f>
        <v>డిస్పాచ్ ఆర్డర్</v>
      </c>
    </row>
    <row r="1048">
      <c r="A1048" s="2" t="str">
        <f>Master_en!A1048</f>
        <v>Complaint</v>
      </c>
      <c r="B1048" s="2" t="str">
        <f>Master_en!B1048</f>
        <v>Complaint</v>
      </c>
      <c r="C1048" s="2" t="str">
        <f>IFERROR(__xludf.DUMMYFUNCTION("""COMPUTED_VALUE"""),"অভিযোগ")</f>
        <v>অভিযোগ</v>
      </c>
      <c r="D1048" s="2" t="str">
        <f>IFERROR(__xludf.DUMMYFUNCTION("""COMPUTED_VALUE"""),"शिकायत")</f>
        <v>शिकायत</v>
      </c>
      <c r="E1048" s="2" t="str">
        <f>IFERROR(__xludf.DUMMYFUNCTION("""COMPUTED_VALUE"""),"ದೂರು")</f>
        <v>ದೂರು</v>
      </c>
      <c r="F1048" s="2" t="str">
        <f>IFERROR(__xludf.DUMMYFUNCTION("""COMPUTED_VALUE"""),"ଅଭିଯୋଗ")</f>
        <v>ଅଭିଯୋଗ</v>
      </c>
      <c r="G1048" s="2" t="str">
        <f>IFERROR(__xludf.DUMMYFUNCTION("""COMPUTED_VALUE"""),"অভিযোগ")</f>
        <v>অভিযোগ</v>
      </c>
      <c r="H1048" s="2" t="str">
        <f>IFERROR(__xludf.DUMMYFUNCTION("""COMPUTED_VALUE"""),"ફરિયાદ")</f>
        <v>ફરિયાદ</v>
      </c>
      <c r="I1048" s="2" t="str">
        <f>IFERROR(__xludf.DUMMYFUNCTION("""COMPUTED_VALUE"""),"तक्रार")</f>
        <v>तक्रार</v>
      </c>
      <c r="J1048" s="2" t="str">
        <f>IFERROR(__xludf.DUMMYFUNCTION("""COMPUTED_VALUE"""),"പരാതി")</f>
        <v>പരാതി</v>
      </c>
      <c r="K1048" s="2" t="str">
        <f>IFERROR(__xludf.DUMMYFUNCTION("""COMPUTED_VALUE"""),"ਸ਼ਿਕਾਇਤ")</f>
        <v>ਸ਼ਿਕਾਇਤ</v>
      </c>
      <c r="L1048" s="2" t="str">
        <f>IFERROR(__xludf.DUMMYFUNCTION("""COMPUTED_VALUE"""),"புகார்")</f>
        <v>புகார்</v>
      </c>
      <c r="M1048" s="2" t="str">
        <f>IFERROR(__xludf.DUMMYFUNCTION("""COMPUTED_VALUE"""),"ఫిర్యాదు")</f>
        <v>ఫిర్యాదు</v>
      </c>
    </row>
    <row r="1049">
      <c r="A1049" s="2" t="str">
        <f>Master_en!A1049</f>
        <v>QR Code</v>
      </c>
      <c r="B1049" s="2" t="str">
        <f>Master_en!B1049</f>
        <v>QR Code</v>
      </c>
      <c r="C1049" s="2" t="str">
        <f>IFERROR(__xludf.DUMMYFUNCTION("""COMPUTED_VALUE"""),"কিউআর কোড")</f>
        <v>কিউআর কোড</v>
      </c>
      <c r="D1049" s="2" t="str">
        <f>IFERROR(__xludf.DUMMYFUNCTION("""COMPUTED_VALUE"""),"क्यू आर संहिता")</f>
        <v>क्यू आर संहिता</v>
      </c>
      <c r="E1049" s="2" t="str">
        <f>IFERROR(__xludf.DUMMYFUNCTION("""COMPUTED_VALUE"""),"QR ಕೋಡ್")</f>
        <v>QR ಕೋಡ್</v>
      </c>
      <c r="F1049" s="2" t="str">
        <f>IFERROR(__xludf.DUMMYFUNCTION("""COMPUTED_VALUE"""),"QR କୋଡ୍ |")</f>
        <v>QR କୋଡ୍ |</v>
      </c>
      <c r="G1049" s="2" t="str">
        <f>IFERROR(__xludf.DUMMYFUNCTION("""COMPUTED_VALUE"""),"কিউআৰ কোড")</f>
        <v>কিউআৰ কোড</v>
      </c>
      <c r="H1049" s="2" t="str">
        <f>IFERROR(__xludf.DUMMYFUNCTION("""COMPUTED_VALUE"""),"ક્યૂઆર કોડ")</f>
        <v>ક્યૂઆર કોડ</v>
      </c>
      <c r="I1049" s="2" t="str">
        <f>IFERROR(__xludf.DUMMYFUNCTION("""COMPUTED_VALUE"""),"QR कोड")</f>
        <v>QR कोड</v>
      </c>
      <c r="J1049" s="2" t="str">
        <f>IFERROR(__xludf.DUMMYFUNCTION("""COMPUTED_VALUE"""),"QR കോഡ്")</f>
        <v>QR കോഡ്</v>
      </c>
      <c r="K1049" s="2" t="str">
        <f>IFERROR(__xludf.DUMMYFUNCTION("""COMPUTED_VALUE"""),"QR ਕੋਡ")</f>
        <v>QR ਕੋਡ</v>
      </c>
      <c r="L1049" s="2" t="str">
        <f>IFERROR(__xludf.DUMMYFUNCTION("""COMPUTED_VALUE"""),"க்யு ஆர் குறியீடு")</f>
        <v>க்யு ஆர் குறியீடு</v>
      </c>
      <c r="M1049" s="2" t="str">
        <f>IFERROR(__xludf.DUMMYFUNCTION("""COMPUTED_VALUE"""),"QR కోడ్")</f>
        <v>QR కోడ్</v>
      </c>
    </row>
    <row r="1050">
      <c r="A1050" s="2" t="str">
        <f>Master_en!A1050</f>
        <v>Environment:Dev</v>
      </c>
      <c r="B1050" s="2" t="str">
        <f>Master_en!B1050</f>
        <v>Environment: Dev</v>
      </c>
      <c r="C1050" s="2" t="str">
        <f>IFERROR(__xludf.DUMMYFUNCTION("""COMPUTED_VALUE"""),"পরিবেশ: দেব")</f>
        <v>পরিবেশ: দেব</v>
      </c>
      <c r="D1050" s="2" t="str">
        <f>IFERROR(__xludf.DUMMYFUNCTION("""COMPUTED_VALUE"""),"पर्यावरण: देव")</f>
        <v>पर्यावरण: देव</v>
      </c>
      <c r="E1050" s="2" t="str">
        <f>IFERROR(__xludf.DUMMYFUNCTION("""COMPUTED_VALUE"""),"ಪರಿಸರ: ದೇವ್")</f>
        <v>ಪರಿಸರ: ದೇವ್</v>
      </c>
      <c r="F1050" s="2" t="str">
        <f>IFERROR(__xludf.DUMMYFUNCTION("""COMPUTED_VALUE"""),"ପରିବେଶ: ଦେୟ")</f>
        <v>ପରିବେଶ: ଦେୟ</v>
      </c>
      <c r="G1050" s="2" t="str">
        <f>IFERROR(__xludf.DUMMYFUNCTION("""COMPUTED_VALUE"""),"পৰিৱেশ: দেৱ")</f>
        <v>পৰিৱেশ: দেৱ</v>
      </c>
      <c r="H1050" s="2" t="str">
        <f>IFERROR(__xludf.DUMMYFUNCTION("""COMPUTED_VALUE"""),"પર્યાવરણ: દેવ")</f>
        <v>પર્યાવરણ: દેવ</v>
      </c>
      <c r="I1050" s="2" t="str">
        <f>IFERROR(__xludf.DUMMYFUNCTION("""COMPUTED_VALUE"""),"पर्यावरण: देव")</f>
        <v>पर्यावरण: देव</v>
      </c>
      <c r="J1050" s="2" t="str">
        <f>IFERROR(__xludf.DUMMYFUNCTION("""COMPUTED_VALUE"""),"പരിസ്ഥിതി: ദേവ്")</f>
        <v>പരിസ്ഥിതി: ദേവ്</v>
      </c>
      <c r="K1050" s="2" t="str">
        <f>IFERROR(__xludf.DUMMYFUNCTION("""COMPUTED_VALUE"""),"ਵਾਤਾਵਰਣ: ਦੇਵ")</f>
        <v>ਵਾਤਾਵਰਣ: ਦੇਵ</v>
      </c>
      <c r="L1050" s="2" t="str">
        <f>IFERROR(__xludf.DUMMYFUNCTION("""COMPUTED_VALUE"""),"சூழல்: தேவ்")</f>
        <v>சூழல்: தேவ்</v>
      </c>
      <c r="M1050" s="2" t="str">
        <f>IFERROR(__xludf.DUMMYFUNCTION("""COMPUTED_VALUE"""),"పర్యావరణం: దేవ్")</f>
        <v>పర్యావరణం: దేవ్</v>
      </c>
    </row>
    <row r="1051">
      <c r="A1051" s="2" t="str">
        <f>Master_en!A1051</f>
        <v>Paid</v>
      </c>
      <c r="B1051" s="2" t="str">
        <f>Master_en!B1051</f>
        <v>Paid</v>
      </c>
      <c r="C1051" s="2" t="str">
        <f>IFERROR(__xludf.DUMMYFUNCTION("""COMPUTED_VALUE"""),"প্রদত্ত")</f>
        <v>প্রদত্ত</v>
      </c>
      <c r="D1051" s="2" t="str">
        <f>IFERROR(__xludf.DUMMYFUNCTION("""COMPUTED_VALUE"""),"चुकाया गया")</f>
        <v>चुकाया गया</v>
      </c>
      <c r="E1051" s="2" t="str">
        <f>IFERROR(__xludf.DUMMYFUNCTION("""COMPUTED_VALUE"""),"ಪಾವತಿಸಿದ")</f>
        <v>ಪಾವತಿಸಿದ</v>
      </c>
      <c r="F1051" s="2" t="str">
        <f>IFERROR(__xludf.DUMMYFUNCTION("""COMPUTED_VALUE"""),"ଦେୟ")</f>
        <v>ଦେୟ</v>
      </c>
      <c r="G1051" s="2" t="str">
        <f>IFERROR(__xludf.DUMMYFUNCTION("""COMPUTED_VALUE"""),"পৰিশোধ কৰা হৈছে")</f>
        <v>পৰিশোধ কৰা হৈছে</v>
      </c>
      <c r="H1051" s="2" t="str">
        <f>IFERROR(__xludf.DUMMYFUNCTION("""COMPUTED_VALUE"""),"પગાર")</f>
        <v>પગાર</v>
      </c>
      <c r="I1051" s="2" t="str">
        <f>IFERROR(__xludf.DUMMYFUNCTION("""COMPUTED_VALUE"""),"देय")</f>
        <v>देय</v>
      </c>
      <c r="J1051" s="2" t="str">
        <f>IFERROR(__xludf.DUMMYFUNCTION("""COMPUTED_VALUE"""),"അടച്ച")</f>
        <v>അടച്ച</v>
      </c>
      <c r="K1051" s="2" t="str">
        <f>IFERROR(__xludf.DUMMYFUNCTION("""COMPUTED_VALUE"""),"ਦਾ ਭੁਗਤਾਨ")</f>
        <v>ਦਾ ਭੁਗਤਾਨ</v>
      </c>
      <c r="L1051" s="2" t="str">
        <f>IFERROR(__xludf.DUMMYFUNCTION("""COMPUTED_VALUE"""),"பணம் செலுத்தப்பட்டது")</f>
        <v>பணம் செலுத்தப்பட்டது</v>
      </c>
      <c r="M1051" s="2" t="str">
        <f>IFERROR(__xludf.DUMMYFUNCTION("""COMPUTED_VALUE"""),"చెల్లించిన")</f>
        <v>చెల్లించిన</v>
      </c>
    </row>
    <row r="1052">
      <c r="A1052" s="2" t="str">
        <f>Master_en!A1052</f>
        <v>﻿Theuserhasalreadyanactivereferral</v>
      </c>
      <c r="B1052" s="2" t="str">
        <f>Master_en!B1052</f>
        <v>﻿The user has already an active referral</v>
      </c>
      <c r="C1052" s="2" t="str">
        <f>IFERROR(__xludf.DUMMYFUNCTION("""COMPUTED_VALUE"""),"ব্যবহারকারীর ইতিমধ্যে একটি সক্রিয় রেফারেল রয়েছে")</f>
        <v>ব্যবহারকারীর ইতিমধ্যে একটি সক্রিয় রেফারেল রয়েছে</v>
      </c>
      <c r="D1052" s="2" t="str">
        <f>IFERROR(__xludf.DUMMYFUNCTION("""COMPUTED_VALUE"""),"उपयोगकर्ता के पास पहले से ही एक सक्रिय रेफरल है")</f>
        <v>उपयोगकर्ता के पास पहले से ही एक सक्रिय रेफरल है</v>
      </c>
      <c r="E1052" s="2" t="str">
        <f>IFERROR(__xludf.DUMMYFUNCTION("""COMPUTED_VALUE"""),"ಬಳಕೆದಾರರು ಈಗಾಗಲೇ ಸಕ್ರಿಯ ಉಲ್ಲೇಖವನ್ನು ಹೊಂದಿದ್ದಾರೆ")</f>
        <v>ಬಳಕೆದಾರರು ಈಗಾಗಲೇ ಸಕ್ರಿಯ ಉಲ್ಲೇಖವನ್ನು ಹೊಂದಿದ್ದಾರೆ</v>
      </c>
      <c r="F1052" s="2" t="str">
        <f>IFERROR(__xludf.DUMMYFUNCTION("""COMPUTED_VALUE"""),"ଉପଭୋକ୍ତା ପୂର୍ବରୁ ଏକ ସକ୍ରିୟ ରେଫରାଲ୍ ଅଛି |")</f>
        <v>ଉପଭୋକ୍ତା ପୂର୍ବରୁ ଏକ ସକ୍ରିୟ ରେଫରାଲ୍ ଅଛି |</v>
      </c>
      <c r="G1052" s="2" t="str">
        <f>IFERROR(__xludf.DUMMYFUNCTION("""COMPUTED_VALUE"""),"ব্যৱহাৰকাৰীৰ ইতিমধ্যে এটা সক্ৰিয় ৰেফাৰেল আছে")</f>
        <v>ব্যৱহাৰকাৰীৰ ইতিমধ্যে এটা সক্ৰিয় ৰেফাৰেল আছে</v>
      </c>
      <c r="H1052" s="2" t="str">
        <f>IFERROR(__xludf.DUMMYFUNCTION("""COMPUTED_VALUE"""),"વપરાશકર્તા પાસે પહેલેથી જ સક્રિય રેફરલ છે")</f>
        <v>વપરાશકર્તા પાસે પહેલેથી જ સક્રિય રેફરલ છે</v>
      </c>
      <c r="I1052" s="2" t="str">
        <f>IFERROR(__xludf.DUMMYFUNCTION("""COMPUTED_VALUE"""),"वापरकर्त्याकडे आधीपासूनच सक्रिय रेफरल आहे")</f>
        <v>वापरकर्त्याकडे आधीपासूनच सक्रिय रेफरल आहे</v>
      </c>
      <c r="J1052" s="2" t="str">
        <f>IFERROR(__xludf.DUMMYFUNCTION("""COMPUTED_VALUE"""),"ഉപയോക്താവിന് ഇതിനകം ഒരു സജീവ റഫറൽ ഉണ്ട്")</f>
        <v>ഉപയോക്താവിന് ഇതിനകം ഒരു സജീവ റഫറൽ ഉണ്ട്</v>
      </c>
      <c r="K1052" s="2" t="str">
        <f>IFERROR(__xludf.DUMMYFUNCTION("""COMPUTED_VALUE"""),"ਉਪਭੋਗਤਾ ਕੋਲ ਪਹਿਲਾਂ ਹੀ ਇੱਕ ਕਿਰਿਆਸ਼ੀਲ ਰੈਫਰਲ ਹੈ")</f>
        <v>ਉਪਭੋਗਤਾ ਕੋਲ ਪਹਿਲਾਂ ਹੀ ਇੱਕ ਕਿਰਿਆਸ਼ੀਲ ਰੈਫਰਲ ਹੈ</v>
      </c>
      <c r="L1052" s="2" t="str">
        <f>IFERROR(__xludf.DUMMYFUNCTION("""COMPUTED_VALUE"""),"பயனர் ஏற்கனவே செயலில் உள்ள பரிந்துரை உள்ளது")</f>
        <v>பயனர் ஏற்கனவே செயலில் உள்ள பரிந்துரை உள்ளது</v>
      </c>
      <c r="M1052" s="2" t="str">
        <f>IFERROR(__xludf.DUMMYFUNCTION("""COMPUTED_VALUE"""),"వినియోగదారుకు ఇప్పటికే క్రియాశీల రిఫెరల్ ఉంది")</f>
        <v>వినియోగదారుకు ఇప్పటికే క్రియాశీల రిఫెరల్ ఉంది</v>
      </c>
    </row>
    <row r="1053">
      <c r="A1053" s="2" t="str">
        <f>Master_en!A1053</f>
        <v>Thedicountcannotbegreaterthan99%</v>
      </c>
      <c r="B1053" s="2" t="str">
        <f>Master_en!B1053</f>
        <v>The dicount cannot be greater than 99%</v>
      </c>
      <c r="C1053" s="2" t="str">
        <f>IFERROR(__xludf.DUMMYFUNCTION("""COMPUTED_VALUE"""),"ডিকাউন্ট 99% এর বেশি হতে পারে না")</f>
        <v>ডিকাউন্ট 99% এর বেশি হতে পারে না</v>
      </c>
      <c r="D1053" s="2" t="str">
        <f>IFERROR(__xludf.DUMMYFUNCTION("""COMPUTED_VALUE"""),"DICOUNT 99% से अधिक नहीं हो सकता है")</f>
        <v>DICOUNT 99% से अधिक नहीं हो सकता है</v>
      </c>
      <c r="E1053" s="2" t="str">
        <f>IFERROR(__xludf.DUMMYFUNCTION("""COMPUTED_VALUE"""),"ಡಿಕೌಂಟ್ 99% ಕ್ಕಿಂತ ಹೆಚ್ಚಿರಬಾರದು")</f>
        <v>ಡಿಕೌಂಟ್ 99% ಕ್ಕಿಂತ ಹೆಚ್ಚಿರಬಾರದು</v>
      </c>
      <c r="F1053" s="2" t="str">
        <f>IFERROR(__xludf.DUMMYFUNCTION("""COMPUTED_VALUE"""),"ଡିକୋଏଣ୍ଟ 99% ରୁ ଅଧିକ ହୋଇପାରିବ ନାହିଁ |")</f>
        <v>ଡିକୋଏଣ୍ଟ 99% ରୁ ଅଧିକ ହୋଇପାରିବ ନାହିଁ |</v>
      </c>
      <c r="G1053" s="2" t="str">
        <f>IFERROR(__xludf.DUMMYFUNCTION("""COMPUTED_VALUE"""),"ডিকাউন্ট 99% তকৈ বেছি হ'ব নোৱাৰে")</f>
        <v>ডিকাউন্ট 99% তকৈ বেছি হ'ব নোৱাৰে</v>
      </c>
      <c r="H1053" s="2" t="str">
        <f>IFERROR(__xludf.DUMMYFUNCTION("""COMPUTED_VALUE"""),"ડાઇક ount ન્ટ 99% કરતા વધારે ન હોઈ શકે")</f>
        <v>ડાઇક ount ન્ટ 99% કરતા વધારે ન હોઈ શકે</v>
      </c>
      <c r="I1053" s="2" t="str">
        <f>IFERROR(__xludf.DUMMYFUNCTION("""COMPUTED_VALUE"""),"डिकॉन्ट 99% पेक्षा जास्त असू शकत नाही")</f>
        <v>डिकॉन्ट 99% पेक्षा जास्त असू शकत नाही</v>
      </c>
      <c r="J1053" s="2" t="str">
        <f>IFERROR(__xludf.DUMMYFUNCTION("""COMPUTED_VALUE"""),"Dikount 99% ൽ കൂടുതലാകാം")</f>
        <v>Dikount 99% ൽ കൂടുതലാകാം</v>
      </c>
      <c r="K1053" s="2" t="str">
        <f>IFERROR(__xludf.DUMMYFUNCTION("""COMPUTED_VALUE"""),"ਡਿਕਟ 99% ਤੋਂ ਵੱਧ ਨਹੀਂ ਹੋ ਸਕਦਾ")</f>
        <v>ਡਿਕਟ 99% ਤੋਂ ਵੱਧ ਨਹੀਂ ਹੋ ਸਕਦਾ</v>
      </c>
      <c r="L1053" s="2" t="str">
        <f>IFERROR(__xludf.DUMMYFUNCTION("""COMPUTED_VALUE"""),"டிகவுண்ட் 99% ஐ விட அதிகமாக இருக்க முடியாது")</f>
        <v>டிகவுண்ட் 99% ஐ விட அதிகமாக இருக்க முடியாது</v>
      </c>
      <c r="M1053" s="2" t="str">
        <f>IFERROR(__xludf.DUMMYFUNCTION("""COMPUTED_VALUE"""),"డికౌంట్ 99% కంటే ఎక్కువగా ఉండకూడదు")</f>
        <v>డికౌంట్ 99% కంటే ఎక్కువగా ఉండకూడదు</v>
      </c>
    </row>
    <row r="1054">
      <c r="A1054" s="2" t="str">
        <f>Master_en!A1054</f>
        <v>Minimumorderquantity</v>
      </c>
      <c r="B1054" s="2" t="str">
        <f>Master_en!B1054</f>
        <v>Minimum order quantity</v>
      </c>
      <c r="C1054" s="2" t="str">
        <f>IFERROR(__xludf.DUMMYFUNCTION("""COMPUTED_VALUE"""),"ন্যূনতম চাহিদার পরিমাণ")</f>
        <v>ন্যূনতম চাহিদার পরিমাণ</v>
      </c>
      <c r="D1054" s="2" t="str">
        <f>IFERROR(__xludf.DUMMYFUNCTION("""COMPUTED_VALUE"""),"न्यूनतम आदेश मात्रा")</f>
        <v>न्यूनतम आदेश मात्रा</v>
      </c>
      <c r="E1054" s="2" t="str">
        <f>IFERROR(__xludf.DUMMYFUNCTION("""COMPUTED_VALUE"""),"ಕನಿಷ್ಠ ಆದೇಶದ ಪ್ರಮಾಣ")</f>
        <v>ಕನಿಷ್ಠ ಆದೇಶದ ಪ್ರಮಾಣ</v>
      </c>
      <c r="F1054" s="2" t="str">
        <f>IFERROR(__xludf.DUMMYFUNCTION("""COMPUTED_VALUE"""),"ସର୍ବନିମ୍ନ ଅର୍ଡର ପରିମାଣ |")</f>
        <v>ସର୍ବନିମ୍ନ ଅର୍ଡର ପରିମାଣ |</v>
      </c>
      <c r="G1054" s="2" t="str">
        <f>IFERROR(__xludf.DUMMYFUNCTION("""COMPUTED_VALUE"""),"নিম্নতম অৰ্ডাৰৰ পৰিমাণ")</f>
        <v>নিম্নতম অৰ্ডাৰৰ পৰিমাণ</v>
      </c>
      <c r="H1054" s="2" t="str">
        <f>IFERROR(__xludf.DUMMYFUNCTION("""COMPUTED_VALUE"""),"લઘુત્તમ હુકમનો જથ્થો")</f>
        <v>લઘુત્તમ હુકમનો જથ્થો</v>
      </c>
      <c r="I1054" s="2" t="str">
        <f>IFERROR(__xludf.DUMMYFUNCTION("""COMPUTED_VALUE"""),"किमान ऑर्डरचे प्रमाण")</f>
        <v>किमान ऑर्डरचे प्रमाण</v>
      </c>
      <c r="J1054" s="2" t="str">
        <f>IFERROR(__xludf.DUMMYFUNCTION("""COMPUTED_VALUE"""),"കുറഞ്ഞ ഓർഡർ അളവ്")</f>
        <v>കുറഞ്ഞ ഓർഡർ അളവ്</v>
      </c>
      <c r="K1054" s="2" t="str">
        <f>IFERROR(__xludf.DUMMYFUNCTION("""COMPUTED_VALUE"""),"ਘੱਟੋ ਘੱਟ ਆਰਡਰ ਮਾਤਰਾ")</f>
        <v>ਘੱਟੋ ਘੱਟ ਆਰਡਰ ਮਾਤਰਾ</v>
      </c>
      <c r="L1054" s="2" t="str">
        <f>IFERROR(__xludf.DUMMYFUNCTION("""COMPUTED_VALUE"""),"குறைந்தபட்ச ஆர்டர் அளவு")</f>
        <v>குறைந்தபட்ச ஆர்டர் அளவு</v>
      </c>
      <c r="M1054" s="2" t="str">
        <f>IFERROR(__xludf.DUMMYFUNCTION("""COMPUTED_VALUE"""),"కనీస ఆర్డర్ పరిమాణం")</f>
        <v>కనీస ఆర్డర్ పరిమాణం</v>
      </c>
    </row>
    <row r="1055">
      <c r="A1055" s="2" t="str">
        <f>Master_en!A1055</f>
        <v>Gram</v>
      </c>
      <c r="B1055" s="2" t="str">
        <f>Master_en!B1055</f>
        <v>Gram</v>
      </c>
      <c r="C1055" s="2" t="str">
        <f>IFERROR(__xludf.DUMMYFUNCTION("""COMPUTED_VALUE"""),"গ্রাম")</f>
        <v>গ্রাম</v>
      </c>
      <c r="D1055" s="2" t="str">
        <f>IFERROR(__xludf.DUMMYFUNCTION("""COMPUTED_VALUE"""),"ग्राम")</f>
        <v>ग्राम</v>
      </c>
      <c r="E1055" s="2" t="str">
        <f>IFERROR(__xludf.DUMMYFUNCTION("""COMPUTED_VALUE"""),"ಗ್ರಾಂ")</f>
        <v>ಗ್ರಾಂ</v>
      </c>
      <c r="F1055" s="2" t="str">
        <f>IFERROR(__xludf.DUMMYFUNCTION("""COMPUTED_VALUE"""),"ଗ୍ରାମ")</f>
        <v>ଗ୍ରାମ</v>
      </c>
      <c r="G1055" s="2" t="str">
        <f>IFERROR(__xludf.DUMMYFUNCTION("""COMPUTED_VALUE"""),"গ্ৰাম")</f>
        <v>গ্ৰাম</v>
      </c>
      <c r="H1055" s="2" t="str">
        <f>IFERROR(__xludf.DUMMYFUNCTION("""COMPUTED_VALUE"""),"ગ્રામ")</f>
        <v>ગ્રામ</v>
      </c>
      <c r="I1055" s="2" t="str">
        <f>IFERROR(__xludf.DUMMYFUNCTION("""COMPUTED_VALUE"""),"हरभरा")</f>
        <v>हरभरा</v>
      </c>
      <c r="J1055" s="2" t="str">
        <f>IFERROR(__xludf.DUMMYFUNCTION("""COMPUTED_VALUE"""),"പയറ്")</f>
        <v>പയറ്</v>
      </c>
      <c r="K1055" s="2" t="str">
        <f>IFERROR(__xludf.DUMMYFUNCTION("""COMPUTED_VALUE"""),"ਗ੍ਰਾਮ")</f>
        <v>ਗ੍ਰਾਮ</v>
      </c>
      <c r="L1055" s="2" t="str">
        <f>IFERROR(__xludf.DUMMYFUNCTION("""COMPUTED_VALUE"""),"கிராம்")</f>
        <v>கிராம்</v>
      </c>
      <c r="M1055" s="2" t="str">
        <f>IFERROR(__xludf.DUMMYFUNCTION("""COMPUTED_VALUE"""),"గ్రామ్")</f>
        <v>గ్రామ్</v>
      </c>
    </row>
    <row r="1056">
      <c r="A1056" s="2" t="str">
        <f>Master_en!A1056</f>
        <v>OrderAggregation</v>
      </c>
      <c r="B1056" s="2" t="str">
        <f>Master_en!B1056</f>
        <v>Order Aggregation</v>
      </c>
      <c r="C1056" s="2" t="str">
        <f>IFERROR(__xludf.DUMMYFUNCTION("""COMPUTED_VALUE"""),"অর্ডার সমষ্টি")</f>
        <v>অর্ডার সমষ্টি</v>
      </c>
      <c r="D1056" s="2" t="str">
        <f>IFERROR(__xludf.DUMMYFUNCTION("""COMPUTED_VALUE"""),"आदेश एकत्रीकरण")</f>
        <v>आदेश एकत्रीकरण</v>
      </c>
      <c r="E1056" s="2" t="str">
        <f>IFERROR(__xludf.DUMMYFUNCTION("""COMPUTED_VALUE"""),"ಆದೇಶ ಒಟ್ಟುಗೂಡಿಸುವಿಕೆ")</f>
        <v>ಆದೇಶ ಒಟ್ಟುಗೂಡಿಸುವಿಕೆ</v>
      </c>
      <c r="F1056" s="2" t="str">
        <f>IFERROR(__xludf.DUMMYFUNCTION("""COMPUTED_VALUE"""),"ସଂଗଠନ")</f>
        <v>ସଂଗଠନ</v>
      </c>
      <c r="G1056" s="2" t="str">
        <f>IFERROR(__xludf.DUMMYFUNCTION("""COMPUTED_VALUE"""),"অৰ্ডাৰ একত্ৰীকৰণ")</f>
        <v>অৰ্ডাৰ একত্ৰীকৰণ</v>
      </c>
      <c r="H1056" s="2" t="str">
        <f>IFERROR(__xludf.DUMMYFUNCTION("""COMPUTED_VALUE"""),"હુકમ -એકત્રીકરણ")</f>
        <v>હુકમ -એકત્રીકરણ</v>
      </c>
      <c r="I1056" s="2" t="str">
        <f>IFERROR(__xludf.DUMMYFUNCTION("""COMPUTED_VALUE"""),"ऑर्डर एकत्रीकरण")</f>
        <v>ऑर्डर एकत्रीकरण</v>
      </c>
      <c r="J1056" s="2" t="str">
        <f>IFERROR(__xludf.DUMMYFUNCTION("""COMPUTED_VALUE"""),"അഗ്രഗേഷൻ ഓർഡർ ചെയ്യുക")</f>
        <v>അഗ്രഗേഷൻ ഓർഡർ ചെയ്യുക</v>
      </c>
      <c r="K1056" s="2" t="str">
        <f>IFERROR(__xludf.DUMMYFUNCTION("""COMPUTED_VALUE"""),"ਆਰਡਰ ਆਰਡਰ")</f>
        <v>ਆਰਡਰ ਆਰਡਰ</v>
      </c>
      <c r="L1056" s="2" t="str">
        <f>IFERROR(__xludf.DUMMYFUNCTION("""COMPUTED_VALUE"""),"ஆர்டர் திரட்டல்")</f>
        <v>ஆர்டர் திரட்டல்</v>
      </c>
      <c r="M1056" s="2" t="str">
        <f>IFERROR(__xludf.DUMMYFUNCTION("""COMPUTED_VALUE"""),"ఆర్డర్ అగ్రిగేషన్")</f>
        <v>ఆర్డర్ అగ్రిగేషన్</v>
      </c>
    </row>
    <row r="1057">
      <c r="A1057" s="2" t="str">
        <f>Master_en!A1057</f>
        <v>TotalWeight</v>
      </c>
      <c r="B1057" s="2" t="str">
        <f>Master_en!B1057</f>
        <v>Total Weight</v>
      </c>
      <c r="C1057" s="2" t="str">
        <f>IFERROR(__xludf.DUMMYFUNCTION("""COMPUTED_VALUE"""),"সম্পূর্ণ ওজন")</f>
        <v>সম্পূর্ণ ওজন</v>
      </c>
      <c r="D1057" s="2" t="str">
        <f>IFERROR(__xludf.DUMMYFUNCTION("""COMPUTED_VALUE"""),"कुल वजन")</f>
        <v>कुल वजन</v>
      </c>
      <c r="E1057" s="2" t="str">
        <f>IFERROR(__xludf.DUMMYFUNCTION("""COMPUTED_VALUE"""),"ಒಟ್ಟು ತೂಕ")</f>
        <v>ಒಟ್ಟು ತೂಕ</v>
      </c>
      <c r="F1057" s="2" t="str">
        <f>IFERROR(__xludf.DUMMYFUNCTION("""COMPUTED_VALUE"""),"ସମୁଦାୟ ଓଜନ")</f>
        <v>ସମୁଦାୟ ଓଜନ</v>
      </c>
      <c r="G1057" s="2" t="str">
        <f>IFERROR(__xludf.DUMMYFUNCTION("""COMPUTED_VALUE"""),"মুঠ ওজন")</f>
        <v>মুঠ ওজন</v>
      </c>
      <c r="H1057" s="2" t="str">
        <f>IFERROR(__xludf.DUMMYFUNCTION("""COMPUTED_VALUE"""),"કૂલ વજન")</f>
        <v>કૂલ વજન</v>
      </c>
      <c r="I1057" s="2" t="str">
        <f>IFERROR(__xludf.DUMMYFUNCTION("""COMPUTED_VALUE"""),"एकूण वजन")</f>
        <v>एकूण वजन</v>
      </c>
      <c r="J1057" s="2" t="str">
        <f>IFERROR(__xludf.DUMMYFUNCTION("""COMPUTED_VALUE"""),"ആകെ ഭാരം")</f>
        <v>ആകെ ഭാരം</v>
      </c>
      <c r="K1057" s="2" t="str">
        <f>IFERROR(__xludf.DUMMYFUNCTION("""COMPUTED_VALUE"""),"ਕੁੱਲ ਵਜ਼ਨ")</f>
        <v>ਕੁੱਲ ਵਜ਼ਨ</v>
      </c>
      <c r="L1057" s="2" t="str">
        <f>IFERROR(__xludf.DUMMYFUNCTION("""COMPUTED_VALUE"""),"மொத்த எடை")</f>
        <v>மொத்த எடை</v>
      </c>
      <c r="M1057" s="2" t="str">
        <f>IFERROR(__xludf.DUMMYFUNCTION("""COMPUTED_VALUE"""),"మొత్తం బరువు")</f>
        <v>మొత్తం బరువు</v>
      </c>
    </row>
    <row r="1058">
      <c r="A1058" s="2" t="str">
        <f>Master_en!A1058</f>
        <v>TotalLitres</v>
      </c>
      <c r="B1058" s="2" t="str">
        <f>Master_en!B1058</f>
        <v>Total Litres</v>
      </c>
      <c r="C1058" s="2" t="str">
        <f>IFERROR(__xludf.DUMMYFUNCTION("""COMPUTED_VALUE"""),"মোট লিটার")</f>
        <v>মোট লিটার</v>
      </c>
      <c r="D1058" s="2" t="str">
        <f>IFERROR(__xludf.DUMMYFUNCTION("""COMPUTED_VALUE"""),"कुल लीटर")</f>
        <v>कुल लीटर</v>
      </c>
      <c r="E1058" s="2" t="str">
        <f>IFERROR(__xludf.DUMMYFUNCTION("""COMPUTED_VALUE"""),"ಒಟ್ಟು ಲೀಟರ್")</f>
        <v>ಒಟ್ಟು ಲೀಟರ್</v>
      </c>
      <c r="F1058" s="2" t="str">
        <f>IFERROR(__xludf.DUMMYFUNCTION("""COMPUTED_VALUE"""),"ସମୁଦାୟ ଲିଟର |")</f>
        <v>ସମୁଦାୟ ଲିଟର |</v>
      </c>
      <c r="G1058" s="2" t="str">
        <f>IFERROR(__xludf.DUMMYFUNCTION("""COMPUTED_VALUE"""),"মুঠ লিটাৰ")</f>
        <v>মুঠ লিটাৰ</v>
      </c>
      <c r="H1058" s="2" t="str">
        <f>IFERROR(__xludf.DUMMYFUNCTION("""COMPUTED_VALUE"""),"કુલ લિટર")</f>
        <v>કુલ લિટર</v>
      </c>
      <c r="I1058" s="2" t="str">
        <f>IFERROR(__xludf.DUMMYFUNCTION("""COMPUTED_VALUE"""),"एकूण लिटर")</f>
        <v>एकूण लिटर</v>
      </c>
      <c r="J1058" s="2" t="str">
        <f>IFERROR(__xludf.DUMMYFUNCTION("""COMPUTED_VALUE"""),"ആകെ ലിറ്റർ")</f>
        <v>ആകെ ലിറ്റർ</v>
      </c>
      <c r="K1058" s="2" t="str">
        <f>IFERROR(__xludf.DUMMYFUNCTION("""COMPUTED_VALUE"""),"ਕੁੱਲ ਲੀਟਰ")</f>
        <v>ਕੁੱਲ ਲੀਟਰ</v>
      </c>
      <c r="L1058" s="2" t="str">
        <f>IFERROR(__xludf.DUMMYFUNCTION("""COMPUTED_VALUE"""),"மொத்த லிட்டர்")</f>
        <v>மொத்த லிட்டர்</v>
      </c>
      <c r="M1058" s="2" t="str">
        <f>IFERROR(__xludf.DUMMYFUNCTION("""COMPUTED_VALUE"""),"మొత్తం లీటర్లు")</f>
        <v>మొత్తం లీటర్లు</v>
      </c>
    </row>
    <row r="1059">
      <c r="A1059" s="2" t="str">
        <f>Master_en!A1059</f>
        <v>TotalPieces</v>
      </c>
      <c r="B1059" s="2" t="str">
        <f>Master_en!B1059</f>
        <v>Total Pieces</v>
      </c>
      <c r="C1059" s="2" t="str">
        <f>IFERROR(__xludf.DUMMYFUNCTION("""COMPUTED_VALUE"""),"মোট টুকরা")</f>
        <v>মোট টুকরা</v>
      </c>
      <c r="D1059" s="2" t="str">
        <f>IFERROR(__xludf.DUMMYFUNCTION("""COMPUTED_VALUE"""),"कुल टुकड़े")</f>
        <v>कुल टुकड़े</v>
      </c>
      <c r="E1059" s="2" t="str">
        <f>IFERROR(__xludf.DUMMYFUNCTION("""COMPUTED_VALUE"""),"ಒಟ್ಟು ತುಣುಕುಗಳು")</f>
        <v>ಒಟ್ಟು ತುಣುಕುಗಳು</v>
      </c>
      <c r="F1059" s="2" t="str">
        <f>IFERROR(__xludf.DUMMYFUNCTION("""COMPUTED_VALUE"""),"ସମୁଦାୟ ଖଣ୍ଡଗୁଡ଼ିକ")</f>
        <v>ସମୁଦାୟ ଖଣ୍ଡଗୁଡ଼ିକ</v>
      </c>
      <c r="G1059" s="2" t="str">
        <f>IFERROR(__xludf.DUMMYFUNCTION("""COMPUTED_VALUE"""),"মুঠ টুকুৰা")</f>
        <v>মুঠ টুকুৰা</v>
      </c>
      <c r="H1059" s="2" t="str">
        <f>IFERROR(__xludf.DUMMYFUNCTION("""COMPUTED_VALUE"""),"કુલ ટુકડાઓ")</f>
        <v>કુલ ટુકડાઓ</v>
      </c>
      <c r="I1059" s="2" t="str">
        <f>IFERROR(__xludf.DUMMYFUNCTION("""COMPUTED_VALUE"""),"एकूण तुकडे")</f>
        <v>एकूण तुकडे</v>
      </c>
      <c r="J1059" s="2" t="str">
        <f>IFERROR(__xludf.DUMMYFUNCTION("""COMPUTED_VALUE"""),"ആകെ കഷണങ്ങൾ")</f>
        <v>ആകെ കഷണങ്ങൾ</v>
      </c>
      <c r="K1059" s="2" t="str">
        <f>IFERROR(__xludf.DUMMYFUNCTION("""COMPUTED_VALUE"""),"ਕੁੱਲ ਟੁਕੜੇ")</f>
        <v>ਕੁੱਲ ਟੁਕੜੇ</v>
      </c>
      <c r="L1059" s="2" t="str">
        <f>IFERROR(__xludf.DUMMYFUNCTION("""COMPUTED_VALUE"""),"மொத்த துண்டுகள்")</f>
        <v>மொத்த துண்டுகள்</v>
      </c>
      <c r="M1059" s="2" t="str">
        <f>IFERROR(__xludf.DUMMYFUNCTION("""COMPUTED_VALUE"""),"మొత్తం ముక్కలు")</f>
        <v>మొత్తం ముక్కలు</v>
      </c>
    </row>
    <row r="1060">
      <c r="A1060" s="2" t="str">
        <f>Master_en!A1060</f>
        <v>TotalPlates</v>
      </c>
      <c r="B1060" s="2" t="str">
        <f>Master_en!B1060</f>
        <v>Total Plates</v>
      </c>
      <c r="C1060" s="2" t="str">
        <f>IFERROR(__xludf.DUMMYFUNCTION("""COMPUTED_VALUE"""),"মোট প্লেট")</f>
        <v>মোট প্লেট</v>
      </c>
      <c r="D1060" s="2" t="str">
        <f>IFERROR(__xludf.DUMMYFUNCTION("""COMPUTED_VALUE"""),"कुल प्लेटें")</f>
        <v>कुल प्लेटें</v>
      </c>
      <c r="E1060" s="2" t="str">
        <f>IFERROR(__xludf.DUMMYFUNCTION("""COMPUTED_VALUE"""),"ಒಟ್ಟು ಫಲಕಗಳು")</f>
        <v>ಒಟ್ಟು ಫಲಕಗಳು</v>
      </c>
      <c r="F1060" s="2" t="str">
        <f>IFERROR(__xludf.DUMMYFUNCTION("""COMPUTED_VALUE"""),"ସମୁଦାୟ ପ୍ଲେଟଗୁଡିକ |")</f>
        <v>ସମୁଦାୟ ପ୍ଲେଟଗୁଡିକ |</v>
      </c>
      <c r="G1060" s="2" t="str">
        <f>IFERROR(__xludf.DUMMYFUNCTION("""COMPUTED_VALUE"""),"মুঠ প্লেট")</f>
        <v>মুঠ প্লেট</v>
      </c>
      <c r="H1060" s="2" t="str">
        <f>IFERROR(__xludf.DUMMYFUNCTION("""COMPUTED_VALUE"""),"કુલ પ્લેટો")</f>
        <v>કુલ પ્લેટો</v>
      </c>
      <c r="I1060" s="2" t="str">
        <f>IFERROR(__xludf.DUMMYFUNCTION("""COMPUTED_VALUE"""),"एकूण प्लेट्स")</f>
        <v>एकूण प्लेट्स</v>
      </c>
      <c r="J1060" s="2" t="str">
        <f>IFERROR(__xludf.DUMMYFUNCTION("""COMPUTED_VALUE"""),"ആകെ പ്ലേറ്റുകൾ")</f>
        <v>ആകെ പ്ലേറ്റുകൾ</v>
      </c>
      <c r="K1060" s="2" t="str">
        <f>IFERROR(__xludf.DUMMYFUNCTION("""COMPUTED_VALUE"""),"ਕੁੱਲ ਪਲੇਟਾਂ")</f>
        <v>ਕੁੱਲ ਪਲੇਟਾਂ</v>
      </c>
      <c r="L1060" s="2" t="str">
        <f>IFERROR(__xludf.DUMMYFUNCTION("""COMPUTED_VALUE"""),"மொத்த தட்டுகள்")</f>
        <v>மொத்த தட்டுகள்</v>
      </c>
      <c r="M1060" s="2" t="str">
        <f>IFERROR(__xludf.DUMMYFUNCTION("""COMPUTED_VALUE"""),"మొత్తం ప్లేట్లు")</f>
        <v>మొత్తం ప్లేట్లు</v>
      </c>
    </row>
    <row r="1061">
      <c r="A1061" s="2" t="str">
        <f>Master_en!A1061</f>
        <v>Itemstobedelivered</v>
      </c>
      <c r="B1061" s="2" t="str">
        <f>Master_en!B1061</f>
        <v>Items to be delivered</v>
      </c>
      <c r="C1061" s="2" t="str">
        <f>IFERROR(__xludf.DUMMYFUNCTION("""COMPUTED_VALUE"""),"আইটেম বিতরণ করা হবে")</f>
        <v>আইটেম বিতরণ করা হবে</v>
      </c>
      <c r="D1061" s="2" t="str">
        <f>IFERROR(__xludf.DUMMYFUNCTION("""COMPUTED_VALUE"""),"वितरित किए जाने वाले आइटम")</f>
        <v>वितरित किए जाने वाले आइटम</v>
      </c>
      <c r="E1061" s="2" t="str">
        <f>IFERROR(__xludf.DUMMYFUNCTION("""COMPUTED_VALUE"""),"ತಲುಪಿಸಬೇಕಾದ ವಸ್ತುಗಳು")</f>
        <v>ತಲುಪಿಸಬೇಕಾದ ವಸ್ತುಗಳು</v>
      </c>
      <c r="F1061" s="2" t="str">
        <f>IFERROR(__xludf.DUMMYFUNCTION("""COMPUTED_VALUE"""),"ବିତରଣ କରିବାକୁ ଥିବା ଆଇଟମ୍ |")</f>
        <v>ବିତରଣ କରିବାକୁ ଥିବା ଆଇଟମ୍ |</v>
      </c>
      <c r="G1061" s="2" t="str">
        <f>IFERROR(__xludf.DUMMYFUNCTION("""COMPUTED_VALUE"""),"বিতৰণ কৰিব লগা বস্তুসমূহ")</f>
        <v>বিতৰণ কৰিব লগা বস্তুসমূহ</v>
      </c>
      <c r="H1061" s="2" t="str">
        <f>IFERROR(__xludf.DUMMYFUNCTION("""COMPUTED_VALUE"""),"વિતરિત વસ્તુઓ")</f>
        <v>વિતરિત વસ્તુઓ</v>
      </c>
      <c r="I1061" s="2" t="str">
        <f>IFERROR(__xludf.DUMMYFUNCTION("""COMPUTED_VALUE"""),"वितरित आयटम")</f>
        <v>वितरित आयटम</v>
      </c>
      <c r="J1061" s="2" t="str">
        <f>IFERROR(__xludf.DUMMYFUNCTION("""COMPUTED_VALUE"""),"വിതരണം ചെയ്യാനുള്ള ഇനങ്ങൾ")</f>
        <v>വിതരണം ചെയ്യാനുള്ള ഇനങ്ങൾ</v>
      </c>
      <c r="K1061" s="2" t="str">
        <f>IFERROR(__xludf.DUMMYFUNCTION("""COMPUTED_VALUE"""),"ਭੇਜੇ ਜਾਣ ਵਾਲੀਆਂ ਚੀਜ਼ਾਂ")</f>
        <v>ਭੇਜੇ ਜਾਣ ਵਾਲੀਆਂ ਚੀਜ਼ਾਂ</v>
      </c>
      <c r="L1061" s="2" t="str">
        <f>IFERROR(__xludf.DUMMYFUNCTION("""COMPUTED_VALUE"""),"வழங்கப்பட வேண்டிய உருப்படிகள்")</f>
        <v>வழங்கப்பட வேண்டிய உருப்படிகள்</v>
      </c>
      <c r="M1061" s="2" t="str">
        <f>IFERROR(__xludf.DUMMYFUNCTION("""COMPUTED_VALUE"""),"పంపిణీ చేయవలసిన అంశాలు")</f>
        <v>పంపిణీ చేయవలసిన అంశాలు</v>
      </c>
    </row>
    <row r="1062">
      <c r="A1062" s="2" t="str">
        <f>Master_en!A1062</f>
        <v>Lastorder</v>
      </c>
      <c r="B1062" s="2" t="str">
        <f>Master_en!B1062</f>
        <v>Last order</v>
      </c>
      <c r="C1062" s="2" t="str">
        <f>IFERROR(__xludf.DUMMYFUNCTION("""COMPUTED_VALUE"""),"শেষ আদেশ")</f>
        <v>শেষ আদেশ</v>
      </c>
      <c r="D1062" s="2" t="str">
        <f>IFERROR(__xludf.DUMMYFUNCTION("""COMPUTED_VALUE"""),"अंतिम आदेश")</f>
        <v>अंतिम आदेश</v>
      </c>
      <c r="E1062" s="2" t="str">
        <f>IFERROR(__xludf.DUMMYFUNCTION("""COMPUTED_VALUE"""),"ಕೊನೆಯ ಕ್ರಮ")</f>
        <v>ಕೊನೆಯ ಕ್ರಮ</v>
      </c>
      <c r="F1062" s="2" t="str">
        <f>IFERROR(__xludf.DUMMYFUNCTION("""COMPUTED_VALUE"""),"ଶେଷ କ୍ରମ")</f>
        <v>ଶେଷ କ୍ରମ</v>
      </c>
      <c r="G1062" s="2" t="str">
        <f>IFERROR(__xludf.DUMMYFUNCTION("""COMPUTED_VALUE"""),"অন্তিম ক্ৰম")</f>
        <v>অন্তিম ক্ৰম</v>
      </c>
      <c r="H1062" s="2" t="str">
        <f>IFERROR(__xludf.DUMMYFUNCTION("""COMPUTED_VALUE"""),"અંતિમ હુકમ")</f>
        <v>અંતિમ હુકમ</v>
      </c>
      <c r="I1062" s="2" t="str">
        <f>IFERROR(__xludf.DUMMYFUNCTION("""COMPUTED_VALUE"""),"शेवटची ऑर्डर")</f>
        <v>शेवटची ऑर्डर</v>
      </c>
      <c r="J1062" s="2" t="str">
        <f>IFERROR(__xludf.DUMMYFUNCTION("""COMPUTED_VALUE"""),"അവസാന ഓർഡർ")</f>
        <v>അവസാന ഓർഡർ</v>
      </c>
      <c r="K1062" s="2" t="str">
        <f>IFERROR(__xludf.DUMMYFUNCTION("""COMPUTED_VALUE"""),"ਆਖਰੀ ਆਰਡਰ")</f>
        <v>ਆਖਰੀ ਆਰਡਰ</v>
      </c>
      <c r="L1062" s="2" t="str">
        <f>IFERROR(__xludf.DUMMYFUNCTION("""COMPUTED_VALUE"""),"கடைசி வரிசை")</f>
        <v>கடைசி வரிசை</v>
      </c>
      <c r="M1062" s="2" t="str">
        <f>IFERROR(__xludf.DUMMYFUNCTION("""COMPUTED_VALUE"""),"చివరి క్రమం")</f>
        <v>చివరి క్రమం</v>
      </c>
    </row>
    <row r="1063">
      <c r="A1063" s="2" t="str">
        <f>Master_en!A1063</f>
        <v>Paymentprocessingcancelledbyuse</v>
      </c>
      <c r="B1063" s="2" t="str">
        <f>Master_en!B1063</f>
        <v>Payment processing cancelled by use</v>
      </c>
      <c r="C1063" s="2" t="str">
        <f>IFERROR(__xludf.DUMMYFUNCTION("""COMPUTED_VALUE"""),"ব্যবহার দ্বারা পেমেন্ট প্রসেসিং বাতিল")</f>
        <v>ব্যবহার দ্বারা পেমেন্ট প্রসেসিং বাতিল</v>
      </c>
      <c r="D1063" s="2" t="str">
        <f>IFERROR(__xludf.DUMMYFUNCTION("""COMPUTED_VALUE"""),"उपयोग द्वारा रद्द किए गए भुगतान प्रसंस्करण")</f>
        <v>उपयोग द्वारा रद्द किए गए भुगतान प्रसंस्करण</v>
      </c>
      <c r="E1063" s="2" t="str">
        <f>IFERROR(__xludf.DUMMYFUNCTION("""COMPUTED_VALUE"""),"ಪಾವತಿ ಪ್ರಕ್ರಿಯೆಯನ್ನು ಬಳಕೆಯಿಂದ ರದ್ದುಗೊಳಿಸಲಾಗಿದೆ")</f>
        <v>ಪಾವತಿ ಪ್ರಕ್ರಿಯೆಯನ್ನು ಬಳಕೆಯಿಂದ ರದ್ದುಗೊಳಿಸಲಾಗಿದೆ</v>
      </c>
      <c r="F1063" s="2" t="str">
        <f>IFERROR(__xludf.DUMMYFUNCTION("""COMPUTED_VALUE"""),"ବ୍ୟବହାର ଦ୍ୱାରା ଦେୟ ପ୍ରକ୍ରିୟାକରଣ ବାତିଲ୍ |")</f>
        <v>ବ୍ୟବହାର ଦ୍ୱାରା ଦେୟ ପ୍ରକ୍ରିୟାକରଣ ବାତିଲ୍ |</v>
      </c>
      <c r="G1063" s="2" t="str">
        <f>IFERROR(__xludf.DUMMYFUNCTION("""COMPUTED_VALUE"""),"ব্যৱহাৰৰ দ্বাৰা পৰিশোধ প্ৰক্ৰিয়াবাতিল কৰা হৈছে")</f>
        <v>ব্যৱহাৰৰ দ্বাৰা পৰিশোধ প্ৰক্ৰিয়াবাতিল কৰা হৈছে</v>
      </c>
      <c r="H1063" s="2" t="str">
        <f>IFERROR(__xludf.DUMMYFUNCTION("""COMPUTED_VALUE"""),"ચુકવણી પ્રક્રિયા ઉપયોગ દ્વારા રદ કરાઈ")</f>
        <v>ચુકવણી પ્રક્રિયા ઉપયોગ દ્વારા રદ કરાઈ</v>
      </c>
      <c r="I1063" s="2" t="str">
        <f>IFERROR(__xludf.DUMMYFUNCTION("""COMPUTED_VALUE"""),"पेमेंट प्रक्रिया वापराद्वारे रद्द केली")</f>
        <v>पेमेंट प्रक्रिया वापराद्वारे रद्द केली</v>
      </c>
      <c r="J1063" s="2" t="str">
        <f>IFERROR(__xludf.DUMMYFUNCTION("""COMPUTED_VALUE"""),"പേയ്മെന്റ് പ്രോസസ്സിംഗ് ഉപയോഗത്തിലൂടെ റദ്ദാക്കി")</f>
        <v>പേയ്മെന്റ് പ്രോസസ്സിംഗ് ഉപയോഗത്തിലൂടെ റദ്ദാക്കി</v>
      </c>
      <c r="K1063" s="2" t="str">
        <f>IFERROR(__xludf.DUMMYFUNCTION("""COMPUTED_VALUE"""),"ਭੁਗਤਾਨ ਦੀ ਪ੍ਰਕਿਰਿਆ ਵਰਤੋਂ ਦੁਆਰਾ ਰੱਦ ਕੀਤੀ ਗਈ")</f>
        <v>ਭੁਗਤਾਨ ਦੀ ਪ੍ਰਕਿਰਿਆ ਵਰਤੋਂ ਦੁਆਰਾ ਰੱਦ ਕੀਤੀ ਗਈ</v>
      </c>
      <c r="L1063" s="2" t="str">
        <f>IFERROR(__xludf.DUMMYFUNCTION("""COMPUTED_VALUE"""),"கட்டண செயலாக்கம் பயன்பாட்டின் மூலம் ரத்து செய்யப்பட்டது")</f>
        <v>கட்டண செயலாக்கம் பயன்பாட்டின் மூலம் ரத்து செய்யப்பட்டது</v>
      </c>
      <c r="M1063" s="2" t="str">
        <f>IFERROR(__xludf.DUMMYFUNCTION("""COMPUTED_VALUE"""),"చెల్లింపు ప్రాసెసింగ్ ఉపయోగం ద్వారా రద్దు చేయబడింది")</f>
        <v>చెల్లింపు ప్రాసెసింగ్ ఉపయోగం ద్వారా రద్దు చేయబడింది</v>
      </c>
    </row>
    <row r="1064">
      <c r="A1064" s="2" t="str">
        <f>Master_en!A1064</f>
        <v>PleasescanthereferralQRcode</v>
      </c>
      <c r="B1064" s="2" t="str">
        <f>Master_en!B1064</f>
        <v>Please scan the referral QR code</v>
      </c>
      <c r="C1064" s="2" t="str">
        <f>IFERROR(__xludf.DUMMYFUNCTION("""COMPUTED_VALUE"""),"দয়া করে রেফারেল কিউআর কোডটি স্ক্যান করুন")</f>
        <v>দয়া করে রেফারেল কিউআর কোডটি স্ক্যান করুন</v>
      </c>
      <c r="D1064" s="2" t="str">
        <f>IFERROR(__xludf.DUMMYFUNCTION("""COMPUTED_VALUE"""),"कृपया रेफरल क्यूआर कोड को स्कैन करें")</f>
        <v>कृपया रेफरल क्यूआर कोड को स्कैन करें</v>
      </c>
      <c r="E1064" s="2" t="str">
        <f>IFERROR(__xludf.DUMMYFUNCTION("""COMPUTED_VALUE"""),"ದಯವಿಟ್ಟು ರೆಫರಲ್ ಕ್ಯೂಆರ್ ಕೋಡ್ ಅನ್ನು ಸ್ಕ್ಯಾನ್ ಮಾಡಿ")</f>
        <v>ದಯವಿಟ್ಟು ರೆಫರಲ್ ಕ್ಯೂಆರ್ ಕೋಡ್ ಅನ್ನು ಸ್ಕ್ಯಾನ್ ಮಾಡಿ</v>
      </c>
      <c r="F1064" s="2" t="str">
        <f>IFERROR(__xludf.DUMMYFUNCTION("""COMPUTED_VALUE"""),"ଦୟାକରି ରେଫରାଲ୍ QR କୋଡ୍ ସ୍କାନ୍ କରନ୍ତୁ |")</f>
        <v>ଦୟାକରି ରେଫରାଲ୍ QR କୋଡ୍ ସ୍କାନ୍ କରନ୍ତୁ |</v>
      </c>
      <c r="G1064" s="2" t="str">
        <f>IFERROR(__xludf.DUMMYFUNCTION("""COMPUTED_VALUE"""),"অনুগ্ৰহ কৰি ৰেফাৰেল কিউআৰ কোড স্কেন কৰক")</f>
        <v>অনুগ্ৰহ কৰি ৰেফাৰেল কিউআৰ কোড স্কেন কৰক</v>
      </c>
      <c r="H1064" s="2" t="str">
        <f>IFERROR(__xludf.DUMMYFUNCTION("""COMPUTED_VALUE"""),"કૃપા કરીને રેફરલ ક્યૂઆર કોડ સ્કેન કરો")</f>
        <v>કૃપા કરીને રેફરલ ક્યૂઆર કોડ સ્કેન કરો</v>
      </c>
      <c r="I1064" s="2" t="str">
        <f>IFERROR(__xludf.DUMMYFUNCTION("""COMPUTED_VALUE"""),"कृपया रेफरल क्यूआर कोड स्कॅन करा")</f>
        <v>कृपया रेफरल क्यूआर कोड स्कॅन करा</v>
      </c>
      <c r="J1064" s="2" t="str">
        <f>IFERROR(__xludf.DUMMYFUNCTION("""COMPUTED_VALUE"""),"റഫറൽ ക്യുആർ കോഡ് സ്കാൻ ചെയ്യുക")</f>
        <v>റഫറൽ ക്യുആർ കോഡ് സ്കാൻ ചെയ്യുക</v>
      </c>
      <c r="K1064" s="2" t="str">
        <f>IFERROR(__xludf.DUMMYFUNCTION("""COMPUTED_VALUE"""),"ਕਿਰਪਾ ਕਰਕੇ ਰੈਫਰਲ ਕਿ Q ਆਰ ਕੋਡ ਨੂੰ ਸਕੈਨ ਕਰੋ")</f>
        <v>ਕਿਰਪਾ ਕਰਕੇ ਰੈਫਰਲ ਕਿ Q ਆਰ ਕੋਡ ਨੂੰ ਸਕੈਨ ਕਰੋ</v>
      </c>
      <c r="L1064" s="2" t="str">
        <f>IFERROR(__xludf.DUMMYFUNCTION("""COMPUTED_VALUE"""),"பரிந்துரை QR குறியீட்டை ஸ்கேன் செய்யுங்கள்")</f>
        <v>பரிந்துரை QR குறியீட்டை ஸ்கேன் செய்யுங்கள்</v>
      </c>
      <c r="M1064" s="2" t="str">
        <f>IFERROR(__xludf.DUMMYFUNCTION("""COMPUTED_VALUE"""),"దయచేసి రిఫెరల్ QR కోడ్‌ను స్కాన్ చేయండి")</f>
        <v>దయచేసి రిఫెరల్ QR కోడ్‌ను స్కాన్ చేయండి</v>
      </c>
    </row>
    <row r="1065">
      <c r="A1065" s="2" t="str">
        <f>Master_en!A1065</f>
        <v>imagesavedsuccessfully</v>
      </c>
      <c r="B1065" s="2" t="str">
        <f>Master_en!B1065</f>
        <v>image saved successfully</v>
      </c>
      <c r="C1065" s="2" t="str">
        <f>IFERROR(__xludf.DUMMYFUNCTION("""COMPUTED_VALUE"""),"চিত্র সফলভাবে সংরক্ষণ করা হয়েছে")</f>
        <v>চিত্র সফলভাবে সংরক্ষণ করা হয়েছে</v>
      </c>
      <c r="D1065" s="2" t="str">
        <f>IFERROR(__xludf.DUMMYFUNCTION("""COMPUTED_VALUE"""),"छवि सफलतापूर्वक सहेजा गया")</f>
        <v>छवि सफलतापूर्वक सहेजा गया</v>
      </c>
      <c r="E1065" s="2" t="str">
        <f>IFERROR(__xludf.DUMMYFUNCTION("""COMPUTED_VALUE"""),"ಚಿತ್ರ ಯಶಸ್ವಿಯಾಗಿ ಉಳಿಸಲಾಗಿದೆ")</f>
        <v>ಚಿತ್ರ ಯಶಸ್ವಿಯಾಗಿ ಉಳಿಸಲಾಗಿದೆ</v>
      </c>
      <c r="F1065" s="2" t="str">
        <f>IFERROR(__xludf.DUMMYFUNCTION("""COMPUTED_VALUE"""),"ପ୍ରତିଛବି ସଫଳତାର ସହିତ ସଞ୍ଚୟ ହେଲା |")</f>
        <v>ପ୍ରତିଛବି ସଫଳତାର ସହିତ ସଞ୍ଚୟ ହେଲା |</v>
      </c>
      <c r="G1065" s="2" t="str">
        <f>IFERROR(__xludf.DUMMYFUNCTION("""COMPUTED_VALUE"""),"ছবি সফলতাৰে সংৰক্ষণ কৰা হৈছে")</f>
        <v>ছবি সফলতাৰে সংৰক্ষণ কৰা হৈছে</v>
      </c>
      <c r="H1065" s="2" t="str">
        <f>IFERROR(__xludf.DUMMYFUNCTION("""COMPUTED_VALUE"""),"છબી સફળતાપૂર્વક સાચવી")</f>
        <v>છબી સફળતાપૂર્વક સાચવી</v>
      </c>
      <c r="I1065" s="2" t="str">
        <f>IFERROR(__xludf.DUMMYFUNCTION("""COMPUTED_VALUE"""),"प्रतिमा यशस्वीरित्या जतन केली")</f>
        <v>प्रतिमा यशस्वीरित्या जतन केली</v>
      </c>
      <c r="J1065" s="2" t="str">
        <f>IFERROR(__xludf.DUMMYFUNCTION("""COMPUTED_VALUE"""),"ചിത്രം വിജയകരമായി സംരക്ഷിച്ചു")</f>
        <v>ചിത്രം വിജയകരമായി സംരക്ഷിച്ചു</v>
      </c>
      <c r="K1065" s="2" t="str">
        <f>IFERROR(__xludf.DUMMYFUNCTION("""COMPUTED_VALUE"""),"ਚਿੱਤਰ ਸਫਲਤਾਪੂਰਕ ਸੇਵ ਕੀਤਾ ਗਿਆ")</f>
        <v>ਚਿੱਤਰ ਸਫਲਤਾਪੂਰਕ ਸੇਵ ਕੀਤਾ ਗਿਆ</v>
      </c>
      <c r="L1065" s="2" t="str">
        <f>IFERROR(__xludf.DUMMYFUNCTION("""COMPUTED_VALUE"""),"படம் வெற்றிகரமாக சேமிக்கப்பட்டது")</f>
        <v>படம் வெற்றிகரமாக சேமிக்கப்பட்டது</v>
      </c>
      <c r="M1065" s="2" t="str">
        <f>IFERROR(__xludf.DUMMYFUNCTION("""COMPUTED_VALUE"""),"చిత్రం విజయవంతంగా సేవ్ చేయబడింది")</f>
        <v>చిత్రం విజయవంతంగా సేవ్ చేయబడింది</v>
      </c>
    </row>
    <row r="1066">
      <c r="A1066" s="2" t="str">
        <f>Master_en!A1066</f>
        <v>SaveYourLocation!</v>
      </c>
      <c r="B1066" s="2" t="str">
        <f>Master_en!B1066</f>
        <v>Save Your Location!</v>
      </c>
      <c r="C1066" s="2" t="str">
        <f>IFERROR(__xludf.DUMMYFUNCTION("""COMPUTED_VALUE"""),"আপনার অবস্থান সংরক্ষণ করুন!")</f>
        <v>আপনার অবস্থান সংরক্ষণ করুন!</v>
      </c>
      <c r="D1066" s="2" t="str">
        <f>IFERROR(__xludf.DUMMYFUNCTION("""COMPUTED_VALUE"""),"अपना स्थान सहेजें!")</f>
        <v>अपना स्थान सहेजें!</v>
      </c>
      <c r="E1066" s="2" t="str">
        <f>IFERROR(__xludf.DUMMYFUNCTION("""COMPUTED_VALUE"""),"ನಿಮ್ಮ ಸ್ಥಳವನ್ನು ಉಳಿಸಿ!")</f>
        <v>ನಿಮ್ಮ ಸ್ಥಳವನ್ನು ಉಳಿಸಿ!</v>
      </c>
      <c r="F1066" s="2" t="str">
        <f>IFERROR(__xludf.DUMMYFUNCTION("""COMPUTED_VALUE"""),"ତୁମର ଅବସ୍ଥାନ ସଞ୍ଚୟ କର!")</f>
        <v>ତୁମର ଅବସ୍ଥାନ ସଞ୍ଚୟ କର!</v>
      </c>
      <c r="G1066" s="2" t="str">
        <f>IFERROR(__xludf.DUMMYFUNCTION("""COMPUTED_VALUE"""),"আপোনাৰ অৱস্থান সংৰক্ষণ কৰক!")</f>
        <v>আপোনাৰ অৱস্থান সংৰক্ষণ কৰক!</v>
      </c>
      <c r="H1066" s="2" t="str">
        <f>IFERROR(__xludf.DUMMYFUNCTION("""COMPUTED_VALUE"""),"તમારું સ્થાન સાચવો!")</f>
        <v>તમારું સ્થાન સાચવો!</v>
      </c>
      <c r="I1066" s="2" t="str">
        <f>IFERROR(__xludf.DUMMYFUNCTION("""COMPUTED_VALUE"""),"आपले स्थान जतन करा!")</f>
        <v>आपले स्थान जतन करा!</v>
      </c>
      <c r="J1066" s="2" t="str">
        <f>IFERROR(__xludf.DUMMYFUNCTION("""COMPUTED_VALUE"""),"നിങ്ങളുടെ സ്ഥാനം സംരക്ഷിക്കുക!")</f>
        <v>നിങ്ങളുടെ സ്ഥാനം സംരക്ഷിക്കുക!</v>
      </c>
      <c r="K1066" s="2" t="str">
        <f>IFERROR(__xludf.DUMMYFUNCTION("""COMPUTED_VALUE"""),"ਆਪਣੀ ਸਥਿਤੀ ਨੂੰ ਬਚਾਓ!")</f>
        <v>ਆਪਣੀ ਸਥਿਤੀ ਨੂੰ ਬਚਾਓ!</v>
      </c>
      <c r="L1066" s="2" t="str">
        <f>IFERROR(__xludf.DUMMYFUNCTION("""COMPUTED_VALUE"""),"உங்கள் இருப்பிடத்தை சேமிக்கவும்!")</f>
        <v>உங்கள் இருப்பிடத்தை சேமிக்கவும்!</v>
      </c>
      <c r="M1066" s="2" t="str">
        <f>IFERROR(__xludf.DUMMYFUNCTION("""COMPUTED_VALUE"""),"మీ స్థానాన్ని సేవ్ చేయండి!")</f>
        <v>మీ స్థానాన్ని సేవ్ చేయండి!</v>
      </c>
    </row>
    <row r="1067">
      <c r="A1067" s="2" t="str">
        <f>Master_en!A1067</f>
        <v>Pleaseenteryourlocationtohelpusfindtheshopsnearyou</v>
      </c>
      <c r="B1067" s="2" t="str">
        <f>Master_en!B1067</f>
        <v>Please enter your location to help us find the shops near you</v>
      </c>
      <c r="C1067" s="2" t="str">
        <f>IFERROR(__xludf.DUMMYFUNCTION("""COMPUTED_VALUE"""),"আপনার কাছের দোকানগুলি খুঁজে পেতে আমাদের সহায়তা করতে দয়া করে আপনার অবস্থানটি প্রবেশ করুন")</f>
        <v>আপনার কাছের দোকানগুলি খুঁজে পেতে আমাদের সহায়তা করতে দয়া করে আপনার অবস্থানটি প্রবেশ করুন</v>
      </c>
      <c r="D1067" s="2" t="str">
        <f>IFERROR(__xludf.DUMMYFUNCTION("""COMPUTED_VALUE"""),"कृपया अपने पास की दुकानें खोजने में मदद करने के लिए अपना स्थान दर्ज करें")</f>
        <v>कृपया अपने पास की दुकानें खोजने में मदद करने के लिए अपना स्थान दर्ज करें</v>
      </c>
      <c r="E1067" s="2" t="str">
        <f>IFERROR(__xludf.DUMMYFUNCTION("""COMPUTED_VALUE"""),"ನಿಮ್ಮ ಹತ್ತಿರದ ಅಂಗಡಿಗಳನ್ನು ಹುಡುಕಲು ನಮಗೆ ಸಹಾಯ ಮಾಡಲು ದಯವಿಟ್ಟು ನಿಮ್ಮ ಸ್ಥಳವನ್ನು ನಮೂದಿಸಿ")</f>
        <v>ನಿಮ್ಮ ಹತ್ತಿರದ ಅಂಗಡಿಗಳನ್ನು ಹುಡುಕಲು ನಮಗೆ ಸಹಾಯ ಮಾಡಲು ದಯವಿಟ್ಟು ನಿಮ್ಮ ಸ್ಥಳವನ್ನು ನಮೂದಿಸಿ</v>
      </c>
      <c r="F1067" s="2" t="str">
        <f>IFERROR(__xludf.DUMMYFUNCTION("""COMPUTED_VALUE"""),"ଆପଣଙ୍କ ନିକଟରେ ଦୋକାନ ଖୋଜିବାରେ ସାହାଯ୍ୟ କରିବାକୁ ଦୟାକରି ଆପଣଙ୍କର ଅବସ୍ଥାନ ପ୍ରବେଶ କରନ୍ତୁ |")</f>
        <v>ଆପଣଙ୍କ ନିକଟରେ ଦୋକାନ ଖୋଜିବାରେ ସାହାଯ୍ୟ କରିବାକୁ ଦୟାକରି ଆପଣଙ୍କର ଅବସ୍ଥାନ ପ୍ରବେଶ କରନ୍ତୁ |</v>
      </c>
      <c r="G1067" s="2" t="str">
        <f>IFERROR(__xludf.DUMMYFUNCTION("""COMPUTED_VALUE"""),"অনুগ্ৰহ কৰি আপোনাৰ ওচৰৰ দোকানবিলাক বিচাৰি উলিওৱাত আমাক সহায় কৰিবলৈ আপোনাৰ অৱস্থান প্ৰবিষ্ট কৰক")</f>
        <v>অনুগ্ৰহ কৰি আপোনাৰ ওচৰৰ দোকানবিলাক বিচাৰি উলিওৱাত আমাক সহায় কৰিবলৈ আপোনাৰ অৱস্থান প্ৰবিষ্ট কৰক</v>
      </c>
      <c r="H1067" s="2" t="str">
        <f>IFERROR(__xludf.DUMMYFUNCTION("""COMPUTED_VALUE"""),"કૃપા કરીને તમારી નજીકની દુકાનો શોધવામાં સહાય માટે તમારું સ્થાન દાખલ કરો")</f>
        <v>કૃપા કરીને તમારી નજીકની દુકાનો શોધવામાં સહાય માટે તમારું સ્થાન દાખલ કરો</v>
      </c>
      <c r="I1067" s="2" t="str">
        <f>IFERROR(__xludf.DUMMYFUNCTION("""COMPUTED_VALUE"""),"कृपया आपल्या जवळची दुकाने शोधण्यात मदत करण्यासाठी आपले स्थान प्रविष्ट करा")</f>
        <v>कृपया आपल्या जवळची दुकाने शोधण्यात मदत करण्यासाठी आपले स्थान प्रविष्ट करा</v>
      </c>
      <c r="J1067" s="2" t="str">
        <f>IFERROR(__xludf.DUMMYFUNCTION("""COMPUTED_VALUE"""),"നിങ്ങളുടെ അടുത്തുള്ള കടകൾ കണ്ടെത്താൻ ഞങ്ങളെ സഹായിക്കുന്നതിന് ദയവായി നിങ്ങളുടെ സ്ഥാനം നൽകുക")</f>
        <v>നിങ്ങളുടെ അടുത്തുള്ള കടകൾ കണ്ടെത്താൻ ഞങ്ങളെ സഹായിക്കുന്നതിന് ദയവായി നിങ്ങളുടെ സ്ഥാനം നൽകുക</v>
      </c>
      <c r="K1067" s="2" t="str">
        <f>IFERROR(__xludf.DUMMYFUNCTION("""COMPUTED_VALUE"""),"ਕਿਰਪਾ ਕਰਕੇ ਆਪਣੇ ਟਿਕਾਣੇ ਨੂੰ ਲੱਭਣ ਵਿੱਚ ਸਾਡੀ ਸਹਾਇਤਾ ਲਈ ਆਪਣਾ ਸਥਾਨ ਦਾਖਲ ਕਰੋ")</f>
        <v>ਕਿਰਪਾ ਕਰਕੇ ਆਪਣੇ ਟਿਕਾਣੇ ਨੂੰ ਲੱਭਣ ਵਿੱਚ ਸਾਡੀ ਸਹਾਇਤਾ ਲਈ ਆਪਣਾ ਸਥਾਨ ਦਾਖਲ ਕਰੋ</v>
      </c>
      <c r="L1067" s="2" t="str">
        <f>IFERROR(__xludf.DUMMYFUNCTION("""COMPUTED_VALUE"""),"உங்களுக்கு அருகிலுள்ள கடைகளைக் கண்டுபிடிக்க எங்களுக்கு உதவ உங்கள் இருப்பிடத்தை உள்ளிடவும்")</f>
        <v>உங்களுக்கு அருகிலுள்ள கடைகளைக் கண்டுபிடிக்க எங்களுக்கு உதவ உங்கள் இருப்பிடத்தை உள்ளிடவும்</v>
      </c>
      <c r="M1067" s="2" t="str">
        <f>IFERROR(__xludf.DUMMYFUNCTION("""COMPUTED_VALUE"""),"మీ దగ్గర ఉన్న దుకాణాలను కనుగొనడంలో మాకు సహాయపడటానికి దయచేసి మీ స్థానాన్ని నమోదు చేయండి")</f>
        <v>మీ దగ్గర ఉన్న దుకాణాలను కనుగొనడంలో మాకు సహాయపడటానికి దయచేసి మీ స్థానాన్ని నమోదు చేయండి</v>
      </c>
    </row>
    <row r="1068">
      <c r="A1068" s="2" t="str">
        <f>Master_en!A1068</f>
        <v>DoYouHave</v>
      </c>
      <c r="B1068" s="2" t="str">
        <f>Master_en!B1068</f>
        <v>Do You Have</v>
      </c>
      <c r="C1068" s="2" t="str">
        <f>IFERROR(__xludf.DUMMYFUNCTION("""COMPUTED_VALUE"""),"তোমার আছে কি")</f>
        <v>তোমার আছে কি</v>
      </c>
      <c r="D1068" s="2" t="str">
        <f>IFERROR(__xludf.DUMMYFUNCTION("""COMPUTED_VALUE"""),"क्या आपके पास है")</f>
        <v>क्या आपके पास है</v>
      </c>
      <c r="E1068" s="2" t="str">
        <f>IFERROR(__xludf.DUMMYFUNCTION("""COMPUTED_VALUE"""),"ನೀವು ಹೊಂದಿದ್ದೀರಾ")</f>
        <v>ನೀವು ಹೊಂದಿದ್ದೀರಾ</v>
      </c>
      <c r="F1068" s="2" t="str">
        <f>IFERROR(__xludf.DUMMYFUNCTION("""COMPUTED_VALUE"""),"ଆପଣ୍ଂକ ପାଖରେ ଅଛି କି")</f>
        <v>ଆପଣ୍ଂକ ପାଖରେ ଅଛି କି</v>
      </c>
      <c r="G1068" s="2" t="str">
        <f>IFERROR(__xludf.DUMMYFUNCTION("""COMPUTED_VALUE"""),"আপোনাৰ আছে নেকি")</f>
        <v>আপোনাৰ আছে নেকি</v>
      </c>
      <c r="H1068" s="2" t="str">
        <f>IFERROR(__xludf.DUMMYFUNCTION("""COMPUTED_VALUE"""),"તારી જોડે છે")</f>
        <v>તારી જોડે છે</v>
      </c>
      <c r="I1068" s="2" t="str">
        <f>IFERROR(__xludf.DUMMYFUNCTION("""COMPUTED_VALUE"""),"आपल्याकडे आहे का?")</f>
        <v>आपल्याकडे आहे का?</v>
      </c>
      <c r="J1068" s="2" t="str">
        <f>IFERROR(__xludf.DUMMYFUNCTION("""COMPUTED_VALUE"""),"നിങ്ങൾക്കുണ്ടോ")</f>
        <v>നിങ്ങൾക്കുണ്ടോ</v>
      </c>
      <c r="K1068" s="2" t="str">
        <f>IFERROR(__xludf.DUMMYFUNCTION("""COMPUTED_VALUE"""),"ਕੀ ਤੁਹਾਡੇ ਕੋਲ ਹੈ")</f>
        <v>ਕੀ ਤੁਹਾਡੇ ਕੋਲ ਹੈ</v>
      </c>
      <c r="L1068" s="2" t="str">
        <f>IFERROR(__xludf.DUMMYFUNCTION("""COMPUTED_VALUE"""),"உங்களிடம் இருக்கிறதா?")</f>
        <v>உங்களிடம் இருக்கிறதா?</v>
      </c>
      <c r="M1068" s="2" t="str">
        <f>IFERROR(__xludf.DUMMYFUNCTION("""COMPUTED_VALUE"""),"నీ దగ్గర వుందా")</f>
        <v>నీ దగ్గర వుందా</v>
      </c>
    </row>
    <row r="1069">
      <c r="A1069" s="2" t="str">
        <f>Master_en!A1069</f>
        <v>refferalcode?</v>
      </c>
      <c r="B1069" s="2" t="str">
        <f>Master_en!B1069</f>
        <v>refferal code?</v>
      </c>
      <c r="C1069" s="2" t="str">
        <f>IFERROR(__xludf.DUMMYFUNCTION("""COMPUTED_VALUE"""),"Reffaral কোড?")</f>
        <v>Reffaral কোড?</v>
      </c>
      <c r="D1069" s="2" t="str">
        <f>IFERROR(__xludf.DUMMYFUNCTION("""COMPUTED_VALUE"""),"refferal कोड?")</f>
        <v>refferal कोड?</v>
      </c>
      <c r="E1069" s="2" t="str">
        <f>IFERROR(__xludf.DUMMYFUNCTION("""COMPUTED_VALUE"""),"ರೆಫರಲ್ ಕೋಡ್?")</f>
        <v>ರೆಫರಲ್ ಕೋಡ್?</v>
      </c>
      <c r="F1069" s="2" t="str">
        <f>IFERROR(__xludf.DUMMYFUNCTION("""COMPUTED_VALUE"""),"ରେଫରାଲ୍ କୋଡ୍?")</f>
        <v>ରେଫରାଲ୍ କୋଡ୍?</v>
      </c>
      <c r="G1069" s="2" t="str">
        <f>IFERROR(__xludf.DUMMYFUNCTION("""COMPUTED_VALUE"""),"ৰেফৰেল কোড?")</f>
        <v>ৰেফৰেল কোড?</v>
      </c>
      <c r="H1069" s="2" t="str">
        <f>IFERROR(__xludf.DUMMYFUNCTION("""COMPUTED_VALUE"""),"રેફેરલ કોડ?")</f>
        <v>રેફેરલ કોડ?</v>
      </c>
      <c r="I1069" s="2" t="str">
        <f>IFERROR(__xludf.DUMMYFUNCTION("""COMPUTED_VALUE"""),"रीफरल कोड?")</f>
        <v>रीफरल कोड?</v>
      </c>
      <c r="J1069" s="2" t="str">
        <f>IFERROR(__xludf.DUMMYFUNCTION("""COMPUTED_VALUE"""),"പുനർവിൽപ്പന കോഡ്?")</f>
        <v>പുനർവിൽപ്പന കോഡ്?</v>
      </c>
      <c r="K1069" s="2" t="str">
        <f>IFERROR(__xludf.DUMMYFUNCTION("""COMPUTED_VALUE"""),"ਰੀਫੇਰਡ ਕੋਡ?")</f>
        <v>ਰੀਫੇਰਡ ਕੋਡ?</v>
      </c>
      <c r="L1069" s="2" t="str">
        <f>IFERROR(__xludf.DUMMYFUNCTION("""COMPUTED_VALUE"""),"ரெஃபரல் குறியீடு?")</f>
        <v>ரெஃபரல் குறியீடு?</v>
      </c>
      <c r="M1069" s="2" t="str">
        <f>IFERROR(__xludf.DUMMYFUNCTION("""COMPUTED_VALUE"""),"రిఫెరల్ కోడ్?")</f>
        <v>రిఫెరల్ కోడ్?</v>
      </c>
    </row>
    <row r="1070">
      <c r="A1070" s="2" t="str">
        <f>Master_en!A1070</f>
        <v>FavouritesShops</v>
      </c>
      <c r="B1070" s="2" t="str">
        <f>Master_en!B1070</f>
        <v>Favourites Shops</v>
      </c>
      <c r="C1070" s="2" t="str">
        <f>IFERROR(__xludf.DUMMYFUNCTION("""COMPUTED_VALUE"""),"প্রিয় দোকান")</f>
        <v>প্রিয় দোকান</v>
      </c>
      <c r="D1070" s="2" t="str">
        <f>IFERROR(__xludf.DUMMYFUNCTION("""COMPUTED_VALUE"""),"पसंदीदा दुकानें")</f>
        <v>पसंदीदा दुकानें</v>
      </c>
      <c r="E1070" s="2" t="str">
        <f>IFERROR(__xludf.DUMMYFUNCTION("""COMPUTED_VALUE"""),"ಮೆಚ್ಚಿನ ಅಂಗಡಿಗಳು")</f>
        <v>ಮೆಚ್ಚಿನ ಅಂಗಡಿಗಳು</v>
      </c>
      <c r="F1070" s="2" t="str">
        <f>IFERROR(__xludf.DUMMYFUNCTION("""COMPUTED_VALUE"""),"ପ୍ରିୟ ଦୋକାନଗୁଡିକ ଦୋକାନଗୁଡିକ |")</f>
        <v>ପ୍ରିୟ ଦୋକାନଗୁଡିକ ଦୋକାନଗୁଡିକ |</v>
      </c>
      <c r="G1070" s="2" t="str">
        <f>IFERROR(__xludf.DUMMYFUNCTION("""COMPUTED_VALUE"""),"প্ৰিয় দোকানসমূহ")</f>
        <v>প্ৰিয় দোকানসমূহ</v>
      </c>
      <c r="H1070" s="2" t="str">
        <f>IFERROR(__xludf.DUMMYFUNCTION("""COMPUTED_VALUE"""),"પ્રિય દુકાન")</f>
        <v>પ્રિય દુકાન</v>
      </c>
      <c r="I1070" s="2" t="str">
        <f>IFERROR(__xludf.DUMMYFUNCTION("""COMPUTED_VALUE"""),"आवडीची दुकाने")</f>
        <v>आवडीची दुकाने</v>
      </c>
      <c r="J1070" s="2" t="str">
        <f>IFERROR(__xludf.DUMMYFUNCTION("""COMPUTED_VALUE"""),"പ്രിയങ്കര പീസ്")</f>
        <v>പ്രിയങ്കര പീസ്</v>
      </c>
      <c r="K1070" s="2" t="str">
        <f>IFERROR(__xludf.DUMMYFUNCTION("""COMPUTED_VALUE"""),"ਮਨਪਸੰਦ ਦੁਕਾਨਾਂ")</f>
        <v>ਮਨਪਸੰਦ ਦੁਕਾਨਾਂ</v>
      </c>
      <c r="L1070" s="2" t="str">
        <f>IFERROR(__xludf.DUMMYFUNCTION("""COMPUTED_VALUE"""),"பிடித்த கடைகள்")</f>
        <v>பிடித்த கடைகள்</v>
      </c>
      <c r="M1070" s="2" t="str">
        <f>IFERROR(__xludf.DUMMYFUNCTION("""COMPUTED_VALUE"""),"ఇష్టమైన దుకాణాలు")</f>
        <v>ఇష్టమైన దుకాణాలు</v>
      </c>
    </row>
    <row r="1071">
      <c r="A1071" s="2" t="str">
        <f>Master_en!A1071</f>
        <v>AddressAdded!!</v>
      </c>
      <c r="B1071" s="2" t="str">
        <f>Master_en!B1071</f>
        <v>Address Added !!</v>
      </c>
      <c r="C1071" s="2" t="str">
        <f>IFERROR(__xludf.DUMMYFUNCTION("""COMPUTED_VALUE"""),"ঠিকানা যুক্ত !!")</f>
        <v>ঠিকানা যুক্ত !!</v>
      </c>
      <c r="D1071" s="2" t="str">
        <f>IFERROR(__xludf.DUMMYFUNCTION("""COMPUTED_VALUE"""),"पता जोड़ा !!")</f>
        <v>पता जोड़ा !!</v>
      </c>
      <c r="E1071" s="2" t="str">
        <f>IFERROR(__xludf.DUMMYFUNCTION("""COMPUTED_VALUE"""),"ವಿಳಾಸವನ್ನು ಸೇರಿಸಲಾಗಿದೆ !!")</f>
        <v>ವಿಳಾಸವನ್ನು ಸೇರಿಸಲಾಗಿದೆ !!</v>
      </c>
      <c r="F1071" s="2" t="str">
        <f>IFERROR(__xludf.DUMMYFUNCTION("""COMPUTED_VALUE"""),"ଠିକଣା ଯୋଡା ଯାଇଛି !!")</f>
        <v>ଠିକଣା ଯୋଡା ଯାଇଛି !!</v>
      </c>
      <c r="G1071" s="2" t="str">
        <f>IFERROR(__xludf.DUMMYFUNCTION("""COMPUTED_VALUE"""),"ঠিকনা যোগ কৰা হৈছে !!")</f>
        <v>ঠিকনা যোগ কৰা হৈছে !!</v>
      </c>
      <c r="H1071" s="2" t="str">
        <f>IFERROR(__xludf.DUMMYFUNCTION("""COMPUTED_VALUE"""),"સરનામું ઉમેર્યું !!")</f>
        <v>સરનામું ઉમેર્યું !!</v>
      </c>
      <c r="I1071" s="2" t="str">
        <f>IFERROR(__xludf.DUMMYFUNCTION("""COMPUTED_VALUE"""),"पत्ता जोडला !!")</f>
        <v>पत्ता जोडला !!</v>
      </c>
      <c r="J1071" s="2" t="str">
        <f>IFERROR(__xludf.DUMMYFUNCTION("""COMPUTED_VALUE"""),"വിലാസം ചേർത്തു !!")</f>
        <v>വിലാസം ചേർത്തു !!</v>
      </c>
      <c r="K1071" s="2" t="str">
        <f>IFERROR(__xludf.DUMMYFUNCTION("""COMPUTED_VALUE"""),"ਪਤਾ ਜੋੜਿਆ !!")</f>
        <v>ਪਤਾ ਜੋੜਿਆ !!</v>
      </c>
      <c r="L1071" s="2" t="str">
        <f>IFERROR(__xludf.DUMMYFUNCTION("""COMPUTED_VALUE"""),"முகவரி சேர்க்கப்பட்டது !!")</f>
        <v>முகவரி சேர்க்கப்பட்டது !!</v>
      </c>
      <c r="M1071" s="2" t="str">
        <f>IFERROR(__xludf.DUMMYFUNCTION("""COMPUTED_VALUE"""),"చిరునామా జోడించబడింది !!")</f>
        <v>చిరునామా జోడించబడింది !!</v>
      </c>
    </row>
    <row r="1072">
      <c r="A1072" s="2" t="str">
        <f>Master_en!A1072</f>
        <v>ratingsuccess</v>
      </c>
      <c r="B1072" s="2" t="str">
        <f>Master_en!B1072</f>
        <v>rating success</v>
      </c>
      <c r="C1072" s="2" t="str">
        <f>IFERROR(__xludf.DUMMYFUNCTION("""COMPUTED_VALUE"""),"রেটিং সাফল্য")</f>
        <v>রেটিং সাফল্য</v>
      </c>
      <c r="D1072" s="2" t="str">
        <f>IFERROR(__xludf.DUMMYFUNCTION("""COMPUTED_VALUE"""),"रेटिंग सफलता")</f>
        <v>रेटिंग सफलता</v>
      </c>
      <c r="E1072" s="2" t="str">
        <f>IFERROR(__xludf.DUMMYFUNCTION("""COMPUTED_VALUE"""),"ರೇಟಿಂಗ್ ಯಶಸ್ಸು")</f>
        <v>ರೇಟಿಂಗ್ ಯಶಸ್ಸು</v>
      </c>
      <c r="F1072" s="2" t="str">
        <f>IFERROR(__xludf.DUMMYFUNCTION("""COMPUTED_VALUE"""),"ମୂଲ୍ୟାୟନ ସଫଳତା |")</f>
        <v>ମୂଲ୍ୟାୟନ ସଫଳତା |</v>
      </c>
      <c r="G1072" s="2" t="str">
        <f>IFERROR(__xludf.DUMMYFUNCTION("""COMPUTED_VALUE"""),"ৰেটিং সফলতা")</f>
        <v>ৰেটিং সফলতা</v>
      </c>
      <c r="H1072" s="2" t="str">
        <f>IFERROR(__xludf.DUMMYFUNCTION("""COMPUTED_VALUE"""),"દરખાસ્ત -સફળતા")</f>
        <v>દરખાસ્ત -સફળતા</v>
      </c>
      <c r="I1072" s="2" t="str">
        <f>IFERROR(__xludf.DUMMYFUNCTION("""COMPUTED_VALUE"""),"रेटिंग यश")</f>
        <v>रेटिंग यश</v>
      </c>
      <c r="J1072" s="2" t="str">
        <f>IFERROR(__xludf.DUMMYFUNCTION("""COMPUTED_VALUE"""),"റേറ്റിംഗ് വിജയം")</f>
        <v>റേറ്റിംഗ് വിജയം</v>
      </c>
      <c r="K1072" s="2" t="str">
        <f>IFERROR(__xludf.DUMMYFUNCTION("""COMPUTED_VALUE"""),"ਰੇਟਿੰਗ ਸਫਲਤਾ")</f>
        <v>ਰੇਟਿੰਗ ਸਫਲਤਾ</v>
      </c>
      <c r="L1072" s="2" t="str">
        <f>IFERROR(__xludf.DUMMYFUNCTION("""COMPUTED_VALUE"""),"மதிப்பீட்டு வெற்றி")</f>
        <v>மதிப்பீட்டு வெற்றி</v>
      </c>
      <c r="M1072" s="2" t="str">
        <f>IFERROR(__xludf.DUMMYFUNCTION("""COMPUTED_VALUE"""),"రేటింగ్ విజయం")</f>
        <v>రేటింగ్ విజయం</v>
      </c>
    </row>
    <row r="1073">
      <c r="A1073" s="2" t="str">
        <f>Master_en!A1073</f>
        <v>employeestatusupdated!!</v>
      </c>
      <c r="B1073" s="2" t="str">
        <f>Master_en!B1073</f>
        <v>employee status updated!!</v>
      </c>
      <c r="C1073" s="2" t="str">
        <f>IFERROR(__xludf.DUMMYFUNCTION("""COMPUTED_VALUE"""),"কর্মচারীর স্থিতি আপডেট হয়েছে !!")</f>
        <v>কর্মচারীর স্থিতি আপডেট হয়েছে !!</v>
      </c>
      <c r="D1073" s="2" t="str">
        <f>IFERROR(__xludf.DUMMYFUNCTION("""COMPUTED_VALUE"""),"कर्मचारी की स्थिति अद्यतन !!")</f>
        <v>कर्मचारी की स्थिति अद्यतन !!</v>
      </c>
      <c r="E1073" s="2" t="str">
        <f>IFERROR(__xludf.DUMMYFUNCTION("""COMPUTED_VALUE"""),"ನೌಕರರ ಸ್ಥಿತಿ ನವೀಕರಿಸಲಾಗಿದೆ !!")</f>
        <v>ನೌಕರರ ಸ್ಥಿತಿ ನವೀಕರಿಸಲಾಗಿದೆ !!</v>
      </c>
      <c r="F1073" s="2" t="str">
        <f>IFERROR(__xludf.DUMMYFUNCTION("""COMPUTED_VALUE"""),"କର୍ମଚାରୀ ସ୍ଥିତି ଅପଡେଟ୍ ହୋଇଛି !!")</f>
        <v>କର୍ମଚାରୀ ସ୍ଥିତି ଅପଡେଟ୍ ହୋଇଛି !!</v>
      </c>
      <c r="G1073" s="2" t="str">
        <f>IFERROR(__xludf.DUMMYFUNCTION("""COMPUTED_VALUE"""),"কৰ্মচাৰীৰ স্থিতি আপডেট কৰা হৈছে!!")</f>
        <v>কৰ্মচাৰীৰ স্থিতি আপডেট কৰা হৈছে!!</v>
      </c>
      <c r="H1073" s="2" t="str">
        <f>IFERROR(__xludf.DUMMYFUNCTION("""COMPUTED_VALUE"""),"કર્મચારીની સ્થિતિ અપડેટ થઈ !!")</f>
        <v>કર્મચારીની સ્થિતિ અપડેટ થઈ !!</v>
      </c>
      <c r="I1073" s="2" t="str">
        <f>IFERROR(__xludf.DUMMYFUNCTION("""COMPUTED_VALUE"""),"कर्मचार्‍यांची स्थिती अद्यतनित केली !!")</f>
        <v>कर्मचार्‍यांची स्थिती अद्यतनित केली !!</v>
      </c>
      <c r="J1073" s="2" t="str">
        <f>IFERROR(__xludf.DUMMYFUNCTION("""COMPUTED_VALUE"""),"ജീവനക്കാരുടെ നില അപ്ഡേറ്റുചെയ്തു !!")</f>
        <v>ജീവനക്കാരുടെ നില അപ്ഡേറ്റുചെയ്തു !!</v>
      </c>
      <c r="K1073" s="2" t="str">
        <f>IFERROR(__xludf.DUMMYFUNCTION("""COMPUTED_VALUE"""),"ਕਰਮਚਾਰੀ ਦੀ ਸਥਿਤੀ ਨੂੰ ਅਪਡੇਟ ਕੀਤਾ ਗਿਆ !!")</f>
        <v>ਕਰਮਚਾਰੀ ਦੀ ਸਥਿਤੀ ਨੂੰ ਅਪਡੇਟ ਕੀਤਾ ਗਿਆ !!</v>
      </c>
      <c r="L1073" s="2" t="str">
        <f>IFERROR(__xludf.DUMMYFUNCTION("""COMPUTED_VALUE"""),"பணியாளர் நிலை புதுப்பிக்கப்பட்டது !!")</f>
        <v>பணியாளர் நிலை புதுப்பிக்கப்பட்டது !!</v>
      </c>
      <c r="M1073" s="2" t="str">
        <f>IFERROR(__xludf.DUMMYFUNCTION("""COMPUTED_VALUE"""),"ఉద్యోగుల స్థితి నవీకరించబడింది !!")</f>
        <v>ఉద్యోగుల స్థితి నవీకరించబడింది !!</v>
      </c>
    </row>
    <row r="1074">
      <c r="A1074" s="2" t="str">
        <f>Master_en!A1074</f>
        <v>areyousureyouwanttodeactivate?</v>
      </c>
      <c r="B1074" s="2" t="str">
        <f>Master_en!B1074</f>
        <v>are you sure you want to deactivate?</v>
      </c>
      <c r="C1074" s="2" t="str">
        <f>IFERROR(__xludf.DUMMYFUNCTION("""COMPUTED_VALUE"""),"আপনি কি নিশ্চিত যে আপনি নিষ্ক্রিয় করতে চান?")</f>
        <v>আপনি কি নিশ্চিত যে আপনি নিষ্ক্রিয় করতে চান?</v>
      </c>
      <c r="D1074" s="2" t="str">
        <f>IFERROR(__xludf.DUMMYFUNCTION("""COMPUTED_VALUE"""),"क्या आप सुनिश्चित हैं कि आप निष्क्रिय करना चाहते हैं?")</f>
        <v>क्या आप सुनिश्चित हैं कि आप निष्क्रिय करना चाहते हैं?</v>
      </c>
      <c r="E1074" s="2" t="str">
        <f>IFERROR(__xludf.DUMMYFUNCTION("""COMPUTED_VALUE"""),"ನೀವು ನಿಷ್ಕ್ರಿಯಗೊಳಿಸಲು ಬಯಸುತ್ತೀರಾ?")</f>
        <v>ನೀವು ನಿಷ್ಕ್ರಿಯಗೊಳಿಸಲು ಬಯಸುತ್ತೀರಾ?</v>
      </c>
      <c r="F1074" s="2" t="str">
        <f>IFERROR(__xludf.DUMMYFUNCTION("""COMPUTED_VALUE"""),"ଆପଣ ନିଶ୍ଚିତ କି ଆପଣ ନିଷ୍କ୍ରିୟ କରିବାକୁ ଚାହୁଁଛନ୍ତି?")</f>
        <v>ଆପଣ ନିଶ୍ଚିତ କି ଆପଣ ନିଷ୍କ୍ରିୟ କରିବାକୁ ଚାହୁଁଛନ୍ତି?</v>
      </c>
      <c r="G1074" s="2" t="str">
        <f>IFERROR(__xludf.DUMMYFUNCTION("""COMPUTED_VALUE"""),"আপুনি নিষ্ক্ৰিয় কৰিব বিচাৰে বুলি নিশ্চিতনে?")</f>
        <v>আপুনি নিষ্ক্ৰিয় কৰিব বিচাৰে বুলি নিশ্চিতনে?</v>
      </c>
      <c r="H1074" s="2" t="str">
        <f>IFERROR(__xludf.DUMMYFUNCTION("""COMPUTED_VALUE"""),"શું તમે ખરેખર નિષ્ક્રિય કરવા માંગો છો?")</f>
        <v>શું તમે ખરેખર નિષ્ક્રિય કરવા માંગો છો?</v>
      </c>
      <c r="I1074" s="2" t="str">
        <f>IFERROR(__xludf.DUMMYFUNCTION("""COMPUTED_VALUE"""),"आपणास खात्री आहे की आपण निष्क्रिय करू इच्छिता?")</f>
        <v>आपणास खात्री आहे की आपण निष्क्रिय करू इच्छिता?</v>
      </c>
      <c r="J1074" s="2" t="str">
        <f>IFERROR(__xludf.DUMMYFUNCTION("""COMPUTED_VALUE"""),"നിർജ്ജീവമാക്കണമെന്ന് നിങ്ങൾക്ക് ഉറപ്പാണോ?")</f>
        <v>നിർജ്ജീവമാക്കണമെന്ന് നിങ്ങൾക്ക് ഉറപ്പാണോ?</v>
      </c>
      <c r="K1074" s="2" t="str">
        <f>IFERROR(__xludf.DUMMYFUNCTION("""COMPUTED_VALUE"""),"ਕੀ ਤੁਸੀਂ ਨਿਸ਼ਚਤ ਹੋ ਕਿ ਤੁਸੀਂ ਅਯੋਗ ਕਰਨਾ ਚਾਹੁੰਦੇ ਹੋ?")</f>
        <v>ਕੀ ਤੁਸੀਂ ਨਿਸ਼ਚਤ ਹੋ ਕਿ ਤੁਸੀਂ ਅਯੋਗ ਕਰਨਾ ਚਾਹੁੰਦੇ ਹੋ?</v>
      </c>
      <c r="L1074" s="2" t="str">
        <f>IFERROR(__xludf.DUMMYFUNCTION("""COMPUTED_VALUE"""),"நீங்கள் செயலிழக்க செய்ய விரும்புகிறீர்களா?")</f>
        <v>நீங்கள் செயலிழக்க செய்ய விரும்புகிறீர்களா?</v>
      </c>
      <c r="M1074" s="2" t="str">
        <f>IFERROR(__xludf.DUMMYFUNCTION("""COMPUTED_VALUE"""),"మీరు ఖచ్చితంగా నిష్క్రియం చేయాలనుకుంటున్నారా?")</f>
        <v>మీరు ఖచ్చితంగా నిష్క్రియం చేయాలనుకుంటున్నారా?</v>
      </c>
    </row>
    <row r="1075">
      <c r="A1075" s="2" t="str">
        <f>Master_en!A1075</f>
        <v>Areyousureyouwanttoleavethepagewithoutsavingchanges?Changenotsaved!</v>
      </c>
      <c r="B1075" s="2" t="str">
        <f>Master_en!B1075</f>
        <v>Are you sure you want to leave the page without saving changes?</v>
      </c>
      <c r="C1075" s="2" t="str">
        <f>IFERROR(__xludf.DUMMYFUNCTION("""COMPUTED_VALUE"""),"আপনি কি নিশ্চিত যে আপনি পরিবর্তনগুলি সংরক্ষণ না করে পৃষ্ঠাটি ছেড়ে যেতে চান?")</f>
        <v>আপনি কি নিশ্চিত যে আপনি পরিবর্তনগুলি সংরক্ষণ না করে পৃষ্ঠাটি ছেড়ে যেতে চান?</v>
      </c>
      <c r="D1075" s="2" t="str">
        <f>IFERROR(__xludf.DUMMYFUNCTION("""COMPUTED_VALUE"""),"क्या आप सुनिश्चित हैं कि आप परिवर्तनों को सहेजे बिना पृष्ठ छोड़ना चाहते हैं?")</f>
        <v>क्या आप सुनिश्चित हैं कि आप परिवर्तनों को सहेजे बिना पृष्ठ छोड़ना चाहते हैं?</v>
      </c>
      <c r="E1075" s="2" t="str">
        <f>IFERROR(__xludf.DUMMYFUNCTION("""COMPUTED_VALUE"""),"ಬದಲಾವಣೆಗಳನ್ನು ಉಳಿಸದೆ ನೀವು ಪುಟವನ್ನು ಬಿಡಲು ಬಯಸುತ್ತೀರಾ?")</f>
        <v>ಬದಲಾವಣೆಗಳನ್ನು ಉಳಿಸದೆ ನೀವು ಪುಟವನ್ನು ಬಿಡಲು ಬಯಸುತ್ತೀರಾ?</v>
      </c>
      <c r="F1075" s="2" t="str">
        <f>IFERROR(__xludf.DUMMYFUNCTION("""COMPUTED_VALUE"""),"ଆପଣ ନିଶ୍ଚିତ ଭାବରେ ପରିବର୍ତ୍ତନ ନକରି ପୃଷ୍ଠା ଛାଡିବାକୁ ଚାହୁଁଛନ୍ତି କି?")</f>
        <v>ଆପଣ ନିଶ୍ଚିତ ଭାବରେ ପରିବର୍ତ୍ତନ ନକରି ପୃଷ୍ଠା ଛାଡିବାକୁ ଚାହୁଁଛନ୍ତି କି?</v>
      </c>
      <c r="G1075" s="2" t="str">
        <f>IFERROR(__xludf.DUMMYFUNCTION("""COMPUTED_VALUE"""),"আপুনি পৰিৱৰ্তনবোৰ সংৰক্ষণ নকৰাকৈ পৃষ্ঠাটো এৰিব বিচাৰে বুলি নিশ্চিতনে?")</f>
        <v>আপুনি পৰিৱৰ্তনবোৰ সংৰক্ষণ নকৰাকৈ পৃষ্ঠাটো এৰিব বিচাৰে বুলি নিশ্চিতনে?</v>
      </c>
      <c r="H1075" s="2" t="str">
        <f>IFERROR(__xludf.DUMMYFUNCTION("""COMPUTED_VALUE"""),"શું તમે ખાતરી કરો છો કે તમે ફેરફારોને બચાવ્યા વિના પૃષ્ઠ છોડવા માંગો છો?")</f>
        <v>શું તમે ખાતરી કરો છો કે તમે ફેરફારોને બચાવ્યા વિના પૃષ્ઠ છોડવા માંગો છો?</v>
      </c>
      <c r="I1075" s="2" t="str">
        <f>IFERROR(__xludf.DUMMYFUNCTION("""COMPUTED_VALUE"""),"आपणास खात्री आहे की आपण बदल जतन केल्याशिवाय पृष्ठ सोडू इच्छिता?")</f>
        <v>आपणास खात्री आहे की आपण बदल जतन केल्याशिवाय पृष्ठ सोडू इच्छिता?</v>
      </c>
      <c r="J1075" s="2" t="str">
        <f>IFERROR(__xludf.DUMMYFUNCTION("""COMPUTED_VALUE"""),"മാറ്റങ്ങൾ സംരക്ഷിക്കാതെ പേജ് ഉപേക്ഷിക്കാൻ നിങ്ങൾ ആഗ്രഹിക്കുന്നുണ്ടോ?")</f>
        <v>മാറ്റങ്ങൾ സംരക്ഷിക്കാതെ പേജ് ഉപേക്ഷിക്കാൻ നിങ്ങൾ ആഗ്രഹിക്കുന്നുണ്ടോ?</v>
      </c>
      <c r="K1075" s="2" t="str">
        <f>IFERROR(__xludf.DUMMYFUNCTION("""COMPUTED_VALUE"""),"ਕੀ ਤੁਸੀਂ ਧਿਆਨ ਹਟਾਏ ਬਿਨਾਂ ਪੇਜ ਨੂੰ ਛੱਡਣਾ ਚਾਹੁੰਦੇ ਹੋ?")</f>
        <v>ਕੀ ਤੁਸੀਂ ਧਿਆਨ ਹਟਾਏ ਬਿਨਾਂ ਪੇਜ ਨੂੰ ਛੱਡਣਾ ਚਾਹੁੰਦੇ ਹੋ?</v>
      </c>
      <c r="L1075" s="2" t="str">
        <f>IFERROR(__xludf.DUMMYFUNCTION("""COMPUTED_VALUE"""),"மாற்றங்களைச் சேமிக்காமல் பக்கத்தை விட்டு வெளியேற விரும்புகிறீர்களா?")</f>
        <v>மாற்றங்களைச் சேமிக்காமல் பக்கத்தை விட்டு வெளியேற விரும்புகிறீர்களா?</v>
      </c>
      <c r="M1075" s="2" t="str">
        <f>IFERROR(__xludf.DUMMYFUNCTION("""COMPUTED_VALUE"""),"మార్పులను సేవ్ చేయకుండా మీరు పేజీని విడిచిపెట్టాలనుకుంటున్నారా?")</f>
        <v>మార్పులను సేవ్ చేయకుండా మీరు పేజీని విడిచిపెట్టాలనుకుంటున్నారా?</v>
      </c>
    </row>
    <row r="1076">
      <c r="A1076" s="2" t="str">
        <f>Master_en!A1076</f>
        <v>Changenotsaved!</v>
      </c>
      <c r="B1076" s="2" t="str">
        <f>Master_en!B1076</f>
        <v>Change not saved!</v>
      </c>
      <c r="C1076" s="2" t="str">
        <f>IFERROR(__xludf.DUMMYFUNCTION("""COMPUTED_VALUE"""),"পরিবর্তন সংরক্ষণ করা হয়নি!")</f>
        <v>পরিবর্তন সংরক্ষণ করা হয়নি!</v>
      </c>
      <c r="D1076" s="2" t="str">
        <f>IFERROR(__xludf.DUMMYFUNCTION("""COMPUTED_VALUE"""),"बचाया नहीं गया!")</f>
        <v>बचाया नहीं गया!</v>
      </c>
      <c r="E1076" s="2" t="str">
        <f>IFERROR(__xludf.DUMMYFUNCTION("""COMPUTED_VALUE"""),"ಬದಲಾವಣೆ ಉಳಿಸಲಾಗಿಲ್ಲ!")</f>
        <v>ಬದಲಾವಣೆ ಉಳಿಸಲಾಗಿಲ್ಲ!</v>
      </c>
      <c r="F1076" s="2" t="str">
        <f>IFERROR(__xludf.DUMMYFUNCTION("""COMPUTED_VALUE"""),"ପରିବର୍ତ୍ତନ ସଞ୍ଚୟ ହୋଇନାହିଁ!")</f>
        <v>ପରିବର୍ତ୍ତନ ସଞ୍ଚୟ ହୋଇନାହିଁ!</v>
      </c>
      <c r="G1076" s="2" t="str">
        <f>IFERROR(__xludf.DUMMYFUNCTION("""COMPUTED_VALUE"""),"পৰিবৰ্তন সংৰক্ষণ কৰা হোৱা নাই!")</f>
        <v>পৰিবৰ্তন সংৰক্ষণ কৰা হোৱা নাই!</v>
      </c>
      <c r="H1076" s="2" t="str">
        <f>IFERROR(__xludf.DUMMYFUNCTION("""COMPUTED_VALUE"""),"બદલો સાચવ્યો નહીં!")</f>
        <v>બદલો સાચવ્યો નહીં!</v>
      </c>
      <c r="I1076" s="2" t="str">
        <f>IFERROR(__xludf.DUMMYFUNCTION("""COMPUTED_VALUE"""),"बदल जतन केले नाही!")</f>
        <v>बदल जतन केले नाही!</v>
      </c>
      <c r="J1076" s="2" t="str">
        <f>IFERROR(__xludf.DUMMYFUNCTION("""COMPUTED_VALUE"""),"മാറ്റം സംരക്ഷിച്ചിട്ടില്ല!")</f>
        <v>മാറ്റം സംരക്ഷിച്ചിട്ടില്ല!</v>
      </c>
      <c r="K1076" s="2" t="str">
        <f>IFERROR(__xludf.DUMMYFUNCTION("""COMPUTED_VALUE"""),"ਬਦਲਾਓ ਨਾ ਬਚਿਆ!")</f>
        <v>ਬਦਲਾਓ ਨਾ ਬਚਿਆ!</v>
      </c>
      <c r="L1076" s="2" t="str">
        <f>IFERROR(__xludf.DUMMYFUNCTION("""COMPUTED_VALUE"""),"சேமிக்கப்படவில்லை!")</f>
        <v>சேமிக்கப்படவில்லை!</v>
      </c>
      <c r="M1076" s="2" t="str">
        <f>IFERROR(__xludf.DUMMYFUNCTION("""COMPUTED_VALUE"""),"మార్పు సేవ్ చేయబడలేదు!")</f>
        <v>మార్పు సేవ్ చేయబడలేదు!</v>
      </c>
    </row>
    <row r="1077">
      <c r="A1077" s="2" t="str">
        <f>Master_en!A1077</f>
        <v>Userdatauploaded!</v>
      </c>
      <c r="B1077" s="2" t="str">
        <f>Master_en!B1077</f>
        <v>User data uploaded!</v>
      </c>
      <c r="C1077" s="2" t="str">
        <f>IFERROR(__xludf.DUMMYFUNCTION("""COMPUTED_VALUE"""),"ব্যবহারকারীর ডেটা আপলোড!")</f>
        <v>ব্যবহারকারীর ডেটা আপলোড!</v>
      </c>
      <c r="D1077" s="2" t="str">
        <f>IFERROR(__xludf.DUMMYFUNCTION("""COMPUTED_VALUE"""),"उपयोगकर्ता डेटा अपलोड किया गया!")</f>
        <v>उपयोगकर्ता डेटा अपलोड किया गया!</v>
      </c>
      <c r="E1077" s="2" t="str">
        <f>IFERROR(__xludf.DUMMYFUNCTION("""COMPUTED_VALUE"""),"ಬಳಕೆದಾರರ ಡೇಟಾವನ್ನು ಅಪ್‌ಲೋಡ್ ಮಾಡಲಾಗಿದೆ!")</f>
        <v>ಬಳಕೆದಾರರ ಡೇಟಾವನ್ನು ಅಪ್‌ಲೋಡ್ ಮಾಡಲಾಗಿದೆ!</v>
      </c>
      <c r="F1077" s="2" t="str">
        <f>IFERROR(__xludf.DUMMYFUNCTION("""COMPUTED_VALUE"""),"ଉପଯୋଗକର୍ତ୍ତା ତଥ୍ୟ ଅପଲୋଡ୍ ହୋଇଛି!")</f>
        <v>ଉପଯୋଗକର୍ତ୍ତା ତଥ୍ୟ ଅପଲୋଡ୍ ହୋଇଛି!</v>
      </c>
      <c r="G1077" s="2" t="str">
        <f>IFERROR(__xludf.DUMMYFUNCTION("""COMPUTED_VALUE"""),"ব্যৱহাৰকাৰীৰ তথ্য আপলোড কৰা হৈছে!")</f>
        <v>ব্যৱহাৰকাৰীৰ তথ্য আপলোড কৰা হৈছে!</v>
      </c>
      <c r="H1077" s="2" t="str">
        <f>IFERROR(__xludf.DUMMYFUNCTION("""COMPUTED_VALUE"""),"વપરાશકર્તા ડેટા અપલોડ!")</f>
        <v>વપરાશકર્તા ડેટા અપલોડ!</v>
      </c>
      <c r="I1077" s="2" t="str">
        <f>IFERROR(__xludf.DUMMYFUNCTION("""COMPUTED_VALUE"""),"वापरकर्ता डेटा अपलोड केला!")</f>
        <v>वापरकर्ता डेटा अपलोड केला!</v>
      </c>
      <c r="J1077" s="2" t="str">
        <f>IFERROR(__xludf.DUMMYFUNCTION("""COMPUTED_VALUE"""),"ഉപയോക്തൃ ഡാറ്റ അപ്ലോഡുചെയ്തു!")</f>
        <v>ഉപയോക്തൃ ഡാറ്റ അപ്ലോഡുചെയ്തു!</v>
      </c>
      <c r="K1077" s="2" t="str">
        <f>IFERROR(__xludf.DUMMYFUNCTION("""COMPUTED_VALUE"""),"ਉਪਭੋਗਤਾ ਡੇਟਾ ਅਪਲੋਡ ਕੀਤਾ ਗਿਆ!")</f>
        <v>ਉਪਭੋਗਤਾ ਡੇਟਾ ਅਪਲੋਡ ਕੀਤਾ ਗਿਆ!</v>
      </c>
      <c r="L1077" s="2" t="str">
        <f>IFERROR(__xludf.DUMMYFUNCTION("""COMPUTED_VALUE"""),"பயனர் தரவு பதிவேற்றப்பட்டது!")</f>
        <v>பயனர் தரவு பதிவேற்றப்பட்டது!</v>
      </c>
      <c r="M1077" s="2" t="str">
        <f>IFERROR(__xludf.DUMMYFUNCTION("""COMPUTED_VALUE"""),"వినియోగదారు డేటా అప్‌లోడ్ చేయబడింది!")</f>
        <v>వినియోగదారు డేటా అప్‌లోడ్ చేయబడింది!</v>
      </c>
    </row>
    <row r="1078">
      <c r="A1078" s="2" t="str">
        <f>Master_en!A1078</f>
        <v>MinOrderQuantity</v>
      </c>
      <c r="B1078" s="2" t="str">
        <f>Master_en!B1078</f>
        <v>Min Order Quantity</v>
      </c>
      <c r="C1078" s="2" t="str">
        <f>IFERROR(__xludf.DUMMYFUNCTION("""COMPUTED_VALUE"""),"মিনিট অর্ডার পরিমাণ")</f>
        <v>মিনিট অর্ডার পরিমাণ</v>
      </c>
      <c r="D1078" s="2" t="str">
        <f>IFERROR(__xludf.DUMMYFUNCTION("""COMPUTED_VALUE"""),"न्यूनतम आर्डर राशि")</f>
        <v>न्यूनतम आर्डर राशि</v>
      </c>
      <c r="E1078" s="2" t="str">
        <f>IFERROR(__xludf.DUMMYFUNCTION("""COMPUTED_VALUE"""),"ನಿಮಿಷದ ಆದೇಶ ಪ್ರಮಾಣ")</f>
        <v>ನಿಮಿಷದ ಆದೇಶ ಪ್ರಮಾಣ</v>
      </c>
      <c r="F1078" s="2" t="str">
        <f>IFERROR(__xludf.DUMMYFUNCTION("""COMPUTED_VALUE"""),"ମିନି ଅର୍ଡର ପରିମାଣ |")</f>
        <v>ମିନି ଅର୍ଡର ପରିମାଣ |</v>
      </c>
      <c r="G1078" s="2" t="str">
        <f>IFERROR(__xludf.DUMMYFUNCTION("""COMPUTED_VALUE"""),"ন্যূনতম ক্ৰমৰ পৰিমাণ")</f>
        <v>ন্যূনতম ক্ৰমৰ পৰিমাণ</v>
      </c>
      <c r="H1078" s="2" t="str">
        <f>IFERROR(__xludf.DUMMYFUNCTION("""COMPUTED_VALUE"""),"મિનિટ જ હુકમનો જથ્થો")</f>
        <v>મિનિટ જ હુકમનો જથ્થો</v>
      </c>
      <c r="I1078" s="2" t="str">
        <f>IFERROR(__xludf.DUMMYFUNCTION("""COMPUTED_VALUE"""),"किमान ऑर्डर प्रमाण")</f>
        <v>किमान ऑर्डर प्रमाण</v>
      </c>
      <c r="J1078" s="2" t="str">
        <f>IFERROR(__xludf.DUMMYFUNCTION("""COMPUTED_VALUE"""),"മിനിറ്റ് ഓർഡർ അളവ്")</f>
        <v>മിനിറ്റ് ഓർഡർ അളവ്</v>
      </c>
      <c r="K1078" s="2" t="str">
        <f>IFERROR(__xludf.DUMMYFUNCTION("""COMPUTED_VALUE"""),"ਘੱਟੋ ਘੱਟ ਆਰਡਰ ਦੀ ਮਾਤਰਾ")</f>
        <v>ਘੱਟੋ ਘੱਟ ਆਰਡਰ ਦੀ ਮਾਤਰਾ</v>
      </c>
      <c r="L1078" s="2" t="str">
        <f>IFERROR(__xludf.DUMMYFUNCTION("""COMPUTED_VALUE"""),"நிமிடம் ஆர்டர் அளவு")</f>
        <v>நிமிடம் ஆர்டர் அளவு</v>
      </c>
      <c r="M1078" s="2" t="str">
        <f>IFERROR(__xludf.DUMMYFUNCTION("""COMPUTED_VALUE"""),"కనిష్ట ఆర్డర్ పరిమాణం")</f>
        <v>కనిష్ట ఆర్డర్ పరిమాణం</v>
      </c>
    </row>
    <row r="1079">
      <c r="A1079" s="2" t="str">
        <f>Master_en!A1079</f>
        <v>PaymentDone-AcknowledgementPending</v>
      </c>
      <c r="B1079" s="2" t="str">
        <f>Master_en!B1079</f>
        <v>Payment Done-Acknowledgement Pending</v>
      </c>
      <c r="C1079" s="2" t="str">
        <f>IFERROR(__xludf.DUMMYFUNCTION("""COMPUTED_VALUE"""),"পেমেন্ট ডোন-অ্যাকনোলডেজমেন্ট মুলতুবি")</f>
        <v>পেমেন্ট ডোন-অ্যাকনোলডেজমেন্ট মুলতুবি</v>
      </c>
      <c r="D1079" s="2" t="str">
        <f>IFERROR(__xludf.DUMMYFUNCTION("""COMPUTED_VALUE"""),"भुगतान किया गया भुगतान लंबित")</f>
        <v>भुगतान किया गया भुगतान लंबित</v>
      </c>
      <c r="E1079" s="2" t="str">
        <f>IFERROR(__xludf.DUMMYFUNCTION("""COMPUTED_VALUE"""),"ಪಾವತಿ ಮುಗಿದಿದೆ-ಅಕ್ರೌಲ್ಡ್ಜ್ಮೆಂಟ್ ಬಾಕಿ")</f>
        <v>ಪಾವತಿ ಮುಗಿದಿದೆ-ಅಕ್ರೌಲ್ಡ್ಜ್ಮೆಂಟ್ ಬಾಕಿ</v>
      </c>
      <c r="F1079" s="2" t="str">
        <f>IFERROR(__xludf.DUMMYFUNCTION("""COMPUTED_VALUE"""),"ଦେୟ-ସ୍ୱୀକୃତି ବିଚାରାଧୀନ ଅଛି |")</f>
        <v>ଦେୟ-ସ୍ୱୀକୃତି ବିଚାରାଧୀନ ଅଛି |</v>
      </c>
      <c r="G1079" s="2" t="str">
        <f>IFERROR(__xludf.DUMMYFUNCTION("""COMPUTED_VALUE"""),"পেমেন্ট কৰা হৈছে-স্বীকৃতি বাকী আছে")</f>
        <v>পেমেন্ট কৰা হৈছে-স্বীকৃতি বাকী আছে</v>
      </c>
      <c r="H1079" s="2" t="str">
        <f>IFERROR(__xludf.DUMMYFUNCTION("""COMPUTED_VALUE"""),"ચુકવણી પૂર્ણ કરી છે-મેક નોવલેડમેન્ટ બાકી")</f>
        <v>ચુકવણી પૂર્ણ કરી છે-મેક નોવલેડમેન્ટ બાકી</v>
      </c>
      <c r="I1079" s="2" t="str">
        <f>IFERROR(__xludf.DUMMYFUNCTION("""COMPUTED_VALUE"""),"पेमेंट पूर्ण-आवाक्याची प्रलंबित")</f>
        <v>पेमेंट पूर्ण-आवाक्याची प्रलंबित</v>
      </c>
      <c r="J1079" s="2" t="str">
        <f>IFERROR(__xludf.DUMMYFUNCTION("""COMPUTED_VALUE"""),"പേയ്മെന്റ് ചെയ്ത-അംഗീകാരം തീർപ്പുകൽപ്പിച്ചിട്ടില്ല")</f>
        <v>പേയ്മെന്റ് ചെയ്ത-അംഗീകാരം തീർപ്പുകൽപ്പിച്ചിട്ടില്ല</v>
      </c>
      <c r="K1079" s="2" t="str">
        <f>IFERROR(__xludf.DUMMYFUNCTION("""COMPUTED_VALUE"""),"ਭੁਗਤਾਨ ਕਰ ਦਿੱਤਾ ਗਿਆ-ਪ੍ਰਵਾਨਗੀ ਬਕਾਇਆ ਹੈ")</f>
        <v>ਭੁਗਤਾਨ ਕਰ ਦਿੱਤਾ ਗਿਆ-ਪ੍ਰਵਾਨਗੀ ਬਕਾਇਆ ਹੈ</v>
      </c>
      <c r="L1079" s="2" t="str">
        <f>IFERROR(__xludf.DUMMYFUNCTION("""COMPUTED_VALUE"""),"கட்டணம் முடிந்தது-அங்கீகாரம் நிலுவையில் உள்ளது")</f>
        <v>கட்டணம் முடிந்தது-அங்கீகாரம் நிலுவையில் உள்ளது</v>
      </c>
      <c r="M1079" s="2" t="str">
        <f>IFERROR(__xludf.DUMMYFUNCTION("""COMPUTED_VALUE"""),"చెల్లింపు పూర్తయింది")</f>
        <v>చెల్లింపు పూర్తయింది</v>
      </c>
    </row>
    <row r="1080">
      <c r="A1080" s="2" t="str">
        <f>Master_en!A1080</f>
        <v>DateofPickup</v>
      </c>
      <c r="B1080" s="2" t="str">
        <f>Master_en!B1080</f>
        <v>Date of Pickup</v>
      </c>
      <c r="C1080" s="2" t="str">
        <f>IFERROR(__xludf.DUMMYFUNCTION("""COMPUTED_VALUE"""),"পিকআপের তারিখ")</f>
        <v>পিকআপের তারিখ</v>
      </c>
      <c r="D1080" s="2" t="str">
        <f>IFERROR(__xludf.DUMMYFUNCTION("""COMPUTED_VALUE"""),"पिकअप की तारीख")</f>
        <v>पिकअप की तारीख</v>
      </c>
      <c r="E1080" s="2" t="str">
        <f>IFERROR(__xludf.DUMMYFUNCTION("""COMPUTED_VALUE"""),"ಎತ್ತಿಕೊಳ್ಳುವ ದಿನಾಂಕ")</f>
        <v>ಎತ್ತಿಕೊಳ್ಳುವ ದಿನಾಂಕ</v>
      </c>
      <c r="F1080" s="2" t="str">
        <f>IFERROR(__xludf.DUMMYFUNCTION("""COMPUTED_VALUE"""),"ପିକଅପ୍ ତାରିଖ")</f>
        <v>ପିକଅପ୍ ତାରିଖ</v>
      </c>
      <c r="G1080" s="2" t="str">
        <f>IFERROR(__xludf.DUMMYFUNCTION("""COMPUTED_VALUE"""),"পিকআপৰ তাৰিখ")</f>
        <v>পিকআপৰ তাৰিখ</v>
      </c>
      <c r="H1080" s="2" t="str">
        <f>IFERROR(__xludf.DUMMYFUNCTION("""COMPUTED_VALUE"""),"પિકઅપની તારીખ")</f>
        <v>પિકઅપની તારીખ</v>
      </c>
      <c r="I1080" s="2" t="str">
        <f>IFERROR(__xludf.DUMMYFUNCTION("""COMPUTED_VALUE"""),"पिकअपची तारीख")</f>
        <v>पिकअपची तारीख</v>
      </c>
      <c r="J1080" s="2" t="str">
        <f>IFERROR(__xludf.DUMMYFUNCTION("""COMPUTED_VALUE"""),"പിക്കപ്പ് തീയതി")</f>
        <v>പിക്കപ്പ് തീയതി</v>
      </c>
      <c r="K1080" s="2" t="str">
        <f>IFERROR(__xludf.DUMMYFUNCTION("""COMPUTED_VALUE"""),"ਪਿਕਅਪ ਦੀ ਮਿਤੀ")</f>
        <v>ਪਿਕਅਪ ਦੀ ਮਿਤੀ</v>
      </c>
      <c r="L1080" s="2" t="str">
        <f>IFERROR(__xludf.DUMMYFUNCTION("""COMPUTED_VALUE"""),"பிக்கப்")</f>
        <v>பிக்கப்</v>
      </c>
      <c r="M1080" s="2" t="str">
        <f>IFERROR(__xludf.DUMMYFUNCTION("""COMPUTED_VALUE"""),"పికప్ తేదీ")</f>
        <v>పికప్ తేదీ</v>
      </c>
    </row>
    <row r="1081">
      <c r="A1081" s="2" t="str">
        <f>Master_en!A1081</f>
        <v>06AM-10PM</v>
      </c>
      <c r="B1081" s="2" t="str">
        <f>Master_en!B1081</f>
        <v>06AM-10PM</v>
      </c>
      <c r="C1081" s="2" t="str">
        <f>IFERROR(__xludf.DUMMYFUNCTION("""COMPUTED_VALUE"""),"06 এএম -10 পিএম")</f>
        <v>06 এএম -10 পিএম</v>
      </c>
      <c r="D1081" s="2" t="str">
        <f>IFERROR(__xludf.DUMMYFUNCTION("""COMPUTED_VALUE"""),"06 am-10pm")</f>
        <v>06 am-10pm</v>
      </c>
      <c r="E1081" s="2" t="str">
        <f>IFERROR(__xludf.DUMMYFUNCTION("""COMPUTED_VALUE"""),"ಮಧ್ಯಾಹ್ನ 06 ಗಂಟೆಗೆ")</f>
        <v>ಮಧ್ಯಾಹ್ನ 06 ಗಂಟೆಗೆ</v>
      </c>
      <c r="F1081" s="2" t="str">
        <f>IFERROR(__xludf.DUMMYFUNCTION("""COMPUTED_VALUE"""),"06 AM-10PM")</f>
        <v>06 AM-10PM</v>
      </c>
      <c r="G1081" s="2" t="str">
        <f>IFERROR(__xludf.DUMMYFUNCTION("""COMPUTED_VALUE"""),"পুৱা ০৬ বজাৰ পৰা ১০ বজালৈ")</f>
        <v>পুৱা ০৬ বজাৰ পৰা ১০ বজালৈ</v>
      </c>
      <c r="H1081" s="2" t="str">
        <f>IFERROR(__xludf.DUMMYFUNCTION("""COMPUTED_VALUE"""),"06 AM-10PM")</f>
        <v>06 AM-10PM</v>
      </c>
      <c r="I1081" s="2" t="str">
        <f>IFERROR(__xludf.DUMMYFUNCTION("""COMPUTED_VALUE"""),"06 एएम -10 वाजता")</f>
        <v>06 एएम -10 वाजता</v>
      </c>
      <c r="J1081" s="2" t="str">
        <f>IFERROR(__xludf.DUMMYFUNCTION("""COMPUTED_VALUE"""),"06 AM-10PM")</f>
        <v>06 AM-10PM</v>
      </c>
      <c r="K1081" s="2" t="str">
        <f>IFERROR(__xludf.DUMMYFUNCTION("""COMPUTED_VALUE"""),"06 ਐਮਈਦੁਆਈ")</f>
        <v>06 ਐਮਈਦੁਆਈ</v>
      </c>
      <c r="L1081" s="2" t="str">
        <f>IFERROR(__xludf.DUMMYFUNCTION("""COMPUTED_VALUE"""),"காலை 06 மணி -10 மணி")</f>
        <v>காலை 06 மணி -10 மணி</v>
      </c>
      <c r="M1081" s="2" t="str">
        <f>IFERROR(__xludf.DUMMYFUNCTION("""COMPUTED_VALUE"""),"06 am-10pm")</f>
        <v>06 am-10pm</v>
      </c>
    </row>
    <row r="1082">
      <c r="A1082" s="2" t="str">
        <f>Master_en!A1082</f>
        <v>Logistic</v>
      </c>
      <c r="B1082" s="2" t="str">
        <f>Master_en!B1082</f>
        <v>Logistic</v>
      </c>
      <c r="C1082" s="2" t="str">
        <f>IFERROR(__xludf.DUMMYFUNCTION("""COMPUTED_VALUE"""),"লজিস্টিক")</f>
        <v>লজিস্টিক</v>
      </c>
      <c r="D1082" s="2" t="str">
        <f>IFERROR(__xludf.DUMMYFUNCTION("""COMPUTED_VALUE"""),"तार्किक")</f>
        <v>तार्किक</v>
      </c>
      <c r="E1082" s="2" t="str">
        <f>IFERROR(__xludf.DUMMYFUNCTION("""COMPUTED_VALUE"""),"ಕುರಿತ")</f>
        <v>ಕುರಿತ</v>
      </c>
      <c r="F1082" s="2" t="str">
        <f>IFERROR(__xludf.DUMMYFUNCTION("""COMPUTED_VALUE"""),"ଲଜିଷ୍ଟିଷ୍ଟ୍ |")</f>
        <v>ଲଜିଷ୍ଟିଷ୍ଟ୍ |</v>
      </c>
      <c r="G1082" s="2" t="str">
        <f>IFERROR(__xludf.DUMMYFUNCTION("""COMPUTED_VALUE"""),"লজিষ্টিক")</f>
        <v>লজিষ্টিক</v>
      </c>
      <c r="H1082" s="2" t="str">
        <f>IFERROR(__xludf.DUMMYFUNCTION("""COMPUTED_VALUE"""),"તરંગી")</f>
        <v>તરંગી</v>
      </c>
      <c r="I1082" s="2" t="str">
        <f>IFERROR(__xludf.DUMMYFUNCTION("""COMPUTED_VALUE"""),"लॉजिस्टिक")</f>
        <v>लॉजिस्टिक</v>
      </c>
      <c r="J1082" s="2" t="str">
        <f>IFERROR(__xludf.DUMMYFUNCTION("""COMPUTED_VALUE"""),"ലോജിബിറ്റി")</f>
        <v>ലോജിബിറ്റി</v>
      </c>
      <c r="K1082" s="2" t="str">
        <f>IFERROR(__xludf.DUMMYFUNCTION("""COMPUTED_VALUE"""),"ਲੌਜਿਸਟਿਕ")</f>
        <v>ਲੌਜਿਸਟਿਕ</v>
      </c>
      <c r="L1082" s="2" t="str">
        <f>IFERROR(__xludf.DUMMYFUNCTION("""COMPUTED_VALUE"""),"லாஜிஸ்டிக்")</f>
        <v>லாஜிஸ்டிக்</v>
      </c>
      <c r="M1082" s="2" t="str">
        <f>IFERROR(__xludf.DUMMYFUNCTION("""COMPUTED_VALUE"""),"లాజిస్టిక్")</f>
        <v>లాజిస్టిక్</v>
      </c>
    </row>
    <row r="1083">
      <c r="A1083" s="2" t="str">
        <f>Master_en!A1083</f>
        <v>NoOrderFound</v>
      </c>
      <c r="B1083" s="2" t="str">
        <f>Master_en!B1083</f>
        <v>No Order Found</v>
      </c>
      <c r="C1083" s="2" t="str">
        <f>IFERROR(__xludf.DUMMYFUNCTION("""COMPUTED_VALUE"""),"কোন আদেশ পাওয়া যায় না")</f>
        <v>কোন আদেশ পাওয়া যায় না</v>
      </c>
      <c r="D1083" s="2" t="str">
        <f>IFERROR(__xludf.DUMMYFUNCTION("""COMPUTED_VALUE"""),"कोई आदेश नहीं मिला")</f>
        <v>कोई आदेश नहीं मिला</v>
      </c>
      <c r="E1083" s="2" t="str">
        <f>IFERROR(__xludf.DUMMYFUNCTION("""COMPUTED_VALUE"""),"ಯಾವುದೇ ಆದೇಶ ಕಂಡುಬಂದಿಲ್ಲ")</f>
        <v>ಯಾವುದೇ ಆದೇಶ ಕಂಡುಬಂದಿಲ್ಲ</v>
      </c>
      <c r="F1083" s="2" t="str">
        <f>IFERROR(__xludf.DUMMYFUNCTION("""COMPUTED_VALUE"""),"କ something ଣସି ଅର୍ଡର ମିଳିଲା ନାହିଁ |")</f>
        <v>କ something ଣସି ଅର୍ଡର ମିଳିଲା ନାହିଁ |</v>
      </c>
      <c r="G1083" s="2" t="str">
        <f>IFERROR(__xludf.DUMMYFUNCTION("""COMPUTED_VALUE"""),"কোনো অৰ্ডাৰ পোৱা নগ'ল")</f>
        <v>কোনো অৰ্ডাৰ পোৱা নগ'ল</v>
      </c>
      <c r="H1083" s="2" t="str">
        <f>IFERROR(__xludf.DUMMYFUNCTION("""COMPUTED_VALUE"""),"કોઈ ઓર્ડર મળ્યો નથી")</f>
        <v>કોઈ ઓર્ડર મળ્યો નથી</v>
      </c>
      <c r="I1083" s="2" t="str">
        <f>IFERROR(__xludf.DUMMYFUNCTION("""COMPUTED_VALUE"""),"ऑर्डर सापडली नाही")</f>
        <v>ऑर्डर सापडली नाही</v>
      </c>
      <c r="J1083" s="2" t="str">
        <f>IFERROR(__xludf.DUMMYFUNCTION("""COMPUTED_VALUE"""),"ക്രമമൊന്നും കണ്ടെത്തിയില്ല")</f>
        <v>ക്രമമൊന്നും കണ്ടെത്തിയില്ല</v>
      </c>
      <c r="K1083" s="2" t="str">
        <f>IFERROR(__xludf.DUMMYFUNCTION("""COMPUTED_VALUE"""),"ਕੋਈ ਆਰਡਰ ਨਹੀਂ ਮਿਲਿਆ")</f>
        <v>ਕੋਈ ਆਰਡਰ ਨਹੀਂ ਮਿਲਿਆ</v>
      </c>
      <c r="L1083" s="2" t="str">
        <f>IFERROR(__xludf.DUMMYFUNCTION("""COMPUTED_VALUE"""),"எந்த ஆர்டரும் கிடைக்கவில்லை")</f>
        <v>எந்த ஆர்டரும் கிடைக்கவில்லை</v>
      </c>
      <c r="M1083" s="2" t="str">
        <f>IFERROR(__xludf.DUMMYFUNCTION("""COMPUTED_VALUE"""),"ఆర్డర్ కనుగొనబడలేదు")</f>
        <v>ఆర్డర్ కనుగొనబడలేదు</v>
      </c>
    </row>
    <row r="1084">
      <c r="A1084" s="2" t="str">
        <f>Master_en!A1084</f>
        <v>ProcurementManagement</v>
      </c>
      <c r="B1084" s="2" t="str">
        <f>Master_en!B1084</f>
        <v>Procurement Management</v>
      </c>
      <c r="C1084" s="2" t="str">
        <f>IFERROR(__xludf.DUMMYFUNCTION("""COMPUTED_VALUE"""),"অধিযাচন ব্যাবস্থাপনা")</f>
        <v>অধিযাচন ব্যাবস্থাপনা</v>
      </c>
      <c r="D1084" s="2" t="str">
        <f>IFERROR(__xludf.DUMMYFUNCTION("""COMPUTED_VALUE"""),"खरीदी प्रबंधन")</f>
        <v>खरीदी प्रबंधन</v>
      </c>
      <c r="E1084" s="2" t="str">
        <f>IFERROR(__xludf.DUMMYFUNCTION("""COMPUTED_VALUE"""),"ಖರೀದಿ ನಿರ್ವಹಣೆ")</f>
        <v>ಖರೀದಿ ನಿರ್ವಹಣೆ</v>
      </c>
      <c r="F1084" s="2" t="str">
        <f>IFERROR(__xludf.DUMMYFUNCTION("""COMPUTED_VALUE"""),"ପ୍ରକାଶନ ପରିଚାଳନା")</f>
        <v>ପ୍ରକାଶନ ପରିଚାଳନା</v>
      </c>
      <c r="G1084" s="2" t="str">
        <f>IFERROR(__xludf.DUMMYFUNCTION("""COMPUTED_VALUE"""),"ক্ৰয় ব্যৱস্থাপনা")</f>
        <v>ক্ৰয় ব্যৱস্থাপনা</v>
      </c>
      <c r="H1084" s="2" t="str">
        <f>IFERROR(__xludf.DUMMYFUNCTION("""COMPUTED_VALUE"""),"પ્રાપ્તિનું સંચાલન")</f>
        <v>પ્રાપ્તિનું સંચાલન</v>
      </c>
      <c r="I1084" s="2" t="str">
        <f>IFERROR(__xludf.DUMMYFUNCTION("""COMPUTED_VALUE"""),"खरेदी व्यवस्थापन")</f>
        <v>खरेदी व्यवस्थापन</v>
      </c>
      <c r="J1084" s="2" t="str">
        <f>IFERROR(__xludf.DUMMYFUNCTION("""COMPUTED_VALUE"""),"സംഭരണ ​​മാനേജുമെന്റ്")</f>
        <v>സംഭരണ ​​മാനേജുമെന്റ്</v>
      </c>
      <c r="K1084" s="2" t="str">
        <f>IFERROR(__xludf.DUMMYFUNCTION("""COMPUTED_VALUE"""),"ਖਰੀਦ ਪ੍ਰਬੰਧਨ")</f>
        <v>ਖਰੀਦ ਪ੍ਰਬੰਧਨ</v>
      </c>
      <c r="L1084" s="2" t="str">
        <f>IFERROR(__xludf.DUMMYFUNCTION("""COMPUTED_VALUE"""),"கொள்முதல் மேலாண்மை")</f>
        <v>கொள்முதல் மேலாண்மை</v>
      </c>
      <c r="M1084" s="2" t="str">
        <f>IFERROR(__xludf.DUMMYFUNCTION("""COMPUTED_VALUE"""),"సేకరణ నిర్వహణ")</f>
        <v>సేకరణ నిర్వహణ</v>
      </c>
    </row>
    <row r="1085">
      <c r="A1085" s="2" t="str">
        <f>Master_en!A1085</f>
        <v>sortby</v>
      </c>
      <c r="B1085" s="2" t="str">
        <f>Master_en!B1085</f>
        <v>sortby</v>
      </c>
      <c r="C1085" s="2" t="str">
        <f>IFERROR(__xludf.DUMMYFUNCTION("""COMPUTED_VALUE"""),"ক্রমানুসার")</f>
        <v>ক্রমানুসার</v>
      </c>
      <c r="D1085" s="2" t="str">
        <f>IFERROR(__xludf.DUMMYFUNCTION("""COMPUTED_VALUE"""),"क्रमबद्ध करें")</f>
        <v>क्रमबद्ध करें</v>
      </c>
      <c r="E1085" s="2" t="str">
        <f>IFERROR(__xludf.DUMMYFUNCTION("""COMPUTED_VALUE"""),"ವಿಂಗಡಿಸು")</f>
        <v>ವಿಂಗಡಿಸು</v>
      </c>
      <c r="F1085" s="2" t="str">
        <f>IFERROR(__xludf.DUMMYFUNCTION("""COMPUTED_VALUE"""),"ସର୍ଟବାଇ")</f>
        <v>ସର୍ଟବାଇ</v>
      </c>
      <c r="G1085" s="2" t="str">
        <f>IFERROR(__xludf.DUMMYFUNCTION("""COMPUTED_VALUE"""),"চৰ্টবাই")</f>
        <v>চৰ্টবাই</v>
      </c>
      <c r="H1085" s="2" t="str">
        <f>IFERROR(__xludf.DUMMYFUNCTION("""COMPUTED_VALUE"""),"પ્રકાર")</f>
        <v>પ્રકાર</v>
      </c>
      <c r="I1085" s="2" t="str">
        <f>IFERROR(__xludf.DUMMYFUNCTION("""COMPUTED_VALUE"""),"सॉर्टबी")</f>
        <v>सॉर्टबी</v>
      </c>
      <c r="J1085" s="2" t="str">
        <f>IFERROR(__xludf.DUMMYFUNCTION("""COMPUTED_VALUE"""),"ഇങ്ങനെ അടുക്കുക")</f>
        <v>ഇങ്ങനെ അടുക്കുക</v>
      </c>
      <c r="K1085" s="2" t="str">
        <f>IFERROR(__xludf.DUMMYFUNCTION("""COMPUTED_VALUE"""),"ਦੇ ਨਾਲ ਕ੍ਰਮਬੱਧ")</f>
        <v>ਦੇ ਨਾਲ ਕ੍ਰਮਬੱਧ</v>
      </c>
      <c r="L1085" s="2" t="str">
        <f>IFERROR(__xludf.DUMMYFUNCTION("""COMPUTED_VALUE"""),"வகைப்படி")</f>
        <v>வகைப்படி</v>
      </c>
      <c r="M1085" s="2" t="str">
        <f>IFERROR(__xludf.DUMMYFUNCTION("""COMPUTED_VALUE"""),"ఆమరిక")</f>
        <v>ఆమరిక</v>
      </c>
    </row>
    <row r="1086">
      <c r="A1086" s="2" t="str">
        <f>Master_en!A1086</f>
        <v>NewTrip</v>
      </c>
      <c r="B1086" s="2" t="str">
        <f>Master_en!B1086</f>
        <v>New Trip</v>
      </c>
      <c r="C1086" s="2" t="str">
        <f>IFERROR(__xludf.DUMMYFUNCTION("""COMPUTED_VALUE"""),"নতুন ট্রিপ")</f>
        <v>নতুন ট্রিপ</v>
      </c>
      <c r="D1086" s="2" t="str">
        <f>IFERROR(__xludf.DUMMYFUNCTION("""COMPUTED_VALUE"""),"नई यात्रा")</f>
        <v>नई यात्रा</v>
      </c>
      <c r="E1086" s="2" t="str">
        <f>IFERROR(__xludf.DUMMYFUNCTION("""COMPUTED_VALUE"""),"ಹೊಸ ಪ್ರವಾಸ")</f>
        <v>ಹೊಸ ಪ್ರವಾಸ</v>
      </c>
      <c r="F1086" s="2" t="str">
        <f>IFERROR(__xludf.DUMMYFUNCTION("""COMPUTED_VALUE"""),"ନୂତନ ଯାତ୍ରା")</f>
        <v>ନୂତନ ଯାତ୍ରା</v>
      </c>
      <c r="G1086" s="2" t="str">
        <f>IFERROR(__xludf.DUMMYFUNCTION("""COMPUTED_VALUE"""),"নতুন ভ্ৰমণ")</f>
        <v>নতুন ভ্ৰমণ</v>
      </c>
      <c r="H1086" s="2" t="str">
        <f>IFERROR(__xludf.DUMMYFUNCTION("""COMPUTED_VALUE"""),"નવી સફર")</f>
        <v>નવી સફર</v>
      </c>
      <c r="I1086" s="2" t="str">
        <f>IFERROR(__xludf.DUMMYFUNCTION("""COMPUTED_VALUE"""),"नवीन सहल")</f>
        <v>नवीन सहल</v>
      </c>
      <c r="J1086" s="2" t="str">
        <f>IFERROR(__xludf.DUMMYFUNCTION("""COMPUTED_VALUE"""),"പുതിയ യാത്ര")</f>
        <v>പുതിയ യാത്ര</v>
      </c>
      <c r="K1086" s="2" t="str">
        <f>IFERROR(__xludf.DUMMYFUNCTION("""COMPUTED_VALUE"""),"ਨਵੀਂ ਯਾਤਰਾ")</f>
        <v>ਨਵੀਂ ਯਾਤਰਾ</v>
      </c>
      <c r="L1086" s="2" t="str">
        <f>IFERROR(__xludf.DUMMYFUNCTION("""COMPUTED_VALUE"""),"புதிய பயணம்")</f>
        <v>புதிய பயணம்</v>
      </c>
      <c r="M1086" s="2" t="str">
        <f>IFERROR(__xludf.DUMMYFUNCTION("""COMPUTED_VALUE"""),"కొత్త యాత్ర")</f>
        <v>కొత్త యాత్ర</v>
      </c>
    </row>
    <row r="1087">
      <c r="A1087" s="2" t="str">
        <f>Master_en!A1087</f>
        <v>OngoingTrips</v>
      </c>
      <c r="B1087" s="2" t="str">
        <f>Master_en!B1087</f>
        <v>Ongoing Trips</v>
      </c>
      <c r="C1087" s="2" t="str">
        <f>IFERROR(__xludf.DUMMYFUNCTION("""COMPUTED_VALUE"""),"চলমান ট্রিপস")</f>
        <v>চলমান ট্রিপস</v>
      </c>
      <c r="D1087" s="2" t="str">
        <f>IFERROR(__xludf.DUMMYFUNCTION("""COMPUTED_VALUE"""),"चल रही यात्राएं")</f>
        <v>चल रही यात्राएं</v>
      </c>
      <c r="E1087" s="2" t="str">
        <f>IFERROR(__xludf.DUMMYFUNCTION("""COMPUTED_VALUE"""),"ನಡೆಯುತ್ತಿರುವ ಪ್ರವಾಸಗಳು")</f>
        <v>ನಡೆಯುತ್ತಿರುವ ಪ್ರವಾಸಗಳು</v>
      </c>
      <c r="F1087" s="2" t="str">
        <f>IFERROR(__xludf.DUMMYFUNCTION("""COMPUTED_VALUE"""),"ଚାଲୁଥିବା ଯାତ୍ରା")</f>
        <v>ଚାଲୁଥିବା ଯାତ୍ରା</v>
      </c>
      <c r="G1087" s="2" t="str">
        <f>IFERROR(__xludf.DUMMYFUNCTION("""COMPUTED_VALUE"""),"চলি থকা ভ্ৰমণ")</f>
        <v>চলি থকা ভ্ৰমণ</v>
      </c>
      <c r="H1087" s="2" t="str">
        <f>IFERROR(__xludf.DUMMYFUNCTION("""COMPUTED_VALUE"""),"ચાલુ યાત્રાઓ")</f>
        <v>ચાલુ યાત્રાઓ</v>
      </c>
      <c r="I1087" s="2" t="str">
        <f>IFERROR(__xludf.DUMMYFUNCTION("""COMPUTED_VALUE"""),"चालू असलेल्या सहली")</f>
        <v>चालू असलेल्या सहली</v>
      </c>
      <c r="J1087" s="2" t="str">
        <f>IFERROR(__xludf.DUMMYFUNCTION("""COMPUTED_VALUE"""),"നിലവിലുള്ള യാത്രകൾ")</f>
        <v>നിലവിലുള്ള യാത്രകൾ</v>
      </c>
      <c r="K1087" s="2" t="str">
        <f>IFERROR(__xludf.DUMMYFUNCTION("""COMPUTED_VALUE"""),"ਚੱਲ ਰਹੇ ਯਾਤਰਾ")</f>
        <v>ਚੱਲ ਰਹੇ ਯਾਤਰਾ</v>
      </c>
      <c r="L1087" s="2" t="str">
        <f>IFERROR(__xludf.DUMMYFUNCTION("""COMPUTED_VALUE"""),"நடந்துகொண்டிருக்கும் பயணங்கள்")</f>
        <v>நடந்துகொண்டிருக்கும் பயணங்கள்</v>
      </c>
      <c r="M1087" s="2" t="str">
        <f>IFERROR(__xludf.DUMMYFUNCTION("""COMPUTED_VALUE"""),"కొనసాగుతున్న పర్యటనలు")</f>
        <v>కొనసాగుతున్న పర్యటనలు</v>
      </c>
    </row>
    <row r="1088">
      <c r="A1088" s="2" t="str">
        <f>Master_en!A1088</f>
        <v>TodaysEarnings:</v>
      </c>
      <c r="B1088" s="2" t="str">
        <f>Master_en!B1088</f>
        <v>Todays Earnings:</v>
      </c>
      <c r="C1088" s="2" t="str">
        <f>IFERROR(__xludf.DUMMYFUNCTION("""COMPUTED_VALUE"""),"আজকের উপার্জন:")</f>
        <v>আজকের উপার্জন:</v>
      </c>
      <c r="D1088" s="2" t="str">
        <f>IFERROR(__xludf.DUMMYFUNCTION("""COMPUTED_VALUE"""),"आज की कमाई:")</f>
        <v>आज की कमाई:</v>
      </c>
      <c r="E1088" s="2" t="str">
        <f>IFERROR(__xludf.DUMMYFUNCTION("""COMPUTED_VALUE"""),"ಇಂದಿನ ಗಳಿಕೆಗಳು:")</f>
        <v>ಇಂದಿನ ಗಳಿಕೆಗಳು:</v>
      </c>
      <c r="F1088" s="2" t="str">
        <f>IFERROR(__xludf.DUMMYFUNCTION("""COMPUTED_VALUE"""),"ଆଜିର ରୋଜଗାର:")</f>
        <v>ଆଜିର ରୋଜଗାର:</v>
      </c>
      <c r="G1088" s="2" t="str">
        <f>IFERROR(__xludf.DUMMYFUNCTION("""COMPUTED_VALUE"""),"আজিৰ উপাৰ্জন:")</f>
        <v>আজিৰ উপাৰ্জন:</v>
      </c>
      <c r="H1088" s="2" t="str">
        <f>IFERROR(__xludf.DUMMYFUNCTION("""COMPUTED_VALUE"""),"આજની કમાણી:")</f>
        <v>આજની કમાણી:</v>
      </c>
      <c r="I1088" s="2" t="str">
        <f>IFERROR(__xludf.DUMMYFUNCTION("""COMPUTED_VALUE"""),"आजची कमाई:")</f>
        <v>आजची कमाई:</v>
      </c>
      <c r="J1088" s="2" t="str">
        <f>IFERROR(__xludf.DUMMYFUNCTION("""COMPUTED_VALUE"""),"ഇന്നത്തെ വരുമാനം:")</f>
        <v>ഇന്നത്തെ വരുമാനം:</v>
      </c>
      <c r="K1088" s="2" t="str">
        <f>IFERROR(__xludf.DUMMYFUNCTION("""COMPUTED_VALUE"""),"ਅੱਜ ਦੀ ਕਮਾਈ:")</f>
        <v>ਅੱਜ ਦੀ ਕਮਾਈ:</v>
      </c>
      <c r="L1088" s="2" t="str">
        <f>IFERROR(__xludf.DUMMYFUNCTION("""COMPUTED_VALUE"""),"இன்றைய வருவாய்:")</f>
        <v>இன்றைய வருவாய்:</v>
      </c>
      <c r="M1088" s="2" t="str">
        <f>IFERROR(__xludf.DUMMYFUNCTION("""COMPUTED_VALUE"""),"నేటి ఆదాయాలు:")</f>
        <v>నేటి ఆదాయాలు:</v>
      </c>
    </row>
    <row r="1089">
      <c r="A1089" s="2" t="str">
        <f>Master_en!A1089</f>
        <v>Earningson</v>
      </c>
      <c r="B1089" s="2" t="str">
        <f>Master_en!B1089</f>
        <v>Earnings on</v>
      </c>
      <c r="C1089" s="2" t="str">
        <f>IFERROR(__xludf.DUMMYFUNCTION("""COMPUTED_VALUE"""),"উপার্জন চালু")</f>
        <v>উপার্জন চালু</v>
      </c>
      <c r="D1089" s="2" t="str">
        <f>IFERROR(__xludf.DUMMYFUNCTION("""COMPUTED_VALUE"""),"पर कमाई")</f>
        <v>पर कमाई</v>
      </c>
      <c r="E1089" s="2" t="str">
        <f>IFERROR(__xludf.DUMMYFUNCTION("""COMPUTED_VALUE"""),"ಗಳಿಕೆಗಳು")</f>
        <v>ಗಳಿಕೆಗಳು</v>
      </c>
      <c r="F1089" s="2" t="str">
        <f>IFERROR(__xludf.DUMMYFUNCTION("""COMPUTED_VALUE"""),"ରୋଜଗାର")</f>
        <v>ରୋଜଗାର</v>
      </c>
      <c r="G1089" s="2" t="str">
        <f>IFERROR(__xludf.DUMMYFUNCTION("""COMPUTED_VALUE"""),"উপাৰ্জন চলি আছে")</f>
        <v>উপাৰ্জন চলি আছে</v>
      </c>
      <c r="H1089" s="2" t="str">
        <f>IFERROR(__xludf.DUMMYFUNCTION("""COMPUTED_VALUE"""),"ચાલુ કમાણી")</f>
        <v>ચાલુ કમાણી</v>
      </c>
      <c r="I1089" s="2" t="str">
        <f>IFERROR(__xludf.DUMMYFUNCTION("""COMPUTED_VALUE"""),"कमाई चालू")</f>
        <v>कमाई चालू</v>
      </c>
      <c r="J1089" s="2" t="str">
        <f>IFERROR(__xludf.DUMMYFUNCTION("""COMPUTED_VALUE"""),"വരുമാനം")</f>
        <v>വരുമാനം</v>
      </c>
      <c r="K1089" s="2" t="str">
        <f>IFERROR(__xludf.DUMMYFUNCTION("""COMPUTED_VALUE"""),"'ਤੇ ਕਮਾਈ")</f>
        <v>'ਤੇ ਕਮਾਈ</v>
      </c>
      <c r="L1089" s="2" t="str">
        <f>IFERROR(__xludf.DUMMYFUNCTION("""COMPUTED_VALUE"""),"வருவாய்")</f>
        <v>வருவாய்</v>
      </c>
      <c r="M1089" s="2" t="str">
        <f>IFERROR(__xludf.DUMMYFUNCTION("""COMPUTED_VALUE"""),"ఆదాయాలు")</f>
        <v>ఆదాయాలు</v>
      </c>
    </row>
    <row r="1090">
      <c r="A1090" s="2" t="str">
        <f>Master_en!A1090</f>
        <v>Week</v>
      </c>
      <c r="B1090" s="2" t="str">
        <f>Master_en!B1090</f>
        <v>Week</v>
      </c>
      <c r="C1090" s="2" t="str">
        <f>IFERROR(__xludf.DUMMYFUNCTION("""COMPUTED_VALUE"""),"সপ্তাহ")</f>
        <v>সপ্তাহ</v>
      </c>
      <c r="D1090" s="2" t="str">
        <f>IFERROR(__xludf.DUMMYFUNCTION("""COMPUTED_VALUE"""),"सप्ताह")</f>
        <v>सप्ताह</v>
      </c>
      <c r="E1090" s="2" t="str">
        <f>IFERROR(__xludf.DUMMYFUNCTION("""COMPUTED_VALUE"""),"ವಾರ")</f>
        <v>ವಾರ</v>
      </c>
      <c r="F1090" s="2" t="str">
        <f>IFERROR(__xludf.DUMMYFUNCTION("""COMPUTED_VALUE"""),"ସପ୍ତାହ")</f>
        <v>ସପ୍ତାହ</v>
      </c>
      <c r="G1090" s="2" t="str">
        <f>IFERROR(__xludf.DUMMYFUNCTION("""COMPUTED_VALUE"""),"সপ্তাহ")</f>
        <v>সপ্তাহ</v>
      </c>
      <c r="H1090" s="2" t="str">
        <f>IFERROR(__xludf.DUMMYFUNCTION("""COMPUTED_VALUE"""),"સપ્તાહ")</f>
        <v>સપ્તાહ</v>
      </c>
      <c r="I1090" s="2" t="str">
        <f>IFERROR(__xludf.DUMMYFUNCTION("""COMPUTED_VALUE"""),"आठवडा")</f>
        <v>आठवडा</v>
      </c>
      <c r="J1090" s="2" t="str">
        <f>IFERROR(__xludf.DUMMYFUNCTION("""COMPUTED_VALUE"""),"ആഴ്ച")</f>
        <v>ആഴ്ച</v>
      </c>
      <c r="K1090" s="2" t="str">
        <f>IFERROR(__xludf.DUMMYFUNCTION("""COMPUTED_VALUE"""),"ਹਫ਼ਤਾ")</f>
        <v>ਹਫ਼ਤਾ</v>
      </c>
      <c r="L1090" s="2" t="str">
        <f>IFERROR(__xludf.DUMMYFUNCTION("""COMPUTED_VALUE"""),"வாரம்")</f>
        <v>வாரம்</v>
      </c>
      <c r="M1090" s="2" t="str">
        <f>IFERROR(__xludf.DUMMYFUNCTION("""COMPUTED_VALUE"""),"వారం")</f>
        <v>వారం</v>
      </c>
    </row>
    <row r="1091">
      <c r="A1091" s="2" t="str">
        <f>Master_en!A1091</f>
        <v>Month</v>
      </c>
      <c r="B1091" s="2" t="str">
        <f>Master_en!B1091</f>
        <v>Month</v>
      </c>
      <c r="C1091" s="2" t="str">
        <f>IFERROR(__xludf.DUMMYFUNCTION("""COMPUTED_VALUE"""),"মাস")</f>
        <v>মাস</v>
      </c>
      <c r="D1091" s="2" t="str">
        <f>IFERROR(__xludf.DUMMYFUNCTION("""COMPUTED_VALUE"""),"महीना")</f>
        <v>महीना</v>
      </c>
      <c r="E1091" s="2" t="str">
        <f>IFERROR(__xludf.DUMMYFUNCTION("""COMPUTED_VALUE"""),"ತಿಂಗಳು")</f>
        <v>ತಿಂಗಳು</v>
      </c>
      <c r="F1091" s="2" t="str">
        <f>IFERROR(__xludf.DUMMYFUNCTION("""COMPUTED_VALUE"""),"ମାସ")</f>
        <v>ମାସ</v>
      </c>
      <c r="G1091" s="2" t="str">
        <f>IFERROR(__xludf.DUMMYFUNCTION("""COMPUTED_VALUE"""),"মাহ")</f>
        <v>মাহ</v>
      </c>
      <c r="H1091" s="2" t="str">
        <f>IFERROR(__xludf.DUMMYFUNCTION("""COMPUTED_VALUE"""),"માસ")</f>
        <v>માસ</v>
      </c>
      <c r="I1091" s="2" t="str">
        <f>IFERROR(__xludf.DUMMYFUNCTION("""COMPUTED_VALUE"""),"महिना")</f>
        <v>महिना</v>
      </c>
      <c r="J1091" s="2" t="str">
        <f>IFERROR(__xludf.DUMMYFUNCTION("""COMPUTED_VALUE"""),"മാസം")</f>
        <v>മാസം</v>
      </c>
      <c r="K1091" s="2" t="str">
        <f>IFERROR(__xludf.DUMMYFUNCTION("""COMPUTED_VALUE"""),"ਮਹੀਨਾ")</f>
        <v>ਮਹੀਨਾ</v>
      </c>
      <c r="L1091" s="2" t="str">
        <f>IFERROR(__xludf.DUMMYFUNCTION("""COMPUTED_VALUE"""),"மாதம்")</f>
        <v>மாதம்</v>
      </c>
      <c r="M1091" s="2" t="str">
        <f>IFERROR(__xludf.DUMMYFUNCTION("""COMPUTED_VALUE"""),"నెల")</f>
        <v>నెల</v>
      </c>
    </row>
    <row r="1092">
      <c r="A1092" s="2" t="str">
        <f>Master_en!A1092</f>
        <v>CustomerManagement</v>
      </c>
      <c r="B1092" s="2" t="str">
        <f>Master_en!B1092</f>
        <v>Customer Management</v>
      </c>
      <c r="C1092" s="2" t="str">
        <f>IFERROR(__xludf.DUMMYFUNCTION("""COMPUTED_VALUE"""),"গ্রাহক ব্যবস্থাপনা")</f>
        <v>গ্রাহক ব্যবস্থাপনা</v>
      </c>
      <c r="D1092" s="2" t="str">
        <f>IFERROR(__xludf.DUMMYFUNCTION("""COMPUTED_VALUE"""),"ग्राहक प्रबंधन")</f>
        <v>ग्राहक प्रबंधन</v>
      </c>
      <c r="E1092" s="2" t="str">
        <f>IFERROR(__xludf.DUMMYFUNCTION("""COMPUTED_VALUE"""),"ಗ್ರಾಹಕ ನಿರ್ವಹಣೆ")</f>
        <v>ಗ್ರಾಹಕ ನಿರ್ವಹಣೆ</v>
      </c>
      <c r="F1092" s="2" t="str">
        <f>IFERROR(__xludf.DUMMYFUNCTION("""COMPUTED_VALUE"""),"ଗ୍ରାହକ ପରିଚାଳନା")</f>
        <v>ଗ୍ରାହକ ପରିଚାଳନା</v>
      </c>
      <c r="G1092" s="2" t="str">
        <f>IFERROR(__xludf.DUMMYFUNCTION("""COMPUTED_VALUE"""),"গ্ৰাহক ব্যৱস্থাপনা")</f>
        <v>গ্ৰাহক ব্যৱস্থাপনা</v>
      </c>
      <c r="H1092" s="2" t="str">
        <f>IFERROR(__xludf.DUMMYFUNCTION("""COMPUTED_VALUE"""),"ગ્રાહક વ્યવસ્થા")</f>
        <v>ગ્રાહક વ્યવસ્થા</v>
      </c>
      <c r="I1092" s="2" t="str">
        <f>IFERROR(__xludf.DUMMYFUNCTION("""COMPUTED_VALUE"""),"ग्राहक व्यवस्थापन")</f>
        <v>ग्राहक व्यवस्थापन</v>
      </c>
      <c r="J1092" s="2" t="str">
        <f>IFERROR(__xludf.DUMMYFUNCTION("""COMPUTED_VALUE"""),"ഉപഭോക്തൃ മാനേജുമെന്റ്")</f>
        <v>ഉപഭോക്തൃ മാനേജുമെന്റ്</v>
      </c>
      <c r="K1092" s="2" t="str">
        <f>IFERROR(__xludf.DUMMYFUNCTION("""COMPUTED_VALUE"""),"ਗਾਹਕ ਪ੍ਰਬੰਧਨ")</f>
        <v>ਗਾਹਕ ਪ੍ਰਬੰਧਨ</v>
      </c>
      <c r="L1092" s="2" t="str">
        <f>IFERROR(__xludf.DUMMYFUNCTION("""COMPUTED_VALUE"""),"வாடிக்கையாளர் மேலாண்மை")</f>
        <v>வாடிக்கையாளர் மேலாண்மை</v>
      </c>
      <c r="M1092" s="2" t="str">
        <f>IFERROR(__xludf.DUMMYFUNCTION("""COMPUTED_VALUE"""),"కస్టమర్ నిర్వహణ")</f>
        <v>కస్టమర్ నిర్వహణ</v>
      </c>
    </row>
    <row r="1093">
      <c r="A1093" s="2" t="str">
        <f>Master_en!A1093</f>
        <v>About</v>
      </c>
      <c r="B1093" s="2" t="str">
        <f>Master_en!B1093</f>
        <v>About</v>
      </c>
      <c r="C1093" s="2" t="str">
        <f>IFERROR(__xludf.DUMMYFUNCTION("""COMPUTED_VALUE"""),"সম্পর্কিত")</f>
        <v>সম্পর্কিত</v>
      </c>
      <c r="D1093" s="2" t="str">
        <f>IFERROR(__xludf.DUMMYFUNCTION("""COMPUTED_VALUE"""),"के बारे में")</f>
        <v>के बारे में</v>
      </c>
      <c r="E1093" s="2" t="str">
        <f>IFERROR(__xludf.DUMMYFUNCTION("""COMPUTED_VALUE"""),"ಬಗ್ಗೆ")</f>
        <v>ಬಗ್ಗೆ</v>
      </c>
      <c r="F1093" s="2" t="str">
        <f>IFERROR(__xludf.DUMMYFUNCTION("""COMPUTED_VALUE"""),"ବିଷୟରେ")</f>
        <v>ବିଷୟରେ</v>
      </c>
      <c r="G1093" s="2" t="str">
        <f>IFERROR(__xludf.DUMMYFUNCTION("""COMPUTED_VALUE"""),"সম্পৰ্কে")</f>
        <v>সম্পৰ্কে</v>
      </c>
      <c r="H1093" s="2" t="str">
        <f>IFERROR(__xludf.DUMMYFUNCTION("""COMPUTED_VALUE"""),"લગભગ")</f>
        <v>લગભગ</v>
      </c>
      <c r="I1093" s="2" t="str">
        <f>IFERROR(__xludf.DUMMYFUNCTION("""COMPUTED_VALUE"""),"बद्दल")</f>
        <v>बद्दल</v>
      </c>
      <c r="J1093" s="2" t="str">
        <f>IFERROR(__xludf.DUMMYFUNCTION("""COMPUTED_VALUE"""),"കുറിച്ച്")</f>
        <v>കുറിച്ച്</v>
      </c>
      <c r="K1093" s="2" t="str">
        <f>IFERROR(__xludf.DUMMYFUNCTION("""COMPUTED_VALUE"""),"ਬਾਰੇ")</f>
        <v>ਬਾਰੇ</v>
      </c>
      <c r="L1093" s="2" t="str">
        <f>IFERROR(__xludf.DUMMYFUNCTION("""COMPUTED_VALUE"""),"பற்றி")</f>
        <v>பற்றி</v>
      </c>
      <c r="M1093" s="2" t="str">
        <f>IFERROR(__xludf.DUMMYFUNCTION("""COMPUTED_VALUE"""),"గురించి")</f>
        <v>గురించి</v>
      </c>
    </row>
    <row r="1094">
      <c r="A1094" s="2" t="str">
        <f>Master_en!A1094</f>
        <v>KYCForm</v>
      </c>
      <c r="B1094" s="2" t="str">
        <f>Master_en!B1094</f>
        <v>KYC Form</v>
      </c>
      <c r="C1094" s="2" t="str">
        <f>IFERROR(__xludf.DUMMYFUNCTION("""COMPUTED_VALUE"""),"কেওয়াইসি ফর্ম")</f>
        <v>কেওয়াইসি ফর্ম</v>
      </c>
      <c r="D1094" s="2" t="str">
        <f>IFERROR(__xludf.DUMMYFUNCTION("""COMPUTED_VALUE"""),"KYC फॉर्म")</f>
        <v>KYC फॉर्म</v>
      </c>
      <c r="E1094" s="2" t="str">
        <f>IFERROR(__xludf.DUMMYFUNCTION("""COMPUTED_VALUE"""),"ಕೆಕ್ ರೂಪ")</f>
        <v>ಕೆಕ್ ರೂಪ</v>
      </c>
      <c r="F1094" s="2" t="str">
        <f>IFERROR(__xludf.DUMMYFUNCTION("""COMPUTED_VALUE"""),"Kyc ফৰ্ম")</f>
        <v>Kyc ফৰ্ম</v>
      </c>
      <c r="G1094" s="2" t="str">
        <f>IFERROR(__xludf.DUMMYFUNCTION("""COMPUTED_VALUE"""),"কেৱাইচি প্ৰপত্ৰ")</f>
        <v>কেৱাইচি প্ৰপত্ৰ</v>
      </c>
      <c r="H1094" s="2" t="str">
        <f>IFERROR(__xludf.DUMMYFUNCTION("""COMPUTED_VALUE"""),"કેવાયસી ફોર્મ")</f>
        <v>કેવાયસી ફોર્મ</v>
      </c>
      <c r="I1094" s="2" t="str">
        <f>IFERROR(__xludf.DUMMYFUNCTION("""COMPUTED_VALUE"""),"केवायसी फॉर्म")</f>
        <v>केवायसी फॉर्म</v>
      </c>
      <c r="J1094" s="2" t="str">
        <f>IFERROR(__xludf.DUMMYFUNCTION("""COMPUTED_VALUE"""),"കെവൈസി ഫോം")</f>
        <v>കെവൈസി ഫോം</v>
      </c>
      <c r="K1094" s="2" t="str">
        <f>IFERROR(__xludf.DUMMYFUNCTION("""COMPUTED_VALUE"""),"ਕੇਵਾਈਸੀ ਫਾਰਮ")</f>
        <v>ਕੇਵਾਈਸੀ ਫਾਰਮ</v>
      </c>
      <c r="L1094" s="2" t="str">
        <f>IFERROR(__xludf.DUMMYFUNCTION("""COMPUTED_VALUE""")," கே வேய் சி வடிவம்")</f>
        <v> கே வேய் சி வடிவம்</v>
      </c>
      <c r="M1094" s="2" t="str">
        <f>IFERROR(__xludf.DUMMYFUNCTION("""COMPUTED_VALUE"""),"KYC రూపం")</f>
        <v>KYC రూపం</v>
      </c>
    </row>
    <row r="1095">
      <c r="A1095" s="2" t="str">
        <f>Master_en!A1095</f>
        <v>PoliceVerification</v>
      </c>
      <c r="B1095" s="2" t="str">
        <f>Master_en!B1095</f>
        <v>Police Verification</v>
      </c>
      <c r="C1095" s="2" t="str">
        <f>IFERROR(__xludf.DUMMYFUNCTION("""COMPUTED_VALUE"""),"পুলিশ যাচাইকরণ")</f>
        <v>পুলিশ যাচাইকরণ</v>
      </c>
      <c r="D1095" s="2" t="str">
        <f>IFERROR(__xludf.DUMMYFUNCTION("""COMPUTED_VALUE"""),"पुलिस सत्यापन")</f>
        <v>पुलिस सत्यापन</v>
      </c>
      <c r="E1095" s="2" t="str">
        <f>IFERROR(__xludf.DUMMYFUNCTION("""COMPUTED_VALUE"""),"ಪೊಲೀಸ್ ಪರಿಶೀಲನೆ")</f>
        <v>ಪೊಲೀಸ್ ಪರಿಶೀಲನೆ</v>
      </c>
      <c r="F1095" s="2" t="str">
        <f>IFERROR(__xludf.DUMMYFUNCTION("""COMPUTED_VALUE"""),"ପୋଲିସ ଯାଞ୍ଚ")</f>
        <v>ପୋଲିସ ଯାଞ୍ଚ</v>
      </c>
      <c r="G1095" s="2" t="str">
        <f>IFERROR(__xludf.DUMMYFUNCTION("""COMPUTED_VALUE"""),"পুলিচ প্ৰমাণীকৰণ")</f>
        <v>পুলিচ প্ৰমাণীকৰণ</v>
      </c>
      <c r="H1095" s="2" t="str">
        <f>IFERROR(__xludf.DUMMYFUNCTION("""COMPUTED_VALUE"""),"પોલીસ ખરાઈ")</f>
        <v>પોલીસ ખરાઈ</v>
      </c>
      <c r="I1095" s="2" t="str">
        <f>IFERROR(__xludf.DUMMYFUNCTION("""COMPUTED_VALUE"""),"पोलिस सत्यापन")</f>
        <v>पोलिस सत्यापन</v>
      </c>
      <c r="J1095" s="2" t="str">
        <f>IFERROR(__xludf.DUMMYFUNCTION("""COMPUTED_VALUE"""),"പോലീസ് പരിശോധന")</f>
        <v>പോലീസ് പരിശോധന</v>
      </c>
      <c r="K1095" s="2" t="str">
        <f>IFERROR(__xludf.DUMMYFUNCTION("""COMPUTED_VALUE"""),"ਪੁਲਿਸ ਵੈਰੀਫਿਕੇਸ਼ਨ")</f>
        <v>ਪੁਲਿਸ ਵੈਰੀਫਿਕੇਸ਼ਨ</v>
      </c>
      <c r="L1095" s="2" t="str">
        <f>IFERROR(__xludf.DUMMYFUNCTION("""COMPUTED_VALUE"""),"போலிஸ் சரிபார்ப்பு")</f>
        <v>போலிஸ் சரிபார்ப்பு</v>
      </c>
      <c r="M1095" s="2" t="str">
        <f>IFERROR(__xludf.DUMMYFUNCTION("""COMPUTED_VALUE"""),"పోలీసు ధృవీకరణ")</f>
        <v>పోలీసు ధృవీకరణ</v>
      </c>
    </row>
    <row r="1096">
      <c r="A1096" s="2" t="str">
        <f>Master_en!A1096</f>
        <v>AadharCardNo.</v>
      </c>
      <c r="B1096" s="2" t="str">
        <f>Master_en!B1096</f>
        <v>Aadhar Card No.</v>
      </c>
      <c r="C1096" s="2" t="str">
        <f>IFERROR(__xludf.DUMMYFUNCTION("""COMPUTED_VALUE"""),"আধার কার্ড নং")</f>
        <v>আধার কার্ড নং</v>
      </c>
      <c r="D1096" s="2" t="str">
        <f>IFERROR(__xludf.DUMMYFUNCTION("""COMPUTED_VALUE"""),"आम कार्ड नं।")</f>
        <v>आम कार्ड नं।</v>
      </c>
      <c r="E1096" s="2" t="str">
        <f>IFERROR(__xludf.DUMMYFUNCTION("""COMPUTED_VALUE"""),"ಆಧಾರ್ ಕಾರ್ಡ್ ಸಂಖ್ಯೆ")</f>
        <v>ಆಧಾರ್ ಕಾರ್ಡ್ ಸಂಖ್ಯೆ</v>
      </c>
      <c r="F1096" s="2" t="str">
        <f>IFERROR(__xludf.DUMMYFUNCTION("""COMPUTED_VALUE"""),"ଆଧାର କାର୍ଡ ନମ୍ବର")</f>
        <v>ଆଧାର କାର୍ଡ ନମ୍ବର</v>
      </c>
      <c r="G1096" s="2" t="str">
        <f>IFERROR(__xludf.DUMMYFUNCTION("""COMPUTED_VALUE"""),"আধাৰ কাৰ্ড নং")</f>
        <v>আধাৰ কাৰ্ড নং</v>
      </c>
      <c r="H1096" s="2" t="str">
        <f>IFERROR(__xludf.DUMMYFUNCTION("""COMPUTED_VALUE"""),"આધાર કાર્ડ નંબર")</f>
        <v>આધાર કાર્ડ નંબર</v>
      </c>
      <c r="I1096" s="2" t="str">
        <f>IFERROR(__xludf.DUMMYFUNCTION("""COMPUTED_VALUE"""),"आधार कार्ड क्रमांक")</f>
        <v>आधार कार्ड क्रमांक</v>
      </c>
      <c r="J1096" s="2" t="str">
        <f>IFERROR(__xludf.DUMMYFUNCTION("""COMPUTED_VALUE"""),"ആധാർ കാർഡ് നമ്പർ.")</f>
        <v>ആധാർ കാർഡ് നമ്പർ.</v>
      </c>
      <c r="K1096" s="2" t="str">
        <f>IFERROR(__xludf.DUMMYFUNCTION("""COMPUTED_VALUE"""),"ਆਧਾਰ ਕਾਰਡ ਨੰਬਰ")</f>
        <v>ਆਧਾਰ ਕਾਰਡ ਨੰਬਰ</v>
      </c>
      <c r="L1096" s="2" t="str">
        <f>IFERROR(__xludf.DUMMYFUNCTION("""COMPUTED_VALUE"""),"ஆதார் அட்டை எண்.")</f>
        <v>ஆதார் அட்டை எண்.</v>
      </c>
      <c r="M1096" s="2" t="str">
        <f>IFERROR(__xludf.DUMMYFUNCTION("""COMPUTED_VALUE"""),"ఆధార్ కార్డ్ నం.")</f>
        <v>ఆధార్ కార్డ్ నం.</v>
      </c>
    </row>
    <row r="1097">
      <c r="A1097" s="2" t="str">
        <f>Master_en!A1097</f>
        <v>PoliceStationName</v>
      </c>
      <c r="B1097" s="2" t="str">
        <f>Master_en!B1097</f>
        <v>Police Station Name</v>
      </c>
      <c r="C1097" s="2" t="str">
        <f>IFERROR(__xludf.DUMMYFUNCTION("""COMPUTED_VALUE"""),"থানার নাম")</f>
        <v>থানার নাম</v>
      </c>
      <c r="D1097" s="2" t="str">
        <f>IFERROR(__xludf.DUMMYFUNCTION("""COMPUTED_VALUE"""),"पुलिस स्टेशन का नाम")</f>
        <v>पुलिस स्टेशन का नाम</v>
      </c>
      <c r="E1097" s="2" t="str">
        <f>IFERROR(__xludf.DUMMYFUNCTION("""COMPUTED_VALUE"""),"ಪೊಲೀಸ್ ಠಾಣೆ ಹೆಸರು")</f>
        <v>ಪೊಲೀಸ್ ಠಾಣೆ ಹೆಸರು</v>
      </c>
      <c r="F1097" s="2" t="str">
        <f>IFERROR(__xludf.DUMMYFUNCTION("""COMPUTED_VALUE"""),"ପୋଲିସ ଷ୍ଟେସନ ନାମ |")</f>
        <v>ପୋଲିସ ଷ୍ଟେସନ ନାମ |</v>
      </c>
      <c r="G1097" s="2" t="str">
        <f>IFERROR(__xludf.DUMMYFUNCTION("""COMPUTED_VALUE"""),"আৰক্ষী থানাৰ নাম")</f>
        <v>আৰক্ষী থানাৰ নাম</v>
      </c>
      <c r="H1097" s="2" t="str">
        <f>IFERROR(__xludf.DUMMYFUNCTION("""COMPUTED_VALUE"""),"પોલીસ નામ")</f>
        <v>પોલીસ નામ</v>
      </c>
      <c r="I1097" s="2" t="str">
        <f>IFERROR(__xludf.DUMMYFUNCTION("""COMPUTED_VALUE"""),"पोलिस स्टेशनचे नाव")</f>
        <v>पोलिस स्टेशनचे नाव</v>
      </c>
      <c r="J1097" s="2" t="str">
        <f>IFERROR(__xludf.DUMMYFUNCTION("""COMPUTED_VALUE"""),"പോലീസ് സ്റ്റേഷൻ നാമം")</f>
        <v>പോലീസ് സ്റ്റേഷൻ നാമം</v>
      </c>
      <c r="K1097" s="2" t="str">
        <f>IFERROR(__xludf.DUMMYFUNCTION("""COMPUTED_VALUE"""),"ਥਾਣਾ ਨਾਮ")</f>
        <v>ਥਾਣਾ ਨਾਮ</v>
      </c>
      <c r="L1097" s="2" t="str">
        <f>IFERROR(__xludf.DUMMYFUNCTION("""COMPUTED_VALUE"""),"காவல் நிலைய பெயர்")</f>
        <v>காவல் நிலைய பெயர்</v>
      </c>
      <c r="M1097" s="2" t="str">
        <f>IFERROR(__xludf.DUMMYFUNCTION("""COMPUTED_VALUE"""),"పోలీస్ స్టేషన్ పేరు")</f>
        <v>పోలీస్ స్టేషన్ పేరు</v>
      </c>
    </row>
    <row r="1098">
      <c r="A1098" s="2" t="str">
        <f>Master_en!A1098</f>
        <v>LocalityorArea</v>
      </c>
      <c r="B1098" s="2" t="str">
        <f>Master_en!B1098</f>
        <v>Locality or Area</v>
      </c>
      <c r="C1098" s="2" t="str">
        <f>IFERROR(__xludf.DUMMYFUNCTION("""COMPUTED_VALUE"""),"লোকেশন বা অঞ্চল")</f>
        <v>লোকেশন বা অঞ্চল</v>
      </c>
      <c r="D1098" s="2" t="str">
        <f>IFERROR(__xludf.DUMMYFUNCTION("""COMPUTED_VALUE"""),"स्थानीयता या क्षेत्र")</f>
        <v>स्थानीयता या क्षेत्र</v>
      </c>
      <c r="E1098" s="2" t="str">
        <f>IFERROR(__xludf.DUMMYFUNCTION("""COMPUTED_VALUE"""),"ಸ್ಥಳ ಅಥವಾ ಪ್ರದೇಶ")</f>
        <v>ಸ್ಥಳ ಅಥವಾ ಪ್ರದೇಶ</v>
      </c>
      <c r="F1098" s="2" t="str">
        <f>IFERROR(__xludf.DUMMYFUNCTION("""COMPUTED_VALUE"""),"ସ୍ଥାନୀୟ କିମ୍ବା କ୍ଷେତ୍ର")</f>
        <v>ସ୍ଥାନୀୟ କିମ୍ବା କ୍ଷେତ୍ର</v>
      </c>
      <c r="G1098" s="2" t="str">
        <f>IFERROR(__xludf.DUMMYFUNCTION("""COMPUTED_VALUE"""),"অঞ্চল বা এলেকা")</f>
        <v>অঞ্চল বা এলেকা</v>
      </c>
      <c r="H1098" s="2" t="str">
        <f>IFERROR(__xludf.DUMMYFUNCTION("""COMPUTED_VALUE"""),"વિસ્તાર અથવા ક્ષેત્ર")</f>
        <v>વિસ્તાર અથવા ક્ષેત્ર</v>
      </c>
      <c r="I1098" s="2" t="str">
        <f>IFERROR(__xludf.DUMMYFUNCTION("""COMPUTED_VALUE"""),"परिसर किंवा क्षेत्र")</f>
        <v>परिसर किंवा क्षेत्र</v>
      </c>
      <c r="J1098" s="2" t="str">
        <f>IFERROR(__xludf.DUMMYFUNCTION("""COMPUTED_VALUE"""),"പ്രദേശം അല്ലെങ്കിൽ പ്രദേശം")</f>
        <v>പ്രദേശം അല്ലെങ്കിൽ പ്രദേശം</v>
      </c>
      <c r="K1098" s="2" t="str">
        <f>IFERROR(__xludf.DUMMYFUNCTION("""COMPUTED_VALUE"""),"ਸਥਾਨ ਜਾਂ ਖੇਤਰ")</f>
        <v>ਸਥਾਨ ਜਾਂ ਖੇਤਰ</v>
      </c>
      <c r="L1098" s="2" t="str">
        <f>IFERROR(__xludf.DUMMYFUNCTION("""COMPUTED_VALUE"""),"இடம் அல்லது பகுதி")</f>
        <v>இடம் அல்லது பகுதி</v>
      </c>
      <c r="M1098" s="2" t="str">
        <f>IFERROR(__xludf.DUMMYFUNCTION("""COMPUTED_VALUE"""),"ప్రాంతం లేదా ప్రాంతం")</f>
        <v>ప్రాంతం లేదా ప్రాంతం</v>
      </c>
    </row>
    <row r="1099">
      <c r="A1099" s="2" t="str">
        <f>Master_en!A1099</f>
        <v>UploadPoliceVerificationCard</v>
      </c>
      <c r="B1099" s="2" t="str">
        <f>Master_en!B1099</f>
        <v>Upload Police Verification Card</v>
      </c>
      <c r="C1099" s="2" t="str">
        <f>IFERROR(__xludf.DUMMYFUNCTION("""COMPUTED_VALUE"""),"পুলিশ যাচাইকরণ কার্ড আপলোড করুন")</f>
        <v>পুলিশ যাচাইকরণ কার্ড আপলোড করুন</v>
      </c>
      <c r="D1099" s="2" t="str">
        <f>IFERROR(__xludf.DUMMYFUNCTION("""COMPUTED_VALUE"""),"पुलिस सत्यापन कार्ड अपलोड करें")</f>
        <v>पुलिस सत्यापन कार्ड अपलोड करें</v>
      </c>
      <c r="E1099" s="2" t="str">
        <f>IFERROR(__xludf.DUMMYFUNCTION("""COMPUTED_VALUE"""),"ಪೊಲೀಸ್ ಪರಿಶೀಲನೆ ಕಾರ್ಡ್ ಅಪ್‌ಲೋಡ್ ಮಾಡಿ")</f>
        <v>ಪೊಲೀಸ್ ಪರಿಶೀಲನೆ ಕಾರ್ಡ್ ಅಪ್‌ಲೋಡ್ ಮಾಡಿ</v>
      </c>
      <c r="F1099" s="2" t="str">
        <f>IFERROR(__xludf.DUMMYFUNCTION("""COMPUTED_VALUE"""),"ପୋଲିସ ଯାଞ୍ଚ କାର୍ଡ ଅପଲୋଡ୍ କରନ୍ତୁ |")</f>
        <v>ପୋଲିସ ଯାଞ୍ଚ କାର୍ଡ ଅପଲୋଡ୍ କରନ୍ତୁ |</v>
      </c>
      <c r="G1099" s="2" t="str">
        <f>IFERROR(__xludf.DUMMYFUNCTION("""COMPUTED_VALUE"""),"পুলিচ প্ৰমাণীকৰণ কাৰ্ড আপলোড কৰক")</f>
        <v>পুলিচ প্ৰমাণীকৰণ কাৰ্ড আপলোড কৰক</v>
      </c>
      <c r="H1099" s="2" t="str">
        <f>IFERROR(__xludf.DUMMYFUNCTION("""COMPUTED_VALUE"""),"પોલીસ ચકાસણી કાર્ડ અપલોડ કરો")</f>
        <v>પોલીસ ચકાસણી કાર્ડ અપલોડ કરો</v>
      </c>
      <c r="I1099" s="2" t="str">
        <f>IFERROR(__xludf.DUMMYFUNCTION("""COMPUTED_VALUE"""),"पोलिस सत्यापन कार्ड अपलोड करा")</f>
        <v>पोलिस सत्यापन कार्ड अपलोड करा</v>
      </c>
      <c r="J1099" s="2" t="str">
        <f>IFERROR(__xludf.DUMMYFUNCTION("""COMPUTED_VALUE"""),"പോലീസ് സ്ഥിരീകരണ കാർഡ് അപ്ലോഡുചെയ്യുക")</f>
        <v>പോലീസ് സ്ഥിരീകരണ കാർഡ് അപ്ലോഡുചെയ്യുക</v>
      </c>
      <c r="K1099" s="2" t="str">
        <f>IFERROR(__xludf.DUMMYFUNCTION("""COMPUTED_VALUE"""),"ਪੁਲਿਸ ਵੈਰੀਫਿਕੇਸ਼ਨ ਕਾਰਡ ਅਪਲੋਡ ਕਰੋ")</f>
        <v>ਪੁਲਿਸ ਵੈਰੀਫਿਕੇਸ਼ਨ ਕਾਰਡ ਅਪਲੋਡ ਕਰੋ</v>
      </c>
      <c r="L1099" s="2" t="str">
        <f>IFERROR(__xludf.DUMMYFUNCTION("""COMPUTED_VALUE"""),"போலீஸ் சரிபார்ப்பு அட்டையைப் பதிவேற்றவும்")</f>
        <v>போலீஸ் சரிபார்ப்பு அட்டையைப் பதிவேற்றவும்</v>
      </c>
      <c r="M1099" s="2" t="str">
        <f>IFERROR(__xludf.DUMMYFUNCTION("""COMPUTED_VALUE"""),"పోలీసు ధృవీకరణ కార్డును అప్‌లోడ్ చేయండి")</f>
        <v>పోలీసు ధృవీకరణ కార్డును అప్‌లోడ్ చేయండి</v>
      </c>
    </row>
    <row r="1100">
      <c r="A1100" s="2" t="str">
        <f>Master_en!A1100</f>
        <v>VehicleDetails</v>
      </c>
      <c r="B1100" s="2" t="str">
        <f>Master_en!B1100</f>
        <v>Vehicle Details</v>
      </c>
      <c r="C1100" s="2" t="str">
        <f>IFERROR(__xludf.DUMMYFUNCTION("""COMPUTED_VALUE"""),"গাড়ির বিবরণ")</f>
        <v>গাড়ির বিবরণ</v>
      </c>
      <c r="D1100" s="2" t="str">
        <f>IFERROR(__xludf.DUMMYFUNCTION("""COMPUTED_VALUE"""),"वाहन की सूचना")</f>
        <v>वाहन की सूचना</v>
      </c>
      <c r="E1100" s="2" t="str">
        <f>IFERROR(__xludf.DUMMYFUNCTION("""COMPUTED_VALUE"""),"ವಾಹನ ವಿವರಗಳು")</f>
        <v>ವಾಹನ ವಿವರಗಳು</v>
      </c>
      <c r="F1100" s="2" t="str">
        <f>IFERROR(__xludf.DUMMYFUNCTION("""COMPUTED_VALUE"""),"ଯାନବାହାହୀନ ବିବରଣୀ")</f>
        <v>ଯାନବାହାହୀନ ବିବରଣୀ</v>
      </c>
      <c r="G1100" s="2" t="str">
        <f>IFERROR(__xludf.DUMMYFUNCTION("""COMPUTED_VALUE"""),"বাহনৰ বিৱৰণ")</f>
        <v>বাহনৰ বিৱৰণ</v>
      </c>
      <c r="H1100" s="2" t="str">
        <f>IFERROR(__xludf.DUMMYFUNCTION("""COMPUTED_VALUE"""),"વાહનની વિગતો")</f>
        <v>વાહનની વિગતો</v>
      </c>
      <c r="I1100" s="2" t="str">
        <f>IFERROR(__xludf.DUMMYFUNCTION("""COMPUTED_VALUE"""),"वाहन तपशील")</f>
        <v>वाहन तपशील</v>
      </c>
      <c r="J1100" s="2" t="str">
        <f>IFERROR(__xludf.DUMMYFUNCTION("""COMPUTED_VALUE"""),"വാഹന വിശദാംശങ്ങൾ")</f>
        <v>വാഹന വിശദാംശങ്ങൾ</v>
      </c>
      <c r="K1100" s="2" t="str">
        <f>IFERROR(__xludf.DUMMYFUNCTION("""COMPUTED_VALUE"""),"ਵਾਹਨ ਦੇ ਵੇਰਵੇ")</f>
        <v>ਵਾਹਨ ਦੇ ਵੇਰਵੇ</v>
      </c>
      <c r="L1100" s="2" t="str">
        <f>IFERROR(__xludf.DUMMYFUNCTION("""COMPUTED_VALUE"""),"வாகன விவரங்கள்")</f>
        <v>வாகன விவரங்கள்</v>
      </c>
      <c r="M1100" s="2" t="str">
        <f>IFERROR(__xludf.DUMMYFUNCTION("""COMPUTED_VALUE"""),"వాహన వివరాలు")</f>
        <v>వాహన వివరాలు</v>
      </c>
    </row>
    <row r="1101">
      <c r="A1101" s="2" t="str">
        <f>Master_en!A1101</f>
        <v>LicenseType</v>
      </c>
      <c r="B1101" s="2" t="str">
        <f>Master_en!B1101</f>
        <v>License Type</v>
      </c>
      <c r="C1101" s="2" t="str">
        <f>IFERROR(__xludf.DUMMYFUNCTION("""COMPUTED_VALUE"""),"লাইসেন্সের ধরণ")</f>
        <v>লাইসেন্সের ধরণ</v>
      </c>
      <c r="D1101" s="2" t="str">
        <f>IFERROR(__xludf.DUMMYFUNCTION("""COMPUTED_VALUE"""),"लाइसेंस के प्रकार")</f>
        <v>लाइसेंस के प्रकार</v>
      </c>
      <c r="E1101" s="2" t="str">
        <f>IFERROR(__xludf.DUMMYFUNCTION("""COMPUTED_VALUE"""),"ಪರವಾನಗಿ ಪ್ರಕಾರ")</f>
        <v>ಪರವಾನಗಿ ಪ್ರಕಾರ</v>
      </c>
      <c r="F1101" s="2" t="str">
        <f>IFERROR(__xludf.DUMMYFUNCTION("""COMPUTED_VALUE"""),"ଲାଇସେନ୍ସ ପ୍ରକାର |")</f>
        <v>ଲାଇସେନ୍ସ ପ୍ରକାର |</v>
      </c>
      <c r="G1101" s="2" t="str">
        <f>IFERROR(__xludf.DUMMYFUNCTION("""COMPUTED_VALUE"""),"অনুজ্ঞাপত্ৰৰ ধৰণ")</f>
        <v>অনুজ্ঞাপত্ৰৰ ধৰণ</v>
      </c>
      <c r="H1101" s="2" t="str">
        <f>IFERROR(__xludf.DUMMYFUNCTION("""COMPUTED_VALUE"""),"પરવાનો પ્રકાર")</f>
        <v>પરવાનો પ્રકાર</v>
      </c>
      <c r="I1101" s="2" t="str">
        <f>IFERROR(__xludf.DUMMYFUNCTION("""COMPUTED_VALUE"""),"परवाना प्रकार")</f>
        <v>परवाना प्रकार</v>
      </c>
      <c r="J1101" s="2" t="str">
        <f>IFERROR(__xludf.DUMMYFUNCTION("""COMPUTED_VALUE"""),"ലൈസൻസ് തരം")</f>
        <v>ലൈസൻസ് തരം</v>
      </c>
      <c r="K1101" s="2" t="str">
        <f>IFERROR(__xludf.DUMMYFUNCTION("""COMPUTED_VALUE"""),"ਲਾਇਸੈਂਸ ਦੀ ਕਿਸਮ")</f>
        <v>ਲਾਇਸੈਂਸ ਦੀ ਕਿਸਮ</v>
      </c>
      <c r="L1101" s="2" t="str">
        <f>IFERROR(__xludf.DUMMYFUNCTION("""COMPUTED_VALUE"""),"உரிம வகை")</f>
        <v>உரிம வகை</v>
      </c>
      <c r="M1101" s="2" t="str">
        <f>IFERROR(__xludf.DUMMYFUNCTION("""COMPUTED_VALUE"""),"లైసెన్స్ రకం")</f>
        <v>లైసెన్స్ రకం</v>
      </c>
    </row>
    <row r="1102">
      <c r="A1102" s="2" t="str">
        <f>Master_en!A1102</f>
        <v>ValidUpto</v>
      </c>
      <c r="B1102" s="2" t="str">
        <f>Master_en!B1102</f>
        <v>Valid Upto</v>
      </c>
      <c r="C1102" s="2" t="str">
        <f>IFERROR(__xludf.DUMMYFUNCTION("""COMPUTED_VALUE"""),"বৈধ পর্যন্ত")</f>
        <v>বৈধ পর্যন্ত</v>
      </c>
      <c r="D1102" s="2" t="str">
        <f>IFERROR(__xludf.DUMMYFUNCTION("""COMPUTED_VALUE"""),"तक वैध है")</f>
        <v>तक वैध है</v>
      </c>
      <c r="E1102" s="2" t="str">
        <f>IFERROR(__xludf.DUMMYFUNCTION("""COMPUTED_VALUE"""),"ಮಾನ್ಯ")</f>
        <v>ಮಾನ್ಯ</v>
      </c>
      <c r="F1102" s="2" t="str">
        <f>IFERROR(__xludf.DUMMYFUNCTION("""COMPUTED_VALUE"""),"ବ valid ଧ ଅନ୍ଟୋ |")</f>
        <v>ବ valid ଧ ଅନ୍ଟୋ |</v>
      </c>
      <c r="G1102" s="2" t="str">
        <f>IFERROR(__xludf.DUMMYFUNCTION("""COMPUTED_VALUE"""),"বৈধ উপৰ")</f>
        <v>বৈধ উপৰ</v>
      </c>
      <c r="H1102" s="2" t="str">
        <f>IFERROR(__xludf.DUMMYFUNCTION("""COMPUTED_VALUE"""),"માન્ય")</f>
        <v>માન્ય</v>
      </c>
      <c r="I1102" s="2" t="str">
        <f>IFERROR(__xludf.DUMMYFUNCTION("""COMPUTED_VALUE"""),"पर्यंत वैध")</f>
        <v>पर्यंत वैध</v>
      </c>
      <c r="J1102" s="2" t="str">
        <f>IFERROR(__xludf.DUMMYFUNCTION("""COMPUTED_VALUE"""),"സാധുവാണ്")</f>
        <v>സാധുവാണ്</v>
      </c>
      <c r="K1102" s="2" t="str">
        <f>IFERROR(__xludf.DUMMYFUNCTION("""COMPUTED_VALUE"""),"ਜਾਇਜ਼")</f>
        <v>ਜਾਇਜ਼</v>
      </c>
      <c r="L1102" s="2" t="str">
        <f>IFERROR(__xludf.DUMMYFUNCTION("""COMPUTED_VALUE"""),"செல்லுபடியாகும்")</f>
        <v>செல்லுபடியாகும்</v>
      </c>
      <c r="M1102" s="2" t="str">
        <f>IFERROR(__xludf.DUMMYFUNCTION("""COMPUTED_VALUE"""),"చెల్లుబాటు అయ్యే వరకు")</f>
        <v>చెల్లుబాటు అయ్యే వరకు</v>
      </c>
    </row>
    <row r="1103">
      <c r="A1103" s="2" t="str">
        <f>Master_en!A1103</f>
        <v>IssuingState</v>
      </c>
      <c r="B1103" s="2" t="str">
        <f>Master_en!B1103</f>
        <v>Issuing State</v>
      </c>
      <c r="C1103" s="2" t="str">
        <f>IFERROR(__xludf.DUMMYFUNCTION("""COMPUTED_VALUE"""),"ইস্যু করা রাষ্ট্র")</f>
        <v>ইস্যু করা রাষ্ট্র</v>
      </c>
      <c r="D1103" s="2" t="str">
        <f>IFERROR(__xludf.DUMMYFUNCTION("""COMPUTED_VALUE"""),"राज्य जारी करना")</f>
        <v>राज्य जारी करना</v>
      </c>
      <c r="E1103" s="2" t="str">
        <f>IFERROR(__xludf.DUMMYFUNCTION("""COMPUTED_VALUE"""),"ರಾಜ್ಯವನ್ನು ನೀಡುವ ರಾಜ್ಯ")</f>
        <v>ರಾಜ್ಯವನ್ನು ನೀಡುವ ರಾಜ್ಯ</v>
      </c>
      <c r="F1103" s="2" t="str">
        <f>IFERROR(__xludf.DUMMYFUNCTION("""COMPUTED_VALUE"""),"ରାଜ୍ୟ ପ୍ରଦାନ")</f>
        <v>ରାଜ୍ୟ ପ୍ରଦାନ</v>
      </c>
      <c r="G1103" s="2" t="str">
        <f>IFERROR(__xludf.DUMMYFUNCTION("""COMPUTED_VALUE"""),"জাৰী কৰা অৱস্থা")</f>
        <v>জাৰী কৰা অৱস্থা</v>
      </c>
      <c r="H1103" s="2" t="str">
        <f>IFERROR(__xludf.DUMMYFUNCTION("""COMPUTED_VALUE"""),"રાજ્ય")</f>
        <v>રાજ્ય</v>
      </c>
      <c r="I1103" s="2" t="str">
        <f>IFERROR(__xludf.DUMMYFUNCTION("""COMPUTED_VALUE"""),"जारी राज्य")</f>
        <v>जारी राज्य</v>
      </c>
      <c r="J1103" s="2" t="str">
        <f>IFERROR(__xludf.DUMMYFUNCTION("""COMPUTED_VALUE"""),"സംസ്ഥാനം നൽകുന്നു")</f>
        <v>സംസ്ഥാനം നൽകുന്നു</v>
      </c>
      <c r="K1103" s="2" t="str">
        <f>IFERROR(__xludf.DUMMYFUNCTION("""COMPUTED_VALUE"""),"ਜਾਰੀ ਕਰਨਾ")</f>
        <v>ਜਾਰੀ ਕਰਨਾ</v>
      </c>
      <c r="L1103" s="2" t="str">
        <f>IFERROR(__xludf.DUMMYFUNCTION("""COMPUTED_VALUE"""),"வழங்கும் மாநிலம்")</f>
        <v>வழங்கும் மாநிலம்</v>
      </c>
      <c r="M1103" s="2" t="str">
        <f>IFERROR(__xludf.DUMMYFUNCTION("""COMPUTED_VALUE"""),"రాష్ట్రం జారీ")</f>
        <v>రాష్ట్రం జారీ</v>
      </c>
    </row>
    <row r="1104">
      <c r="A1104" s="2" t="str">
        <f>Master_en!A1104</f>
        <v>VehicleNumber</v>
      </c>
      <c r="B1104" s="2" t="str">
        <f>Master_en!B1104</f>
        <v>Vehicle Number</v>
      </c>
      <c r="C1104" s="2" t="str">
        <f>IFERROR(__xludf.DUMMYFUNCTION("""COMPUTED_VALUE"""),"যানবাহন নম্বর")</f>
        <v>যানবাহন নম্বর</v>
      </c>
      <c r="D1104" s="2" t="str">
        <f>IFERROR(__xludf.DUMMYFUNCTION("""COMPUTED_VALUE"""),"गाडी नंबर")</f>
        <v>गाडी नंबर</v>
      </c>
      <c r="E1104" s="2" t="str">
        <f>IFERROR(__xludf.DUMMYFUNCTION("""COMPUTED_VALUE"""),"ವಾಹನ ಸಂಖ್ಯೆ")</f>
        <v>ವಾಹನ ಸಂಖ್ಯೆ</v>
      </c>
      <c r="F1104" s="2" t="str">
        <f>IFERROR(__xludf.DUMMYFUNCTION("""COMPUTED_VALUE"""),"ଯାନ ସଂଖ୍ୟା")</f>
        <v>ଯାନ ସଂଖ୍ୟା</v>
      </c>
      <c r="G1104" s="2" t="str">
        <f>IFERROR(__xludf.DUMMYFUNCTION("""COMPUTED_VALUE"""),"বাহনৰ নম্বৰ")</f>
        <v>বাহনৰ নম্বৰ</v>
      </c>
      <c r="H1104" s="2" t="str">
        <f>IFERROR(__xludf.DUMMYFUNCTION("""COMPUTED_VALUE"""),"વાહન નંબર")</f>
        <v>વાહન નંબર</v>
      </c>
      <c r="I1104" s="2" t="str">
        <f>IFERROR(__xludf.DUMMYFUNCTION("""COMPUTED_VALUE"""),"वाहन क्रमांक")</f>
        <v>वाहन क्रमांक</v>
      </c>
      <c r="J1104" s="2" t="str">
        <f>IFERROR(__xludf.DUMMYFUNCTION("""COMPUTED_VALUE"""),"വാഹന സംഖ്യ")</f>
        <v>വാഹന സംഖ്യ</v>
      </c>
      <c r="K1104" s="2" t="str">
        <f>IFERROR(__xludf.DUMMYFUNCTION("""COMPUTED_VALUE"""),"ਵਾਹਨ ਨੰਬਰ")</f>
        <v>ਵਾਹਨ ਨੰਬਰ</v>
      </c>
      <c r="L1104" s="2" t="str">
        <f>IFERROR(__xludf.DUMMYFUNCTION("""COMPUTED_VALUE"""),"வாகன எண்")</f>
        <v>வாகன எண்</v>
      </c>
      <c r="M1104" s="2" t="str">
        <f>IFERROR(__xludf.DUMMYFUNCTION("""COMPUTED_VALUE"""),"వాహన సంఖ్య")</f>
        <v>వాహన సంఖ్య</v>
      </c>
    </row>
    <row r="1105">
      <c r="A1105" s="2" t="str">
        <f>Master_en!A1105</f>
        <v>ValidFrom</v>
      </c>
      <c r="B1105" s="2" t="str">
        <f>Master_en!B1105</f>
        <v>Valid From</v>
      </c>
      <c r="C1105" s="2" t="str">
        <f>IFERROR(__xludf.DUMMYFUNCTION("""COMPUTED_VALUE"""),"বৈধ হবে")</f>
        <v>বৈধ হবে</v>
      </c>
      <c r="D1105" s="2" t="str">
        <f>IFERROR(__xludf.DUMMYFUNCTION("""COMPUTED_VALUE"""),"से मान्य")</f>
        <v>से मान्य</v>
      </c>
      <c r="E1105" s="2" t="str">
        <f>IFERROR(__xludf.DUMMYFUNCTION("""COMPUTED_VALUE"""),"ನಿಂದ ಮಾನ್ಯವಾಗಿದೆ")</f>
        <v>ನಿಂದ ಮಾನ್ಯವಾಗಿದೆ</v>
      </c>
      <c r="F1105" s="2" t="str">
        <f>IFERROR(__xludf.DUMMYFUNCTION("""COMPUTED_VALUE"""),"ଠାରୁ ବ valid ଧ |")</f>
        <v>ଠାରୁ ବ valid ଧ |</v>
      </c>
      <c r="G1105" s="2" t="str">
        <f>IFERROR(__xludf.DUMMYFUNCTION("""COMPUTED_VALUE"""),"ইয়াৰ পৰা বৈধ")</f>
        <v>ইয়াৰ পৰা বৈধ</v>
      </c>
      <c r="H1105" s="2" t="str">
        <f>IFERROR(__xludf.DUMMYFUNCTION("""COMPUTED_VALUE"""),"થી માન્ય")</f>
        <v>થી માન્ય</v>
      </c>
      <c r="I1105" s="2" t="str">
        <f>IFERROR(__xludf.DUMMYFUNCTION("""COMPUTED_VALUE"""),"पासून वैध")</f>
        <v>पासून वैध</v>
      </c>
      <c r="J1105" s="2" t="str">
        <f>IFERROR(__xludf.DUMMYFUNCTION("""COMPUTED_VALUE"""),"സാധുവാണ്")</f>
        <v>സാധുവാണ്</v>
      </c>
      <c r="K1105" s="2" t="str">
        <f>IFERROR(__xludf.DUMMYFUNCTION("""COMPUTED_VALUE"""),"ਤੋਂ ਵੈਧ")</f>
        <v>ਤੋਂ ਵੈਧ</v>
      </c>
      <c r="L1105" s="2" t="str">
        <f>IFERROR(__xludf.DUMMYFUNCTION("""COMPUTED_VALUE"""),"செல்லுபடியாகும்")</f>
        <v>செல்லுபடியாகும்</v>
      </c>
      <c r="M1105" s="2" t="str">
        <f>IFERROR(__xludf.DUMMYFUNCTION("""COMPUTED_VALUE"""),"నుండి చెల్లుబాటు అయ్యే")</f>
        <v>నుండి చెల్లుబాటు అయ్యే</v>
      </c>
    </row>
    <row r="1106">
      <c r="A1106" s="2" t="str">
        <f>Master_en!A1106</f>
        <v>DewormingCertificate</v>
      </c>
      <c r="B1106" s="2" t="str">
        <f>Master_en!B1106</f>
        <v>Deworming Certificate</v>
      </c>
      <c r="C1106" s="2" t="str">
        <f>IFERROR(__xludf.DUMMYFUNCTION("""COMPUTED_VALUE"""),"শিশির শংসাপত্র")</f>
        <v>শিশির শংসাপত্র</v>
      </c>
      <c r="D1106" s="2" t="str">
        <f>IFERROR(__xludf.DUMMYFUNCTION("""COMPUTED_VALUE"""),"देवर्म प्रमाणपत्र")</f>
        <v>देवर्म प्रमाणपत्र</v>
      </c>
      <c r="E1106" s="2" t="str">
        <f>IFERROR(__xludf.DUMMYFUNCTION("""COMPUTED_VALUE"""),"ಡೈವರ್ಮಿಂಗ್ ಪ್ರಮಾಣಪತ್ರ")</f>
        <v>ಡೈವರ್ಮಿಂಗ್ ಪ್ರಮಾಣಪತ್ರ</v>
      </c>
      <c r="F1106" s="2" t="str">
        <f>IFERROR(__xludf.DUMMYFUNCTION("""COMPUTED_VALUE"""),"ଡିଉମୋର୍ମିଙ୍ଗ୍ ସାର୍ଟିଫିକେଟ୍ |")</f>
        <v>ଡିଉମୋର୍ମିଙ୍ଗ୍ ସାର୍ଟିଫିକେଟ୍ |</v>
      </c>
      <c r="G1106" s="2" t="str">
        <f>IFERROR(__xludf.DUMMYFUNCTION("""COMPUTED_VALUE"""),"পলুবিহীন প্ৰমাণপত্ৰ")</f>
        <v>পলুবিহীন প্ৰমাণপত্ৰ</v>
      </c>
      <c r="H1106" s="2" t="str">
        <f>IFERROR(__xludf.DUMMYFUNCTION("""COMPUTED_VALUE"""),"મોહક પ્રમાણપત્ર")</f>
        <v>મોહક પ્રમાણપત્ર</v>
      </c>
      <c r="I1106" s="2" t="str">
        <f>IFERROR(__xludf.DUMMYFUNCTION("""COMPUTED_VALUE"""),"डिवार्मिंग प्रमाणपत्र")</f>
        <v>डिवार्मिंग प्रमाणपत्र</v>
      </c>
      <c r="J1106" s="2" t="str">
        <f>IFERROR(__xludf.DUMMYFUNCTION("""COMPUTED_VALUE"""),"ഡ്യൂറിംഗ് സർട്ടിഫിക്കറ്റ്")</f>
        <v>ഡ്യൂറിംഗ് സർട്ടിഫിക്കറ്റ്</v>
      </c>
      <c r="K1106" s="2" t="str">
        <f>IFERROR(__xludf.DUMMYFUNCTION("""COMPUTED_VALUE"""),"ਭੁਗਤਾਨ ਕਰਨ ਵਾਲਾ ਸਰਟੀਫਿਕੇਟ")</f>
        <v>ਭੁਗਤਾਨ ਕਰਨ ਵਾਲਾ ਸਰਟੀਫਿਕੇਟ</v>
      </c>
      <c r="L1106" s="2" t="str">
        <f>IFERROR(__xludf.DUMMYFUNCTION("""COMPUTED_VALUE"""),"நீரிழிவு சான்றிதழ்")</f>
        <v>நீரிழிவு சான்றிதழ்</v>
      </c>
      <c r="M1106" s="2" t="str">
        <f>IFERROR(__xludf.DUMMYFUNCTION("""COMPUTED_VALUE"""),"డీవరార్మింగ్ సర్టిఫికేట్")</f>
        <v>డీవరార్మింగ్ సర్టిఫికేట్</v>
      </c>
    </row>
    <row r="1107">
      <c r="A1107" s="2" t="str">
        <f>Master_en!A1107</f>
        <v>UploadDewormingCertificate</v>
      </c>
      <c r="B1107" s="2" t="str">
        <f>Master_en!B1107</f>
        <v>Upload Deworming Certificate</v>
      </c>
      <c r="C1107" s="2" t="str">
        <f>IFERROR(__xludf.DUMMYFUNCTION("""COMPUTED_VALUE"""),"DEWorming শংসাপত্র আপলোড করুন")</f>
        <v>DEWorming শংসাপত্র আপলোড করুন</v>
      </c>
      <c r="D1107" s="2" t="str">
        <f>IFERROR(__xludf.DUMMYFUNCTION("""COMPUTED_VALUE"""),"अपलोड डिवोर्मिंग प्रमाणपत्र")</f>
        <v>अपलोड डिवोर्मिंग प्रमाणपत्र</v>
      </c>
      <c r="E1107" s="2" t="str">
        <f>IFERROR(__xludf.DUMMYFUNCTION("""COMPUTED_VALUE"""),"ಡೈವರ್ಮಿಂಗ್ ಪ್ರಮಾಣಪತ್ರವನ್ನು ಅಪ್‌ಲೋಡ್ ಮಾಡಿ")</f>
        <v>ಡೈವರ್ಮಿಂಗ್ ಪ್ರಮಾಣಪತ್ರವನ್ನು ಅಪ್‌ಲೋಡ್ ಮಾಡಿ</v>
      </c>
      <c r="F1107" s="2" t="str">
        <f>IFERROR(__xludf.DUMMYFUNCTION("""COMPUTED_VALUE"""),"Deworming ସାର୍ଟିଫିକେଟ୍ ଅପଲୋଡ୍ କରନ୍ତୁ |")</f>
        <v>Deworming ସାର୍ଟିଫିକେଟ୍ ଅପଲୋଡ୍ କରନ୍ତୁ |</v>
      </c>
      <c r="G1107" s="2" t="str">
        <f>IFERROR(__xludf.DUMMYFUNCTION("""COMPUTED_VALUE"""),"পলুবিহীন প্ৰমাণপত্ৰ আপলোড কৰক")</f>
        <v>পলুবিহীন প্ৰমাণপত্ৰ আপলোড কৰক</v>
      </c>
      <c r="H1107" s="2" t="str">
        <f>IFERROR(__xludf.DUMMYFUNCTION("""COMPUTED_VALUE"""),"કૃત્રિમ પ્રમાણપત્ર અપલોડ કરવું")</f>
        <v>કૃત્રિમ પ્રમાણપત્ર અપલોડ કરવું</v>
      </c>
      <c r="I1107" s="2" t="str">
        <f>IFERROR(__xludf.DUMMYFUNCTION("""COMPUTED_VALUE"""),"डिवार्मिंग प्रमाणपत्र अपलोड करा")</f>
        <v>डिवार्मिंग प्रमाणपत्र अपलोड करा</v>
      </c>
      <c r="J1107" s="2" t="str">
        <f>IFERROR(__xludf.DUMMYFUNCTION("""COMPUTED_VALUE"""),"ഡ്യൂറിംഗ് സർട്ടിഫിക്കറ്റ് അപ്ലോഡുചെയ്യുക")</f>
        <v>ഡ്യൂറിംഗ് സർട്ടിഫിക്കറ്റ് അപ്ലോഡുചെയ്യുക</v>
      </c>
      <c r="K1107" s="2" t="str">
        <f>IFERROR(__xludf.DUMMYFUNCTION("""COMPUTED_VALUE"""),"ਡੈਮਰਿੰਗ ਸਰਟੀਫਿਕੇਟ ਅਪਲੋਡ ਕਰੋ")</f>
        <v>ਡੈਮਰਿੰਗ ਸਰਟੀਫਿਕੇਟ ਅਪਲੋਡ ਕਰੋ</v>
      </c>
      <c r="L1107" s="2" t="str">
        <f>IFERROR(__xludf.DUMMYFUNCTION("""COMPUTED_VALUE"""),"டீவார்மிங் சான்றிதழைப் பதிவேற்றவும்")</f>
        <v>டீவார்மிங் சான்றிதழைப் பதிவேற்றவும்</v>
      </c>
      <c r="M1107" s="2" t="str">
        <f>IFERROR(__xludf.DUMMYFUNCTION("""COMPUTED_VALUE"""),"డీవార్మింగ్ సర్టిఫికెట్‌ను అప్‌లోడ్ చేయండి")</f>
        <v>డీవార్మింగ్ సర్టిఫికెట్‌ను అప్‌లోడ్ చేయండి</v>
      </c>
    </row>
    <row r="1108">
      <c r="A1108" s="2" t="str">
        <f>Master_en!A1108</f>
        <v>EditProfileDocs</v>
      </c>
      <c r="B1108" s="2" t="str">
        <f>Master_en!B1108</f>
        <v>Edit Profile Docs</v>
      </c>
      <c r="C1108" s="2" t="str">
        <f>IFERROR(__xludf.DUMMYFUNCTION("""COMPUTED_VALUE"""),"প্রোফাইল ডক্স সম্পাদনা করুন")</f>
        <v>প্রোফাইল ডক্স সম্পাদনা করুন</v>
      </c>
      <c r="D1108" s="2" t="str">
        <f>IFERROR(__xludf.DUMMYFUNCTION("""COMPUTED_VALUE"""),"प्रोफ़ाइल डॉक्स संपादित करें")</f>
        <v>प्रोफ़ाइल डॉक्स संपादित करें</v>
      </c>
      <c r="E1108" s="2" t="str">
        <f>IFERROR(__xludf.DUMMYFUNCTION("""COMPUTED_VALUE"""),"ಪ್ರೊಫೈಲ್ ಡಾಕ್ಸ್ ಅನ್ನು ಸಂಪಾದಿಸಿ")</f>
        <v>ಪ್ರೊಫೈಲ್ ಡಾಕ್ಸ್ ಅನ್ನು ಸಂಪಾದಿಸಿ</v>
      </c>
      <c r="F1108" s="2" t="str">
        <f>IFERROR(__xludf.DUMMYFUNCTION("""COMPUTED_VALUE"""),"ପ୍ରୋଫାଇଲ୍ ଡକସ୍ ସଂପାଦନ କରନ୍ତୁ |")</f>
        <v>ପ୍ରୋଫାଇଲ୍ ଡକସ୍ ସଂପାଦନ କରନ୍ତୁ |</v>
      </c>
      <c r="G1108" s="2" t="str">
        <f>IFERROR(__xludf.DUMMYFUNCTION("""COMPUTED_VALUE"""),"প্ৰফাইল ডক্স সম্পাদনা কৰক")</f>
        <v>প্ৰফাইল ডক্স সম্পাদনা কৰক</v>
      </c>
      <c r="H1108" s="2" t="str">
        <f>IFERROR(__xludf.DUMMYFUNCTION("""COMPUTED_VALUE"""),"પ્રોફાઇલ ડ s ક્સ સંપાદિત કરો")</f>
        <v>પ્રોફાઇલ ડ s ક્સ સંપાદિત કરો</v>
      </c>
      <c r="I1108" s="2" t="str">
        <f>IFERROR(__xludf.DUMMYFUNCTION("""COMPUTED_VALUE"""),"प्रोफाइल डॉक्स संपादित करा")</f>
        <v>प्रोफाइल डॉक्स संपादित करा</v>
      </c>
      <c r="J1108" s="2" t="str">
        <f>IFERROR(__xludf.DUMMYFUNCTION("""COMPUTED_VALUE"""),"പ്രൊഫൈൽ ഡോക്സ് എഡിറ്റുചെയ്യുക")</f>
        <v>പ്രൊഫൈൽ ഡോക്സ് എഡിറ്റുചെയ്യുക</v>
      </c>
      <c r="K1108" s="2" t="str">
        <f>IFERROR(__xludf.DUMMYFUNCTION("""COMPUTED_VALUE"""),"ਪ੍ਰੋਫਾਈਲ ਡੌਕਸ ਨੂੰ ਸੋਧੋ")</f>
        <v>ਪ੍ਰੋਫਾਈਲ ਡੌਕਸ ਨੂੰ ਸੋਧੋ</v>
      </c>
      <c r="L1108" s="2" t="str">
        <f>IFERROR(__xludf.DUMMYFUNCTION("""COMPUTED_VALUE"""),"சுயவிவர டாக்ஸைத் திருத்து")</f>
        <v>சுயவிவர டாக்ஸைத் திருத்து</v>
      </c>
      <c r="M1108" s="2" t="str">
        <f>IFERROR(__xludf.DUMMYFUNCTION("""COMPUTED_VALUE"""),"ప్రొఫైల్ డాక్స్‌ను సవరించండి")</f>
        <v>ప్రొఫైల్ డాక్స్‌ను సవరించండి</v>
      </c>
    </row>
    <row r="1109">
      <c r="A1109" s="2" t="str">
        <f>Master_en!A1109</f>
        <v>UploadVehicleInsurance</v>
      </c>
      <c r="B1109" s="2" t="str">
        <f>Master_en!B1109</f>
        <v>Upload Vehicle Insurance</v>
      </c>
      <c r="C1109" s="2" t="str">
        <f>IFERROR(__xludf.DUMMYFUNCTION("""COMPUTED_VALUE"""),"যানবাহন বীমা আপলোড করুন")</f>
        <v>যানবাহন বীমা আপলোড করুন</v>
      </c>
      <c r="D1109" s="2" t="str">
        <f>IFERROR(__xludf.DUMMYFUNCTION("""COMPUTED_VALUE"""),"वाहन बीमा अपलोड करें")</f>
        <v>वाहन बीमा अपलोड करें</v>
      </c>
      <c r="E1109" s="2" t="str">
        <f>IFERROR(__xludf.DUMMYFUNCTION("""COMPUTED_VALUE"""),"ವಾಹನ ವಿಮೆ ಅಪ್‌ಲೋಡ್ ಮಾಡಿ")</f>
        <v>ವಾಹನ ವಿಮೆ ಅಪ್‌ಲೋಡ್ ಮಾಡಿ</v>
      </c>
      <c r="F1109" s="2" t="str">
        <f>IFERROR(__xludf.DUMMYFUNCTION("""COMPUTED_VALUE"""),"ଯାନବାହାନ ବୀମା ଅପଲୋଡ୍ କରନ୍ତୁ |")</f>
        <v>ଯାନବାହାନ ବୀମା ଅପଲୋଡ୍ କରନ୍ତୁ |</v>
      </c>
      <c r="G1109" s="2" t="str">
        <f>IFERROR(__xludf.DUMMYFUNCTION("""COMPUTED_VALUE"""),"বাহন বীমা আপলোড কৰক")</f>
        <v>বাহন বীমা আপলোড কৰক</v>
      </c>
      <c r="H1109" s="2" t="str">
        <f>IFERROR(__xludf.DUMMYFUNCTION("""COMPUTED_VALUE"""),"વાહન વીમો અપલોડ કરો")</f>
        <v>વાહન વીમો અપલોડ કરો</v>
      </c>
      <c r="I1109" s="2" t="str">
        <f>IFERROR(__xludf.DUMMYFUNCTION("""COMPUTED_VALUE"""),"वाहन विमा अपलोड करा")</f>
        <v>वाहन विमा अपलोड करा</v>
      </c>
      <c r="J1109" s="2" t="str">
        <f>IFERROR(__xludf.DUMMYFUNCTION("""COMPUTED_VALUE"""),"വാഹന ഇൻഷുറൻസ് അപ്ലോഡുചെയ്യുക")</f>
        <v>വാഹന ഇൻഷുറൻസ് അപ്ലോഡുചെയ്യുക</v>
      </c>
      <c r="K1109" s="2" t="str">
        <f>IFERROR(__xludf.DUMMYFUNCTION("""COMPUTED_VALUE"""),"ਵਾਹਨ ਬੀਮਾ ਅਪਲੋਡ ਕਰੋ")</f>
        <v>ਵਾਹਨ ਬੀਮਾ ਅਪਲੋਡ ਕਰੋ</v>
      </c>
      <c r="L1109" s="2" t="str">
        <f>IFERROR(__xludf.DUMMYFUNCTION("""COMPUTED_VALUE"""),"வாகன காப்பீட்டை பதிவேற்றவும்")</f>
        <v>வாகன காப்பீட்டை பதிவேற்றவும்</v>
      </c>
      <c r="M1109" s="2" t="str">
        <f>IFERROR(__xludf.DUMMYFUNCTION("""COMPUTED_VALUE"""),"వాహన భీమాను అప్‌లోడ్ చేయండి")</f>
        <v>వాహన భీమాను అప్‌లోడ్ చేయండి</v>
      </c>
    </row>
    <row r="1110">
      <c r="A1110" s="2" t="str">
        <f>Master_en!A1110</f>
        <v>UploadRCLicense</v>
      </c>
      <c r="B1110" s="2" t="str">
        <f>Master_en!B1110</f>
        <v>Upload RC License</v>
      </c>
      <c r="C1110" s="2" t="str">
        <f>IFERROR(__xludf.DUMMYFUNCTION("""COMPUTED_VALUE"""),"আরসি লাইসেন্স আপলোড করুন")</f>
        <v>আরসি লাইসেন্স আপলোড করুন</v>
      </c>
      <c r="D1110" s="2" t="str">
        <f>IFERROR(__xludf.DUMMYFUNCTION("""COMPUTED_VALUE"""),"आरसी लाइसेंस अपलोड करें")</f>
        <v>आरसी लाइसेंस अपलोड करें</v>
      </c>
      <c r="E1110" s="2" t="str">
        <f>IFERROR(__xludf.DUMMYFUNCTION("""COMPUTED_VALUE"""),"ಆರ್ಸಿ ಪರವಾನಗಿಯನ್ನು ಅಪ್‌ಲೋಡ್ ಮಾಡಿ")</f>
        <v>ಆರ್ಸಿ ಪರವಾನಗಿಯನ್ನು ಅಪ್‌ಲೋಡ್ ಮಾಡಿ</v>
      </c>
      <c r="F1110" s="2" t="str">
        <f>IFERROR(__xludf.DUMMYFUNCTION("""COMPUTED_VALUE"""),"RC ଲାଇସେନ୍ସ ଅପଲୋଡ୍ କରନ୍ତୁ |")</f>
        <v>RC ଲାଇସେନ୍ସ ଅପଲୋଡ୍ କରନ୍ତୁ |</v>
      </c>
      <c r="G1110" s="2" t="str">
        <f>IFERROR(__xludf.DUMMYFUNCTION("""COMPUTED_VALUE"""),"আৰচি অনুজ্ঞাপত্ৰ আপলোড কৰক")</f>
        <v>আৰচি অনুজ্ঞাপত্ৰ আপলোড কৰক</v>
      </c>
      <c r="H1110" s="2" t="str">
        <f>IFERROR(__xludf.DUMMYFUNCTION("""COMPUTED_VALUE"""),"આરસી લાઇસન્સ અપલોડ કરો")</f>
        <v>આરસી લાઇસન્સ અપલોડ કરો</v>
      </c>
      <c r="I1110" s="2" t="str">
        <f>IFERROR(__xludf.DUMMYFUNCTION("""COMPUTED_VALUE"""),"आरसी परवाना अपलोड करा")</f>
        <v>आरसी परवाना अपलोड करा</v>
      </c>
      <c r="J1110" s="2" t="str">
        <f>IFERROR(__xludf.DUMMYFUNCTION("""COMPUTED_VALUE"""),"ആർസി ലൈസൻസ് അപ്ലോഡുചെയ്യുക")</f>
        <v>ആർസി ലൈസൻസ് അപ്ലോഡുചെയ്യുക</v>
      </c>
      <c r="K1110" s="2" t="str">
        <f>IFERROR(__xludf.DUMMYFUNCTION("""COMPUTED_VALUE"""),"ਆਰਸੀ ਲਾਇਸੈਂਸ ਅਪਲੋਡ ਕਰੋ")</f>
        <v>ਆਰਸੀ ਲਾਇਸੈਂਸ ਅਪਲੋਡ ਕਰੋ</v>
      </c>
      <c r="L1110" s="2" t="str">
        <f>IFERROR(__xludf.DUMMYFUNCTION("""COMPUTED_VALUE"""),"ஆர்.சி உரிமத்தை பதிவேற்றவும்")</f>
        <v>ஆர்.சி உரிமத்தை பதிவேற்றவும்</v>
      </c>
      <c r="M1110" s="2" t="str">
        <f>IFERROR(__xludf.DUMMYFUNCTION("""COMPUTED_VALUE"""),"RC లైసెన్స్‌ను అప్‌లోడ్ చేయండి")</f>
        <v>RC లైసెన్స్‌ను అప్‌లోడ్ చేయండి</v>
      </c>
    </row>
    <row r="1111">
      <c r="A1111" s="2" t="str">
        <f>Master_en!A1111</f>
        <v>FlatRate</v>
      </c>
      <c r="B1111" s="2" t="str">
        <f>Master_en!B1111</f>
        <v>Flat Rate</v>
      </c>
      <c r="C1111" s="2" t="str">
        <f>IFERROR(__xludf.DUMMYFUNCTION("""COMPUTED_VALUE"""),"একদর")</f>
        <v>একদর</v>
      </c>
      <c r="D1111" s="2" t="str">
        <f>IFERROR(__xludf.DUMMYFUNCTION("""COMPUTED_VALUE"""),"फ्लैट रेट")</f>
        <v>फ्लैट रेट</v>
      </c>
      <c r="E1111" s="2" t="str">
        <f>IFERROR(__xludf.DUMMYFUNCTION("""COMPUTED_VALUE"""),"ಸಮತೋಲನ ಪ್ರಮಾಣ")</f>
        <v>ಸಮತೋಲನ ಪ್ರಮಾಣ</v>
      </c>
      <c r="F1111" s="2" t="str">
        <f>IFERROR(__xludf.DUMMYFUNCTION("""COMPUTED_VALUE"""),"ସମାନ ମୂଲ୍ୟ")</f>
        <v>ସମାନ ମୂଲ୍ୟ</v>
      </c>
      <c r="G1111" s="2" t="str">
        <f>IFERROR(__xludf.DUMMYFUNCTION("""COMPUTED_VALUE"""),"সমতল হাৰ")</f>
        <v>সমতল হাৰ</v>
      </c>
      <c r="H1111" s="2" t="str">
        <f>IFERROR(__xludf.DUMMYFUNCTION("""COMPUTED_VALUE"""),"સમાન દર")</f>
        <v>સમાન દર</v>
      </c>
      <c r="I1111" s="2" t="str">
        <f>IFERROR(__xludf.DUMMYFUNCTION("""COMPUTED_VALUE"""),"एकच भाव")</f>
        <v>एकच भाव</v>
      </c>
      <c r="J1111" s="2" t="str">
        <f>IFERROR(__xludf.DUMMYFUNCTION("""COMPUTED_VALUE"""),"ഫ്ലാറ്റ് റേറ്റ്")</f>
        <v>ഫ്ലാറ്റ് റേറ്റ്</v>
      </c>
      <c r="K1111" s="2" t="str">
        <f>IFERROR(__xludf.DUMMYFUNCTION("""COMPUTED_VALUE"""),"ਸਮਾਨ ਦਰ")</f>
        <v>ਸਮਾਨ ਦਰ</v>
      </c>
      <c r="L1111" s="2" t="str">
        <f>IFERROR(__xludf.DUMMYFUNCTION("""COMPUTED_VALUE"""),"தட்டையான வீதம்")</f>
        <v>தட்டையான வீதம்</v>
      </c>
      <c r="M1111" s="2" t="str">
        <f>IFERROR(__xludf.DUMMYFUNCTION("""COMPUTED_VALUE"""),"ఫ్లాట్ రేటు")</f>
        <v>ఫ్లాట్ రేటు</v>
      </c>
    </row>
    <row r="1112">
      <c r="A1112" s="2" t="str">
        <f>Master_en!A1112</f>
        <v>EditVehicleDocs</v>
      </c>
      <c r="B1112" s="2" t="str">
        <f>Master_en!B1112</f>
        <v>Edit Vehicle Docs</v>
      </c>
      <c r="C1112" s="2" t="str">
        <f>IFERROR(__xludf.DUMMYFUNCTION("""COMPUTED_VALUE"""),"যানবাহন ডক্স সম্পাদনা করুন")</f>
        <v>যানবাহন ডক্স সম্পাদনা করুন</v>
      </c>
      <c r="D1112" s="2" t="str">
        <f>IFERROR(__xludf.DUMMYFUNCTION("""COMPUTED_VALUE"""),"वाहन डॉक्स संपादित करें")</f>
        <v>वाहन डॉक्स संपादित करें</v>
      </c>
      <c r="E1112" s="2" t="str">
        <f>IFERROR(__xludf.DUMMYFUNCTION("""COMPUTED_VALUE"""),"ವಾಹನ ಡಾಕ್ಸ್ ಅನ್ನು ಸಂಪಾದಿಸಿ")</f>
        <v>ವಾಹನ ಡಾಕ್ಸ್ ಅನ್ನು ಸಂಪಾದಿಸಿ</v>
      </c>
      <c r="F1112" s="2" t="str">
        <f>IFERROR(__xludf.DUMMYFUNCTION("""COMPUTED_VALUE"""),"ଯାନ ଡକସ୍ ସଂପାଦନ କରନ୍ତୁ |")</f>
        <v>ଯାନ ଡକସ୍ ସଂପାଦନ କରନ୍ତୁ |</v>
      </c>
      <c r="G1112" s="2" t="str">
        <f>IFERROR(__xludf.DUMMYFUNCTION("""COMPUTED_VALUE"""),"বাহনৰ ডক্স সম্পাদনা কৰক")</f>
        <v>বাহনৰ ডক্স সম্পাদনা কৰক</v>
      </c>
      <c r="H1112" s="2" t="str">
        <f>IFERROR(__xludf.DUMMYFUNCTION("""COMPUTED_VALUE"""),"વાહન ડ s ક્સ સંપાદિત કરો")</f>
        <v>વાહન ડ s ક્સ સંપાદિત કરો</v>
      </c>
      <c r="I1112" s="2" t="str">
        <f>IFERROR(__xludf.DUMMYFUNCTION("""COMPUTED_VALUE"""),"वाहन डॉक्स संपादित करा")</f>
        <v>वाहन डॉक्स संपादित करा</v>
      </c>
      <c r="J1112" s="2" t="str">
        <f>IFERROR(__xludf.DUMMYFUNCTION("""COMPUTED_VALUE"""),"വാഹന ഡോക്സ് എഡിറ്റുചെയ്യുക")</f>
        <v>വാഹന ഡോക്സ് എഡിറ്റുചെയ്യുക</v>
      </c>
      <c r="K1112" s="2" t="str">
        <f>IFERROR(__xludf.DUMMYFUNCTION("""COMPUTED_VALUE"""),"ਵਾਹਨ ਡੌਕਸ ਨੂੰ ਸੋਧੋ")</f>
        <v>ਵਾਹਨ ਡੌਕਸ ਨੂੰ ਸੋਧੋ</v>
      </c>
      <c r="L1112" s="2" t="str">
        <f>IFERROR(__xludf.DUMMYFUNCTION("""COMPUTED_VALUE"""),"வாகன ஆவணங்களைத் திருத்தவும்")</f>
        <v>வாகன ஆவணங்களைத் திருத்தவும்</v>
      </c>
      <c r="M1112" s="2" t="str">
        <f>IFERROR(__xludf.DUMMYFUNCTION("""COMPUTED_VALUE"""),"వాహన పత్రాలను సవరించండి")</f>
        <v>వాహన పత్రాలను సవరించండి</v>
      </c>
    </row>
    <row r="1113">
      <c r="A1113" s="2" t="str">
        <f>Master_en!A1113</f>
        <v>DoYouWanttoLogOut?</v>
      </c>
      <c r="B1113" s="2" t="str">
        <f>Master_en!B1113</f>
        <v>Do You Want to Log Out?</v>
      </c>
      <c r="C1113" s="2" t="str">
        <f>IFERROR(__xludf.DUMMYFUNCTION("""COMPUTED_VALUE"""),"আপনি কি লগ আউট করতে চান?")</f>
        <v>আপনি কি লগ আউট করতে চান?</v>
      </c>
      <c r="D1113" s="2" t="str">
        <f>IFERROR(__xludf.DUMMYFUNCTION("""COMPUTED_VALUE"""),"क्या आप लॉग आउट करना चाहते हैं?")</f>
        <v>क्या आप लॉग आउट करना चाहते हैं?</v>
      </c>
      <c r="E1113" s="2" t="str">
        <f>IFERROR(__xludf.DUMMYFUNCTION("""COMPUTED_VALUE"""),"ನೀವು ಲಾಗ್ out ಟ್ ಮಾಡಲು ಬಯಸುವಿರಾ?")</f>
        <v>ನೀವು ಲಾಗ್ out ಟ್ ಮಾಡಲು ಬಯಸುವಿರಾ?</v>
      </c>
      <c r="F1113" s="2" t="str">
        <f>IFERROR(__xludf.DUMMYFUNCTION("""COMPUTED_VALUE"""),"ଆପଣ ଲଗ୍ ଆଉଟ୍ କରିବାକୁ ଚାହୁଁଛନ୍ତି କି?")</f>
        <v>ଆପଣ ଲଗ୍ ଆଉଟ୍ କରିବାକୁ ଚାହୁଁଛନ୍ତି କି?</v>
      </c>
      <c r="G1113" s="2" t="str">
        <f>IFERROR(__xludf.DUMMYFUNCTION("""COMPUTED_VALUE"""),"আপুনি লগ আউট কৰিব বিচাৰে নেকি?")</f>
        <v>আপুনি লগ আউট কৰিব বিচাৰে নেকি?</v>
      </c>
      <c r="H1113" s="2" t="str">
        <f>IFERROR(__xludf.DUMMYFUNCTION("""COMPUTED_VALUE"""),"શું તમે લ log ગઆઉટ કરવા માંગો છો?")</f>
        <v>શું તમે લ log ગઆઉટ કરવા માંગો છો?</v>
      </c>
      <c r="I1113" s="2" t="str">
        <f>IFERROR(__xludf.DUMMYFUNCTION("""COMPUTED_VALUE"""),"आपण लॉग आउट करू इच्छिता?")</f>
        <v>आपण लॉग आउट करू इच्छिता?</v>
      </c>
      <c r="J1113" s="2" t="str">
        <f>IFERROR(__xludf.DUMMYFUNCTION("""COMPUTED_VALUE"""),"നിങ്ങൾ ലോഗ് out ട്ട് ചെയ്യാൻ ആഗ്രഹിക്കുന്നുണ്ടോ?")</f>
        <v>നിങ്ങൾ ലോഗ് out ട്ട് ചെയ്യാൻ ആഗ്രഹിക്കുന്നുണ്ടോ?</v>
      </c>
      <c r="K1113" s="2" t="str">
        <f>IFERROR(__xludf.DUMMYFUNCTION("""COMPUTED_VALUE"""),"ਕੀ ਤੁਸੀਂ ਲਾਗ ਆਉਟ ਕਰਨਾ ਚਾਹੁੰਦੇ ਹੋ?")</f>
        <v>ਕੀ ਤੁਸੀਂ ਲਾਗ ਆਉਟ ਕਰਨਾ ਚਾਹੁੰਦੇ ਹੋ?</v>
      </c>
      <c r="L1113" s="2" t="str">
        <f>IFERROR(__xludf.DUMMYFUNCTION("""COMPUTED_VALUE"""),"நீங்கள் வெளியேற விரும்புகிறீர்களா?")</f>
        <v>நீங்கள் வெளியேற விரும்புகிறீர்களா?</v>
      </c>
      <c r="M1113" s="2" t="str">
        <f>IFERROR(__xludf.DUMMYFUNCTION("""COMPUTED_VALUE"""),"మీరు లాగ్ అవుట్ చేయాలనుకుంటున్నారా?")</f>
        <v>మీరు లాగ్ అవుట్ చేయాలనుకుంటున్నారా?</v>
      </c>
    </row>
    <row r="1114">
      <c r="B1114" s="2" t="str">
        <f>Master_en!B1114</f>
        <v/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</row>
    <row r="1115">
      <c r="B1115" s="2" t="str">
        <f>Master_en!B1115</f>
        <v/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</row>
    <row r="1116">
      <c r="B1116" s="2" t="str">
        <f>Master_en!B1116</f>
        <v/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</row>
    <row r="1117">
      <c r="B1117" s="2" t="str">
        <f>Master_en!B1117</f>
        <v/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</row>
    <row r="1118">
      <c r="B1118" s="2" t="str">
        <f>Master_en!B1118</f>
        <v/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</row>
    <row r="1119">
      <c r="B1119" s="2" t="str">
        <f>Master_en!B1119</f>
        <v/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</row>
    <row r="1120">
      <c r="B1120" s="2" t="str">
        <f>Master_en!B1120</f>
        <v/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</row>
    <row r="1121">
      <c r="B1121" s="2" t="str">
        <f>Master_en!B1121</f>
        <v/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</row>
    <row r="1122">
      <c r="B1122" s="2" t="str">
        <f>Master_en!B1122</f>
        <v/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</row>
    <row r="1123">
      <c r="B1123" s="2" t="str">
        <f>Master_en!B1123</f>
        <v/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</row>
    <row r="1124">
      <c r="B1124" s="2" t="str">
        <f>Master_en!B1124</f>
        <v/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</row>
    <row r="1125">
      <c r="B1125" s="2" t="str">
        <f>Master_en!B1125</f>
        <v/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</row>
    <row r="1126"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</row>
    <row r="1127"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</row>
    <row r="1128"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</row>
    <row r="1129"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</row>
    <row r="1130"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</row>
    <row r="1131"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</row>
    <row r="1132"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</row>
    <row r="1133"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</row>
    <row r="1134"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</row>
    <row r="1135"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</row>
    <row r="1136"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</row>
    <row r="1137"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</row>
    <row r="1138"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</row>
    <row r="1139"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</row>
    <row r="1140"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</row>
    <row r="1141"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</row>
    <row r="1142"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</row>
    <row r="1143"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</row>
    <row r="1144"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</row>
    <row r="1145"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</row>
    <row r="1146"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</row>
    <row r="1147"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</row>
    <row r="1148"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</row>
    <row r="1149"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</row>
    <row r="1150"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</row>
    <row r="1151"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</row>
    <row r="1152"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</row>
    <row r="1153"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</row>
    <row r="1154"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</row>
    <row r="1155"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</row>
    <row r="1156"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</row>
    <row r="1157"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</row>
    <row r="1158"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</row>
    <row r="1159"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</row>
    <row r="1160"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</row>
    <row r="1161"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</row>
    <row r="1162"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</row>
    <row r="1163"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</row>
    <row r="1164"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</row>
    <row r="1165"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</row>
    <row r="1166"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</row>
    <row r="1167"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</row>
    <row r="1168"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</row>
    <row r="1169"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</row>
    <row r="1170"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</row>
    <row r="1171"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</row>
    <row r="1172"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</row>
    <row r="1173"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</row>
    <row r="1174"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</row>
    <row r="1175"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</row>
    <row r="1176"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</row>
    <row r="1177"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</row>
    <row r="1178"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</row>
    <row r="1179"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</row>
    <row r="1180"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</row>
    <row r="1181"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</row>
    <row r="1182"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</row>
    <row r="1183"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</row>
    <row r="1184"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</row>
    <row r="1185"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</row>
    <row r="1186"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</row>
    <row r="1187"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</row>
    <row r="1188"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</row>
    <row r="1189"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</row>
    <row r="1190"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</row>
    <row r="1191"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</row>
    <row r="1192"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</row>
    <row r="1193"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</row>
    <row r="1194"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</row>
    <row r="1195"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</row>
    <row r="1196"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</row>
    <row r="1197"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</row>
    <row r="1198"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</row>
    <row r="1199"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</row>
    <row r="1200"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</row>
    <row r="1201"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</row>
    <row r="1202"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</row>
    <row r="1203"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</row>
    <row r="1204"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</row>
    <row r="1205"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</row>
    <row r="1206"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</row>
    <row r="1207"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</row>
    <row r="1208"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</row>
    <row r="1209"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</row>
    <row r="1210"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</row>
    <row r="1211"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</row>
    <row r="1212"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</row>
    <row r="1213"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</row>
    <row r="1214"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</row>
    <row r="1215"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</row>
    <row r="1216"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</row>
    <row r="1217"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</row>
    <row r="1218"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</row>
    <row r="1219"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</row>
    <row r="1220"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</row>
    <row r="1221"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</row>
    <row r="1222"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</row>
    <row r="1223"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</row>
    <row r="1224"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</row>
    <row r="1225"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</row>
    <row r="1226"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</row>
    <row r="1227"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</row>
    <row r="1228"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</row>
    <row r="1229"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</row>
    <row r="1230"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</row>
    <row r="1231"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</row>
    <row r="1232"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</row>
    <row r="1233"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</row>
    <row r="1234"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</row>
    <row r="1235"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</row>
    <row r="1236"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</row>
    <row r="1237"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</row>
    <row r="1238"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</row>
    <row r="1239"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</row>
    <row r="1240"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</row>
    <row r="1241"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</row>
    <row r="1242"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</row>
    <row r="1243"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</row>
    <row r="1244"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</row>
    <row r="1245"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</row>
    <row r="1246"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</row>
    <row r="1247"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</row>
    <row r="1248"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</row>
    <row r="1249"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</row>
    <row r="1250"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</row>
    <row r="1251"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</row>
    <row r="1252"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</row>
    <row r="1253"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</row>
    <row r="1254"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</row>
    <row r="1255"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</row>
    <row r="1256"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</row>
    <row r="1257"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</row>
    <row r="1258"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</row>
    <row r="1259"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</row>
    <row r="1260"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</row>
    <row r="1261"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</row>
    <row r="1262"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</row>
    <row r="1263"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</row>
    <row r="1264"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</row>
    <row r="1265"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</row>
    <row r="1266"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</row>
    <row r="1267"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</row>
    <row r="1268"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</row>
    <row r="1269"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</row>
    <row r="1270"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</row>
    <row r="1271"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</row>
    <row r="1272"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</row>
    <row r="1273"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</row>
    <row r="1274"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</row>
    <row r="1275"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</row>
    <row r="1276"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</row>
    <row r="1277"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</row>
    <row r="1278"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</row>
    <row r="1279"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</row>
    <row r="1280"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</row>
    <row r="1281"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</row>
    <row r="1282"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</row>
    <row r="1283"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</row>
    <row r="1284"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</row>
    <row r="1285"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</row>
    <row r="1286"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</row>
    <row r="1287"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</row>
    <row r="1288"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</row>
    <row r="1289"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</row>
    <row r="1290"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</row>
    <row r="1291"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</row>
    <row r="1292"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</row>
    <row r="1293"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</row>
    <row r="1294"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</row>
    <row r="1295"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</row>
    <row r="1296"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</row>
    <row r="1297"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</row>
    <row r="1298"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</row>
    <row r="1299"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</row>
    <row r="1300"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</row>
    <row r="1301"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</row>
    <row r="1302"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</row>
    <row r="1303"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</row>
    <row r="1304"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</row>
    <row r="1305"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</row>
    <row r="1306"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</row>
    <row r="1307"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</row>
    <row r="1308"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</row>
    <row r="1309"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</row>
    <row r="1310"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</row>
    <row r="1311"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</row>
    <row r="1312"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</row>
    <row r="1313"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</row>
    <row r="1314"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</row>
    <row r="1315"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</row>
    <row r="1316"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</row>
    <row r="1317"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</row>
    <row r="1318"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</row>
    <row r="1319"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</row>
    <row r="1320"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</row>
    <row r="1321"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</row>
    <row r="1322"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</row>
    <row r="1323"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</row>
    <row r="1324"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</row>
    <row r="1325"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</row>
    <row r="1326"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</row>
    <row r="1327"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</row>
    <row r="1328"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</row>
    <row r="1329"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</row>
    <row r="1330"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</row>
    <row r="1331"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</row>
    <row r="1332"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</row>
    <row r="1333"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</row>
    <row r="1334"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</row>
    <row r="1335"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</row>
    <row r="1336"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</row>
    <row r="1337"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</row>
    <row r="1338"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</row>
    <row r="1339"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</row>
    <row r="1340"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</row>
    <row r="1341"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</row>
    <row r="1342"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</row>
    <row r="1343"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</row>
    <row r="1344"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</row>
    <row r="1345"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</row>
    <row r="1346"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</row>
    <row r="1347"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</row>
    <row r="1348"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</row>
    <row r="1349"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</row>
    <row r="1350"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</row>
    <row r="1351"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</row>
    <row r="1352"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</row>
    <row r="1353"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</row>
    <row r="1354"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</row>
    <row r="1355"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</row>
    <row r="1356"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</row>
    <row r="1357"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</row>
    <row r="1358"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</row>
    <row r="1359"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</row>
    <row r="1360"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</row>
    <row r="1361"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</row>
    <row r="1362"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</row>
    <row r="1363"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</row>
    <row r="1364"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</row>
    <row r="1365"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</row>
    <row r="1366"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</row>
    <row r="1367"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</row>
    <row r="1368"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</row>
    <row r="1369"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</row>
    <row r="1370"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</row>
    <row r="1371"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</row>
    <row r="1372"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</row>
    <row r="1373"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</row>
    <row r="1374"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</row>
    <row r="1375"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</row>
    <row r="1376"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</row>
    <row r="1377"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</row>
    <row r="1378"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</row>
    <row r="1379"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</row>
    <row r="1380"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</row>
    <row r="1381"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</row>
    <row r="1382"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</row>
    <row r="1383"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</row>
    <row r="1384"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</row>
    <row r="1385"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</row>
    <row r="1386"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</row>
    <row r="1387"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</row>
    <row r="1388"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</row>
    <row r="1389"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</row>
    <row r="1390"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</row>
    <row r="1391"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</row>
    <row r="1392"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</row>
    <row r="1393"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</row>
    <row r="1394"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</row>
    <row r="1395"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</row>
    <row r="1396"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</row>
    <row r="1397"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</row>
    <row r="1398"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</row>
    <row r="1399"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</row>
    <row r="1400"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</row>
    <row r="1401"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</row>
    <row r="1402"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</row>
    <row r="1403"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</row>
    <row r="1404"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</row>
    <row r="1405"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</row>
    <row r="1406"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</row>
    <row r="1407"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</row>
    <row r="1408"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</row>
    <row r="1409"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</row>
    <row r="1410"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</row>
    <row r="1411"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</row>
    <row r="1412"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</row>
    <row r="1413"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</row>
    <row r="1414"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</row>
    <row r="1415"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</row>
    <row r="1416"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</row>
    <row r="1417"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</row>
    <row r="1418"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</row>
    <row r="1419"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</row>
    <row r="1420"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</row>
    <row r="1421"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</row>
    <row r="1422"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</row>
    <row r="1423"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</row>
    <row r="1424"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</row>
    <row r="1425"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</row>
    <row r="1426"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</row>
    <row r="1427"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</row>
    <row r="1428"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</row>
    <row r="1429"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</row>
    <row r="1430"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</row>
    <row r="1431"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</row>
    <row r="1432"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</row>
    <row r="1433"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</row>
    <row r="1434"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</row>
    <row r="1435"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</row>
    <row r="1436"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</row>
    <row r="1437"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</row>
    <row r="1438"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</row>
    <row r="1439"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</row>
    <row r="1440"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</row>
    <row r="1441"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</row>
    <row r="1442"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</row>
    <row r="1443"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</row>
    <row r="1444"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</row>
    <row r="1445"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</row>
    <row r="1446"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</row>
    <row r="1447"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</row>
    <row r="1448"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</row>
    <row r="1449"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</row>
    <row r="1450"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</row>
    <row r="1451"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</row>
    <row r="1452"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</row>
    <row r="1453"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</row>
    <row r="1454"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</row>
    <row r="1455"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</row>
    <row r="1456"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</row>
    <row r="1457"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</row>
    <row r="1458"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</row>
    <row r="1459"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</row>
    <row r="1460"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</row>
    <row r="1461"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</row>
    <row r="1462"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</row>
    <row r="1463"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</row>
    <row r="1464"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</row>
    <row r="1465"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</row>
    <row r="1466"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</row>
    <row r="1467"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</row>
    <row r="1468"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</row>
    <row r="1469"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</row>
    <row r="1470"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</row>
    <row r="1471"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</row>
    <row r="1472"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</row>
    <row r="1473"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</row>
    <row r="1474"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</row>
    <row r="1475"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</row>
    <row r="1476"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</row>
    <row r="1477"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</row>
    <row r="1478"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</row>
    <row r="1479"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</row>
    <row r="1480"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</row>
    <row r="1481"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</row>
    <row r="1482"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</row>
    <row r="1483"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</row>
    <row r="1484"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</row>
    <row r="1485"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</row>
    <row r="1486"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</row>
    <row r="1487"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</row>
    <row r="1488"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</row>
    <row r="1489"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</row>
    <row r="1490"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</row>
    <row r="1491"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</row>
    <row r="1492"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</row>
    <row r="1493"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</row>
    <row r="1494"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</row>
    <row r="1495"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</row>
    <row r="1496"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</row>
    <row r="1497"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</row>
    <row r="1498"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</row>
    <row r="1499"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</row>
    <row r="1500"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</row>
    <row r="1501">
      <c r="D1501" s="2"/>
      <c r="E1501" s="2"/>
      <c r="F1501" s="2"/>
      <c r="G1501" s="2"/>
      <c r="H1501" s="2"/>
      <c r="I1501" s="2"/>
      <c r="J1501" s="2"/>
      <c r="K1501" s="2"/>
      <c r="L1501" s="2"/>
      <c r="M1501" s="2"/>
    </row>
    <row r="1502">
      <c r="D1502" s="2"/>
      <c r="E1502" s="2"/>
      <c r="F1502" s="2"/>
      <c r="G1502" s="2"/>
      <c r="H1502" s="2"/>
      <c r="I1502" s="2"/>
      <c r="J1502" s="2"/>
      <c r="K1502" s="2"/>
      <c r="L1502" s="2"/>
      <c r="M1502" s="2"/>
    </row>
    <row r="1503">
      <c r="D1503" s="2"/>
      <c r="E1503" s="2"/>
      <c r="F1503" s="2"/>
      <c r="G1503" s="2"/>
      <c r="H1503" s="2"/>
      <c r="I1503" s="2"/>
      <c r="J1503" s="2"/>
      <c r="K1503" s="2"/>
      <c r="L1503" s="2"/>
      <c r="M1503" s="2"/>
    </row>
    <row r="1504">
      <c r="D1504" s="2"/>
      <c r="E1504" s="2"/>
      <c r="F1504" s="2"/>
      <c r="G1504" s="2"/>
      <c r="H1504" s="2"/>
      <c r="I1504" s="2"/>
      <c r="J1504" s="2"/>
      <c r="K1504" s="2"/>
      <c r="L1504" s="2"/>
      <c r="M1504" s="2"/>
    </row>
    <row r="1505">
      <c r="D1505" s="2"/>
      <c r="E1505" s="2"/>
      <c r="F1505" s="2"/>
      <c r="G1505" s="2"/>
      <c r="H1505" s="2"/>
      <c r="I1505" s="2"/>
      <c r="J1505" s="2"/>
      <c r="K1505" s="2"/>
      <c r="L1505" s="2"/>
      <c r="M1505" s="2"/>
    </row>
    <row r="1506">
      <c r="D1506" s="2"/>
      <c r="E1506" s="2"/>
      <c r="F1506" s="2"/>
      <c r="G1506" s="2"/>
      <c r="H1506" s="2"/>
      <c r="I1506" s="2"/>
      <c r="J1506" s="2"/>
      <c r="K1506" s="2"/>
      <c r="L1506" s="2"/>
      <c r="M1506" s="2"/>
    </row>
    <row r="1507">
      <c r="D1507" s="2"/>
      <c r="E1507" s="2"/>
      <c r="F1507" s="2"/>
      <c r="G1507" s="2"/>
      <c r="H1507" s="2"/>
      <c r="I1507" s="2"/>
      <c r="J1507" s="2"/>
      <c r="K1507" s="2"/>
      <c r="L1507" s="2"/>
      <c r="M1507" s="2"/>
    </row>
    <row r="1508">
      <c r="D1508" s="2"/>
      <c r="E1508" s="2"/>
      <c r="F1508" s="2"/>
      <c r="G1508" s="2"/>
      <c r="H1508" s="2"/>
      <c r="I1508" s="2"/>
      <c r="J1508" s="2"/>
      <c r="K1508" s="2"/>
      <c r="L1508" s="2"/>
      <c r="M1508" s="2"/>
    </row>
    <row r="1509">
      <c r="D1509" s="2"/>
      <c r="E1509" s="2"/>
      <c r="F1509" s="2"/>
      <c r="G1509" s="2"/>
      <c r="H1509" s="2"/>
      <c r="I1509" s="2"/>
      <c r="J1509" s="2"/>
      <c r="K1509" s="2"/>
      <c r="L1509" s="2"/>
      <c r="M1509" s="2"/>
    </row>
    <row r="1510">
      <c r="D1510" s="2"/>
      <c r="E1510" s="2"/>
      <c r="F1510" s="2"/>
      <c r="G1510" s="2"/>
      <c r="H1510" s="2"/>
      <c r="I1510" s="2"/>
      <c r="J1510" s="2"/>
      <c r="K1510" s="2"/>
      <c r="L1510" s="2"/>
      <c r="M1510" s="2"/>
    </row>
    <row r="1511">
      <c r="D1511" s="2"/>
      <c r="E1511" s="2"/>
      <c r="F1511" s="2"/>
      <c r="G1511" s="2"/>
      <c r="H1511" s="2"/>
      <c r="I1511" s="2"/>
      <c r="J1511" s="2"/>
      <c r="K1511" s="2"/>
      <c r="L1511" s="2"/>
      <c r="M1511" s="2"/>
    </row>
    <row r="1512">
      <c r="D1512" s="2"/>
      <c r="E1512" s="2"/>
      <c r="F1512" s="2"/>
      <c r="G1512" s="2"/>
      <c r="H1512" s="2"/>
      <c r="I1512" s="2"/>
      <c r="J1512" s="2"/>
      <c r="K1512" s="2"/>
      <c r="L1512" s="2"/>
      <c r="M1512" s="2"/>
    </row>
    <row r="1513">
      <c r="D1513" s="2"/>
      <c r="E1513" s="2"/>
      <c r="G1513" s="2"/>
      <c r="H1513" s="2"/>
      <c r="I1513" s="2"/>
      <c r="J1513" s="2"/>
      <c r="L1513" s="2"/>
    </row>
    <row r="1514">
      <c r="D1514" s="2"/>
      <c r="E1514" s="2"/>
      <c r="G1514" s="2"/>
      <c r="H1514" s="2"/>
      <c r="I1514" s="2"/>
      <c r="J1514" s="2"/>
      <c r="L1514" s="2"/>
    </row>
    <row r="1515">
      <c r="D1515" s="2"/>
      <c r="E1515" s="2"/>
      <c r="G1515" s="2"/>
      <c r="H1515" s="2"/>
      <c r="I1515" s="2"/>
      <c r="J1515" s="2"/>
      <c r="L1515" s="2"/>
    </row>
    <row r="1516">
      <c r="D1516" s="2"/>
      <c r="E1516" s="2"/>
      <c r="G1516" s="2"/>
      <c r="H1516" s="2"/>
      <c r="I1516" s="2"/>
      <c r="J1516" s="2"/>
      <c r="L1516" s="2"/>
    </row>
    <row r="1517">
      <c r="D1517" s="2"/>
      <c r="E1517" s="2"/>
      <c r="G1517" s="2"/>
      <c r="H1517" s="2"/>
      <c r="I1517" s="2"/>
      <c r="J1517" s="2"/>
      <c r="L1517" s="2"/>
    </row>
    <row r="1518">
      <c r="D1518" s="2"/>
      <c r="E1518" s="2"/>
      <c r="G1518" s="2"/>
      <c r="H1518" s="2"/>
      <c r="I1518" s="2"/>
      <c r="J1518" s="2"/>
      <c r="L1518" s="2"/>
    </row>
    <row r="1519">
      <c r="D1519" s="2"/>
      <c r="E1519" s="2"/>
      <c r="G1519" s="2"/>
      <c r="H1519" s="2"/>
      <c r="I1519" s="2"/>
      <c r="J1519" s="2"/>
      <c r="L1519" s="2"/>
    </row>
    <row r="1520">
      <c r="D1520" s="2"/>
      <c r="E1520" s="2"/>
      <c r="G1520" s="2"/>
      <c r="H1520" s="2"/>
      <c r="I1520" s="2"/>
      <c r="J1520" s="2"/>
      <c r="L1520" s="2"/>
    </row>
    <row r="1521">
      <c r="D1521" s="2"/>
      <c r="E1521" s="2"/>
      <c r="G1521" s="2"/>
      <c r="H1521" s="2"/>
      <c r="I1521" s="2"/>
      <c r="J1521" s="2"/>
      <c r="L1521" s="2"/>
    </row>
    <row r="1522">
      <c r="D1522" s="2"/>
      <c r="E1522" s="2"/>
      <c r="G1522" s="2"/>
      <c r="H1522" s="2"/>
      <c r="I1522" s="2"/>
      <c r="J1522" s="2"/>
      <c r="L1522" s="2"/>
    </row>
    <row r="1523">
      <c r="D1523" s="2"/>
      <c r="E1523" s="2"/>
      <c r="G1523" s="2"/>
      <c r="H1523" s="2"/>
      <c r="I1523" s="2"/>
      <c r="J1523" s="2"/>
      <c r="L1523" s="2"/>
    </row>
    <row r="1524">
      <c r="D1524" s="2"/>
      <c r="E1524" s="2"/>
      <c r="G1524" s="2"/>
      <c r="H1524" s="2"/>
      <c r="I1524" s="2"/>
      <c r="J1524" s="2"/>
      <c r="L1524" s="2"/>
    </row>
    <row r="1525">
      <c r="D1525" s="2"/>
      <c r="E1525" s="2"/>
      <c r="G1525" s="2"/>
      <c r="H1525" s="2"/>
      <c r="I1525" s="2"/>
      <c r="J1525" s="2"/>
      <c r="L1525" s="2"/>
    </row>
    <row r="1526">
      <c r="D1526" s="2"/>
      <c r="E1526" s="2"/>
      <c r="G1526" s="2"/>
      <c r="H1526" s="2"/>
      <c r="I1526" s="2"/>
      <c r="J1526" s="2"/>
      <c r="L1526" s="2"/>
    </row>
    <row r="1527">
      <c r="D1527" s="2"/>
      <c r="E1527" s="2"/>
      <c r="G1527" s="2"/>
      <c r="H1527" s="2"/>
      <c r="I1527" s="2"/>
      <c r="J1527" s="2"/>
      <c r="L1527" s="2"/>
    </row>
    <row r="1528">
      <c r="D1528" s="2"/>
      <c r="E1528" s="2"/>
      <c r="G1528" s="2"/>
      <c r="H1528" s="2"/>
      <c r="I1528" s="2"/>
      <c r="J1528" s="2"/>
      <c r="L1528" s="2"/>
    </row>
    <row r="1529">
      <c r="D1529" s="2"/>
      <c r="E1529" s="2"/>
      <c r="G1529" s="2"/>
      <c r="H1529" s="2"/>
      <c r="I1529" s="2"/>
      <c r="J1529" s="2"/>
      <c r="L1529" s="2"/>
    </row>
    <row r="1530">
      <c r="D1530" s="2"/>
      <c r="E1530" s="2"/>
      <c r="G1530" s="2"/>
      <c r="H1530" s="2"/>
      <c r="I1530" s="2"/>
      <c r="J1530" s="2"/>
      <c r="L1530" s="2"/>
    </row>
    <row r="1531">
      <c r="D1531" s="2"/>
      <c r="E1531" s="2"/>
      <c r="G1531" s="2"/>
      <c r="H1531" s="2"/>
      <c r="I1531" s="2"/>
      <c r="J1531" s="2"/>
      <c r="L1531" s="2"/>
    </row>
    <row r="1532">
      <c r="D1532" s="2"/>
      <c r="E1532" s="2"/>
      <c r="G1532" s="2"/>
      <c r="H1532" s="2"/>
      <c r="I1532" s="2"/>
      <c r="J1532" s="2"/>
      <c r="L1532" s="2"/>
    </row>
    <row r="1533">
      <c r="D1533" s="2"/>
      <c r="E1533" s="2"/>
      <c r="G1533" s="2"/>
      <c r="H1533" s="2"/>
      <c r="I1533" s="2"/>
      <c r="J1533" s="2"/>
      <c r="L1533" s="2"/>
    </row>
    <row r="1534">
      <c r="D1534" s="2"/>
      <c r="E1534" s="2"/>
      <c r="G1534" s="2"/>
      <c r="H1534" s="2"/>
      <c r="I1534" s="2"/>
      <c r="J1534" s="2"/>
      <c r="L1534" s="2"/>
    </row>
    <row r="1535">
      <c r="D1535" s="2"/>
      <c r="E1535" s="2"/>
      <c r="G1535" s="2"/>
      <c r="H1535" s="2"/>
      <c r="I1535" s="2"/>
      <c r="J1535" s="2"/>
      <c r="L1535" s="2"/>
    </row>
    <row r="1536">
      <c r="D1536" s="2"/>
      <c r="E1536" s="2"/>
      <c r="G1536" s="2"/>
      <c r="H1536" s="2"/>
      <c r="I1536" s="2"/>
      <c r="J1536" s="2"/>
      <c r="L1536" s="2"/>
    </row>
    <row r="1537">
      <c r="D1537" s="2"/>
      <c r="E1537" s="2"/>
      <c r="G1537" s="2"/>
      <c r="H1537" s="2"/>
      <c r="I1537" s="2"/>
      <c r="J1537" s="2"/>
      <c r="L1537" s="2"/>
    </row>
    <row r="1538">
      <c r="D1538" s="2"/>
      <c r="E1538" s="2"/>
      <c r="G1538" s="2"/>
      <c r="H1538" s="2"/>
      <c r="I1538" s="2"/>
      <c r="J1538" s="2"/>
      <c r="L1538" s="2"/>
    </row>
    <row r="1539">
      <c r="D1539" s="2"/>
      <c r="E1539" s="2"/>
      <c r="G1539" s="2"/>
      <c r="H1539" s="2"/>
      <c r="I1539" s="2"/>
      <c r="J1539" s="2"/>
      <c r="L1539" s="2"/>
    </row>
    <row r="1540">
      <c r="D1540" s="2"/>
      <c r="E1540" s="2"/>
      <c r="G1540" s="2"/>
      <c r="H1540" s="2"/>
      <c r="I1540" s="2"/>
      <c r="J1540" s="2"/>
      <c r="L1540" s="2"/>
    </row>
    <row r="1541">
      <c r="D1541" s="2"/>
      <c r="E1541" s="2"/>
      <c r="G1541" s="2"/>
      <c r="H1541" s="2"/>
      <c r="I1541" s="2"/>
      <c r="J1541" s="2"/>
      <c r="L1541" s="2"/>
    </row>
    <row r="1542">
      <c r="D1542" s="2"/>
      <c r="E1542" s="2"/>
      <c r="G1542" s="2"/>
      <c r="H1542" s="2"/>
      <c r="I1542" s="2"/>
      <c r="J1542" s="2"/>
      <c r="L1542" s="2"/>
    </row>
    <row r="1543">
      <c r="D1543" s="2"/>
      <c r="E1543" s="2"/>
      <c r="G1543" s="2"/>
      <c r="H1543" s="2"/>
      <c r="I1543" s="2"/>
      <c r="J1543" s="2"/>
      <c r="L1543" s="2"/>
    </row>
    <row r="1544">
      <c r="D1544" s="2"/>
      <c r="E1544" s="2"/>
      <c r="G1544" s="2"/>
      <c r="H1544" s="2"/>
      <c r="I1544" s="2"/>
      <c r="J1544" s="2"/>
      <c r="L1544" s="2"/>
    </row>
    <row r="1545">
      <c r="D1545" s="2"/>
      <c r="E1545" s="2"/>
      <c r="G1545" s="2"/>
      <c r="H1545" s="2"/>
      <c r="I1545" s="2"/>
      <c r="J1545" s="2"/>
      <c r="L1545" s="2"/>
    </row>
    <row r="1546">
      <c r="D1546" s="2"/>
      <c r="E1546" s="2"/>
      <c r="G1546" s="2"/>
      <c r="H1546" s="2"/>
      <c r="I1546" s="2"/>
      <c r="J1546" s="2"/>
      <c r="L1546" s="2"/>
    </row>
    <row r="1547">
      <c r="D1547" s="2"/>
      <c r="E1547" s="2"/>
      <c r="G1547" s="2"/>
      <c r="H1547" s="2"/>
      <c r="I1547" s="2"/>
      <c r="J1547" s="2"/>
      <c r="L1547" s="2"/>
    </row>
    <row r="1548">
      <c r="D1548" s="2"/>
      <c r="E1548" s="2"/>
      <c r="G1548" s="2"/>
      <c r="H1548" s="2"/>
      <c r="I1548" s="2"/>
      <c r="J1548" s="2"/>
      <c r="L1548" s="2"/>
    </row>
    <row r="1549">
      <c r="D1549" s="2"/>
      <c r="E1549" s="2"/>
      <c r="G1549" s="2"/>
      <c r="H1549" s="2"/>
      <c r="I1549" s="2"/>
      <c r="J1549" s="2"/>
      <c r="L1549" s="2"/>
    </row>
    <row r="1550">
      <c r="D1550" s="2"/>
      <c r="E1550" s="2"/>
      <c r="G1550" s="2"/>
      <c r="H1550" s="2"/>
      <c r="I1550" s="2"/>
      <c r="J1550" s="2"/>
      <c r="L1550" s="2"/>
    </row>
    <row r="1551">
      <c r="D1551" s="2"/>
      <c r="E1551" s="2"/>
      <c r="G1551" s="2"/>
      <c r="H1551" s="2"/>
      <c r="I1551" s="2"/>
      <c r="J1551" s="2"/>
      <c r="L1551" s="2"/>
    </row>
    <row r="1552">
      <c r="D1552" s="2"/>
      <c r="E1552" s="2"/>
      <c r="G1552" s="2"/>
      <c r="H1552" s="2"/>
      <c r="I1552" s="2"/>
      <c r="J1552" s="2"/>
      <c r="L1552" s="2"/>
    </row>
    <row r="1553">
      <c r="D1553" s="2"/>
      <c r="E1553" s="2"/>
      <c r="G1553" s="2"/>
      <c r="H1553" s="2"/>
      <c r="I1553" s="2"/>
      <c r="J1553" s="2"/>
      <c r="L1553" s="2"/>
    </row>
    <row r="1554">
      <c r="D1554" s="2"/>
      <c r="E1554" s="2"/>
      <c r="G1554" s="2"/>
      <c r="H1554" s="2"/>
      <c r="I1554" s="2"/>
      <c r="J1554" s="2"/>
      <c r="L1554" s="2"/>
    </row>
    <row r="1555">
      <c r="D1555" s="2"/>
      <c r="E1555" s="2"/>
      <c r="G1555" s="2"/>
      <c r="H1555" s="2"/>
      <c r="I1555" s="2"/>
      <c r="J1555" s="2"/>
      <c r="L1555" s="2"/>
    </row>
    <row r="1556">
      <c r="D1556" s="2"/>
      <c r="E1556" s="2"/>
      <c r="G1556" s="2"/>
      <c r="H1556" s="2"/>
      <c r="I1556" s="2"/>
      <c r="J1556" s="2"/>
      <c r="L1556" s="2"/>
    </row>
    <row r="1557">
      <c r="D1557" s="2"/>
      <c r="E1557" s="2"/>
      <c r="G1557" s="2"/>
      <c r="H1557" s="2"/>
      <c r="I1557" s="2"/>
      <c r="J1557" s="2"/>
      <c r="L1557" s="2"/>
    </row>
    <row r="1558">
      <c r="D1558" s="2"/>
      <c r="E1558" s="2"/>
      <c r="G1558" s="2"/>
      <c r="H1558" s="2"/>
      <c r="I1558" s="2"/>
      <c r="J1558" s="2"/>
      <c r="L1558" s="2"/>
    </row>
    <row r="1559">
      <c r="D1559" s="2"/>
      <c r="E1559" s="2"/>
      <c r="G1559" s="2"/>
      <c r="H1559" s="2"/>
      <c r="I1559" s="2"/>
      <c r="J1559" s="2"/>
      <c r="L1559" s="2"/>
    </row>
    <row r="1560">
      <c r="D1560" s="2"/>
      <c r="E1560" s="2"/>
      <c r="G1560" s="2"/>
      <c r="H1560" s="2"/>
      <c r="I1560" s="2"/>
      <c r="J1560" s="2"/>
      <c r="L1560" s="2"/>
    </row>
    <row r="1561">
      <c r="D1561" s="2"/>
      <c r="E1561" s="2"/>
      <c r="G1561" s="2"/>
      <c r="H1561" s="2"/>
      <c r="I1561" s="2"/>
      <c r="J1561" s="2"/>
      <c r="L1561" s="2"/>
    </row>
    <row r="1562">
      <c r="D1562" s="2"/>
      <c r="E1562" s="2"/>
      <c r="G1562" s="2"/>
      <c r="H1562" s="2"/>
      <c r="I1562" s="2"/>
      <c r="J1562" s="2"/>
      <c r="L1562" s="2"/>
    </row>
    <row r="1563">
      <c r="D1563" s="2"/>
      <c r="E1563" s="2"/>
      <c r="G1563" s="2"/>
      <c r="H1563" s="2"/>
      <c r="I1563" s="2"/>
      <c r="J1563" s="2"/>
      <c r="L1563" s="2"/>
    </row>
    <row r="1564">
      <c r="D1564" s="2"/>
      <c r="E1564" s="2"/>
      <c r="G1564" s="2"/>
      <c r="H1564" s="2"/>
      <c r="I1564" s="2"/>
      <c r="J1564" s="2"/>
      <c r="L1564" s="2"/>
    </row>
    <row r="1565">
      <c r="D1565" s="2"/>
      <c r="E1565" s="2"/>
      <c r="G1565" s="2"/>
      <c r="H1565" s="2"/>
      <c r="I1565" s="2"/>
      <c r="J1565" s="2"/>
      <c r="L1565" s="2"/>
    </row>
    <row r="1566">
      <c r="D1566" s="2"/>
      <c r="E1566" s="2"/>
      <c r="G1566" s="2"/>
      <c r="H1566" s="2"/>
      <c r="I1566" s="2"/>
      <c r="J1566" s="2"/>
      <c r="L1566" s="2"/>
    </row>
    <row r="1567">
      <c r="D1567" s="2"/>
      <c r="E1567" s="2"/>
      <c r="G1567" s="2"/>
      <c r="H1567" s="2"/>
      <c r="I1567" s="2"/>
      <c r="J1567" s="2"/>
      <c r="L1567" s="2"/>
    </row>
    <row r="1568">
      <c r="D1568" s="2"/>
      <c r="E1568" s="2"/>
      <c r="G1568" s="2"/>
      <c r="H1568" s="2"/>
      <c r="I1568" s="2"/>
      <c r="J1568" s="2"/>
      <c r="L1568" s="2"/>
    </row>
    <row r="1569">
      <c r="D1569" s="2"/>
      <c r="E1569" s="2"/>
      <c r="G1569" s="2"/>
      <c r="H1569" s="2"/>
      <c r="I1569" s="2"/>
      <c r="J1569" s="2"/>
      <c r="L1569" s="2"/>
    </row>
    <row r="1570">
      <c r="D1570" s="2"/>
      <c r="E1570" s="2"/>
      <c r="G1570" s="2"/>
      <c r="H1570" s="2"/>
      <c r="I1570" s="2"/>
      <c r="J1570" s="2"/>
      <c r="L1570" s="2"/>
    </row>
    <row r="1571">
      <c r="D1571" s="2"/>
      <c r="E1571" s="2"/>
      <c r="G1571" s="2"/>
      <c r="H1571" s="2"/>
      <c r="I1571" s="2"/>
      <c r="J1571" s="2"/>
      <c r="L1571" s="2"/>
    </row>
    <row r="1572">
      <c r="D1572" s="2"/>
      <c r="E1572" s="2"/>
      <c r="G1572" s="2"/>
      <c r="H1572" s="2"/>
      <c r="I1572" s="2"/>
      <c r="J1572" s="2"/>
      <c r="L1572" s="2"/>
    </row>
    <row r="1573">
      <c r="D1573" s="2"/>
      <c r="E1573" s="2"/>
      <c r="G1573" s="2"/>
      <c r="H1573" s="2"/>
      <c r="I1573" s="2"/>
      <c r="J1573" s="2"/>
      <c r="L1573" s="2"/>
    </row>
    <row r="1574">
      <c r="D1574" s="2"/>
      <c r="E1574" s="2"/>
      <c r="G1574" s="2"/>
      <c r="H1574" s="2"/>
      <c r="I1574" s="2"/>
      <c r="J1574" s="2"/>
      <c r="L1574" s="2"/>
    </row>
    <row r="1575">
      <c r="D1575" s="2"/>
      <c r="E1575" s="2"/>
      <c r="G1575" s="2"/>
      <c r="H1575" s="2"/>
      <c r="I1575" s="2"/>
      <c r="J1575" s="2"/>
      <c r="L1575" s="2"/>
    </row>
    <row r="1576">
      <c r="D1576" s="2"/>
      <c r="E1576" s="2"/>
      <c r="G1576" s="2"/>
      <c r="H1576" s="2"/>
      <c r="I1576" s="2"/>
      <c r="J1576" s="2"/>
      <c r="L1576" s="2"/>
    </row>
    <row r="1577">
      <c r="D1577" s="2"/>
      <c r="E1577" s="2"/>
      <c r="G1577" s="2"/>
      <c r="H1577" s="2"/>
      <c r="I1577" s="2"/>
      <c r="J1577" s="2"/>
      <c r="L1577" s="2"/>
    </row>
    <row r="1578">
      <c r="D1578" s="2"/>
      <c r="E1578" s="2"/>
      <c r="G1578" s="2"/>
      <c r="H1578" s="2"/>
      <c r="I1578" s="2"/>
      <c r="J1578" s="2"/>
      <c r="L1578" s="2"/>
    </row>
    <row r="1579">
      <c r="D1579" s="2"/>
      <c r="E1579" s="2"/>
      <c r="G1579" s="2"/>
      <c r="H1579" s="2"/>
      <c r="I1579" s="2"/>
      <c r="J1579" s="2"/>
      <c r="L1579" s="2"/>
    </row>
    <row r="1580">
      <c r="D1580" s="2"/>
      <c r="E1580" s="2"/>
      <c r="G1580" s="2"/>
      <c r="H1580" s="2"/>
      <c r="I1580" s="2"/>
      <c r="J1580" s="2"/>
      <c r="L1580" s="2"/>
    </row>
    <row r="1581">
      <c r="D1581" s="2"/>
      <c r="E1581" s="2"/>
      <c r="G1581" s="2"/>
      <c r="H1581" s="2"/>
      <c r="I1581" s="2"/>
      <c r="J1581" s="2"/>
      <c r="L1581" s="2"/>
    </row>
    <row r="1582">
      <c r="D1582" s="2"/>
      <c r="E1582" s="2"/>
      <c r="G1582" s="2"/>
      <c r="H1582" s="2"/>
      <c r="I1582" s="2"/>
      <c r="J1582" s="2"/>
      <c r="L1582" s="2"/>
    </row>
    <row r="1583">
      <c r="D1583" s="2"/>
      <c r="E1583" s="2"/>
      <c r="G1583" s="2"/>
      <c r="H1583" s="2"/>
      <c r="I1583" s="2"/>
      <c r="J1583" s="2"/>
      <c r="L1583" s="2"/>
    </row>
    <row r="1584">
      <c r="D1584" s="2"/>
      <c r="E1584" s="2"/>
      <c r="G1584" s="2"/>
      <c r="H1584" s="2"/>
      <c r="I1584" s="2"/>
      <c r="J1584" s="2"/>
      <c r="L1584" s="2"/>
    </row>
    <row r="1585">
      <c r="D1585" s="2"/>
      <c r="E1585" s="2"/>
      <c r="G1585" s="2"/>
      <c r="H1585" s="2"/>
      <c r="I1585" s="2"/>
      <c r="J1585" s="2"/>
      <c r="L1585" s="2"/>
    </row>
    <row r="1586">
      <c r="D1586" s="2"/>
      <c r="E1586" s="2"/>
      <c r="G1586" s="2"/>
      <c r="H1586" s="2"/>
      <c r="I1586" s="2"/>
      <c r="J1586" s="2"/>
      <c r="L1586" s="2"/>
    </row>
    <row r="1587">
      <c r="D1587" s="2"/>
      <c r="E1587" s="2"/>
      <c r="G1587" s="2"/>
      <c r="H1587" s="2"/>
      <c r="I1587" s="2"/>
      <c r="J1587" s="2"/>
      <c r="L1587" s="2"/>
    </row>
    <row r="1588">
      <c r="D1588" s="2"/>
      <c r="E1588" s="2"/>
      <c r="G1588" s="2"/>
      <c r="H1588" s="2"/>
      <c r="I1588" s="2"/>
      <c r="J1588" s="2"/>
      <c r="L1588" s="2"/>
    </row>
    <row r="1589">
      <c r="D1589" s="2"/>
      <c r="E1589" s="2"/>
      <c r="G1589" s="2"/>
      <c r="H1589" s="2"/>
      <c r="I1589" s="2"/>
      <c r="J1589" s="2"/>
      <c r="L1589" s="2"/>
    </row>
    <row r="1590">
      <c r="D1590" s="2"/>
      <c r="E1590" s="2"/>
      <c r="G1590" s="2"/>
      <c r="H1590" s="2"/>
      <c r="I1590" s="2"/>
      <c r="J1590" s="2"/>
      <c r="L1590" s="2"/>
    </row>
    <row r="1591">
      <c r="D1591" s="2"/>
      <c r="E1591" s="2"/>
      <c r="G1591" s="2"/>
      <c r="H1591" s="2"/>
      <c r="I1591" s="2"/>
      <c r="J1591" s="2"/>
      <c r="L1591" s="2"/>
    </row>
    <row r="1592">
      <c r="D1592" s="2"/>
      <c r="E1592" s="2"/>
      <c r="G1592" s="2"/>
      <c r="H1592" s="2"/>
      <c r="I1592" s="2"/>
      <c r="J1592" s="2"/>
      <c r="L1592" s="2"/>
    </row>
    <row r="1593">
      <c r="D1593" s="2"/>
      <c r="E1593" s="2"/>
      <c r="G1593" s="2"/>
      <c r="H1593" s="2"/>
      <c r="I1593" s="2"/>
      <c r="J1593" s="2"/>
      <c r="L1593" s="2"/>
    </row>
    <row r="1594">
      <c r="D1594" s="2"/>
      <c r="E1594" s="2"/>
      <c r="G1594" s="2"/>
      <c r="H1594" s="2"/>
      <c r="I1594" s="2"/>
      <c r="J1594" s="2"/>
      <c r="L1594" s="2"/>
    </row>
    <row r="1595">
      <c r="D1595" s="2"/>
      <c r="E1595" s="2"/>
      <c r="G1595" s="2"/>
      <c r="H1595" s="2"/>
      <c r="I1595" s="2"/>
      <c r="J1595" s="2"/>
      <c r="L1595" s="2"/>
    </row>
    <row r="1596">
      <c r="D1596" s="2"/>
      <c r="E1596" s="2"/>
      <c r="G1596" s="2"/>
      <c r="H1596" s="2"/>
      <c r="I1596" s="2"/>
      <c r="J1596" s="2"/>
      <c r="L1596" s="2"/>
    </row>
    <row r="1597">
      <c r="D1597" s="2"/>
      <c r="E1597" s="2"/>
      <c r="G1597" s="2"/>
      <c r="H1597" s="2"/>
      <c r="I1597" s="2"/>
      <c r="J1597" s="2"/>
      <c r="L1597" s="2"/>
    </row>
    <row r="1598">
      <c r="D1598" s="2"/>
      <c r="E1598" s="2"/>
      <c r="G1598" s="2"/>
      <c r="H1598" s="2"/>
      <c r="I1598" s="2"/>
      <c r="J1598" s="2"/>
      <c r="L1598" s="2"/>
    </row>
    <row r="1599">
      <c r="D1599" s="2"/>
      <c r="E1599" s="2"/>
      <c r="G1599" s="2"/>
      <c r="H1599" s="2"/>
      <c r="I1599" s="2"/>
      <c r="J1599" s="2"/>
      <c r="L1599" s="2"/>
    </row>
    <row r="1600">
      <c r="D1600" s="2"/>
      <c r="E1600" s="2"/>
      <c r="G1600" s="2"/>
      <c r="H1600" s="2"/>
      <c r="I1600" s="2"/>
      <c r="J1600" s="2"/>
      <c r="L1600" s="2"/>
    </row>
    <row r="1601">
      <c r="D1601" s="2"/>
      <c r="E1601" s="2"/>
      <c r="G1601" s="2"/>
      <c r="H1601" s="2"/>
      <c r="I1601" s="2"/>
      <c r="J1601" s="2"/>
      <c r="L1601" s="2"/>
    </row>
    <row r="1602">
      <c r="D1602" s="2"/>
      <c r="E1602" s="2"/>
      <c r="G1602" s="2"/>
      <c r="H1602" s="2"/>
      <c r="I1602" s="2"/>
      <c r="J1602" s="2"/>
      <c r="L1602" s="2"/>
    </row>
    <row r="1603">
      <c r="D1603" s="2"/>
      <c r="E1603" s="2"/>
      <c r="G1603" s="2"/>
      <c r="H1603" s="2"/>
      <c r="I1603" s="2"/>
      <c r="J1603" s="2"/>
      <c r="L1603" s="2"/>
    </row>
    <row r="1604">
      <c r="D1604" s="2"/>
      <c r="E1604" s="2"/>
      <c r="G1604" s="2"/>
      <c r="H1604" s="2"/>
      <c r="I1604" s="2"/>
      <c r="J1604" s="2"/>
      <c r="L1604" s="2"/>
    </row>
    <row r="1605">
      <c r="D1605" s="2"/>
      <c r="E1605" s="2"/>
      <c r="G1605" s="2"/>
      <c r="H1605" s="2"/>
      <c r="I1605" s="2"/>
      <c r="J1605" s="2"/>
      <c r="L1605" s="2"/>
    </row>
    <row r="1606">
      <c r="D1606" s="2"/>
      <c r="E1606" s="2"/>
      <c r="G1606" s="2"/>
      <c r="H1606" s="2"/>
      <c r="I1606" s="2"/>
      <c r="J1606" s="2"/>
      <c r="L1606" s="2"/>
    </row>
    <row r="1607">
      <c r="D1607" s="2"/>
      <c r="E1607" s="2"/>
      <c r="G1607" s="2"/>
      <c r="H1607" s="2"/>
      <c r="I1607" s="2"/>
      <c r="J1607" s="2"/>
      <c r="L1607" s="2"/>
    </row>
    <row r="1608">
      <c r="D1608" s="2"/>
      <c r="E1608" s="2"/>
      <c r="G1608" s="2"/>
      <c r="H1608" s="2"/>
      <c r="I1608" s="2"/>
      <c r="J1608" s="2"/>
      <c r="L1608" s="2"/>
    </row>
    <row r="1609">
      <c r="D1609" s="2"/>
      <c r="E1609" s="2"/>
      <c r="G1609" s="2"/>
      <c r="H1609" s="2"/>
      <c r="I1609" s="2"/>
      <c r="J1609" s="2"/>
      <c r="L1609" s="2"/>
    </row>
    <row r="1610">
      <c r="D1610" s="2"/>
      <c r="E1610" s="2"/>
      <c r="G1610" s="2"/>
      <c r="H1610" s="2"/>
      <c r="I1610" s="2"/>
      <c r="J1610" s="2"/>
      <c r="L1610" s="2"/>
    </row>
    <row r="1611">
      <c r="D1611" s="2"/>
      <c r="E1611" s="2"/>
      <c r="G1611" s="2"/>
      <c r="H1611" s="2"/>
      <c r="I1611" s="2"/>
      <c r="J1611" s="2"/>
      <c r="L1611" s="2"/>
    </row>
    <row r="1612">
      <c r="D1612" s="2"/>
      <c r="E1612" s="2"/>
      <c r="G1612" s="2"/>
      <c r="H1612" s="2"/>
      <c r="I1612" s="2"/>
      <c r="J1612" s="2"/>
      <c r="L1612" s="2"/>
    </row>
    <row r="1613">
      <c r="D1613" s="2"/>
      <c r="E1613" s="2"/>
      <c r="G1613" s="2"/>
      <c r="H1613" s="2"/>
      <c r="I1613" s="2"/>
      <c r="J1613" s="2"/>
      <c r="L1613" s="2"/>
    </row>
    <row r="1614">
      <c r="D1614" s="2"/>
      <c r="E1614" s="2"/>
      <c r="G1614" s="2"/>
      <c r="H1614" s="2"/>
      <c r="I1614" s="2"/>
      <c r="J1614" s="2"/>
      <c r="L1614" s="2"/>
    </row>
    <row r="1615">
      <c r="D1615" s="2"/>
      <c r="E1615" s="2"/>
      <c r="G1615" s="2"/>
      <c r="H1615" s="2"/>
      <c r="I1615" s="2"/>
      <c r="J1615" s="2"/>
      <c r="L1615" s="2"/>
    </row>
    <row r="1616">
      <c r="D1616" s="2"/>
      <c r="E1616" s="2"/>
      <c r="G1616" s="2"/>
      <c r="H1616" s="2"/>
      <c r="I1616" s="2"/>
      <c r="J1616" s="2"/>
      <c r="L1616" s="2"/>
    </row>
    <row r="1617">
      <c r="D1617" s="2"/>
      <c r="E1617" s="2"/>
      <c r="G1617" s="2"/>
      <c r="H1617" s="2"/>
      <c r="I1617" s="2"/>
      <c r="J1617" s="2"/>
      <c r="L1617" s="2"/>
    </row>
    <row r="1618">
      <c r="D1618" s="2"/>
      <c r="E1618" s="2"/>
      <c r="G1618" s="2"/>
      <c r="H1618" s="2"/>
      <c r="I1618" s="2"/>
      <c r="J1618" s="2"/>
      <c r="L1618" s="2"/>
    </row>
    <row r="1619">
      <c r="D1619" s="2"/>
      <c r="E1619" s="2"/>
      <c r="G1619" s="2"/>
      <c r="H1619" s="2"/>
      <c r="I1619" s="2"/>
      <c r="J1619" s="2"/>
      <c r="L1619" s="2"/>
    </row>
    <row r="1620">
      <c r="D1620" s="2"/>
      <c r="E1620" s="2"/>
      <c r="G1620" s="2"/>
      <c r="H1620" s="2"/>
      <c r="I1620" s="2"/>
      <c r="J1620" s="2"/>
      <c r="L1620" s="2"/>
    </row>
    <row r="1621">
      <c r="D1621" s="2"/>
      <c r="E1621" s="2"/>
      <c r="G1621" s="2"/>
      <c r="H1621" s="2"/>
      <c r="I1621" s="2"/>
      <c r="J1621" s="2"/>
      <c r="L1621" s="2"/>
    </row>
    <row r="1622">
      <c r="D1622" s="2"/>
      <c r="E1622" s="2"/>
      <c r="G1622" s="2"/>
      <c r="H1622" s="2"/>
      <c r="I1622" s="2"/>
      <c r="J1622" s="2"/>
      <c r="L1622" s="2"/>
    </row>
    <row r="1623">
      <c r="D1623" s="2"/>
      <c r="E1623" s="2"/>
      <c r="G1623" s="2"/>
      <c r="H1623" s="2"/>
      <c r="I1623" s="2"/>
      <c r="J1623" s="2"/>
      <c r="L1623" s="2"/>
    </row>
    <row r="1624">
      <c r="D1624" s="2"/>
      <c r="E1624" s="2"/>
      <c r="G1624" s="2"/>
      <c r="H1624" s="2"/>
      <c r="I1624" s="2"/>
      <c r="J1624" s="2"/>
      <c r="L1624" s="2"/>
    </row>
    <row r="1625">
      <c r="D1625" s="2"/>
      <c r="E1625" s="2"/>
      <c r="G1625" s="2"/>
      <c r="H1625" s="2"/>
      <c r="I1625" s="2"/>
      <c r="J1625" s="2"/>
      <c r="L1625" s="2"/>
    </row>
    <row r="1626">
      <c r="D1626" s="2"/>
      <c r="E1626" s="2"/>
      <c r="G1626" s="2"/>
      <c r="H1626" s="2"/>
      <c r="I1626" s="2"/>
      <c r="J1626" s="2"/>
      <c r="L1626" s="2"/>
    </row>
    <row r="1627">
      <c r="D1627" s="2"/>
      <c r="E1627" s="2"/>
      <c r="G1627" s="2"/>
      <c r="H1627" s="2"/>
      <c r="I1627" s="2"/>
      <c r="J1627" s="2"/>
      <c r="L1627" s="2"/>
    </row>
    <row r="1628">
      <c r="D1628" s="2"/>
      <c r="E1628" s="2"/>
      <c r="G1628" s="2"/>
      <c r="H1628" s="2"/>
      <c r="I1628" s="2"/>
      <c r="J1628" s="2"/>
      <c r="L1628" s="2"/>
    </row>
    <row r="1629">
      <c r="D1629" s="2"/>
      <c r="E1629" s="2"/>
      <c r="G1629" s="2"/>
      <c r="H1629" s="2"/>
      <c r="I1629" s="2"/>
      <c r="J1629" s="2"/>
      <c r="L1629" s="2"/>
    </row>
    <row r="1630">
      <c r="D1630" s="2"/>
      <c r="E1630" s="2"/>
      <c r="G1630" s="2"/>
      <c r="H1630" s="2"/>
      <c r="I1630" s="2"/>
      <c r="J1630" s="2"/>
      <c r="L1630" s="2"/>
    </row>
    <row r="1631">
      <c r="D1631" s="2"/>
      <c r="E1631" s="2"/>
      <c r="G1631" s="2"/>
      <c r="H1631" s="2"/>
      <c r="I1631" s="2"/>
      <c r="J1631" s="2"/>
      <c r="L1631" s="2"/>
    </row>
    <row r="1632">
      <c r="D1632" s="2"/>
      <c r="E1632" s="2"/>
      <c r="G1632" s="2"/>
      <c r="H1632" s="2"/>
      <c r="I1632" s="2"/>
      <c r="J1632" s="2"/>
      <c r="L1632" s="2"/>
    </row>
    <row r="1633">
      <c r="D1633" s="2"/>
      <c r="E1633" s="2"/>
      <c r="G1633" s="2"/>
      <c r="H1633" s="2"/>
      <c r="I1633" s="2"/>
      <c r="J1633" s="2"/>
      <c r="L1633" s="2"/>
    </row>
    <row r="1634">
      <c r="D1634" s="2"/>
      <c r="E1634" s="2"/>
      <c r="G1634" s="2"/>
      <c r="H1634" s="2"/>
      <c r="I1634" s="2"/>
      <c r="J1634" s="2"/>
      <c r="L1634" s="2"/>
    </row>
    <row r="1635">
      <c r="D1635" s="2"/>
      <c r="E1635" s="2"/>
      <c r="G1635" s="2"/>
      <c r="H1635" s="2"/>
      <c r="I1635" s="2"/>
      <c r="J1635" s="2"/>
      <c r="L1635" s="2"/>
    </row>
    <row r="1636">
      <c r="D1636" s="2"/>
      <c r="E1636" s="2"/>
      <c r="G1636" s="2"/>
      <c r="H1636" s="2"/>
      <c r="I1636" s="2"/>
      <c r="J1636" s="2"/>
      <c r="L1636" s="2"/>
    </row>
    <row r="1637">
      <c r="D1637" s="2"/>
      <c r="E1637" s="2"/>
      <c r="G1637" s="2"/>
      <c r="H1637" s="2"/>
      <c r="I1637" s="2"/>
      <c r="J1637" s="2"/>
      <c r="L1637" s="2"/>
    </row>
    <row r="1638">
      <c r="D1638" s="2"/>
      <c r="E1638" s="2"/>
      <c r="G1638" s="2"/>
      <c r="H1638" s="2"/>
      <c r="I1638" s="2"/>
      <c r="J1638" s="2"/>
      <c r="L1638" s="2"/>
    </row>
    <row r="1639">
      <c r="D1639" s="2"/>
      <c r="E1639" s="2"/>
      <c r="G1639" s="2"/>
      <c r="H1639" s="2"/>
      <c r="I1639" s="2"/>
      <c r="J1639" s="2"/>
      <c r="L1639" s="2"/>
    </row>
    <row r="1640">
      <c r="D1640" s="2"/>
      <c r="E1640" s="2"/>
      <c r="G1640" s="2"/>
      <c r="H1640" s="2"/>
      <c r="I1640" s="2"/>
      <c r="J1640" s="2"/>
      <c r="L1640" s="2"/>
    </row>
    <row r="1641">
      <c r="D1641" s="2"/>
      <c r="E1641" s="2"/>
      <c r="G1641" s="2"/>
      <c r="H1641" s="2"/>
      <c r="I1641" s="2"/>
      <c r="J1641" s="2"/>
      <c r="L1641" s="2"/>
    </row>
    <row r="1642">
      <c r="D1642" s="2"/>
      <c r="E1642" s="2"/>
      <c r="G1642" s="2"/>
      <c r="H1642" s="2"/>
      <c r="I1642" s="2"/>
      <c r="J1642" s="2"/>
      <c r="L1642" s="2"/>
    </row>
    <row r="1643">
      <c r="D1643" s="2"/>
      <c r="E1643" s="2"/>
      <c r="G1643" s="2"/>
      <c r="H1643" s="2"/>
      <c r="I1643" s="2"/>
      <c r="J1643" s="2"/>
      <c r="L1643" s="2"/>
    </row>
    <row r="1644">
      <c r="D1644" s="2"/>
      <c r="E1644" s="2"/>
      <c r="G1644" s="2"/>
      <c r="H1644" s="2"/>
      <c r="I1644" s="2"/>
      <c r="J1644" s="2"/>
      <c r="L1644" s="2"/>
    </row>
    <row r="1645">
      <c r="D1645" s="2"/>
      <c r="E1645" s="2"/>
      <c r="G1645" s="2"/>
      <c r="H1645" s="2"/>
      <c r="I1645" s="2"/>
      <c r="J1645" s="2"/>
      <c r="L1645" s="2"/>
    </row>
    <row r="1646">
      <c r="D1646" s="2"/>
      <c r="E1646" s="2"/>
      <c r="G1646" s="2"/>
      <c r="H1646" s="2"/>
      <c r="I1646" s="2"/>
      <c r="J1646" s="2"/>
      <c r="L1646" s="2"/>
    </row>
    <row r="1647">
      <c r="D1647" s="2"/>
      <c r="E1647" s="2"/>
      <c r="G1647" s="2"/>
      <c r="H1647" s="2"/>
      <c r="I1647" s="2"/>
      <c r="J1647" s="2"/>
      <c r="L1647" s="2"/>
    </row>
    <row r="1648">
      <c r="D1648" s="2"/>
      <c r="E1648" s="2"/>
      <c r="G1648" s="2"/>
      <c r="H1648" s="2"/>
      <c r="I1648" s="2"/>
      <c r="J1648" s="2"/>
      <c r="L1648" s="2"/>
    </row>
    <row r="1649">
      <c r="D1649" s="2"/>
      <c r="E1649" s="2"/>
      <c r="G1649" s="2"/>
      <c r="H1649" s="2"/>
      <c r="I1649" s="2"/>
      <c r="J1649" s="2"/>
      <c r="L1649" s="2"/>
    </row>
    <row r="1650">
      <c r="D1650" s="2"/>
      <c r="E1650" s="2"/>
      <c r="G1650" s="2"/>
      <c r="H1650" s="2"/>
      <c r="I1650" s="2"/>
      <c r="J1650" s="2"/>
      <c r="L1650" s="2"/>
    </row>
    <row r="1651">
      <c r="D1651" s="2"/>
      <c r="E1651" s="2"/>
      <c r="G1651" s="2"/>
      <c r="H1651" s="2"/>
      <c r="I1651" s="2"/>
      <c r="J1651" s="2"/>
      <c r="L1651" s="2"/>
    </row>
    <row r="1652">
      <c r="D1652" s="2"/>
      <c r="E1652" s="2"/>
      <c r="G1652" s="2"/>
      <c r="H1652" s="2"/>
      <c r="I1652" s="2"/>
      <c r="J1652" s="2"/>
      <c r="L1652" s="2"/>
    </row>
    <row r="1653">
      <c r="D1653" s="2"/>
      <c r="E1653" s="2"/>
      <c r="G1653" s="2"/>
      <c r="H1653" s="2"/>
      <c r="I1653" s="2"/>
      <c r="J1653" s="2"/>
      <c r="L1653" s="2"/>
    </row>
    <row r="1654">
      <c r="D1654" s="2"/>
      <c r="E1654" s="2"/>
      <c r="G1654" s="2"/>
      <c r="H1654" s="2"/>
      <c r="I1654" s="2"/>
      <c r="J1654" s="2"/>
      <c r="L1654" s="2"/>
    </row>
    <row r="1655">
      <c r="D1655" s="2"/>
      <c r="E1655" s="2"/>
      <c r="G1655" s="2"/>
      <c r="H1655" s="2"/>
      <c r="I1655" s="2"/>
      <c r="J1655" s="2"/>
      <c r="L1655" s="2"/>
    </row>
    <row r="1656">
      <c r="D1656" s="2"/>
      <c r="E1656" s="2"/>
      <c r="G1656" s="2"/>
      <c r="H1656" s="2"/>
      <c r="I1656" s="2"/>
      <c r="J1656" s="2"/>
      <c r="L1656" s="2"/>
    </row>
    <row r="1657">
      <c r="D1657" s="2"/>
      <c r="E1657" s="2"/>
      <c r="G1657" s="2"/>
      <c r="H1657" s="2"/>
      <c r="I1657" s="2"/>
      <c r="J1657" s="2"/>
      <c r="L1657" s="2"/>
    </row>
    <row r="1658">
      <c r="D1658" s="2"/>
      <c r="E1658" s="2"/>
      <c r="G1658" s="2"/>
      <c r="H1658" s="2"/>
      <c r="I1658" s="2"/>
      <c r="J1658" s="2"/>
      <c r="L1658" s="2"/>
    </row>
    <row r="1659">
      <c r="D1659" s="2"/>
      <c r="E1659" s="2"/>
      <c r="G1659" s="2"/>
      <c r="H1659" s="2"/>
      <c r="I1659" s="2"/>
      <c r="J1659" s="2"/>
      <c r="L1659" s="2"/>
    </row>
    <row r="1660">
      <c r="D1660" s="2"/>
      <c r="E1660" s="2"/>
      <c r="G1660" s="2"/>
      <c r="H1660" s="2"/>
      <c r="I1660" s="2"/>
      <c r="J1660" s="2"/>
      <c r="L1660" s="2"/>
    </row>
    <row r="1661">
      <c r="D1661" s="2"/>
      <c r="E1661" s="2"/>
      <c r="G1661" s="2"/>
      <c r="H1661" s="2"/>
      <c r="I1661" s="2"/>
      <c r="J1661" s="2"/>
      <c r="L1661" s="2"/>
    </row>
    <row r="1662">
      <c r="D1662" s="2"/>
      <c r="E1662" s="2"/>
      <c r="G1662" s="2"/>
      <c r="H1662" s="2"/>
      <c r="I1662" s="2"/>
      <c r="J1662" s="2"/>
      <c r="L1662" s="2"/>
    </row>
    <row r="1663">
      <c r="D1663" s="2"/>
      <c r="E1663" s="2"/>
      <c r="G1663" s="2"/>
      <c r="H1663" s="2"/>
      <c r="I1663" s="2"/>
      <c r="J1663" s="2"/>
      <c r="L1663" s="2"/>
    </row>
    <row r="1664">
      <c r="D1664" s="2"/>
      <c r="E1664" s="2"/>
      <c r="G1664" s="2"/>
      <c r="H1664" s="2"/>
      <c r="I1664" s="2"/>
      <c r="J1664" s="2"/>
      <c r="L1664" s="2"/>
    </row>
    <row r="1665">
      <c r="D1665" s="2"/>
      <c r="E1665" s="2"/>
      <c r="G1665" s="2"/>
      <c r="H1665" s="2"/>
      <c r="I1665" s="2"/>
      <c r="J1665" s="2"/>
      <c r="L1665" s="2"/>
    </row>
    <row r="1666">
      <c r="D1666" s="2"/>
      <c r="E1666" s="2"/>
      <c r="G1666" s="2"/>
      <c r="H1666" s="2"/>
      <c r="I1666" s="2"/>
      <c r="J1666" s="2"/>
      <c r="L1666" s="2"/>
    </row>
    <row r="1667">
      <c r="D1667" s="2"/>
      <c r="E1667" s="2"/>
      <c r="G1667" s="2"/>
      <c r="H1667" s="2"/>
      <c r="I1667" s="2"/>
      <c r="J1667" s="2"/>
      <c r="L1667" s="2"/>
    </row>
    <row r="1668">
      <c r="D1668" s="2"/>
      <c r="E1668" s="2"/>
      <c r="G1668" s="2"/>
      <c r="H1668" s="2"/>
      <c r="I1668" s="2"/>
      <c r="J1668" s="2"/>
      <c r="L1668" s="2"/>
    </row>
    <row r="1669">
      <c r="D1669" s="2"/>
      <c r="E1669" s="2"/>
      <c r="G1669" s="2"/>
      <c r="H1669" s="2"/>
      <c r="I1669" s="2"/>
      <c r="J1669" s="2"/>
      <c r="L1669" s="2"/>
    </row>
    <row r="1670">
      <c r="D1670" s="2"/>
      <c r="E1670" s="2"/>
      <c r="G1670" s="2"/>
      <c r="H1670" s="2"/>
      <c r="I1670" s="2"/>
      <c r="J1670" s="2"/>
      <c r="L1670" s="2"/>
    </row>
    <row r="1671">
      <c r="D1671" s="2"/>
      <c r="E1671" s="2"/>
      <c r="G1671" s="2"/>
      <c r="H1671" s="2"/>
      <c r="I1671" s="2"/>
      <c r="J1671" s="2"/>
      <c r="L1671" s="2"/>
    </row>
    <row r="1672">
      <c r="D1672" s="2"/>
      <c r="E1672" s="2"/>
      <c r="G1672" s="2"/>
      <c r="H1672" s="2"/>
      <c r="I1672" s="2"/>
      <c r="J1672" s="2"/>
      <c r="L1672" s="2"/>
    </row>
    <row r="1673">
      <c r="D1673" s="2"/>
      <c r="E1673" s="2"/>
      <c r="G1673" s="2"/>
      <c r="H1673" s="2"/>
      <c r="I1673" s="2"/>
      <c r="J1673" s="2"/>
      <c r="L1673" s="2"/>
    </row>
    <row r="1674">
      <c r="D1674" s="2"/>
      <c r="E1674" s="2"/>
      <c r="G1674" s="2"/>
      <c r="H1674" s="2"/>
      <c r="I1674" s="2"/>
      <c r="J1674" s="2"/>
      <c r="L1674" s="2"/>
    </row>
    <row r="1675">
      <c r="D1675" s="2"/>
      <c r="E1675" s="2"/>
      <c r="G1675" s="2"/>
      <c r="H1675" s="2"/>
      <c r="I1675" s="2"/>
      <c r="J1675" s="2"/>
      <c r="L1675" s="2"/>
    </row>
    <row r="1676">
      <c r="D1676" s="2"/>
      <c r="E1676" s="2"/>
      <c r="G1676" s="2"/>
      <c r="H1676" s="2"/>
      <c r="I1676" s="2"/>
      <c r="J1676" s="2"/>
      <c r="L1676" s="2"/>
    </row>
    <row r="1677">
      <c r="D1677" s="2"/>
      <c r="E1677" s="2"/>
      <c r="G1677" s="2"/>
      <c r="H1677" s="2"/>
      <c r="I1677" s="2"/>
      <c r="J1677" s="2"/>
      <c r="L1677" s="2"/>
    </row>
    <row r="1678">
      <c r="D1678" s="2"/>
      <c r="E1678" s="2"/>
      <c r="G1678" s="2"/>
      <c r="H1678" s="2"/>
      <c r="I1678" s="2"/>
      <c r="J1678" s="2"/>
      <c r="L1678" s="2"/>
    </row>
    <row r="1679">
      <c r="D1679" s="2"/>
      <c r="E1679" s="2"/>
      <c r="G1679" s="2"/>
      <c r="H1679" s="2"/>
      <c r="I1679" s="2"/>
      <c r="J1679" s="2"/>
      <c r="L1679" s="2"/>
    </row>
    <row r="1680">
      <c r="D1680" s="2"/>
      <c r="E1680" s="2"/>
      <c r="G1680" s="2"/>
      <c r="H1680" s="2"/>
      <c r="I1680" s="2"/>
      <c r="J1680" s="2"/>
      <c r="L1680" s="2"/>
    </row>
    <row r="1681">
      <c r="D1681" s="2"/>
      <c r="E1681" s="2"/>
      <c r="G1681" s="2"/>
      <c r="H1681" s="2"/>
      <c r="I1681" s="2"/>
      <c r="J1681" s="2"/>
      <c r="L1681" s="2"/>
    </row>
    <row r="1682">
      <c r="D1682" s="2"/>
      <c r="E1682" s="2"/>
      <c r="G1682" s="2"/>
      <c r="H1682" s="2"/>
      <c r="I1682" s="2"/>
      <c r="J1682" s="2"/>
      <c r="L1682" s="2"/>
    </row>
    <row r="1683">
      <c r="D1683" s="2"/>
      <c r="E1683" s="2"/>
      <c r="G1683" s="2"/>
      <c r="H1683" s="2"/>
      <c r="I1683" s="2"/>
      <c r="J1683" s="2"/>
      <c r="L1683" s="2"/>
    </row>
    <row r="1684">
      <c r="D1684" s="2"/>
      <c r="E1684" s="2"/>
      <c r="G1684" s="2"/>
      <c r="H1684" s="2"/>
      <c r="I1684" s="2"/>
      <c r="J1684" s="2"/>
      <c r="L1684" s="2"/>
    </row>
    <row r="1685">
      <c r="D1685" s="2"/>
      <c r="E1685" s="2"/>
      <c r="G1685" s="2"/>
      <c r="H1685" s="2"/>
      <c r="I1685" s="2"/>
      <c r="J1685" s="2"/>
      <c r="L1685" s="2"/>
    </row>
    <row r="1686">
      <c r="D1686" s="2"/>
      <c r="E1686" s="2"/>
      <c r="G1686" s="2"/>
      <c r="H1686" s="2"/>
      <c r="I1686" s="2"/>
      <c r="J1686" s="2"/>
      <c r="L1686" s="2"/>
    </row>
    <row r="1687">
      <c r="D1687" s="2"/>
      <c r="E1687" s="2"/>
      <c r="G1687" s="2"/>
      <c r="H1687" s="2"/>
      <c r="I1687" s="2"/>
      <c r="J1687" s="2"/>
      <c r="L1687" s="2"/>
    </row>
    <row r="1688">
      <c r="D1688" s="2"/>
      <c r="E1688" s="2"/>
      <c r="G1688" s="2"/>
      <c r="H1688" s="2"/>
      <c r="I1688" s="2"/>
      <c r="J1688" s="2"/>
      <c r="L1688" s="2"/>
    </row>
    <row r="1689">
      <c r="D1689" s="2"/>
      <c r="E1689" s="2"/>
      <c r="G1689" s="2"/>
      <c r="H1689" s="2"/>
      <c r="I1689" s="2"/>
      <c r="J1689" s="2"/>
      <c r="L1689" s="2"/>
    </row>
    <row r="1690">
      <c r="D1690" s="2"/>
      <c r="E1690" s="2"/>
      <c r="G1690" s="2"/>
      <c r="H1690" s="2"/>
      <c r="I1690" s="2"/>
      <c r="J1690" s="2"/>
      <c r="L1690" s="2"/>
    </row>
    <row r="1691">
      <c r="D1691" s="2"/>
      <c r="E1691" s="2"/>
      <c r="G1691" s="2"/>
      <c r="H1691" s="2"/>
      <c r="I1691" s="2"/>
      <c r="J1691" s="2"/>
      <c r="L1691" s="2"/>
    </row>
    <row r="1692">
      <c r="D1692" s="2"/>
      <c r="E1692" s="2"/>
      <c r="G1692" s="2"/>
      <c r="H1692" s="2"/>
      <c r="I1692" s="2"/>
      <c r="J1692" s="2"/>
      <c r="L1692" s="2"/>
    </row>
    <row r="1693">
      <c r="D1693" s="2"/>
      <c r="E1693" s="2"/>
      <c r="G1693" s="2"/>
      <c r="H1693" s="2"/>
      <c r="I1693" s="2"/>
      <c r="J1693" s="2"/>
      <c r="L1693" s="2"/>
    </row>
    <row r="1694">
      <c r="D1694" s="2"/>
      <c r="E1694" s="2"/>
      <c r="G1694" s="2"/>
      <c r="H1694" s="2"/>
      <c r="I1694" s="2"/>
      <c r="J1694" s="2"/>
      <c r="L1694" s="2"/>
    </row>
    <row r="1695">
      <c r="D1695" s="2"/>
      <c r="E1695" s="2"/>
      <c r="G1695" s="2"/>
      <c r="H1695" s="2"/>
      <c r="I1695" s="2"/>
      <c r="J1695" s="2"/>
      <c r="L1695" s="2"/>
    </row>
    <row r="1696">
      <c r="D1696" s="2"/>
      <c r="E1696" s="2"/>
      <c r="G1696" s="2"/>
      <c r="H1696" s="2"/>
      <c r="I1696" s="2"/>
      <c r="J1696" s="2"/>
      <c r="L1696" s="2"/>
    </row>
    <row r="1697">
      <c r="D1697" s="2"/>
      <c r="E1697" s="2"/>
      <c r="G1697" s="2"/>
      <c r="H1697" s="2"/>
      <c r="I1697" s="2"/>
      <c r="J1697" s="2"/>
      <c r="L1697" s="2"/>
    </row>
    <row r="1698">
      <c r="D1698" s="2"/>
      <c r="E1698" s="2"/>
      <c r="G1698" s="2"/>
      <c r="H1698" s="2"/>
      <c r="I1698" s="2"/>
      <c r="J1698" s="2"/>
      <c r="L1698" s="2"/>
    </row>
    <row r="1699">
      <c r="D1699" s="2"/>
      <c r="E1699" s="2"/>
      <c r="G1699" s="2"/>
      <c r="H1699" s="2"/>
      <c r="I1699" s="2"/>
      <c r="J1699" s="2"/>
      <c r="L1699" s="2"/>
    </row>
    <row r="1700">
      <c r="D1700" s="2"/>
      <c r="E1700" s="2"/>
      <c r="G1700" s="2"/>
      <c r="H1700" s="2"/>
      <c r="I1700" s="2"/>
      <c r="J1700" s="2"/>
      <c r="L1700" s="2"/>
    </row>
    <row r="1701">
      <c r="D1701" s="2"/>
      <c r="E1701" s="2"/>
      <c r="G1701" s="2"/>
      <c r="H1701" s="2"/>
      <c r="I1701" s="2"/>
      <c r="J1701" s="2"/>
      <c r="L1701" s="2"/>
    </row>
    <row r="1702">
      <c r="D1702" s="2"/>
      <c r="E1702" s="2"/>
      <c r="G1702" s="2"/>
      <c r="H1702" s="2"/>
      <c r="I1702" s="2"/>
      <c r="J1702" s="2"/>
      <c r="L1702" s="2"/>
    </row>
    <row r="1703">
      <c r="D1703" s="2"/>
      <c r="E1703" s="2"/>
      <c r="G1703" s="2"/>
      <c r="H1703" s="2"/>
      <c r="I1703" s="2"/>
      <c r="J1703" s="2"/>
      <c r="L1703" s="2"/>
    </row>
    <row r="1704">
      <c r="D1704" s="2"/>
      <c r="E1704" s="2"/>
      <c r="G1704" s="2"/>
      <c r="H1704" s="2"/>
      <c r="I1704" s="2"/>
      <c r="J1704" s="2"/>
      <c r="L1704" s="2"/>
    </row>
    <row r="1705">
      <c r="D1705" s="2"/>
      <c r="E1705" s="2"/>
      <c r="G1705" s="2"/>
      <c r="H1705" s="2"/>
      <c r="I1705" s="2"/>
      <c r="J1705" s="2"/>
      <c r="L1705" s="2"/>
    </row>
    <row r="1706">
      <c r="D1706" s="2"/>
      <c r="E1706" s="2"/>
      <c r="G1706" s="2"/>
      <c r="H1706" s="2"/>
      <c r="I1706" s="2"/>
      <c r="J1706" s="2"/>
      <c r="L1706" s="2"/>
    </row>
    <row r="1707">
      <c r="D1707" s="2"/>
      <c r="E1707" s="2"/>
      <c r="G1707" s="2"/>
      <c r="H1707" s="2"/>
      <c r="I1707" s="2"/>
      <c r="J1707" s="2"/>
      <c r="L1707" s="2"/>
    </row>
    <row r="1708">
      <c r="D1708" s="2"/>
      <c r="E1708" s="2"/>
      <c r="G1708" s="2"/>
      <c r="H1708" s="2"/>
      <c r="I1708" s="2"/>
      <c r="J1708" s="2"/>
      <c r="L1708" s="2"/>
    </row>
    <row r="1709">
      <c r="D1709" s="2"/>
      <c r="E1709" s="2"/>
      <c r="G1709" s="2"/>
      <c r="H1709" s="2"/>
      <c r="I1709" s="2"/>
      <c r="J1709" s="2"/>
      <c r="L1709" s="2"/>
    </row>
    <row r="1710">
      <c r="D1710" s="2"/>
      <c r="E1710" s="2"/>
      <c r="G1710" s="2"/>
      <c r="H1710" s="2"/>
      <c r="I1710" s="2"/>
      <c r="J1710" s="2"/>
      <c r="L1710" s="2"/>
    </row>
    <row r="1711">
      <c r="D1711" s="2"/>
      <c r="E1711" s="2"/>
      <c r="G1711" s="2"/>
      <c r="H1711" s="2"/>
      <c r="I1711" s="2"/>
      <c r="J1711" s="2"/>
      <c r="L1711" s="2"/>
    </row>
    <row r="1712">
      <c r="D1712" s="2"/>
      <c r="E1712" s="2"/>
      <c r="G1712" s="2"/>
      <c r="H1712" s="2"/>
      <c r="I1712" s="2"/>
      <c r="J1712" s="2"/>
      <c r="L1712" s="2"/>
    </row>
    <row r="1713">
      <c r="D1713" s="2"/>
      <c r="E1713" s="2"/>
      <c r="G1713" s="2"/>
      <c r="H1713" s="2"/>
      <c r="I1713" s="2"/>
      <c r="J1713" s="2"/>
      <c r="L1713" s="2"/>
    </row>
    <row r="1714">
      <c r="D1714" s="2"/>
      <c r="E1714" s="2"/>
      <c r="G1714" s="2"/>
      <c r="H1714" s="2"/>
      <c r="I1714" s="2"/>
      <c r="J1714" s="2"/>
      <c r="L1714" s="2"/>
    </row>
    <row r="1715">
      <c r="D1715" s="2"/>
      <c r="E1715" s="2"/>
      <c r="G1715" s="2"/>
      <c r="H1715" s="2"/>
      <c r="I1715" s="2"/>
      <c r="J1715" s="2"/>
      <c r="L1715" s="2"/>
    </row>
    <row r="1716">
      <c r="D1716" s="2"/>
      <c r="E1716" s="2"/>
      <c r="G1716" s="2"/>
      <c r="H1716" s="2"/>
      <c r="I1716" s="2"/>
      <c r="J1716" s="2"/>
      <c r="L1716" s="2"/>
    </row>
    <row r="1717">
      <c r="D1717" s="2"/>
      <c r="E1717" s="2"/>
      <c r="G1717" s="2"/>
      <c r="H1717" s="2"/>
      <c r="I1717" s="2"/>
      <c r="J1717" s="2"/>
      <c r="L1717" s="2"/>
    </row>
    <row r="1718">
      <c r="D1718" s="2"/>
      <c r="E1718" s="2"/>
      <c r="G1718" s="2"/>
      <c r="H1718" s="2"/>
      <c r="I1718" s="2"/>
      <c r="J1718" s="2"/>
      <c r="L1718" s="2"/>
    </row>
    <row r="1719">
      <c r="D1719" s="2"/>
      <c r="E1719" s="2"/>
      <c r="G1719" s="2"/>
      <c r="H1719" s="2"/>
      <c r="I1719" s="2"/>
      <c r="J1719" s="2"/>
      <c r="L1719" s="2"/>
    </row>
    <row r="1720">
      <c r="D1720" s="2"/>
      <c r="E1720" s="2"/>
      <c r="G1720" s="2"/>
      <c r="H1720" s="2"/>
      <c r="I1720" s="2"/>
      <c r="J1720" s="2"/>
      <c r="L1720" s="2"/>
    </row>
    <row r="1721">
      <c r="D1721" s="2"/>
      <c r="E1721" s="2"/>
      <c r="G1721" s="2"/>
      <c r="H1721" s="2"/>
      <c r="I1721" s="2"/>
      <c r="J1721" s="2"/>
      <c r="L1721" s="2"/>
    </row>
    <row r="1722">
      <c r="D1722" s="2"/>
      <c r="E1722" s="2"/>
      <c r="G1722" s="2"/>
      <c r="H1722" s="2"/>
      <c r="I1722" s="2"/>
      <c r="J1722" s="2"/>
      <c r="L1722" s="2"/>
    </row>
    <row r="1723">
      <c r="D1723" s="2"/>
      <c r="E1723" s="2"/>
      <c r="G1723" s="2"/>
      <c r="H1723" s="2"/>
      <c r="I1723" s="2"/>
      <c r="J1723" s="2"/>
      <c r="L1723" s="2"/>
    </row>
    <row r="1724">
      <c r="D1724" s="2"/>
      <c r="E1724" s="2"/>
      <c r="G1724" s="2"/>
      <c r="H1724" s="2"/>
      <c r="I1724" s="2"/>
      <c r="J1724" s="2"/>
      <c r="L1724" s="2"/>
    </row>
    <row r="1725">
      <c r="D1725" s="2"/>
      <c r="E1725" s="2"/>
      <c r="G1725" s="2"/>
      <c r="H1725" s="2"/>
      <c r="I1725" s="2"/>
      <c r="J1725" s="2"/>
      <c r="L1725" s="2"/>
    </row>
    <row r="1726">
      <c r="D1726" s="2"/>
      <c r="E1726" s="2"/>
      <c r="G1726" s="2"/>
      <c r="H1726" s="2"/>
      <c r="I1726" s="2"/>
      <c r="J1726" s="2"/>
      <c r="L1726" s="2"/>
    </row>
    <row r="1727">
      <c r="D1727" s="2"/>
      <c r="E1727" s="2"/>
      <c r="G1727" s="2"/>
      <c r="H1727" s="2"/>
      <c r="I1727" s="2"/>
      <c r="J1727" s="2"/>
      <c r="L1727" s="2"/>
    </row>
    <row r="1728">
      <c r="D1728" s="2"/>
      <c r="E1728" s="2"/>
      <c r="G1728" s="2"/>
      <c r="H1728" s="2"/>
      <c r="I1728" s="2"/>
      <c r="J1728" s="2"/>
      <c r="L1728" s="2"/>
    </row>
    <row r="1729">
      <c r="D1729" s="2"/>
      <c r="E1729" s="2"/>
      <c r="G1729" s="2"/>
      <c r="H1729" s="2"/>
      <c r="I1729" s="2"/>
      <c r="J1729" s="2"/>
      <c r="L1729" s="2"/>
    </row>
    <row r="1730">
      <c r="D1730" s="2"/>
      <c r="E1730" s="2"/>
      <c r="G1730" s="2"/>
      <c r="H1730" s="2"/>
      <c r="I1730" s="2"/>
      <c r="J1730" s="2"/>
    </row>
    <row r="1731">
      <c r="D1731" s="2"/>
      <c r="E1731" s="2"/>
      <c r="G1731" s="2"/>
      <c r="H1731" s="2"/>
      <c r="I1731" s="2"/>
      <c r="J1731" s="2"/>
    </row>
    <row r="1732">
      <c r="D1732" s="2"/>
      <c r="E1732" s="2"/>
      <c r="G1732" s="2"/>
      <c r="H1732" s="2"/>
      <c r="I1732" s="2"/>
      <c r="J1732" s="2"/>
    </row>
    <row r="1733">
      <c r="D1733" s="2"/>
      <c r="E1733" s="2"/>
      <c r="G1733" s="2"/>
      <c r="H1733" s="2"/>
      <c r="I1733" s="2"/>
      <c r="J1733" s="2"/>
    </row>
    <row r="1734">
      <c r="D1734" s="2"/>
      <c r="E1734" s="2"/>
      <c r="G1734" s="2"/>
      <c r="H1734" s="2"/>
      <c r="I1734" s="2"/>
      <c r="J1734" s="2"/>
    </row>
    <row r="1735">
      <c r="D1735" s="2"/>
      <c r="E1735" s="2"/>
      <c r="G1735" s="2"/>
      <c r="H1735" s="2"/>
      <c r="I1735" s="2"/>
      <c r="J1735" s="2"/>
    </row>
    <row r="1736">
      <c r="D1736" s="2"/>
      <c r="E1736" s="2"/>
      <c r="G1736" s="2"/>
      <c r="H1736" s="2"/>
      <c r="I1736" s="2"/>
      <c r="J1736" s="2"/>
    </row>
    <row r="1737">
      <c r="D1737" s="2"/>
      <c r="E1737" s="2"/>
      <c r="G1737" s="2"/>
      <c r="H1737" s="2"/>
      <c r="I1737" s="2"/>
      <c r="J1737" s="2"/>
    </row>
    <row r="1738">
      <c r="D1738" s="2"/>
      <c r="E1738" s="2"/>
      <c r="G1738" s="2"/>
      <c r="H1738" s="2"/>
      <c r="I1738" s="2"/>
      <c r="J1738" s="2"/>
    </row>
    <row r="1739">
      <c r="D1739" s="2"/>
      <c r="E1739" s="2"/>
      <c r="G1739" s="2"/>
      <c r="H1739" s="2"/>
      <c r="I1739" s="2"/>
      <c r="J1739" s="2"/>
    </row>
    <row r="1740">
      <c r="D1740" s="2"/>
      <c r="E1740" s="2"/>
      <c r="G1740" s="2"/>
      <c r="H1740" s="2"/>
      <c r="I1740" s="2"/>
      <c r="J1740" s="2"/>
    </row>
    <row r="1741">
      <c r="D1741" s="2"/>
      <c r="E1741" s="2"/>
      <c r="G1741" s="2"/>
      <c r="H1741" s="2"/>
      <c r="I1741" s="2"/>
      <c r="J1741" s="2"/>
    </row>
    <row r="1742">
      <c r="D1742" s="2"/>
      <c r="E1742" s="2"/>
      <c r="G1742" s="2"/>
      <c r="H1742" s="2"/>
      <c r="I1742" s="2"/>
      <c r="J1742" s="2"/>
    </row>
    <row r="1743">
      <c r="D1743" s="2"/>
      <c r="E1743" s="2"/>
      <c r="G1743" s="2"/>
      <c r="H1743" s="2"/>
      <c r="I1743" s="2"/>
      <c r="J1743" s="2"/>
    </row>
    <row r="1744">
      <c r="D1744" s="2"/>
      <c r="E1744" s="2"/>
      <c r="G1744" s="2"/>
      <c r="H1744" s="2"/>
      <c r="I1744" s="2"/>
      <c r="J1744" s="2"/>
    </row>
    <row r="1745">
      <c r="D1745" s="2"/>
      <c r="E1745" s="2"/>
      <c r="G1745" s="2"/>
      <c r="H1745" s="2"/>
      <c r="I1745" s="2"/>
      <c r="J1745" s="2"/>
    </row>
    <row r="1746">
      <c r="D1746" s="2"/>
      <c r="E1746" s="2"/>
      <c r="G1746" s="2"/>
      <c r="H1746" s="2"/>
      <c r="I1746" s="2"/>
      <c r="J1746" s="2"/>
    </row>
    <row r="1747">
      <c r="D1747" s="2"/>
      <c r="E1747" s="2"/>
      <c r="G1747" s="2"/>
      <c r="H1747" s="2"/>
      <c r="I1747" s="2"/>
      <c r="J1747" s="2"/>
    </row>
    <row r="1748">
      <c r="D1748" s="2"/>
      <c r="E1748" s="2"/>
      <c r="G1748" s="2"/>
      <c r="H1748" s="2"/>
      <c r="I1748" s="2"/>
      <c r="J1748" s="2"/>
    </row>
    <row r="1749">
      <c r="D1749" s="2"/>
      <c r="E1749" s="2"/>
      <c r="G1749" s="2"/>
      <c r="H1749" s="2"/>
      <c r="I1749" s="2"/>
      <c r="J1749" s="2"/>
    </row>
    <row r="1750">
      <c r="D1750" s="2"/>
      <c r="E1750" s="2"/>
      <c r="G1750" s="2"/>
      <c r="H1750" s="2"/>
      <c r="I1750" s="2"/>
      <c r="J1750" s="2"/>
    </row>
    <row r="1751">
      <c r="D1751" s="2"/>
      <c r="E1751" s="2"/>
      <c r="G1751" s="2"/>
      <c r="H1751" s="2"/>
      <c r="I1751" s="2"/>
      <c r="J1751" s="2"/>
    </row>
    <row r="1752">
      <c r="D1752" s="2"/>
      <c r="E1752" s="2"/>
      <c r="G1752" s="2"/>
      <c r="H1752" s="2"/>
      <c r="I1752" s="2"/>
      <c r="J1752" s="2"/>
    </row>
    <row r="1753">
      <c r="D1753" s="2"/>
      <c r="E1753" s="2"/>
      <c r="G1753" s="2"/>
      <c r="H1753" s="2"/>
      <c r="I1753" s="2"/>
      <c r="J1753" s="2"/>
    </row>
    <row r="1754">
      <c r="D1754" s="2"/>
      <c r="E1754" s="2"/>
      <c r="G1754" s="2"/>
      <c r="H1754" s="2"/>
      <c r="I1754" s="2"/>
      <c r="J1754" s="2"/>
    </row>
    <row r="1755">
      <c r="D1755" s="2"/>
      <c r="E1755" s="2"/>
      <c r="G1755" s="2"/>
      <c r="H1755" s="2"/>
      <c r="I1755" s="2"/>
      <c r="J1755" s="2"/>
    </row>
    <row r="1756">
      <c r="D1756" s="2"/>
      <c r="E1756" s="2"/>
      <c r="G1756" s="2"/>
      <c r="H1756" s="2"/>
      <c r="I1756" s="2"/>
      <c r="J1756" s="2"/>
    </row>
    <row r="1757">
      <c r="D1757" s="2"/>
      <c r="E1757" s="2"/>
      <c r="G1757" s="2"/>
      <c r="H1757" s="2"/>
      <c r="I1757" s="2"/>
      <c r="J1757" s="2"/>
    </row>
    <row r="1758">
      <c r="D1758" s="2"/>
      <c r="E1758" s="2"/>
      <c r="G1758" s="2"/>
      <c r="H1758" s="2"/>
      <c r="I1758" s="2"/>
      <c r="J1758" s="2"/>
    </row>
    <row r="1759">
      <c r="D1759" s="2"/>
      <c r="E1759" s="2"/>
      <c r="G1759" s="2"/>
      <c r="H1759" s="2"/>
      <c r="I1759" s="2"/>
      <c r="J1759" s="2"/>
    </row>
    <row r="1760">
      <c r="D1760" s="2"/>
      <c r="E1760" s="2"/>
      <c r="G1760" s="2"/>
      <c r="H1760" s="2"/>
      <c r="I1760" s="2"/>
      <c r="J1760" s="2"/>
    </row>
    <row r="1761">
      <c r="D1761" s="2"/>
      <c r="E1761" s="2"/>
      <c r="G1761" s="2"/>
      <c r="H1761" s="2"/>
      <c r="I1761" s="2"/>
      <c r="J1761" s="2"/>
    </row>
    <row r="1762">
      <c r="D1762" s="2"/>
      <c r="E1762" s="2"/>
      <c r="G1762" s="2"/>
      <c r="H1762" s="2"/>
      <c r="I1762" s="2"/>
      <c r="J1762" s="2"/>
    </row>
    <row r="1763">
      <c r="D1763" s="2"/>
      <c r="E1763" s="2"/>
      <c r="G1763" s="2"/>
      <c r="H1763" s="2"/>
      <c r="I1763" s="2"/>
      <c r="J1763" s="2"/>
    </row>
    <row r="1764">
      <c r="D1764" s="2"/>
      <c r="E1764" s="2"/>
      <c r="G1764" s="2"/>
      <c r="H1764" s="2"/>
      <c r="I1764" s="2"/>
      <c r="J1764" s="2"/>
    </row>
    <row r="1765">
      <c r="D1765" s="2"/>
      <c r="E1765" s="2"/>
      <c r="G1765" s="2"/>
      <c r="H1765" s="2"/>
      <c r="I1765" s="2"/>
      <c r="J1765" s="2"/>
    </row>
    <row r="1766">
      <c r="D1766" s="2"/>
      <c r="E1766" s="2"/>
      <c r="G1766" s="2"/>
      <c r="H1766" s="2"/>
      <c r="I1766" s="2"/>
      <c r="J1766" s="2"/>
    </row>
    <row r="1767">
      <c r="D1767" s="2"/>
      <c r="E1767" s="2"/>
      <c r="G1767" s="2"/>
      <c r="H1767" s="2"/>
      <c r="I1767" s="2"/>
      <c r="J1767" s="2"/>
    </row>
    <row r="1768">
      <c r="D1768" s="2"/>
      <c r="E1768" s="2"/>
      <c r="G1768" s="2"/>
      <c r="H1768" s="2"/>
      <c r="I1768" s="2"/>
      <c r="J1768" s="2"/>
    </row>
    <row r="1769">
      <c r="D1769" s="2"/>
      <c r="E1769" s="2"/>
      <c r="G1769" s="2"/>
      <c r="H1769" s="2"/>
      <c r="I1769" s="2"/>
      <c r="J1769" s="2"/>
    </row>
    <row r="1770">
      <c r="D1770" s="2"/>
      <c r="E1770" s="2"/>
      <c r="G1770" s="2"/>
      <c r="H1770" s="2"/>
      <c r="I1770" s="2"/>
      <c r="J1770" s="2"/>
    </row>
    <row r="1771">
      <c r="D1771" s="2"/>
      <c r="E1771" s="2"/>
      <c r="G1771" s="2"/>
      <c r="H1771" s="2"/>
      <c r="I1771" s="2"/>
      <c r="J1771" s="2"/>
    </row>
    <row r="1772">
      <c r="D1772" s="2"/>
      <c r="E1772" s="2"/>
      <c r="G1772" s="2"/>
      <c r="H1772" s="2"/>
      <c r="I1772" s="2"/>
      <c r="J1772" s="2"/>
    </row>
    <row r="1773">
      <c r="D1773" s="2"/>
      <c r="E1773" s="2"/>
      <c r="G1773" s="2"/>
      <c r="H1773" s="2"/>
      <c r="I1773" s="2"/>
      <c r="J1773" s="2"/>
    </row>
    <row r="1774">
      <c r="D1774" s="2"/>
      <c r="E1774" s="2"/>
      <c r="G1774" s="2"/>
      <c r="H1774" s="2"/>
      <c r="I1774" s="2"/>
      <c r="J1774" s="2"/>
    </row>
    <row r="1775">
      <c r="D1775" s="2"/>
      <c r="E1775" s="2"/>
      <c r="G1775" s="2"/>
      <c r="H1775" s="2"/>
      <c r="I1775" s="2"/>
      <c r="J1775" s="2"/>
    </row>
    <row r="1776">
      <c r="D1776" s="2"/>
      <c r="E1776" s="2"/>
      <c r="G1776" s="2"/>
      <c r="H1776" s="2"/>
      <c r="I1776" s="2"/>
      <c r="J1776" s="2"/>
    </row>
    <row r="1777">
      <c r="D1777" s="2"/>
      <c r="E1777" s="2"/>
      <c r="G1777" s="2"/>
      <c r="H1777" s="2"/>
      <c r="I1777" s="2"/>
      <c r="J1777" s="2"/>
    </row>
    <row r="1778">
      <c r="D1778" s="2"/>
      <c r="E1778" s="2"/>
      <c r="G1778" s="2"/>
      <c r="H1778" s="2"/>
      <c r="I1778" s="2"/>
      <c r="J1778" s="2"/>
    </row>
    <row r="1779">
      <c r="D1779" s="2"/>
      <c r="E1779" s="2"/>
      <c r="G1779" s="2"/>
      <c r="H1779" s="2"/>
      <c r="I1779" s="2"/>
      <c r="J1779" s="2"/>
    </row>
    <row r="1780">
      <c r="D1780" s="2"/>
      <c r="E1780" s="2"/>
      <c r="G1780" s="2"/>
      <c r="H1780" s="2"/>
      <c r="I1780" s="2"/>
      <c r="J1780" s="2"/>
    </row>
    <row r="1781">
      <c r="D1781" s="2"/>
      <c r="E1781" s="2"/>
      <c r="G1781" s="2"/>
      <c r="H1781" s="2"/>
      <c r="I1781" s="2"/>
      <c r="J1781" s="2"/>
    </row>
    <row r="1782">
      <c r="D1782" s="2"/>
      <c r="E1782" s="2"/>
      <c r="G1782" s="2"/>
      <c r="H1782" s="2"/>
      <c r="I1782" s="2"/>
      <c r="J1782" s="2"/>
    </row>
    <row r="1783">
      <c r="D1783" s="2"/>
      <c r="E1783" s="2"/>
      <c r="G1783" s="2"/>
      <c r="H1783" s="2"/>
      <c r="I1783" s="2"/>
      <c r="J1783" s="2"/>
    </row>
    <row r="1784">
      <c r="D1784" s="2"/>
      <c r="E1784" s="2"/>
      <c r="G1784" s="2"/>
      <c r="H1784" s="2"/>
      <c r="I1784" s="2"/>
      <c r="J1784" s="2"/>
    </row>
    <row r="1785">
      <c r="D1785" s="2"/>
      <c r="E1785" s="2"/>
      <c r="G1785" s="2"/>
      <c r="H1785" s="2"/>
      <c r="I1785" s="2"/>
      <c r="J1785" s="2"/>
    </row>
    <row r="1786">
      <c r="D1786" s="2"/>
      <c r="E1786" s="2"/>
      <c r="G1786" s="2"/>
      <c r="H1786" s="2"/>
      <c r="I1786" s="2"/>
      <c r="J1786" s="2"/>
    </row>
    <row r="1787">
      <c r="D1787" s="2"/>
      <c r="E1787" s="2"/>
      <c r="G1787" s="2"/>
      <c r="H1787" s="2"/>
      <c r="I1787" s="2"/>
      <c r="J1787" s="2"/>
    </row>
    <row r="1788">
      <c r="D1788" s="2"/>
      <c r="E1788" s="2"/>
      <c r="G1788" s="2"/>
      <c r="H1788" s="2"/>
      <c r="I1788" s="2"/>
      <c r="J1788" s="2"/>
    </row>
    <row r="1789">
      <c r="D1789" s="2"/>
      <c r="E1789" s="2"/>
      <c r="G1789" s="2"/>
      <c r="H1789" s="2"/>
      <c r="I1789" s="2"/>
      <c r="J1789" s="2"/>
    </row>
    <row r="1790">
      <c r="D1790" s="2"/>
      <c r="E1790" s="2"/>
      <c r="G1790" s="2"/>
      <c r="H1790" s="2"/>
      <c r="I1790" s="2"/>
      <c r="J1790" s="2"/>
    </row>
    <row r="1791">
      <c r="D1791" s="2"/>
      <c r="E1791" s="2"/>
      <c r="G1791" s="2"/>
      <c r="H1791" s="2"/>
      <c r="I1791" s="2"/>
      <c r="J1791" s="2"/>
    </row>
    <row r="1792">
      <c r="D1792" s="2"/>
      <c r="E1792" s="2"/>
      <c r="G1792" s="2"/>
      <c r="H1792" s="2"/>
      <c r="I1792" s="2"/>
      <c r="J1792" s="2"/>
    </row>
    <row r="1793">
      <c r="D1793" s="2"/>
      <c r="E1793" s="2"/>
      <c r="G1793" s="2"/>
      <c r="H1793" s="2"/>
      <c r="I1793" s="2"/>
      <c r="J1793" s="2"/>
    </row>
    <row r="1794">
      <c r="D1794" s="2"/>
      <c r="E1794" s="2"/>
      <c r="G1794" s="2"/>
      <c r="H1794" s="2"/>
      <c r="I1794" s="2"/>
      <c r="J1794" s="2"/>
    </row>
    <row r="1795">
      <c r="D1795" s="2"/>
      <c r="E1795" s="2"/>
      <c r="G1795" s="2"/>
      <c r="H1795" s="2"/>
      <c r="I1795" s="2"/>
      <c r="J1795" s="2"/>
    </row>
    <row r="1796">
      <c r="D1796" s="2"/>
      <c r="E1796" s="2"/>
      <c r="G1796" s="2"/>
      <c r="H1796" s="2"/>
      <c r="I1796" s="2"/>
      <c r="J1796" s="2"/>
    </row>
    <row r="1797">
      <c r="D1797" s="2"/>
      <c r="E1797" s="2"/>
      <c r="G1797" s="2"/>
      <c r="H1797" s="2"/>
      <c r="I1797" s="2"/>
      <c r="J1797" s="2"/>
    </row>
    <row r="1798">
      <c r="D1798" s="2"/>
      <c r="E1798" s="2"/>
      <c r="G1798" s="2"/>
      <c r="H1798" s="2"/>
      <c r="I1798" s="2"/>
      <c r="J1798" s="2"/>
    </row>
    <row r="1799">
      <c r="D1799" s="2"/>
      <c r="E1799" s="2"/>
      <c r="G1799" s="2"/>
      <c r="H1799" s="2"/>
      <c r="I1799" s="2"/>
      <c r="J1799" s="2"/>
    </row>
    <row r="1800">
      <c r="D1800" s="2"/>
      <c r="E1800" s="2"/>
      <c r="G1800" s="2"/>
      <c r="H1800" s="2"/>
      <c r="I1800" s="2"/>
      <c r="J1800" s="2"/>
    </row>
    <row r="1801">
      <c r="D1801" s="2"/>
      <c r="E1801" s="2"/>
      <c r="G1801" s="2"/>
      <c r="H1801" s="2"/>
      <c r="I1801" s="2"/>
      <c r="J1801" s="2"/>
    </row>
    <row r="1802">
      <c r="D1802" s="2"/>
      <c r="E1802" s="2"/>
      <c r="G1802" s="2"/>
      <c r="H1802" s="2"/>
      <c r="I1802" s="2"/>
      <c r="J1802" s="2"/>
    </row>
    <row r="1803">
      <c r="D1803" s="2"/>
      <c r="E1803" s="2"/>
      <c r="G1803" s="2"/>
      <c r="H1803" s="2"/>
      <c r="I1803" s="2"/>
      <c r="J1803" s="2"/>
    </row>
    <row r="1804">
      <c r="D1804" s="2"/>
      <c r="E1804" s="2"/>
      <c r="G1804" s="2"/>
      <c r="H1804" s="2"/>
      <c r="I1804" s="2"/>
      <c r="J1804" s="2"/>
    </row>
    <row r="1805">
      <c r="D1805" s="2"/>
      <c r="E1805" s="2"/>
      <c r="G1805" s="2"/>
      <c r="H1805" s="2"/>
      <c r="I1805" s="2"/>
      <c r="J1805" s="2"/>
    </row>
    <row r="1806">
      <c r="D1806" s="2"/>
      <c r="E1806" s="2"/>
      <c r="G1806" s="2"/>
      <c r="H1806" s="2"/>
      <c r="I1806" s="2"/>
      <c r="J1806" s="2"/>
    </row>
    <row r="1807">
      <c r="D1807" s="2"/>
      <c r="E1807" s="2"/>
      <c r="G1807" s="2"/>
      <c r="H1807" s="2"/>
      <c r="I1807" s="2"/>
      <c r="J1807" s="2"/>
    </row>
    <row r="1808">
      <c r="D1808" s="2"/>
      <c r="E1808" s="2"/>
      <c r="G1808" s="2"/>
      <c r="H1808" s="2"/>
      <c r="I1808" s="2"/>
      <c r="J1808" s="2"/>
    </row>
    <row r="1809">
      <c r="D1809" s="2"/>
      <c r="E1809" s="2"/>
      <c r="G1809" s="2"/>
      <c r="H1809" s="2"/>
      <c r="I1809" s="2"/>
      <c r="J1809" s="2"/>
    </row>
    <row r="1810">
      <c r="D1810" s="2"/>
      <c r="E1810" s="2"/>
      <c r="G1810" s="2"/>
      <c r="H1810" s="2"/>
      <c r="I1810" s="2"/>
      <c r="J1810" s="2"/>
    </row>
    <row r="1811">
      <c r="D1811" s="2"/>
      <c r="E1811" s="2"/>
      <c r="G1811" s="2"/>
      <c r="H1811" s="2"/>
      <c r="I1811" s="2"/>
      <c r="J1811" s="2"/>
    </row>
    <row r="1812">
      <c r="D1812" s="2"/>
      <c r="E1812" s="2"/>
      <c r="G1812" s="2"/>
      <c r="H1812" s="2"/>
      <c r="I1812" s="2"/>
      <c r="J1812" s="2"/>
    </row>
    <row r="1813">
      <c r="D1813" s="2"/>
      <c r="E1813" s="2"/>
      <c r="G1813" s="2"/>
      <c r="H1813" s="2"/>
      <c r="I1813" s="2"/>
      <c r="J1813" s="2"/>
    </row>
    <row r="1814">
      <c r="D1814" s="2"/>
      <c r="E1814" s="2"/>
      <c r="G1814" s="2"/>
      <c r="H1814" s="2"/>
      <c r="I1814" s="2"/>
      <c r="J1814" s="2"/>
    </row>
    <row r="1815">
      <c r="D1815" s="2"/>
      <c r="E1815" s="2"/>
      <c r="G1815" s="2"/>
      <c r="H1815" s="2"/>
      <c r="I1815" s="2"/>
      <c r="J1815" s="2"/>
    </row>
    <row r="1816">
      <c r="D1816" s="2"/>
      <c r="E1816" s="2"/>
      <c r="G1816" s="2"/>
      <c r="H1816" s="2"/>
      <c r="I1816" s="2"/>
      <c r="J1816" s="2"/>
    </row>
    <row r="1817">
      <c r="D1817" s="2"/>
      <c r="E1817" s="2"/>
      <c r="G1817" s="2"/>
      <c r="H1817" s="2"/>
      <c r="I1817" s="2"/>
      <c r="J1817" s="2"/>
    </row>
    <row r="1818">
      <c r="D1818" s="2"/>
      <c r="E1818" s="2"/>
      <c r="G1818" s="2"/>
      <c r="H1818" s="2"/>
      <c r="I1818" s="2"/>
      <c r="J1818" s="2"/>
    </row>
    <row r="1819">
      <c r="D1819" s="2"/>
      <c r="E1819" s="2"/>
      <c r="G1819" s="2"/>
      <c r="H1819" s="2"/>
      <c r="I1819" s="2"/>
      <c r="J1819" s="2"/>
    </row>
    <row r="1820">
      <c r="D1820" s="2"/>
      <c r="E1820" s="2"/>
      <c r="G1820" s="2"/>
      <c r="H1820" s="2"/>
      <c r="I1820" s="2"/>
      <c r="J1820" s="2"/>
    </row>
    <row r="1821">
      <c r="D1821" s="2"/>
      <c r="E1821" s="2"/>
      <c r="G1821" s="2"/>
      <c r="H1821" s="2"/>
      <c r="I1821" s="2"/>
      <c r="J1821" s="2"/>
    </row>
    <row r="1822">
      <c r="D1822" s="2"/>
      <c r="E1822" s="2"/>
      <c r="G1822" s="2"/>
      <c r="H1822" s="2"/>
      <c r="I1822" s="2"/>
      <c r="J1822" s="2"/>
    </row>
    <row r="1823">
      <c r="D1823" s="2"/>
      <c r="E1823" s="2"/>
      <c r="G1823" s="2"/>
      <c r="H1823" s="2"/>
      <c r="I1823" s="2"/>
      <c r="J1823" s="2"/>
    </row>
    <row r="1824">
      <c r="D1824" s="2"/>
      <c r="E1824" s="2"/>
      <c r="G1824" s="2"/>
      <c r="H1824" s="2"/>
      <c r="I1824" s="2"/>
      <c r="J1824" s="2"/>
    </row>
    <row r="1825">
      <c r="D1825" s="2"/>
      <c r="E1825" s="2"/>
      <c r="G1825" s="2"/>
      <c r="H1825" s="2"/>
      <c r="I1825" s="2"/>
      <c r="J1825" s="2"/>
    </row>
    <row r="1826">
      <c r="D1826" s="2"/>
      <c r="E1826" s="2"/>
      <c r="G1826" s="2"/>
      <c r="H1826" s="2"/>
      <c r="I1826" s="2"/>
      <c r="J1826" s="2"/>
    </row>
    <row r="1827">
      <c r="D1827" s="2"/>
      <c r="E1827" s="2"/>
      <c r="G1827" s="2"/>
      <c r="H1827" s="2"/>
      <c r="I1827" s="2"/>
      <c r="J1827" s="2"/>
    </row>
    <row r="1828">
      <c r="D1828" s="2"/>
      <c r="E1828" s="2"/>
      <c r="G1828" s="2"/>
      <c r="H1828" s="2"/>
      <c r="I1828" s="2"/>
      <c r="J1828" s="2"/>
    </row>
    <row r="1829">
      <c r="D1829" s="2"/>
      <c r="E1829" s="2"/>
      <c r="G1829" s="2"/>
      <c r="H1829" s="2"/>
      <c r="I1829" s="2"/>
      <c r="J1829" s="2"/>
    </row>
    <row r="1830">
      <c r="D1830" s="2"/>
      <c r="E1830" s="2"/>
      <c r="G1830" s="2"/>
      <c r="H1830" s="2"/>
      <c r="I1830" s="2"/>
      <c r="J1830" s="2"/>
    </row>
    <row r="1831">
      <c r="D1831" s="2"/>
      <c r="E1831" s="2"/>
      <c r="G1831" s="2"/>
      <c r="H1831" s="2"/>
      <c r="I1831" s="2"/>
      <c r="J1831" s="2"/>
    </row>
    <row r="1832">
      <c r="D1832" s="2"/>
      <c r="E1832" s="2"/>
      <c r="G1832" s="2"/>
      <c r="H1832" s="2"/>
      <c r="I1832" s="2"/>
      <c r="J1832" s="2"/>
    </row>
    <row r="1833">
      <c r="D1833" s="2"/>
      <c r="E1833" s="2"/>
      <c r="G1833" s="2"/>
      <c r="H1833" s="2"/>
      <c r="I1833" s="2"/>
      <c r="J1833" s="2"/>
    </row>
    <row r="1834">
      <c r="D1834" s="2"/>
      <c r="E1834" s="2"/>
      <c r="G1834" s="2"/>
      <c r="H1834" s="2"/>
      <c r="I1834" s="2"/>
      <c r="J1834" s="2"/>
    </row>
    <row r="1835">
      <c r="D1835" s="2"/>
      <c r="E1835" s="2"/>
      <c r="G1835" s="2"/>
      <c r="H1835" s="2"/>
      <c r="I1835" s="2"/>
      <c r="J1835" s="2"/>
    </row>
    <row r="1836">
      <c r="D1836" s="2"/>
      <c r="E1836" s="2"/>
      <c r="G1836" s="2"/>
      <c r="H1836" s="2"/>
      <c r="I1836" s="2"/>
      <c r="J1836" s="2"/>
    </row>
    <row r="1837">
      <c r="D1837" s="2"/>
      <c r="E1837" s="2"/>
      <c r="G1837" s="2"/>
      <c r="H1837" s="2"/>
      <c r="I1837" s="2"/>
      <c r="J1837" s="2"/>
    </row>
    <row r="1838">
      <c r="D1838" s="2"/>
      <c r="E1838" s="2"/>
      <c r="G1838" s="2"/>
      <c r="H1838" s="2"/>
      <c r="I1838" s="2"/>
      <c r="J1838" s="2"/>
    </row>
    <row r="1839">
      <c r="D1839" s="2"/>
      <c r="E1839" s="2"/>
      <c r="G1839" s="2"/>
      <c r="H1839" s="2"/>
      <c r="I1839" s="2"/>
      <c r="J1839" s="2"/>
    </row>
    <row r="1840">
      <c r="D1840" s="2"/>
      <c r="E1840" s="2"/>
      <c r="G1840" s="2"/>
      <c r="H1840" s="2"/>
      <c r="I1840" s="2"/>
      <c r="J1840" s="2"/>
    </row>
    <row r="1841">
      <c r="D1841" s="2"/>
      <c r="E1841" s="2"/>
      <c r="G1841" s="2"/>
      <c r="H1841" s="2"/>
      <c r="I1841" s="2"/>
      <c r="J1841" s="2"/>
    </row>
    <row r="1842">
      <c r="D1842" s="2"/>
      <c r="E1842" s="2"/>
      <c r="G1842" s="2"/>
      <c r="H1842" s="2"/>
      <c r="I1842" s="2"/>
      <c r="J1842" s="2"/>
    </row>
    <row r="1843">
      <c r="D1843" s="2"/>
      <c r="E1843" s="2"/>
      <c r="G1843" s="2"/>
      <c r="H1843" s="2"/>
      <c r="I1843" s="2"/>
      <c r="J1843" s="2"/>
    </row>
    <row r="1844">
      <c r="D1844" s="2"/>
      <c r="E1844" s="2"/>
      <c r="G1844" s="2"/>
      <c r="H1844" s="2"/>
      <c r="I1844" s="2"/>
      <c r="J1844" s="2"/>
    </row>
    <row r="1845">
      <c r="D1845" s="2"/>
      <c r="E1845" s="2"/>
      <c r="G1845" s="2"/>
      <c r="H1845" s="2"/>
      <c r="I1845" s="2"/>
      <c r="J1845" s="2"/>
    </row>
    <row r="1846">
      <c r="D1846" s="2"/>
      <c r="E1846" s="2"/>
      <c r="G1846" s="2"/>
      <c r="H1846" s="2"/>
      <c r="I1846" s="2"/>
      <c r="J1846" s="2"/>
    </row>
    <row r="1847">
      <c r="D1847" s="2"/>
      <c r="E1847" s="2"/>
      <c r="G1847" s="2"/>
      <c r="H1847" s="2"/>
      <c r="I1847" s="2"/>
      <c r="J1847" s="2"/>
    </row>
    <row r="1848">
      <c r="D1848" s="2"/>
      <c r="E1848" s="2"/>
      <c r="G1848" s="2"/>
      <c r="H1848" s="2"/>
      <c r="I1848" s="2"/>
      <c r="J1848" s="2"/>
    </row>
    <row r="1849">
      <c r="D1849" s="2"/>
      <c r="E1849" s="2"/>
      <c r="G1849" s="2"/>
      <c r="H1849" s="2"/>
      <c r="I1849" s="2"/>
      <c r="J1849" s="2"/>
    </row>
    <row r="1850">
      <c r="D1850" s="2"/>
      <c r="E1850" s="2"/>
      <c r="G1850" s="2"/>
      <c r="H1850" s="2"/>
      <c r="I1850" s="2"/>
      <c r="J1850" s="2"/>
    </row>
    <row r="1851">
      <c r="D1851" s="2"/>
      <c r="E1851" s="2"/>
      <c r="G1851" s="2"/>
      <c r="H1851" s="2"/>
      <c r="I1851" s="2"/>
      <c r="J1851" s="2"/>
    </row>
    <row r="1852">
      <c r="D1852" s="2"/>
      <c r="E1852" s="2"/>
      <c r="G1852" s="2"/>
      <c r="H1852" s="2"/>
      <c r="I1852" s="2"/>
      <c r="J1852" s="2"/>
    </row>
    <row r="1853">
      <c r="D1853" s="2"/>
      <c r="E1853" s="2"/>
      <c r="G1853" s="2"/>
      <c r="H1853" s="2"/>
      <c r="I1853" s="2"/>
      <c r="J1853" s="2"/>
    </row>
    <row r="1854">
      <c r="D1854" s="2"/>
      <c r="E1854" s="2"/>
      <c r="G1854" s="2"/>
      <c r="H1854" s="2"/>
      <c r="I1854" s="2"/>
      <c r="J1854" s="2"/>
    </row>
    <row r="1855">
      <c r="D1855" s="2"/>
      <c r="E1855" s="2"/>
      <c r="G1855" s="2"/>
      <c r="H1855" s="2"/>
      <c r="I1855" s="2"/>
      <c r="J1855" s="2"/>
    </row>
    <row r="1856">
      <c r="D1856" s="2"/>
      <c r="E1856" s="2"/>
      <c r="G1856" s="2"/>
      <c r="H1856" s="2"/>
      <c r="I1856" s="2"/>
      <c r="J1856" s="2"/>
    </row>
    <row r="1857">
      <c r="D1857" s="2"/>
      <c r="E1857" s="2"/>
      <c r="G1857" s="2"/>
      <c r="H1857" s="2"/>
      <c r="I1857" s="2"/>
      <c r="J1857" s="2"/>
    </row>
    <row r="1858">
      <c r="D1858" s="2"/>
      <c r="E1858" s="2"/>
      <c r="G1858" s="2"/>
      <c r="H1858" s="2"/>
      <c r="I1858" s="2"/>
      <c r="J1858" s="2"/>
    </row>
    <row r="1859">
      <c r="D1859" s="2"/>
      <c r="E1859" s="2"/>
      <c r="G1859" s="2"/>
      <c r="H1859" s="2"/>
      <c r="I1859" s="2"/>
      <c r="J1859" s="2"/>
    </row>
    <row r="1860">
      <c r="D1860" s="2"/>
      <c r="E1860" s="2"/>
      <c r="G1860" s="2"/>
      <c r="H1860" s="2"/>
      <c r="I1860" s="2"/>
      <c r="J1860" s="2"/>
    </row>
    <row r="1861">
      <c r="D1861" s="2"/>
      <c r="E1861" s="2"/>
      <c r="G1861" s="2"/>
      <c r="H1861" s="2"/>
      <c r="I1861" s="2"/>
      <c r="J1861" s="2"/>
    </row>
    <row r="1862">
      <c r="D1862" s="2"/>
      <c r="E1862" s="2"/>
      <c r="G1862" s="2"/>
      <c r="H1862" s="2"/>
      <c r="I1862" s="2"/>
      <c r="J1862" s="2"/>
    </row>
    <row r="1863">
      <c r="D1863" s="2"/>
      <c r="E1863" s="2"/>
      <c r="G1863" s="2"/>
      <c r="H1863" s="2"/>
      <c r="I1863" s="2"/>
      <c r="J1863" s="2"/>
    </row>
    <row r="1864">
      <c r="D1864" s="2"/>
      <c r="E1864" s="2"/>
      <c r="G1864" s="2"/>
      <c r="H1864" s="2"/>
      <c r="I1864" s="2"/>
      <c r="J1864" s="2"/>
    </row>
    <row r="1865">
      <c r="D1865" s="2"/>
      <c r="E1865" s="2"/>
      <c r="G1865" s="2"/>
      <c r="H1865" s="2"/>
      <c r="I1865" s="2"/>
      <c r="J1865" s="2"/>
    </row>
    <row r="1866">
      <c r="D1866" s="2"/>
      <c r="E1866" s="2"/>
      <c r="G1866" s="2"/>
      <c r="H1866" s="2"/>
      <c r="I1866" s="2"/>
      <c r="J1866" s="2"/>
    </row>
    <row r="1867">
      <c r="D1867" s="2"/>
      <c r="E1867" s="2"/>
      <c r="G1867" s="2"/>
      <c r="H1867" s="2"/>
      <c r="I1867" s="2"/>
      <c r="J1867" s="2"/>
    </row>
    <row r="1868">
      <c r="D1868" s="2"/>
      <c r="E1868" s="2"/>
      <c r="G1868" s="2"/>
      <c r="H1868" s="2"/>
      <c r="I1868" s="2"/>
      <c r="J1868" s="2"/>
    </row>
    <row r="1869">
      <c r="D1869" s="2"/>
      <c r="E1869" s="2"/>
      <c r="G1869" s="2"/>
      <c r="H1869" s="2"/>
      <c r="I1869" s="2"/>
      <c r="J1869" s="2"/>
    </row>
    <row r="1870">
      <c r="D1870" s="2"/>
      <c r="E1870" s="2"/>
      <c r="G1870" s="2"/>
      <c r="H1870" s="2"/>
      <c r="I1870" s="2"/>
      <c r="J1870" s="2"/>
    </row>
    <row r="1871">
      <c r="D1871" s="2"/>
      <c r="E1871" s="2"/>
      <c r="G1871" s="2"/>
      <c r="H1871" s="2"/>
      <c r="I1871" s="2"/>
      <c r="J1871" s="2"/>
    </row>
    <row r="1872">
      <c r="D1872" s="2"/>
      <c r="E1872" s="2"/>
      <c r="G1872" s="2"/>
      <c r="H1872" s="2"/>
      <c r="I1872" s="2"/>
      <c r="J1872" s="2"/>
    </row>
    <row r="1873">
      <c r="D1873" s="2"/>
      <c r="E1873" s="2"/>
      <c r="G1873" s="2"/>
      <c r="H1873" s="2"/>
      <c r="I1873" s="2"/>
      <c r="J1873" s="2"/>
    </row>
    <row r="1874">
      <c r="D1874" s="2"/>
      <c r="E1874" s="2"/>
      <c r="G1874" s="2"/>
      <c r="H1874" s="2"/>
      <c r="I1874" s="2"/>
      <c r="J1874" s="2"/>
    </row>
    <row r="1875">
      <c r="D1875" s="2"/>
      <c r="E1875" s="2"/>
      <c r="G1875" s="2"/>
      <c r="H1875" s="2"/>
      <c r="I1875" s="2"/>
      <c r="J1875" s="2"/>
    </row>
    <row r="1876">
      <c r="D1876" s="2"/>
      <c r="E1876" s="2"/>
      <c r="G1876" s="2"/>
      <c r="H1876" s="2"/>
      <c r="I1876" s="2"/>
      <c r="J1876" s="2"/>
    </row>
    <row r="1877">
      <c r="D1877" s="2"/>
      <c r="E1877" s="2"/>
      <c r="G1877" s="2"/>
      <c r="H1877" s="2"/>
      <c r="I1877" s="2"/>
      <c r="J1877" s="2"/>
    </row>
    <row r="1878">
      <c r="D1878" s="2"/>
      <c r="E1878" s="2"/>
      <c r="G1878" s="2"/>
      <c r="H1878" s="2"/>
      <c r="I1878" s="2"/>
      <c r="J1878" s="2"/>
    </row>
    <row r="1879">
      <c r="D1879" s="2"/>
      <c r="E1879" s="2"/>
      <c r="G1879" s="2"/>
      <c r="H1879" s="2"/>
      <c r="I1879" s="2"/>
      <c r="J1879" s="2"/>
    </row>
    <row r="1880">
      <c r="D1880" s="2"/>
      <c r="E1880" s="2"/>
      <c r="G1880" s="2"/>
      <c r="H1880" s="2"/>
      <c r="I1880" s="2"/>
      <c r="J1880" s="2"/>
    </row>
    <row r="1881">
      <c r="D1881" s="2"/>
      <c r="E1881" s="2"/>
      <c r="G1881" s="2"/>
      <c r="H1881" s="2"/>
      <c r="I1881" s="2"/>
      <c r="J1881" s="2"/>
    </row>
    <row r="1882">
      <c r="D1882" s="2"/>
      <c r="E1882" s="2"/>
      <c r="G1882" s="2"/>
      <c r="H1882" s="2"/>
      <c r="I1882" s="2"/>
      <c r="J1882" s="2"/>
    </row>
    <row r="1883">
      <c r="D1883" s="2"/>
      <c r="E1883" s="2"/>
      <c r="G1883" s="2"/>
      <c r="H1883" s="2"/>
      <c r="I1883" s="2"/>
      <c r="J1883" s="2"/>
    </row>
    <row r="1884">
      <c r="D1884" s="2"/>
      <c r="E1884" s="2"/>
      <c r="G1884" s="2"/>
      <c r="H1884" s="2"/>
      <c r="I1884" s="2"/>
      <c r="J1884" s="2"/>
    </row>
    <row r="1885">
      <c r="D1885" s="2"/>
      <c r="E1885" s="2"/>
      <c r="G1885" s="2"/>
      <c r="H1885" s="2"/>
      <c r="I1885" s="2"/>
      <c r="J1885" s="2"/>
    </row>
    <row r="1886">
      <c r="D1886" s="2"/>
      <c r="E1886" s="2"/>
      <c r="G1886" s="2"/>
      <c r="H1886" s="2"/>
      <c r="I1886" s="2"/>
      <c r="J1886" s="2"/>
    </row>
    <row r="1887">
      <c r="D1887" s="2"/>
      <c r="E1887" s="2"/>
      <c r="G1887" s="2"/>
      <c r="H1887" s="2"/>
      <c r="I1887" s="2"/>
      <c r="J1887" s="2"/>
    </row>
    <row r="1888">
      <c r="D1888" s="2"/>
      <c r="E1888" s="2"/>
      <c r="G1888" s="2"/>
      <c r="H1888" s="2"/>
      <c r="I1888" s="2"/>
      <c r="J1888" s="2"/>
    </row>
    <row r="1889">
      <c r="D1889" s="2"/>
      <c r="E1889" s="2"/>
      <c r="G1889" s="2"/>
      <c r="H1889" s="2"/>
      <c r="I1889" s="2"/>
      <c r="J1889" s="2"/>
    </row>
    <row r="1890">
      <c r="D1890" s="2"/>
      <c r="E1890" s="2"/>
      <c r="G1890" s="2"/>
      <c r="H1890" s="2"/>
      <c r="I1890" s="2"/>
      <c r="J1890" s="2"/>
    </row>
    <row r="1891">
      <c r="D1891" s="2"/>
      <c r="E1891" s="2"/>
      <c r="G1891" s="2"/>
      <c r="H1891" s="2"/>
      <c r="I1891" s="2"/>
      <c r="J1891" s="2"/>
    </row>
    <row r="1892">
      <c r="D1892" s="2"/>
      <c r="E1892" s="2"/>
      <c r="G1892" s="2"/>
      <c r="H1892" s="2"/>
      <c r="I1892" s="2"/>
      <c r="J1892" s="2"/>
    </row>
    <row r="1893">
      <c r="D1893" s="2"/>
      <c r="E1893" s="2"/>
      <c r="G1893" s="2"/>
      <c r="H1893" s="2"/>
      <c r="I1893" s="2"/>
      <c r="J1893" s="2"/>
    </row>
    <row r="1894">
      <c r="D1894" s="2"/>
      <c r="E1894" s="2"/>
      <c r="G1894" s="2"/>
      <c r="H1894" s="2"/>
      <c r="I1894" s="2"/>
      <c r="J1894" s="2"/>
    </row>
    <row r="1895">
      <c r="D1895" s="2"/>
      <c r="E1895" s="2"/>
      <c r="G1895" s="2"/>
      <c r="H1895" s="2"/>
      <c r="I1895" s="2"/>
      <c r="J1895" s="2"/>
    </row>
    <row r="1896">
      <c r="D1896" s="2"/>
      <c r="E1896" s="2"/>
      <c r="G1896" s="2"/>
      <c r="H1896" s="2"/>
      <c r="I1896" s="2"/>
      <c r="J1896" s="2"/>
    </row>
    <row r="1897">
      <c r="D1897" s="2"/>
      <c r="E1897" s="2"/>
      <c r="G1897" s="2"/>
      <c r="H1897" s="2"/>
      <c r="I1897" s="2"/>
      <c r="J1897" s="2"/>
    </row>
    <row r="1898">
      <c r="D1898" s="2"/>
      <c r="E1898" s="2"/>
      <c r="G1898" s="2"/>
      <c r="H1898" s="2"/>
      <c r="I1898" s="2"/>
      <c r="J1898" s="2"/>
    </row>
    <row r="1899">
      <c r="D1899" s="2"/>
      <c r="E1899" s="2"/>
      <c r="G1899" s="2"/>
      <c r="H1899" s="2"/>
      <c r="I1899" s="2"/>
      <c r="J1899" s="2"/>
    </row>
    <row r="1900">
      <c r="D1900" s="2"/>
      <c r="E1900" s="2"/>
      <c r="G1900" s="2"/>
      <c r="H1900" s="2"/>
      <c r="I1900" s="2"/>
      <c r="J1900" s="2"/>
    </row>
    <row r="1901">
      <c r="D1901" s="2"/>
      <c r="E1901" s="2"/>
      <c r="G1901" s="2"/>
      <c r="H1901" s="2"/>
      <c r="I1901" s="2"/>
      <c r="J1901" s="2"/>
    </row>
    <row r="1902">
      <c r="D1902" s="2"/>
      <c r="E1902" s="2"/>
      <c r="G1902" s="2"/>
      <c r="H1902" s="2"/>
      <c r="I1902" s="2"/>
      <c r="J1902" s="2"/>
    </row>
    <row r="1903">
      <c r="D1903" s="2"/>
      <c r="E1903" s="2"/>
      <c r="G1903" s="2"/>
      <c r="H1903" s="2"/>
      <c r="I1903" s="2"/>
      <c r="J1903" s="2"/>
    </row>
    <row r="1904">
      <c r="D1904" s="2"/>
      <c r="E1904" s="2"/>
      <c r="G1904" s="2"/>
      <c r="H1904" s="2"/>
      <c r="I1904" s="2"/>
      <c r="J1904" s="2"/>
    </row>
    <row r="1905">
      <c r="D1905" s="2"/>
      <c r="E1905" s="2"/>
      <c r="G1905" s="2"/>
      <c r="H1905" s="2"/>
      <c r="I1905" s="2"/>
      <c r="J1905" s="2"/>
    </row>
    <row r="1906">
      <c r="D1906" s="2"/>
      <c r="E1906" s="2"/>
      <c r="G1906" s="2"/>
      <c r="H1906" s="2"/>
      <c r="I1906" s="2"/>
      <c r="J1906" s="2"/>
    </row>
    <row r="1907">
      <c r="D1907" s="2"/>
      <c r="E1907" s="2"/>
      <c r="G1907" s="2"/>
      <c r="H1907" s="2"/>
      <c r="I1907" s="2"/>
      <c r="J1907" s="2"/>
    </row>
    <row r="1908">
      <c r="D1908" s="2"/>
      <c r="E1908" s="2"/>
      <c r="G1908" s="2"/>
      <c r="H1908" s="2"/>
      <c r="I1908" s="2"/>
      <c r="J1908" s="2"/>
    </row>
    <row r="1909">
      <c r="D1909" s="2"/>
      <c r="E1909" s="2"/>
      <c r="G1909" s="2"/>
      <c r="H1909" s="2"/>
      <c r="I1909" s="2"/>
      <c r="J1909" s="2"/>
    </row>
    <row r="1910">
      <c r="D1910" s="2"/>
      <c r="E1910" s="2"/>
      <c r="G1910" s="2"/>
      <c r="H1910" s="2"/>
      <c r="I1910" s="2"/>
      <c r="J1910" s="2"/>
    </row>
    <row r="1911">
      <c r="D1911" s="2"/>
      <c r="E1911" s="2"/>
      <c r="G1911" s="2"/>
      <c r="H1911" s="2"/>
      <c r="I1911" s="2"/>
      <c r="J1911" s="2"/>
    </row>
    <row r="1912">
      <c r="D1912" s="2"/>
      <c r="E1912" s="2"/>
      <c r="G1912" s="2"/>
      <c r="H1912" s="2"/>
      <c r="I1912" s="2"/>
      <c r="J1912" s="2"/>
    </row>
    <row r="1913">
      <c r="D1913" s="2"/>
      <c r="E1913" s="2"/>
      <c r="G1913" s="2"/>
      <c r="H1913" s="2"/>
      <c r="I1913" s="2"/>
      <c r="J1913" s="2"/>
    </row>
    <row r="1914">
      <c r="D1914" s="2"/>
      <c r="E1914" s="2"/>
      <c r="G1914" s="2"/>
      <c r="H1914" s="2"/>
      <c r="I1914" s="2"/>
      <c r="J1914" s="2"/>
    </row>
    <row r="1915">
      <c r="D1915" s="2"/>
      <c r="E1915" s="2"/>
      <c r="G1915" s="2"/>
      <c r="H1915" s="2"/>
      <c r="I1915" s="2"/>
      <c r="J1915" s="2"/>
    </row>
    <row r="1916">
      <c r="D1916" s="2"/>
      <c r="E1916" s="2"/>
      <c r="G1916" s="2"/>
      <c r="H1916" s="2"/>
      <c r="I1916" s="2"/>
      <c r="J1916" s="2"/>
    </row>
    <row r="1917">
      <c r="D1917" s="2"/>
      <c r="E1917" s="2"/>
      <c r="G1917" s="2"/>
      <c r="H1917" s="2"/>
      <c r="I1917" s="2"/>
      <c r="J1917" s="2"/>
    </row>
    <row r="1918">
      <c r="D1918" s="2"/>
      <c r="E1918" s="2"/>
      <c r="G1918" s="2"/>
      <c r="H1918" s="2"/>
      <c r="I1918" s="2"/>
      <c r="J1918" s="2"/>
    </row>
    <row r="1919">
      <c r="D1919" s="2"/>
      <c r="E1919" s="2"/>
      <c r="G1919" s="2"/>
      <c r="H1919" s="2"/>
      <c r="I1919" s="2"/>
      <c r="J1919" s="2"/>
    </row>
    <row r="1920">
      <c r="D1920" s="2"/>
      <c r="E1920" s="2"/>
      <c r="G1920" s="2"/>
      <c r="H1920" s="2"/>
      <c r="I1920" s="2"/>
      <c r="J1920" s="2"/>
    </row>
    <row r="1921">
      <c r="D1921" s="2"/>
      <c r="E1921" s="2"/>
      <c r="G1921" s="2"/>
      <c r="H1921" s="2"/>
      <c r="I1921" s="2"/>
      <c r="J1921" s="2"/>
    </row>
    <row r="1922">
      <c r="D1922" s="2"/>
      <c r="E1922" s="2"/>
      <c r="G1922" s="2"/>
      <c r="H1922" s="2"/>
      <c r="I1922" s="2"/>
      <c r="J1922" s="2"/>
    </row>
    <row r="1923">
      <c r="D1923" s="2"/>
      <c r="E1923" s="2"/>
      <c r="G1923" s="2"/>
      <c r="H1923" s="2"/>
      <c r="I1923" s="2"/>
      <c r="J1923" s="2"/>
    </row>
    <row r="1924">
      <c r="D1924" s="2"/>
      <c r="E1924" s="2"/>
      <c r="G1924" s="2"/>
      <c r="H1924" s="2"/>
      <c r="I1924" s="2"/>
      <c r="J1924" s="2"/>
    </row>
    <row r="1925">
      <c r="D1925" s="2"/>
      <c r="E1925" s="2"/>
      <c r="G1925" s="2"/>
      <c r="H1925" s="2"/>
      <c r="I1925" s="2"/>
      <c r="J1925" s="2"/>
    </row>
    <row r="1926">
      <c r="D1926" s="2"/>
      <c r="E1926" s="2"/>
      <c r="G1926" s="2"/>
      <c r="H1926" s="2"/>
      <c r="I1926" s="2"/>
      <c r="J1926" s="2"/>
    </row>
    <row r="1927">
      <c r="D1927" s="2"/>
      <c r="E1927" s="2"/>
      <c r="G1927" s="2"/>
      <c r="H1927" s="2"/>
      <c r="I1927" s="2"/>
      <c r="J1927" s="2"/>
    </row>
    <row r="1928">
      <c r="D1928" s="2"/>
      <c r="E1928" s="2"/>
      <c r="G1928" s="2"/>
      <c r="H1928" s="2"/>
      <c r="I1928" s="2"/>
      <c r="J1928" s="2"/>
    </row>
    <row r="1929">
      <c r="D1929" s="2"/>
      <c r="E1929" s="2"/>
      <c r="G1929" s="2"/>
      <c r="H1929" s="2"/>
      <c r="I1929" s="2"/>
      <c r="J1929" s="2"/>
    </row>
    <row r="1930">
      <c r="D1930" s="2"/>
      <c r="E1930" s="2"/>
      <c r="G1930" s="2"/>
      <c r="H1930" s="2"/>
      <c r="I1930" s="2"/>
      <c r="J1930" s="2"/>
    </row>
    <row r="1931">
      <c r="D1931" s="2"/>
      <c r="E1931" s="2"/>
      <c r="G1931" s="2"/>
      <c r="H1931" s="2"/>
      <c r="I1931" s="2"/>
      <c r="J1931" s="2"/>
    </row>
    <row r="1932">
      <c r="D1932" s="2"/>
      <c r="E1932" s="2"/>
      <c r="G1932" s="2"/>
      <c r="H1932" s="2"/>
      <c r="I1932" s="2"/>
      <c r="J1932" s="2"/>
    </row>
    <row r="1933">
      <c r="D1933" s="2"/>
      <c r="E1933" s="2"/>
      <c r="G1933" s="2"/>
      <c r="H1933" s="2"/>
      <c r="I1933" s="2"/>
      <c r="J1933" s="2"/>
    </row>
    <row r="1934">
      <c r="D1934" s="2"/>
      <c r="E1934" s="2"/>
      <c r="G1934" s="2"/>
      <c r="H1934" s="2"/>
      <c r="I1934" s="2"/>
      <c r="J1934" s="2"/>
    </row>
    <row r="1935">
      <c r="D1935" s="2"/>
      <c r="E1935" s="2"/>
      <c r="G1935" s="2"/>
      <c r="H1935" s="2"/>
      <c r="I1935" s="2"/>
      <c r="J1935" s="2"/>
    </row>
    <row r="1936">
      <c r="D1936" s="2"/>
      <c r="E1936" s="2"/>
      <c r="G1936" s="2"/>
      <c r="H1936" s="2"/>
      <c r="I1936" s="2"/>
      <c r="J1936" s="2"/>
    </row>
    <row r="1937">
      <c r="D1937" s="2"/>
      <c r="E1937" s="2"/>
      <c r="G1937" s="2"/>
      <c r="H1937" s="2"/>
      <c r="I1937" s="2"/>
      <c r="J1937" s="2"/>
    </row>
    <row r="1938">
      <c r="D1938" s="2"/>
      <c r="E1938" s="2"/>
      <c r="G1938" s="2"/>
      <c r="H1938" s="2"/>
      <c r="I1938" s="2"/>
      <c r="J1938" s="2"/>
    </row>
    <row r="1939">
      <c r="D1939" s="2"/>
      <c r="E1939" s="2"/>
      <c r="G1939" s="2"/>
      <c r="H1939" s="2"/>
      <c r="I1939" s="2"/>
      <c r="J1939" s="2"/>
    </row>
    <row r="1940">
      <c r="D1940" s="2"/>
      <c r="E1940" s="2"/>
      <c r="G1940" s="2"/>
      <c r="H1940" s="2"/>
      <c r="I1940" s="2"/>
      <c r="J1940" s="2"/>
    </row>
    <row r="1941">
      <c r="D1941" s="2"/>
      <c r="E1941" s="2"/>
      <c r="G1941" s="2"/>
      <c r="H1941" s="2"/>
      <c r="I1941" s="2"/>
      <c r="J1941" s="2"/>
    </row>
    <row r="1942">
      <c r="D1942" s="2"/>
      <c r="E1942" s="2"/>
      <c r="G1942" s="2"/>
      <c r="H1942" s="2"/>
      <c r="I1942" s="2"/>
      <c r="J1942" s="2"/>
    </row>
    <row r="1943">
      <c r="D1943" s="2"/>
      <c r="E1943" s="2"/>
      <c r="G1943" s="2"/>
      <c r="H1943" s="2"/>
      <c r="I1943" s="2"/>
      <c r="J1943" s="2"/>
    </row>
    <row r="1944">
      <c r="D1944" s="2"/>
      <c r="E1944" s="2"/>
      <c r="G1944" s="2"/>
      <c r="H1944" s="2"/>
      <c r="I1944" s="2"/>
      <c r="J1944" s="2"/>
    </row>
    <row r="1945">
      <c r="D1945" s="2"/>
      <c r="E1945" s="2"/>
      <c r="G1945" s="2"/>
      <c r="H1945" s="2"/>
      <c r="I1945" s="2"/>
      <c r="J1945" s="2"/>
    </row>
    <row r="1946">
      <c r="D1946" s="2"/>
      <c r="E1946" s="2"/>
      <c r="G1946" s="2"/>
      <c r="H1946" s="2"/>
      <c r="I1946" s="2"/>
      <c r="J1946" s="2"/>
    </row>
    <row r="1947">
      <c r="D1947" s="2"/>
      <c r="E1947" s="2"/>
      <c r="G1947" s="2"/>
      <c r="H1947" s="2"/>
      <c r="I1947" s="2"/>
      <c r="J1947" s="2"/>
    </row>
    <row r="1948">
      <c r="D1948" s="2"/>
      <c r="E1948" s="2"/>
      <c r="G1948" s="2"/>
      <c r="H1948" s="2"/>
      <c r="I1948" s="2"/>
      <c r="J1948" s="2"/>
    </row>
    <row r="1949">
      <c r="D1949" s="2"/>
      <c r="E1949" s="2"/>
      <c r="G1949" s="2"/>
      <c r="H1949" s="2"/>
      <c r="I1949" s="2"/>
      <c r="J1949" s="2"/>
    </row>
    <row r="1950">
      <c r="D1950" s="2"/>
      <c r="E1950" s="2"/>
      <c r="G1950" s="2"/>
      <c r="H1950" s="2"/>
      <c r="I1950" s="2"/>
      <c r="J1950" s="2"/>
    </row>
    <row r="1951">
      <c r="D1951" s="2"/>
      <c r="E1951" s="2"/>
      <c r="G1951" s="2"/>
      <c r="H1951" s="2"/>
      <c r="I1951" s="2"/>
      <c r="J1951" s="2"/>
    </row>
    <row r="1952">
      <c r="D1952" s="2"/>
      <c r="E1952" s="2"/>
      <c r="G1952" s="2"/>
      <c r="H1952" s="2"/>
      <c r="I1952" s="2"/>
      <c r="J1952" s="2"/>
    </row>
    <row r="1953">
      <c r="D1953" s="2"/>
      <c r="E1953" s="2"/>
      <c r="G1953" s="2"/>
      <c r="H1953" s="2"/>
      <c r="I1953" s="2"/>
      <c r="J1953" s="2"/>
    </row>
    <row r="1954">
      <c r="D1954" s="2"/>
      <c r="E1954" s="2"/>
      <c r="G1954" s="2"/>
      <c r="H1954" s="2"/>
      <c r="I1954" s="2"/>
      <c r="J1954" s="2"/>
    </row>
    <row r="1955">
      <c r="D1955" s="2"/>
      <c r="E1955" s="2"/>
      <c r="G1955" s="2"/>
      <c r="H1955" s="2"/>
      <c r="I1955" s="2"/>
      <c r="J1955" s="2"/>
    </row>
    <row r="1956">
      <c r="D1956" s="2"/>
      <c r="E1956" s="2"/>
      <c r="G1956" s="2"/>
      <c r="H1956" s="2"/>
      <c r="I1956" s="2"/>
      <c r="J1956" s="2"/>
    </row>
    <row r="1957">
      <c r="D1957" s="2"/>
      <c r="E1957" s="2"/>
      <c r="G1957" s="2"/>
      <c r="H1957" s="2"/>
      <c r="I1957" s="2"/>
      <c r="J1957" s="2"/>
    </row>
    <row r="1958">
      <c r="D1958" s="2"/>
      <c r="E1958" s="2"/>
      <c r="G1958" s="2"/>
      <c r="H1958" s="2"/>
      <c r="I1958" s="2"/>
      <c r="J1958" s="2"/>
    </row>
    <row r="1959">
      <c r="D1959" s="2"/>
      <c r="E1959" s="2"/>
      <c r="G1959" s="2"/>
      <c r="H1959" s="2"/>
      <c r="I1959" s="2"/>
      <c r="J1959" s="2"/>
    </row>
    <row r="1960">
      <c r="D1960" s="2"/>
      <c r="E1960" s="2"/>
      <c r="G1960" s="2"/>
      <c r="H1960" s="2"/>
      <c r="I1960" s="2"/>
      <c r="J1960" s="2"/>
    </row>
    <row r="1961">
      <c r="D1961" s="2"/>
      <c r="E1961" s="2"/>
      <c r="G1961" s="2"/>
      <c r="H1961" s="2"/>
      <c r="I1961" s="2"/>
      <c r="J1961" s="2"/>
    </row>
    <row r="1962">
      <c r="D1962" s="2"/>
      <c r="E1962" s="2"/>
      <c r="G1962" s="2"/>
      <c r="H1962" s="2"/>
      <c r="I1962" s="2"/>
      <c r="J1962" s="2"/>
    </row>
    <row r="1963">
      <c r="D1963" s="2"/>
      <c r="E1963" s="2"/>
      <c r="G1963" s="2"/>
      <c r="H1963" s="2"/>
      <c r="I1963" s="2"/>
      <c r="J1963" s="2"/>
    </row>
    <row r="1964">
      <c r="D1964" s="2"/>
      <c r="E1964" s="2"/>
      <c r="G1964" s="2"/>
      <c r="H1964" s="2"/>
      <c r="I1964" s="2"/>
      <c r="J1964" s="2"/>
    </row>
    <row r="1965">
      <c r="D1965" s="2"/>
      <c r="E1965" s="2"/>
      <c r="G1965" s="2"/>
      <c r="H1965" s="2"/>
      <c r="I1965" s="2"/>
      <c r="J1965" s="2"/>
    </row>
    <row r="1966">
      <c r="D1966" s="2"/>
      <c r="E1966" s="2"/>
      <c r="G1966" s="2"/>
      <c r="H1966" s="2"/>
      <c r="I1966" s="2"/>
      <c r="J1966" s="2"/>
    </row>
    <row r="1967">
      <c r="D1967" s="2"/>
      <c r="E1967" s="2"/>
      <c r="G1967" s="2"/>
      <c r="H1967" s="2"/>
      <c r="I1967" s="2"/>
      <c r="J1967" s="2"/>
    </row>
    <row r="1968">
      <c r="D1968" s="2"/>
      <c r="E1968" s="2"/>
      <c r="G1968" s="2"/>
      <c r="H1968" s="2"/>
      <c r="I1968" s="2"/>
      <c r="J1968" s="2"/>
    </row>
    <row r="1969">
      <c r="D1969" s="2"/>
      <c r="E1969" s="2"/>
      <c r="G1969" s="2"/>
      <c r="H1969" s="2"/>
      <c r="I1969" s="2"/>
      <c r="J1969" s="2"/>
    </row>
    <row r="1970">
      <c r="D1970" s="2"/>
      <c r="E1970" s="2"/>
      <c r="G1970" s="2"/>
      <c r="H1970" s="2"/>
      <c r="I1970" s="2"/>
      <c r="J1970" s="2"/>
    </row>
    <row r="1971">
      <c r="D1971" s="2"/>
      <c r="E1971" s="2"/>
      <c r="G1971" s="2"/>
      <c r="H1971" s="2"/>
      <c r="I1971" s="2"/>
      <c r="J1971" s="2"/>
    </row>
    <row r="1972">
      <c r="D1972" s="2"/>
      <c r="E1972" s="2"/>
      <c r="G1972" s="2"/>
      <c r="H1972" s="2"/>
      <c r="I1972" s="2"/>
      <c r="J1972" s="2"/>
    </row>
    <row r="1973">
      <c r="D1973" s="2"/>
      <c r="E1973" s="2"/>
      <c r="G1973" s="2"/>
      <c r="H1973" s="2"/>
      <c r="I1973" s="2"/>
      <c r="J1973" s="2"/>
    </row>
    <row r="1974">
      <c r="D1974" s="2"/>
      <c r="E1974" s="2"/>
      <c r="G1974" s="2"/>
      <c r="H1974" s="2"/>
      <c r="I1974" s="2"/>
      <c r="J1974" s="2"/>
    </row>
    <row r="1975">
      <c r="D1975" s="2"/>
      <c r="E1975" s="2"/>
      <c r="G1975" s="2"/>
      <c r="H1975" s="2"/>
      <c r="I1975" s="2"/>
      <c r="J1975" s="2"/>
    </row>
    <row r="1976">
      <c r="D1976" s="2"/>
      <c r="E1976" s="2"/>
      <c r="G1976" s="2"/>
      <c r="H1976" s="2"/>
      <c r="I1976" s="2"/>
      <c r="J1976" s="2"/>
    </row>
    <row r="1977">
      <c r="D1977" s="2"/>
      <c r="E1977" s="2"/>
      <c r="G1977" s="2"/>
      <c r="H1977" s="2"/>
      <c r="I1977" s="2"/>
      <c r="J1977" s="2"/>
    </row>
    <row r="1978">
      <c r="D1978" s="2"/>
      <c r="E1978" s="2"/>
      <c r="G1978" s="2"/>
      <c r="H1978" s="2"/>
      <c r="I1978" s="2"/>
      <c r="J1978" s="2"/>
    </row>
    <row r="1979">
      <c r="D1979" s="2"/>
      <c r="E1979" s="2"/>
      <c r="G1979" s="2"/>
      <c r="H1979" s="2"/>
      <c r="I1979" s="2"/>
      <c r="J1979" s="2"/>
    </row>
    <row r="1980">
      <c r="D1980" s="2"/>
      <c r="E1980" s="2"/>
      <c r="G1980" s="2"/>
      <c r="H1980" s="2"/>
      <c r="I1980" s="2"/>
      <c r="J1980" s="2"/>
    </row>
    <row r="1981">
      <c r="D1981" s="2"/>
      <c r="E1981" s="2"/>
      <c r="G1981" s="2"/>
      <c r="H1981" s="2"/>
      <c r="I1981" s="2"/>
      <c r="J1981" s="2"/>
    </row>
    <row r="1982">
      <c r="D1982" s="2"/>
      <c r="E1982" s="2"/>
      <c r="G1982" s="2"/>
      <c r="H1982" s="2"/>
      <c r="I1982" s="2"/>
      <c r="J1982" s="2"/>
    </row>
    <row r="1983">
      <c r="D1983" s="2"/>
      <c r="E1983" s="2"/>
      <c r="G1983" s="2"/>
      <c r="H1983" s="2"/>
      <c r="I1983" s="2"/>
      <c r="J1983" s="2"/>
    </row>
    <row r="1984">
      <c r="D1984" s="2"/>
      <c r="E1984" s="2"/>
      <c r="G1984" s="2"/>
      <c r="H1984" s="2"/>
      <c r="I1984" s="2"/>
      <c r="J1984" s="2"/>
    </row>
    <row r="1985">
      <c r="D1985" s="2"/>
      <c r="E1985" s="2"/>
      <c r="G1985" s="2"/>
      <c r="H1985" s="2"/>
      <c r="I1985" s="2"/>
      <c r="J1985" s="2"/>
    </row>
  </sheetData>
  <customSheetViews>
    <customSheetView guid="{D90CB828-D843-4A3F-849D-1DE183AE93B3}" filter="1" showAutoFilter="1">
      <autoFilter ref="$A$1:$M$735"/>
    </customSheetView>
  </customSheetViews>
  <conditionalFormatting sqref="B1:B1985">
    <cfRule type="notContainsBlanks" dxfId="0" priority="1">
      <formula>LEN(TRIM(B1))&gt;0</formula>
    </cfRule>
  </conditionalFormatting>
  <hyperlinks>
    <hyperlink r:id="rId1" ref="I289"/>
    <hyperlink r:id="rId2" ref="E983"/>
    <hyperlink r:id="rId3" ref="F983"/>
    <hyperlink r:id="rId4" ref="G983"/>
    <hyperlink r:id="rId5" ref="H983"/>
    <hyperlink r:id="rId6" ref="I983"/>
    <hyperlink r:id="rId7" ref="J983"/>
    <hyperlink r:id="rId8" ref="K983"/>
    <hyperlink r:id="rId9" ref="L983"/>
    <hyperlink r:id="rId10" ref="M983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13"/>
    <col customWidth="1" min="2" max="2" width="45.0"/>
  </cols>
  <sheetData>
    <row r="1">
      <c r="A1" s="8" t="s">
        <v>1</v>
      </c>
      <c r="B1" s="9" t="s">
        <v>2</v>
      </c>
      <c r="C1" s="9" t="s">
        <v>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4</v>
      </c>
      <c r="B2" s="9" t="s">
        <v>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6</v>
      </c>
      <c r="B3" s="9" t="s">
        <v>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8</v>
      </c>
      <c r="B4" s="9" t="s">
        <v>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10</v>
      </c>
      <c r="B5" s="9" t="s">
        <v>11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8" t="s">
        <v>12</v>
      </c>
      <c r="B6" s="9" t="s">
        <v>13</v>
      </c>
      <c r="C6" s="9">
        <v>0.3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 t="s">
        <v>14</v>
      </c>
      <c r="B7" s="9" t="s">
        <v>15</v>
      </c>
      <c r="C7" s="9">
        <v>0.3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 t="s">
        <v>16</v>
      </c>
      <c r="B8" s="9" t="s">
        <v>17</v>
      </c>
      <c r="C8" s="10"/>
      <c r="D8" s="10"/>
      <c r="E8" s="9" t="s">
        <v>18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 t="s">
        <v>19</v>
      </c>
      <c r="B9" s="9" t="s">
        <v>20</v>
      </c>
      <c r="C9" s="10"/>
      <c r="D9" s="10"/>
      <c r="E9" s="9" t="s">
        <v>18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 t="s">
        <v>21</v>
      </c>
      <c r="B10" s="12" t="s">
        <v>22</v>
      </c>
      <c r="C10" s="9">
        <v>0.1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 t="s">
        <v>23</v>
      </c>
      <c r="B11" s="13" t="s">
        <v>24</v>
      </c>
      <c r="C11" s="9">
        <v>0.3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 t="s">
        <v>25</v>
      </c>
      <c r="B12" s="13" t="s">
        <v>26</v>
      </c>
      <c r="C12" s="9">
        <v>0.1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 t="s">
        <v>27</v>
      </c>
      <c r="B13" s="13" t="s">
        <v>28</v>
      </c>
      <c r="C13" s="9">
        <v>0.1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 t="s">
        <v>29</v>
      </c>
      <c r="B14" s="13" t="s">
        <v>30</v>
      </c>
      <c r="C14" s="14">
        <v>0.3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 t="s">
        <v>31</v>
      </c>
      <c r="B15" s="13" t="s">
        <v>32</v>
      </c>
      <c r="C15" s="9">
        <v>0.3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 t="s">
        <v>33</v>
      </c>
      <c r="B16" s="15" t="s">
        <v>34</v>
      </c>
      <c r="C16" s="9">
        <v>0.1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 t="s">
        <v>35</v>
      </c>
      <c r="B17" s="15" t="s">
        <v>36</v>
      </c>
      <c r="C17" s="9">
        <v>0.2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8" t="s">
        <v>37</v>
      </c>
      <c r="B18" s="13" t="s">
        <v>38</v>
      </c>
      <c r="C18" s="9">
        <v>0.2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 t="s">
        <v>39</v>
      </c>
      <c r="B19" s="13" t="s">
        <v>40</v>
      </c>
      <c r="C19" s="9">
        <v>0.2</v>
      </c>
      <c r="D19" s="16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 t="s">
        <v>41</v>
      </c>
      <c r="B20" s="13" t="s">
        <v>42</v>
      </c>
      <c r="C20" s="9">
        <v>0.2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 t="s">
        <v>43</v>
      </c>
      <c r="B21" s="13" t="s">
        <v>44</v>
      </c>
      <c r="C21" s="9">
        <v>0.1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 t="s">
        <v>45</v>
      </c>
      <c r="B22" s="13" t="s">
        <v>46</v>
      </c>
      <c r="C22" s="9">
        <v>0.1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 t="s">
        <v>47</v>
      </c>
      <c r="B23" s="15" t="s">
        <v>48</v>
      </c>
      <c r="C23" s="9">
        <v>0.5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 t="s">
        <v>49</v>
      </c>
      <c r="B24" s="17" t="s">
        <v>50</v>
      </c>
      <c r="C24" s="9">
        <v>0.2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1" t="s">
        <v>51</v>
      </c>
      <c r="B25" s="15" t="s">
        <v>52</v>
      </c>
      <c r="C25" s="9">
        <v>0.1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1" t="s">
        <v>53</v>
      </c>
      <c r="B26" s="15" t="s">
        <v>54</v>
      </c>
      <c r="C26" s="9">
        <v>0.1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1" t="s">
        <v>55</v>
      </c>
      <c r="B27" s="15" t="s">
        <v>56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1" t="s">
        <v>57</v>
      </c>
      <c r="B28" s="13" t="s">
        <v>58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1" t="s">
        <v>59</v>
      </c>
      <c r="B29" s="13" t="s">
        <v>60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1" t="s">
        <v>61</v>
      </c>
      <c r="B30" s="13" t="s">
        <v>62</v>
      </c>
      <c r="C30" s="9">
        <v>0.2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1" t="s">
        <v>63</v>
      </c>
      <c r="B31" s="13" t="s">
        <v>64</v>
      </c>
      <c r="C31" s="9">
        <v>0.2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1" t="s">
        <v>65</v>
      </c>
      <c r="B32" s="15" t="s">
        <v>66</v>
      </c>
      <c r="C32" s="9">
        <v>0.3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1" t="s">
        <v>67</v>
      </c>
      <c r="B33" s="15" t="s">
        <v>68</v>
      </c>
      <c r="C33" s="9">
        <v>0.2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1" t="s">
        <v>69</v>
      </c>
      <c r="B34" s="15" t="s">
        <v>70</v>
      </c>
      <c r="C34" s="9">
        <v>0.1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1" t="s">
        <v>71</v>
      </c>
      <c r="B35" s="15" t="s">
        <v>72</v>
      </c>
      <c r="C35" s="9">
        <v>0.2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1" t="s">
        <v>73</v>
      </c>
      <c r="B36" s="15" t="s">
        <v>74</v>
      </c>
      <c r="C36" s="9">
        <v>0.2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1" t="s">
        <v>75</v>
      </c>
      <c r="B37" s="15" t="s">
        <v>76</v>
      </c>
      <c r="C37" s="9">
        <v>0.1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1" t="s">
        <v>77</v>
      </c>
      <c r="B38" s="13" t="s">
        <v>78</v>
      </c>
      <c r="C38" s="9">
        <v>0.2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1" t="s">
        <v>79</v>
      </c>
      <c r="B39" s="15" t="s">
        <v>80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1" t="s">
        <v>81</v>
      </c>
      <c r="B40" s="15" t="s">
        <v>82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1" t="s">
        <v>83</v>
      </c>
      <c r="B41" s="15" t="s">
        <v>84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1" t="s">
        <v>85</v>
      </c>
      <c r="B42" s="15" t="s">
        <v>86</v>
      </c>
      <c r="C42" s="9">
        <v>0.1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1" t="s">
        <v>87</v>
      </c>
      <c r="B43" s="15" t="s">
        <v>88</v>
      </c>
      <c r="C43" s="9">
        <v>0.5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1" t="s">
        <v>89</v>
      </c>
      <c r="B44" s="15" t="s">
        <v>90</v>
      </c>
      <c r="C44" s="9">
        <v>0.4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1" t="s">
        <v>91</v>
      </c>
      <c r="B45" s="13" t="s">
        <v>92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1" t="s">
        <v>93</v>
      </c>
      <c r="B46" s="13" t="s">
        <v>94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1" t="s">
        <v>95</v>
      </c>
      <c r="B47" s="15" t="s">
        <v>96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1" t="s">
        <v>97</v>
      </c>
      <c r="B48" s="13" t="s">
        <v>98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1" t="s">
        <v>99</v>
      </c>
      <c r="B49" s="13" t="s">
        <v>100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1" t="s">
        <v>101</v>
      </c>
      <c r="B50" s="15" t="s">
        <v>102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1" t="s">
        <v>103</v>
      </c>
      <c r="B51" s="13" t="s">
        <v>104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1" t="s">
        <v>105</v>
      </c>
      <c r="B52" s="13" t="s">
        <v>106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1" t="s">
        <v>107</v>
      </c>
      <c r="B53" s="13" t="s">
        <v>108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1" t="s">
        <v>109</v>
      </c>
      <c r="B54" s="15" t="s">
        <v>110</v>
      </c>
      <c r="C54" s="9">
        <v>0.2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1" t="s">
        <v>111</v>
      </c>
      <c r="B55" s="13" t="s">
        <v>112</v>
      </c>
      <c r="C55" s="9">
        <v>0.3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1" t="s">
        <v>113</v>
      </c>
      <c r="B56" s="15" t="s">
        <v>114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1" t="s">
        <v>115</v>
      </c>
      <c r="B57" s="15" t="s">
        <v>116</v>
      </c>
      <c r="C57" s="9">
        <v>0.4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1" t="s">
        <v>117</v>
      </c>
      <c r="B58" s="15" t="s">
        <v>118</v>
      </c>
      <c r="C58" s="9">
        <v>0.4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1" t="s">
        <v>119</v>
      </c>
      <c r="B59" s="13" t="s">
        <v>120</v>
      </c>
      <c r="C59" s="9">
        <v>0.3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1" t="s">
        <v>121</v>
      </c>
      <c r="B60" s="13" t="s">
        <v>122</v>
      </c>
      <c r="C60" s="9">
        <v>0.2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1" t="s">
        <v>123</v>
      </c>
      <c r="B61" s="13" t="s">
        <v>124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1" t="s">
        <v>125</v>
      </c>
      <c r="B62" s="13" t="s">
        <v>126</v>
      </c>
      <c r="C62" s="9">
        <v>0.2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1" t="s">
        <v>127</v>
      </c>
      <c r="B63" s="13" t="s">
        <v>128</v>
      </c>
      <c r="C63" s="9">
        <v>0.3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1" t="s">
        <v>129</v>
      </c>
      <c r="B64" s="13" t="s">
        <v>130</v>
      </c>
      <c r="C64" s="9">
        <v>0.4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1" t="s">
        <v>131</v>
      </c>
      <c r="B65" s="13" t="s">
        <v>132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1" t="s">
        <v>133</v>
      </c>
      <c r="B66" s="13" t="s">
        <v>134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1" t="s">
        <v>135</v>
      </c>
      <c r="B67" s="13" t="s">
        <v>136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1" t="s">
        <v>137</v>
      </c>
      <c r="B68" s="13" t="s">
        <v>138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1" t="s">
        <v>139</v>
      </c>
      <c r="B69" s="13" t="s">
        <v>140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1" t="s">
        <v>141</v>
      </c>
      <c r="B70" s="13" t="s">
        <v>142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1" t="s">
        <v>143</v>
      </c>
      <c r="B71" s="13" t="s">
        <v>144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1" t="s">
        <v>145</v>
      </c>
      <c r="B72" s="13" t="s">
        <v>146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1" t="s">
        <v>147</v>
      </c>
      <c r="B73" s="13" t="s">
        <v>148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1" t="s">
        <v>149</v>
      </c>
      <c r="B74" s="13" t="s">
        <v>150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1" t="s">
        <v>151</v>
      </c>
      <c r="B75" s="13" t="s">
        <v>152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1" t="s">
        <v>153</v>
      </c>
      <c r="B76" s="13" t="s">
        <v>154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1" t="s">
        <v>155</v>
      </c>
      <c r="B77" s="13" t="s">
        <v>156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1" t="s">
        <v>157</v>
      </c>
      <c r="B78" s="13" t="s">
        <v>158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1" t="s">
        <v>159</v>
      </c>
      <c r="B79" s="13" t="s">
        <v>160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1" t="s">
        <v>161</v>
      </c>
      <c r="B80" s="13" t="s">
        <v>162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1" t="s">
        <v>163</v>
      </c>
      <c r="B81" s="13" t="s">
        <v>164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1" t="s">
        <v>165</v>
      </c>
      <c r="B82" s="13" t="s">
        <v>166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1" t="s">
        <v>167</v>
      </c>
      <c r="B83" s="13" t="s">
        <v>168</v>
      </c>
      <c r="C83" s="9">
        <v>0.3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1" t="s">
        <v>169</v>
      </c>
      <c r="B84" s="13" t="s">
        <v>170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1" t="s">
        <v>171</v>
      </c>
      <c r="B85" s="13" t="s">
        <v>172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1" t="s">
        <v>173</v>
      </c>
      <c r="B86" s="13" t="s">
        <v>174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1" t="s">
        <v>175</v>
      </c>
      <c r="B87" s="13" t="s">
        <v>176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1" t="s">
        <v>177</v>
      </c>
      <c r="B88" s="13" t="s">
        <v>178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1" t="s">
        <v>179</v>
      </c>
      <c r="B89" s="13" t="s">
        <v>180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1" t="s">
        <v>181</v>
      </c>
      <c r="B90" s="13" t="s">
        <v>182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1" t="s">
        <v>183</v>
      </c>
      <c r="B91" s="13" t="s">
        <v>184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1" t="s">
        <v>185</v>
      </c>
      <c r="B92" s="13" t="s">
        <v>186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1" t="s">
        <v>187</v>
      </c>
      <c r="B93" s="13" t="s">
        <v>188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1" t="s">
        <v>189</v>
      </c>
      <c r="B94" s="13" t="s">
        <v>190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1" t="s">
        <v>191</v>
      </c>
      <c r="B95" s="13" t="s">
        <v>192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1" t="s">
        <v>193</v>
      </c>
      <c r="B96" s="13" t="s">
        <v>194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1" t="s">
        <v>195</v>
      </c>
      <c r="B97" s="13" t="s">
        <v>196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1" t="s">
        <v>197</v>
      </c>
      <c r="B98" s="13" t="s">
        <v>198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1" t="s">
        <v>199</v>
      </c>
      <c r="B99" s="13" t="s">
        <v>200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1" t="s">
        <v>201</v>
      </c>
      <c r="B100" s="13" t="s">
        <v>202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1" t="s">
        <v>203</v>
      </c>
      <c r="B101" s="17" t="s">
        <v>204</v>
      </c>
      <c r="C101" s="9">
        <v>0.2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1" t="s">
        <v>205</v>
      </c>
      <c r="B102" s="13" t="s">
        <v>206</v>
      </c>
      <c r="C102" s="9">
        <v>0.2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1" t="s">
        <v>207</v>
      </c>
      <c r="B103" s="13" t="s">
        <v>208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1" t="s">
        <v>209</v>
      </c>
      <c r="B104" s="13" t="s">
        <v>210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1" t="s">
        <v>211</v>
      </c>
      <c r="B105" s="13" t="s">
        <v>212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1" t="s">
        <v>213</v>
      </c>
      <c r="B106" s="13" t="s">
        <v>214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1" t="s">
        <v>215</v>
      </c>
      <c r="B107" s="18" t="s">
        <v>216</v>
      </c>
      <c r="C107" s="9">
        <v>0.4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2" t="s">
        <v>217</v>
      </c>
      <c r="B108" s="12" t="s">
        <v>218</v>
      </c>
      <c r="C108" s="9">
        <v>0.3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1" t="s">
        <v>219</v>
      </c>
      <c r="B109" s="12" t="s">
        <v>220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1" t="s">
        <v>199</v>
      </c>
      <c r="B110" s="19" t="s">
        <v>221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1" t="s">
        <v>222</v>
      </c>
      <c r="B111" s="12" t="s">
        <v>223</v>
      </c>
      <c r="C111" s="9">
        <v>0.5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1" t="s">
        <v>224</v>
      </c>
      <c r="B112" s="12" t="s">
        <v>225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1" t="s">
        <v>226</v>
      </c>
      <c r="B113" s="12" t="s">
        <v>227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1" t="s">
        <v>228</v>
      </c>
      <c r="B114" s="12" t="s">
        <v>229</v>
      </c>
      <c r="C114" s="9">
        <v>0.4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1" t="s">
        <v>230</v>
      </c>
      <c r="B115" s="12" t="s">
        <v>231</v>
      </c>
      <c r="C115" s="9">
        <v>0.4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1" t="s">
        <v>232</v>
      </c>
      <c r="B116" s="12" t="s">
        <v>233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1" t="s">
        <v>234</v>
      </c>
      <c r="B117" s="12" t="s">
        <v>235</v>
      </c>
      <c r="C117" s="9" t="s">
        <v>236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1" t="s">
        <v>237</v>
      </c>
      <c r="B118" s="12" t="s">
        <v>238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1" t="s">
        <v>239</v>
      </c>
      <c r="B119" s="12" t="s">
        <v>240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1" t="s">
        <v>241</v>
      </c>
      <c r="B120" s="12" t="s">
        <v>242</v>
      </c>
      <c r="C120" s="9">
        <v>0.1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1" t="s">
        <v>243</v>
      </c>
      <c r="B121" s="12" t="s">
        <v>244</v>
      </c>
      <c r="C121" s="9">
        <v>0.1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1" t="s">
        <v>245</v>
      </c>
      <c r="B122" s="12" t="s">
        <v>246</v>
      </c>
      <c r="C122" s="9">
        <v>0.1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1" t="s">
        <v>247</v>
      </c>
      <c r="B123" s="12" t="s">
        <v>248</v>
      </c>
      <c r="C123" s="9">
        <v>0.1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1" t="s">
        <v>249</v>
      </c>
      <c r="B124" s="12" t="s">
        <v>250</v>
      </c>
      <c r="C124" s="9">
        <v>0.5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1" t="s">
        <v>251</v>
      </c>
      <c r="B125" s="12" t="s">
        <v>252</v>
      </c>
      <c r="C125" s="9">
        <v>0.1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1" t="s">
        <v>253</v>
      </c>
      <c r="B126" s="12" t="s">
        <v>254</v>
      </c>
      <c r="C126" s="9">
        <v>0.1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1" t="s">
        <v>255</v>
      </c>
      <c r="B127" s="12" t="s">
        <v>256</v>
      </c>
      <c r="C127" s="9">
        <v>0.5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1" t="s">
        <v>257</v>
      </c>
      <c r="B128" s="12" t="s">
        <v>258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1" t="s">
        <v>259</v>
      </c>
      <c r="B129" s="7" t="s">
        <v>260</v>
      </c>
      <c r="C129" s="9">
        <v>0.1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1" t="s">
        <v>261</v>
      </c>
      <c r="B130" s="12" t="s">
        <v>262</v>
      </c>
      <c r="C130" s="9">
        <v>0.5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1" t="s">
        <v>263</v>
      </c>
      <c r="B131" s="12" t="s">
        <v>264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1" t="s">
        <v>265</v>
      </c>
      <c r="B132" s="20" t="s">
        <v>266</v>
      </c>
      <c r="C132" s="9">
        <v>0.5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1" t="s">
        <v>267</v>
      </c>
      <c r="B133" s="12" t="s">
        <v>268</v>
      </c>
      <c r="C133" s="9">
        <v>0.1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1" t="s">
        <v>269</v>
      </c>
      <c r="B134" s="12" t="s">
        <v>270</v>
      </c>
      <c r="C134" s="9">
        <v>0.1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1" t="s">
        <v>271</v>
      </c>
      <c r="B135" s="20" t="s">
        <v>272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1" t="s">
        <v>273</v>
      </c>
      <c r="B136" s="20" t="s">
        <v>274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1" t="s">
        <v>275</v>
      </c>
      <c r="B137" s="12" t="s">
        <v>276</v>
      </c>
      <c r="C137" s="9">
        <v>0.3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1" t="s">
        <v>277</v>
      </c>
      <c r="B138" s="12" t="s">
        <v>278</v>
      </c>
      <c r="C138" s="9">
        <v>0.5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1" t="s">
        <v>279</v>
      </c>
      <c r="B139" s="12" t="s">
        <v>280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1" t="s">
        <v>281</v>
      </c>
      <c r="B140" s="12" t="s">
        <v>282</v>
      </c>
      <c r="C140" s="9">
        <v>0.2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2" t="s">
        <v>283</v>
      </c>
      <c r="B141" s="12" t="s">
        <v>284</v>
      </c>
      <c r="C141" s="9">
        <v>0.3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1" t="s">
        <v>285</v>
      </c>
      <c r="B142" s="20" t="s">
        <v>286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1" t="s">
        <v>287</v>
      </c>
      <c r="B143" s="12" t="s">
        <v>288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1" t="s">
        <v>289</v>
      </c>
      <c r="B144" s="12" t="s">
        <v>290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1" t="s">
        <v>291</v>
      </c>
      <c r="B145" s="12" t="s">
        <v>292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2" t="s">
        <v>293</v>
      </c>
      <c r="B146" s="12" t="s">
        <v>293</v>
      </c>
      <c r="C146" s="9">
        <v>0.3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1" t="s">
        <v>294</v>
      </c>
      <c r="B147" s="12" t="s">
        <v>295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1" t="s">
        <v>296</v>
      </c>
      <c r="B148" s="12" t="s">
        <v>297</v>
      </c>
      <c r="C148" s="9">
        <v>0.5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1" t="s">
        <v>298</v>
      </c>
      <c r="B149" s="12" t="s">
        <v>299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1" t="s">
        <v>300</v>
      </c>
      <c r="B150" s="12" t="s">
        <v>301</v>
      </c>
      <c r="C150" s="9">
        <v>0.3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1" t="s">
        <v>302</v>
      </c>
      <c r="B151" s="12" t="s">
        <v>303</v>
      </c>
      <c r="C151" s="9">
        <v>0.3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1" t="s">
        <v>304</v>
      </c>
      <c r="B152" s="12" t="s">
        <v>305</v>
      </c>
      <c r="C152" s="9">
        <v>0.2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1" t="s">
        <v>306</v>
      </c>
      <c r="B153" s="12" t="s">
        <v>307</v>
      </c>
      <c r="C153" s="9">
        <v>0.3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1" t="s">
        <v>308</v>
      </c>
      <c r="B154" s="12" t="s">
        <v>309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1" t="s">
        <v>310</v>
      </c>
      <c r="B155" s="12" t="s">
        <v>311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1" t="s">
        <v>312</v>
      </c>
      <c r="B156" s="12" t="s">
        <v>313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1" t="s">
        <v>314</v>
      </c>
      <c r="B157" s="12" t="s">
        <v>315</v>
      </c>
      <c r="C157" s="9">
        <v>0.5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1" t="s">
        <v>316</v>
      </c>
      <c r="B158" s="7" t="s">
        <v>317</v>
      </c>
      <c r="C158" s="9">
        <v>0.1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1" t="s">
        <v>318</v>
      </c>
      <c r="B159" s="12" t="s">
        <v>319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1" t="s">
        <v>320</v>
      </c>
      <c r="B160" s="20" t="s">
        <v>321</v>
      </c>
      <c r="C160" s="9">
        <v>0.2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2" t="s">
        <v>322</v>
      </c>
      <c r="B161" s="12" t="s">
        <v>323</v>
      </c>
      <c r="C161" s="9">
        <v>0.3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1" t="s">
        <v>324</v>
      </c>
      <c r="B162" s="21" t="s">
        <v>325</v>
      </c>
      <c r="C162" s="9">
        <v>0.5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1" t="s">
        <v>326</v>
      </c>
      <c r="B163" s="13" t="s">
        <v>327</v>
      </c>
      <c r="C163" s="9">
        <v>0.5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1" t="s">
        <v>328</v>
      </c>
      <c r="B164" s="13" t="s">
        <v>329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1" t="s">
        <v>330</v>
      </c>
      <c r="B165" s="13" t="s">
        <v>331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1" t="s">
        <v>332</v>
      </c>
      <c r="B166" s="7" t="s">
        <v>333</v>
      </c>
      <c r="C166" s="9">
        <v>0.1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1" t="s">
        <v>334</v>
      </c>
      <c r="B167" s="13" t="s">
        <v>335</v>
      </c>
      <c r="C167" s="9">
        <v>0.5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1" t="s">
        <v>336</v>
      </c>
      <c r="B168" s="13" t="s">
        <v>337</v>
      </c>
      <c r="C168" s="9">
        <v>0.1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1" t="s">
        <v>338</v>
      </c>
      <c r="B169" s="13" t="s">
        <v>339</v>
      </c>
      <c r="C169" s="9">
        <v>0.5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1" t="s">
        <v>340</v>
      </c>
      <c r="B170" s="13" t="s">
        <v>341</v>
      </c>
      <c r="C170" s="9">
        <v>0.5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1" t="s">
        <v>342</v>
      </c>
      <c r="B171" s="12" t="s">
        <v>343</v>
      </c>
      <c r="C171" s="9">
        <v>0.5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1" t="s">
        <v>344</v>
      </c>
      <c r="B172" s="12" t="s">
        <v>345</v>
      </c>
      <c r="C172" s="9">
        <v>0.1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1" t="s">
        <v>346</v>
      </c>
      <c r="B173" s="12" t="s">
        <v>347</v>
      </c>
      <c r="C173" s="9">
        <v>0.3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1" t="s">
        <v>348</v>
      </c>
      <c r="B174" s="12" t="s">
        <v>349</v>
      </c>
      <c r="C174" s="9">
        <v>0.1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1" t="s">
        <v>350</v>
      </c>
      <c r="B175" s="20" t="s">
        <v>351</v>
      </c>
      <c r="C175" s="9">
        <v>0.1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1" t="s">
        <v>352</v>
      </c>
      <c r="B176" s="12" t="s">
        <v>353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1" t="s">
        <v>354</v>
      </c>
      <c r="B177" s="12" t="s">
        <v>355</v>
      </c>
      <c r="C177" s="9">
        <v>0.2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1" t="s">
        <v>356</v>
      </c>
      <c r="B178" s="12" t="s">
        <v>357</v>
      </c>
      <c r="C178" s="9">
        <v>0.3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1" t="s">
        <v>358</v>
      </c>
      <c r="B179" s="9" t="s">
        <v>359</v>
      </c>
      <c r="C179" s="9">
        <v>0.3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1" t="s">
        <v>360</v>
      </c>
      <c r="B180" s="9" t="s">
        <v>361</v>
      </c>
      <c r="C180" s="9">
        <v>0.5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1" t="s">
        <v>362</v>
      </c>
      <c r="B181" s="9" t="s">
        <v>363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1" t="s">
        <v>69</v>
      </c>
      <c r="B182" s="9" t="s">
        <v>364</v>
      </c>
      <c r="C182" s="9">
        <v>0.1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1" t="s">
        <v>365</v>
      </c>
      <c r="B183" s="9" t="s">
        <v>366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1" t="s">
        <v>367</v>
      </c>
      <c r="B184" s="9" t="s">
        <v>368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1" t="s">
        <v>369</v>
      </c>
      <c r="B185" s="22" t="s">
        <v>370</v>
      </c>
      <c r="C185" s="9">
        <v>0.5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1" t="s">
        <v>371</v>
      </c>
      <c r="B186" s="23" t="s">
        <v>372</v>
      </c>
      <c r="C186" s="9">
        <v>0.1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1" t="s">
        <v>373</v>
      </c>
      <c r="B187" s="23" t="s">
        <v>374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1" t="s">
        <v>375</v>
      </c>
      <c r="B188" s="23" t="s">
        <v>376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1" t="s">
        <v>377</v>
      </c>
      <c r="B189" s="23" t="s">
        <v>378</v>
      </c>
      <c r="C189" s="10"/>
      <c r="D189" s="10"/>
      <c r="E189" s="9" t="s">
        <v>18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1" t="s">
        <v>379</v>
      </c>
      <c r="B190" s="22" t="s">
        <v>380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1" t="s">
        <v>381</v>
      </c>
      <c r="B191" s="9" t="s">
        <v>382</v>
      </c>
      <c r="C191" s="9">
        <v>0.5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1" t="s">
        <v>383</v>
      </c>
      <c r="B192" s="9" t="s">
        <v>384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1" t="s">
        <v>385</v>
      </c>
      <c r="B193" s="9" t="s">
        <v>386</v>
      </c>
      <c r="C193" s="9">
        <v>0.5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1" t="s">
        <v>387</v>
      </c>
      <c r="B194" s="9" t="s">
        <v>388</v>
      </c>
      <c r="C194" s="9">
        <v>0.3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1" t="s">
        <v>389</v>
      </c>
      <c r="B195" s="9" t="s">
        <v>390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1" t="s">
        <v>391</v>
      </c>
      <c r="B196" s="9" t="s">
        <v>392</v>
      </c>
      <c r="C196" s="9">
        <v>0.5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1" t="s">
        <v>393</v>
      </c>
      <c r="B197" s="9" t="s">
        <v>394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1" t="s">
        <v>395</v>
      </c>
      <c r="B198" s="9" t="s">
        <v>396</v>
      </c>
      <c r="C198" s="9">
        <v>0.5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1" t="s">
        <v>397</v>
      </c>
      <c r="B199" s="9" t="s">
        <v>398</v>
      </c>
      <c r="C199" s="9">
        <v>0.5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1" t="s">
        <v>399</v>
      </c>
      <c r="B200" s="9" t="s">
        <v>400</v>
      </c>
      <c r="C200" s="9">
        <v>0.3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1" t="s">
        <v>401</v>
      </c>
      <c r="B201" s="9" t="s">
        <v>402</v>
      </c>
      <c r="C201" s="9">
        <v>0.5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1" t="s">
        <v>403</v>
      </c>
      <c r="B202" s="9" t="s">
        <v>404</v>
      </c>
      <c r="C202" s="9">
        <v>0.5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1" t="s">
        <v>405</v>
      </c>
      <c r="B203" s="9" t="s">
        <v>406</v>
      </c>
      <c r="C203" s="9">
        <v>0.5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1" t="s">
        <v>407</v>
      </c>
      <c r="B204" s="9" t="s">
        <v>408</v>
      </c>
      <c r="C204" s="9">
        <v>0.5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1" t="s">
        <v>409</v>
      </c>
      <c r="B205" s="9" t="s">
        <v>410</v>
      </c>
      <c r="C205" s="9">
        <v>0.5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1" t="s">
        <v>411</v>
      </c>
      <c r="B206" s="9" t="s">
        <v>412</v>
      </c>
      <c r="C206" s="9">
        <v>0.2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1" t="s">
        <v>413</v>
      </c>
      <c r="B207" s="9" t="s">
        <v>414</v>
      </c>
      <c r="C207" s="9">
        <v>0.5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1" t="s">
        <v>415</v>
      </c>
      <c r="B208" s="9" t="s">
        <v>416</v>
      </c>
      <c r="C208" s="9">
        <v>0.5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1" t="s">
        <v>417</v>
      </c>
      <c r="B209" s="9" t="s">
        <v>418</v>
      </c>
      <c r="C209" s="9">
        <v>0.5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1" t="s">
        <v>41</v>
      </c>
      <c r="B210" s="9" t="s">
        <v>42</v>
      </c>
      <c r="C210" s="9">
        <v>0.5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1" t="s">
        <v>419</v>
      </c>
      <c r="B211" s="9" t="s">
        <v>420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1" t="s">
        <v>421</v>
      </c>
      <c r="B212" s="9" t="s">
        <v>422</v>
      </c>
      <c r="C212" s="9">
        <v>0.5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1" t="s">
        <v>423</v>
      </c>
      <c r="B213" s="9" t="s">
        <v>424</v>
      </c>
      <c r="C213" s="9">
        <v>0.5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1" t="s">
        <v>425</v>
      </c>
      <c r="B214" s="9" t="s">
        <v>426</v>
      </c>
      <c r="C214" s="9">
        <v>0.5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1" t="s">
        <v>427</v>
      </c>
      <c r="B215" s="9" t="s">
        <v>428</v>
      </c>
      <c r="C215" s="9">
        <v>0.5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1" t="s">
        <v>429</v>
      </c>
      <c r="B216" s="9" t="s">
        <v>430</v>
      </c>
      <c r="C216" s="9">
        <v>0.5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1" t="s">
        <v>431</v>
      </c>
      <c r="B217" s="9" t="s">
        <v>432</v>
      </c>
      <c r="C217" s="9">
        <v>0.5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1" t="s">
        <v>433</v>
      </c>
      <c r="B218" s="9" t="s">
        <v>434</v>
      </c>
      <c r="C218" s="9">
        <v>0.5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1" t="s">
        <v>435</v>
      </c>
      <c r="B219" s="9" t="s">
        <v>436</v>
      </c>
      <c r="C219" s="9">
        <v>0.5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1" t="s">
        <v>437</v>
      </c>
      <c r="B220" s="9" t="s">
        <v>438</v>
      </c>
      <c r="C220" s="9">
        <v>0.5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1" t="s">
        <v>439</v>
      </c>
      <c r="B221" s="9" t="s">
        <v>440</v>
      </c>
      <c r="C221" s="9">
        <v>0.1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1" t="s">
        <v>441</v>
      </c>
      <c r="B222" s="9" t="s">
        <v>442</v>
      </c>
      <c r="C222" s="9">
        <v>0.3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1" t="s">
        <v>443</v>
      </c>
      <c r="B223" s="9" t="s">
        <v>444</v>
      </c>
      <c r="C223" s="9">
        <v>0.3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1" t="s">
        <v>445</v>
      </c>
      <c r="B224" s="9" t="s">
        <v>446</v>
      </c>
      <c r="C224" s="9">
        <v>0.3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1" t="s">
        <v>447</v>
      </c>
      <c r="B225" s="9" t="s">
        <v>448</v>
      </c>
      <c r="C225" s="9">
        <v>0.3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1" t="s">
        <v>449</v>
      </c>
      <c r="B226" s="9" t="s">
        <v>450</v>
      </c>
      <c r="C226" s="9">
        <v>0.3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1" t="s">
        <v>451</v>
      </c>
      <c r="B227" s="9" t="s">
        <v>452</v>
      </c>
      <c r="C227" s="9">
        <v>0.3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1" t="s">
        <v>453</v>
      </c>
      <c r="B228" s="9" t="s">
        <v>454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1" t="s">
        <v>455</v>
      </c>
      <c r="B229" s="9" t="s">
        <v>456</v>
      </c>
      <c r="C229" s="9">
        <v>0.2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1" t="s">
        <v>457</v>
      </c>
      <c r="B230" s="9" t="s">
        <v>458</v>
      </c>
      <c r="C230" s="9">
        <v>0.3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1" t="s">
        <v>459</v>
      </c>
      <c r="B231" s="9" t="s">
        <v>460</v>
      </c>
      <c r="C231" s="9">
        <v>0.3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1" t="s">
        <v>461</v>
      </c>
      <c r="B232" s="9" t="s">
        <v>462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1" t="s">
        <v>463</v>
      </c>
      <c r="B233" s="9" t="s">
        <v>464</v>
      </c>
      <c r="C233" s="9">
        <v>0.3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1" t="s">
        <v>465</v>
      </c>
      <c r="B234" s="9" t="s">
        <v>466</v>
      </c>
      <c r="C234" s="9">
        <v>0.5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1" t="s">
        <v>467</v>
      </c>
      <c r="B235" s="9" t="s">
        <v>13</v>
      </c>
      <c r="C235" s="9">
        <v>0.2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1" t="s">
        <v>287</v>
      </c>
      <c r="B236" s="9" t="s">
        <v>288</v>
      </c>
      <c r="C236" s="9">
        <v>0.2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1" t="s">
        <v>468</v>
      </c>
      <c r="B237" s="9" t="s">
        <v>469</v>
      </c>
      <c r="C237" s="9">
        <v>0.3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1" t="s">
        <v>470</v>
      </c>
      <c r="B238" s="9" t="s">
        <v>471</v>
      </c>
      <c r="C238" s="9">
        <v>0.5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1" t="s">
        <v>472</v>
      </c>
      <c r="B239" s="9" t="s">
        <v>473</v>
      </c>
      <c r="C239" s="9">
        <v>0.5</v>
      </c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1" t="s">
        <v>474</v>
      </c>
      <c r="B240" s="9" t="s">
        <v>475</v>
      </c>
      <c r="C240" s="9">
        <v>0.2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1" t="s">
        <v>476</v>
      </c>
      <c r="B241" s="9" t="s">
        <v>477</v>
      </c>
      <c r="C241" s="9">
        <v>0.5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1" t="s">
        <v>478</v>
      </c>
      <c r="B242" s="9" t="s">
        <v>479</v>
      </c>
      <c r="C242" s="9">
        <v>0.3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1" t="s">
        <v>480</v>
      </c>
      <c r="B243" s="9" t="s">
        <v>481</v>
      </c>
      <c r="C243" s="9">
        <v>0.1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1" t="s">
        <v>482</v>
      </c>
      <c r="B244" s="9" t="s">
        <v>483</v>
      </c>
      <c r="C244" s="9">
        <v>0.2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1" t="s">
        <v>484</v>
      </c>
      <c r="B245" s="9" t="s">
        <v>485</v>
      </c>
      <c r="C245" s="9">
        <v>0.3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1" t="s">
        <v>486</v>
      </c>
      <c r="B246" s="9" t="s">
        <v>487</v>
      </c>
      <c r="C246" s="9">
        <v>0.1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1" t="s">
        <v>488</v>
      </c>
      <c r="B247" s="9" t="s">
        <v>489</v>
      </c>
      <c r="C247" s="9">
        <v>0.1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1" t="s">
        <v>490</v>
      </c>
      <c r="B248" s="24" t="s">
        <v>491</v>
      </c>
      <c r="C248" s="9">
        <v>0.1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1" t="s">
        <v>492</v>
      </c>
      <c r="B249" s="9" t="s">
        <v>493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1" t="s">
        <v>494</v>
      </c>
      <c r="B250" s="9" t="s">
        <v>495</v>
      </c>
      <c r="C250" s="9">
        <v>0.5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1" t="s">
        <v>496</v>
      </c>
      <c r="B251" s="9" t="s">
        <v>497</v>
      </c>
      <c r="C251" s="9">
        <v>0.1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1" t="s">
        <v>498</v>
      </c>
      <c r="B252" s="9" t="s">
        <v>499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1" t="s">
        <v>500</v>
      </c>
      <c r="B253" s="9" t="s">
        <v>501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1" t="s">
        <v>502</v>
      </c>
      <c r="B254" s="9" t="s">
        <v>503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1" t="s">
        <v>504</v>
      </c>
      <c r="B255" s="9" t="s">
        <v>505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1" t="s">
        <v>506</v>
      </c>
      <c r="B256" s="9" t="s">
        <v>507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1" t="s">
        <v>508</v>
      </c>
      <c r="B257" s="9" t="s">
        <v>509</v>
      </c>
      <c r="C257" s="9">
        <v>0.1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1" t="s">
        <v>510</v>
      </c>
      <c r="B258" s="9" t="s">
        <v>511</v>
      </c>
      <c r="C258" s="9">
        <v>0.4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1" t="s">
        <v>512</v>
      </c>
      <c r="B259" s="9" t="s">
        <v>513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1" t="s">
        <v>514</v>
      </c>
      <c r="B260" s="9" t="s">
        <v>515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1" t="s">
        <v>516</v>
      </c>
      <c r="B261" s="9" t="s">
        <v>517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1" t="s">
        <v>518</v>
      </c>
      <c r="B262" s="9" t="s">
        <v>519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1" t="s">
        <v>520</v>
      </c>
      <c r="B263" s="9" t="s">
        <v>521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1" t="s">
        <v>522</v>
      </c>
      <c r="B264" s="9" t="s">
        <v>523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1" t="s">
        <v>524</v>
      </c>
      <c r="B265" s="9" t="s">
        <v>525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1" t="s">
        <v>526</v>
      </c>
      <c r="B266" s="9" t="s">
        <v>527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1" t="s">
        <v>528</v>
      </c>
      <c r="B267" s="9" t="s">
        <v>529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1" t="s">
        <v>530</v>
      </c>
      <c r="B268" s="9" t="s">
        <v>531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1" t="s">
        <v>532</v>
      </c>
      <c r="B269" s="9" t="s">
        <v>533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1" t="s">
        <v>534</v>
      </c>
      <c r="B270" s="9" t="s">
        <v>535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1" t="s">
        <v>536</v>
      </c>
      <c r="B271" s="9" t="s">
        <v>537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1" t="s">
        <v>538</v>
      </c>
      <c r="B272" s="8" t="s">
        <v>539</v>
      </c>
      <c r="C272" s="9">
        <v>0.5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1" t="s">
        <v>540</v>
      </c>
      <c r="B273" s="9" t="s">
        <v>541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1" t="s">
        <v>542</v>
      </c>
      <c r="B274" s="9" t="s">
        <v>543</v>
      </c>
      <c r="C274" s="10"/>
      <c r="D274" s="9" t="s">
        <v>18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1" t="s">
        <v>544</v>
      </c>
      <c r="B275" s="9" t="s">
        <v>545</v>
      </c>
      <c r="C275" s="9">
        <v>0.5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1" t="s">
        <v>546</v>
      </c>
      <c r="B276" s="9" t="s">
        <v>547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1" t="s">
        <v>548</v>
      </c>
      <c r="B277" s="9" t="s">
        <v>549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1" t="s">
        <v>550</v>
      </c>
      <c r="B278" s="9" t="s">
        <v>551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1" t="s">
        <v>552</v>
      </c>
      <c r="B279" s="9" t="s">
        <v>553</v>
      </c>
      <c r="C279" s="9">
        <v>0.3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1" t="s">
        <v>554</v>
      </c>
      <c r="B280" s="9" t="s">
        <v>554</v>
      </c>
      <c r="C280" s="9">
        <v>0.3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1" t="s">
        <v>555</v>
      </c>
      <c r="B281" s="9" t="s">
        <v>556</v>
      </c>
      <c r="C281" s="9">
        <v>0.3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1" t="s">
        <v>557</v>
      </c>
      <c r="B282" s="9" t="s">
        <v>558</v>
      </c>
      <c r="C282" s="9">
        <v>0.3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1" t="s">
        <v>559</v>
      </c>
      <c r="B283" s="9" t="s">
        <v>560</v>
      </c>
      <c r="C283" s="9">
        <v>0.1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1" t="s">
        <v>561</v>
      </c>
      <c r="B284" s="9" t="s">
        <v>562</v>
      </c>
      <c r="C284" s="9">
        <v>0.1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1" t="s">
        <v>563</v>
      </c>
      <c r="B285" s="9" t="s">
        <v>564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1" t="s">
        <v>565</v>
      </c>
      <c r="B286" s="9" t="s">
        <v>566</v>
      </c>
      <c r="C286" s="9">
        <v>0.1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1" t="s">
        <v>567</v>
      </c>
      <c r="B287" s="17" t="s">
        <v>568</v>
      </c>
      <c r="C287" s="9">
        <v>0.2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1" t="s">
        <v>569</v>
      </c>
      <c r="B288" s="9" t="s">
        <v>570</v>
      </c>
      <c r="C288" s="9">
        <v>0.1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1" t="s">
        <v>571</v>
      </c>
      <c r="B289" s="9" t="s">
        <v>572</v>
      </c>
      <c r="C289" s="9">
        <v>0.1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1" t="s">
        <v>573</v>
      </c>
      <c r="B290" s="9" t="s">
        <v>574</v>
      </c>
      <c r="C290" s="9">
        <v>0.1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25" t="s">
        <v>575</v>
      </c>
      <c r="B291" s="9" t="s">
        <v>576</v>
      </c>
      <c r="C291" s="9">
        <v>0.2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25" t="s">
        <v>577</v>
      </c>
      <c r="B292" s="9" t="s">
        <v>578</v>
      </c>
      <c r="C292" s="9">
        <v>0.2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1" t="s">
        <v>579</v>
      </c>
      <c r="B293" s="9" t="s">
        <v>580</v>
      </c>
      <c r="C293" s="9">
        <v>0.2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1" t="s">
        <v>581</v>
      </c>
      <c r="B294" s="9" t="s">
        <v>582</v>
      </c>
      <c r="C294" s="9">
        <v>0.1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1" t="s">
        <v>583</v>
      </c>
      <c r="B295" s="9" t="s">
        <v>584</v>
      </c>
      <c r="C295" s="9">
        <v>0.2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1" t="s">
        <v>585</v>
      </c>
      <c r="B296" s="9" t="s">
        <v>586</v>
      </c>
      <c r="C296" s="9">
        <v>0.1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1" t="s">
        <v>277</v>
      </c>
      <c r="B297" s="9" t="s">
        <v>587</v>
      </c>
      <c r="C297" s="9" t="s">
        <v>236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1" t="s">
        <v>588</v>
      </c>
      <c r="B298" s="9" t="s">
        <v>589</v>
      </c>
      <c r="C298" s="9">
        <v>0.1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1" t="s">
        <v>590</v>
      </c>
      <c r="B299" s="9" t="s">
        <v>591</v>
      </c>
      <c r="C299" s="9">
        <v>0.1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1" t="s">
        <v>592</v>
      </c>
      <c r="B300" s="9" t="s">
        <v>593</v>
      </c>
      <c r="C300" s="9">
        <v>0.1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1" t="s">
        <v>594</v>
      </c>
      <c r="B301" s="9" t="s">
        <v>595</v>
      </c>
      <c r="C301" s="9">
        <v>0.1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1" t="s">
        <v>596</v>
      </c>
      <c r="B302" s="9" t="s">
        <v>597</v>
      </c>
      <c r="C302" s="9">
        <v>0.1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1" t="s">
        <v>598</v>
      </c>
      <c r="B303" s="9" t="s">
        <v>599</v>
      </c>
      <c r="C303" s="9">
        <v>0.1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1" t="s">
        <v>600</v>
      </c>
      <c r="B304" s="9" t="s">
        <v>601</v>
      </c>
      <c r="C304" s="9">
        <v>0.1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9" t="s">
        <v>602</v>
      </c>
      <c r="B305" s="9" t="s">
        <v>602</v>
      </c>
      <c r="C305" s="9">
        <v>0.3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1" t="s">
        <v>603</v>
      </c>
      <c r="B306" s="9" t="s">
        <v>604</v>
      </c>
      <c r="C306" s="9">
        <v>0.1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1" t="s">
        <v>352</v>
      </c>
      <c r="B307" s="9" t="s">
        <v>605</v>
      </c>
      <c r="C307" s="9">
        <v>0.1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1" t="s">
        <v>606</v>
      </c>
      <c r="B308" s="9" t="s">
        <v>607</v>
      </c>
      <c r="C308" s="9">
        <v>0.2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1" t="s">
        <v>608</v>
      </c>
      <c r="B309" s="9" t="s">
        <v>609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1" t="s">
        <v>610</v>
      </c>
      <c r="B310" s="9" t="s">
        <v>611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1" t="s">
        <v>612</v>
      </c>
      <c r="B311" s="9" t="s">
        <v>613</v>
      </c>
      <c r="C311" s="9">
        <v>0.1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1" t="s">
        <v>614</v>
      </c>
      <c r="B312" s="9" t="s">
        <v>615</v>
      </c>
      <c r="C312" s="9">
        <v>0.1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1" t="s">
        <v>616</v>
      </c>
      <c r="B313" s="9" t="s">
        <v>617</v>
      </c>
      <c r="C313" s="9">
        <v>0.2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1" t="s">
        <v>618</v>
      </c>
      <c r="B314" s="9" t="s">
        <v>619</v>
      </c>
      <c r="C314" s="9" t="s">
        <v>236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1" t="s">
        <v>620</v>
      </c>
      <c r="B315" s="9" t="s">
        <v>621</v>
      </c>
      <c r="C315" s="9">
        <v>0.2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1" t="s">
        <v>622</v>
      </c>
      <c r="B316" s="9" t="s">
        <v>623</v>
      </c>
      <c r="C316" s="9">
        <v>0.1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1" t="s">
        <v>624</v>
      </c>
      <c r="B317" s="9" t="s">
        <v>625</v>
      </c>
      <c r="C317" s="9">
        <v>0.1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1" t="s">
        <v>626</v>
      </c>
      <c r="B318" s="9" t="s">
        <v>627</v>
      </c>
      <c r="C318" s="9">
        <v>0.1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1" t="s">
        <v>628</v>
      </c>
      <c r="B319" s="9" t="s">
        <v>629</v>
      </c>
      <c r="C319" s="9">
        <v>0.1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1" t="s">
        <v>630</v>
      </c>
      <c r="B320" s="9" t="s">
        <v>631</v>
      </c>
      <c r="C320" s="9">
        <v>0.1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1" t="s">
        <v>632</v>
      </c>
      <c r="B321" s="9" t="s">
        <v>633</v>
      </c>
      <c r="C321" s="9">
        <v>0.1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1" t="s">
        <v>634</v>
      </c>
      <c r="B322" s="9" t="s">
        <v>635</v>
      </c>
      <c r="C322" s="9">
        <v>0.1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1" t="s">
        <v>636</v>
      </c>
      <c r="B323" s="9" t="s">
        <v>637</v>
      </c>
      <c r="C323" s="9">
        <v>0.1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1" t="s">
        <v>638</v>
      </c>
      <c r="B324" s="9" t="s">
        <v>639</v>
      </c>
      <c r="C324" s="9">
        <v>0.1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1" t="s">
        <v>640</v>
      </c>
      <c r="B325" s="9" t="s">
        <v>641</v>
      </c>
      <c r="C325" s="9">
        <v>0.1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1" t="s">
        <v>642</v>
      </c>
      <c r="B326" s="9" t="s">
        <v>643</v>
      </c>
      <c r="C326" s="9">
        <v>0.2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1" t="s">
        <v>644</v>
      </c>
      <c r="B327" s="9" t="s">
        <v>645</v>
      </c>
      <c r="C327" s="9">
        <v>0.2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1" t="s">
        <v>646</v>
      </c>
      <c r="B328" s="9" t="s">
        <v>647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1" t="s">
        <v>648</v>
      </c>
      <c r="B329" s="9" t="s">
        <v>649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1" t="s">
        <v>650</v>
      </c>
      <c r="B330" s="9" t="s">
        <v>651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1" t="s">
        <v>652</v>
      </c>
      <c r="B331" s="9" t="s">
        <v>653</v>
      </c>
      <c r="C331" s="9">
        <v>0.2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1" t="s">
        <v>654</v>
      </c>
      <c r="B332" s="9" t="s">
        <v>655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1" t="s">
        <v>656</v>
      </c>
      <c r="B333" s="9" t="s">
        <v>657</v>
      </c>
      <c r="C333" s="9">
        <v>0.1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25" t="s">
        <v>658</v>
      </c>
      <c r="B334" s="9" t="s">
        <v>659</v>
      </c>
      <c r="C334" s="9">
        <v>0.2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1" t="s">
        <v>660</v>
      </c>
      <c r="B335" s="17" t="s">
        <v>661</v>
      </c>
      <c r="C335" s="9">
        <v>0.2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1" t="s">
        <v>662</v>
      </c>
      <c r="B336" s="9" t="s">
        <v>663</v>
      </c>
      <c r="C336" s="9">
        <v>0.2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1" t="s">
        <v>664</v>
      </c>
      <c r="B337" s="9" t="s">
        <v>665</v>
      </c>
      <c r="C337" s="9">
        <v>0.2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1" t="s">
        <v>666</v>
      </c>
      <c r="B338" s="9" t="s">
        <v>667</v>
      </c>
      <c r="C338" s="9">
        <v>0.2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1" t="s">
        <v>668</v>
      </c>
      <c r="B339" s="9" t="s">
        <v>669</v>
      </c>
      <c r="C339" s="9">
        <v>0.2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1" t="s">
        <v>670</v>
      </c>
      <c r="B340" s="17" t="s">
        <v>671</v>
      </c>
      <c r="C340" s="9">
        <v>0.2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1" t="s">
        <v>672</v>
      </c>
      <c r="B341" s="9" t="s">
        <v>673</v>
      </c>
      <c r="C341" s="9">
        <v>0.3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1" t="s">
        <v>674</v>
      </c>
      <c r="B342" s="9" t="s">
        <v>675</v>
      </c>
      <c r="C342" s="9">
        <v>0.1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1" t="s">
        <v>676</v>
      </c>
      <c r="B343" s="9" t="s">
        <v>677</v>
      </c>
      <c r="C343" s="9">
        <v>0.4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1" t="s">
        <v>678</v>
      </c>
      <c r="B344" s="9" t="s">
        <v>679</v>
      </c>
      <c r="C344" s="9">
        <v>0.1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1" t="s">
        <v>680</v>
      </c>
      <c r="B345" s="9" t="s">
        <v>681</v>
      </c>
      <c r="C345" s="9">
        <v>0.1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1" t="s">
        <v>682</v>
      </c>
      <c r="B346" s="9" t="s">
        <v>683</v>
      </c>
      <c r="C346" s="9">
        <v>0.1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1" t="s">
        <v>684</v>
      </c>
      <c r="B347" s="9" t="s">
        <v>685</v>
      </c>
      <c r="C347" s="9">
        <v>0.1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1" t="s">
        <v>686</v>
      </c>
      <c r="B348" s="9" t="s">
        <v>687</v>
      </c>
      <c r="C348" s="9">
        <v>0.1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1" t="s">
        <v>688</v>
      </c>
      <c r="B349" s="9" t="s">
        <v>689</v>
      </c>
      <c r="C349" s="9">
        <v>0.1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1" t="s">
        <v>690</v>
      </c>
      <c r="B350" s="9" t="s">
        <v>691</v>
      </c>
      <c r="C350" s="9">
        <v>0.1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1" t="s">
        <v>692</v>
      </c>
      <c r="B351" s="9" t="s">
        <v>693</v>
      </c>
      <c r="C351" s="9">
        <v>0.1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1" t="s">
        <v>694</v>
      </c>
      <c r="B352" s="9" t="s">
        <v>695</v>
      </c>
      <c r="C352" s="9">
        <v>0.1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1" t="s">
        <v>696</v>
      </c>
      <c r="B353" s="9" t="s">
        <v>697</v>
      </c>
      <c r="C353" s="9">
        <v>0.1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1" t="s">
        <v>698</v>
      </c>
      <c r="B354" s="9" t="s">
        <v>699</v>
      </c>
      <c r="C354" s="9">
        <v>0.5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1" t="s">
        <v>700</v>
      </c>
      <c r="B355" s="9" t="s">
        <v>701</v>
      </c>
      <c r="C355" s="9">
        <v>0.5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1" t="s">
        <v>702</v>
      </c>
      <c r="B356" s="9" t="s">
        <v>703</v>
      </c>
      <c r="C356" s="9">
        <v>0.5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1" t="s">
        <v>704</v>
      </c>
      <c r="B357" s="9" t="s">
        <v>705</v>
      </c>
      <c r="C357" s="9">
        <v>0.5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1" t="s">
        <v>706</v>
      </c>
      <c r="B358" s="11" t="s">
        <v>707</v>
      </c>
      <c r="C358" s="9">
        <v>0.1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1" t="s">
        <v>708</v>
      </c>
      <c r="B359" s="9" t="s">
        <v>709</v>
      </c>
      <c r="C359" s="9" t="s">
        <v>236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9" t="s">
        <v>710</v>
      </c>
      <c r="B360" s="9" t="s">
        <v>711</v>
      </c>
      <c r="C360" s="9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1" t="s">
        <v>712</v>
      </c>
      <c r="B361" s="9" t="s">
        <v>713</v>
      </c>
      <c r="C361" s="9">
        <v>0.2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1" t="s">
        <v>714</v>
      </c>
      <c r="B362" s="9" t="s">
        <v>715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1" t="s">
        <v>716</v>
      </c>
      <c r="B363" s="9" t="s">
        <v>717</v>
      </c>
      <c r="C363" s="9">
        <v>0.2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1" t="s">
        <v>718</v>
      </c>
      <c r="B364" s="9" t="s">
        <v>719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1" t="s">
        <v>720</v>
      </c>
      <c r="B365" s="9" t="s">
        <v>721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1" t="s">
        <v>722</v>
      </c>
      <c r="B366" s="9" t="s">
        <v>723</v>
      </c>
      <c r="C366" s="9">
        <v>0.3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1" t="s">
        <v>724</v>
      </c>
      <c r="B367" s="9" t="s">
        <v>725</v>
      </c>
      <c r="C367" s="9">
        <v>0.2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1" t="s">
        <v>726</v>
      </c>
      <c r="B368" s="9" t="s">
        <v>727</v>
      </c>
      <c r="C368" s="9">
        <v>0.2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1" t="s">
        <v>728</v>
      </c>
      <c r="B369" s="9" t="s">
        <v>729</v>
      </c>
      <c r="C369" s="9">
        <v>0.2</v>
      </c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1" t="s">
        <v>730</v>
      </c>
      <c r="B370" s="9" t="s">
        <v>731</v>
      </c>
      <c r="C370" s="9">
        <v>0.5</v>
      </c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1" t="s">
        <v>732</v>
      </c>
      <c r="B371" s="9" t="s">
        <v>733</v>
      </c>
      <c r="C371" s="9">
        <v>0.3</v>
      </c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1" t="s">
        <v>734</v>
      </c>
      <c r="B372" s="9" t="s">
        <v>735</v>
      </c>
      <c r="C372" s="9">
        <v>0.5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1" t="s">
        <v>736</v>
      </c>
      <c r="B373" s="9" t="s">
        <v>737</v>
      </c>
      <c r="C373" s="9">
        <v>0.5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1" t="s">
        <v>738</v>
      </c>
      <c r="B374" s="9" t="s">
        <v>739</v>
      </c>
      <c r="C374" s="9">
        <v>0.4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1" t="s">
        <v>740</v>
      </c>
      <c r="B375" s="9" t="s">
        <v>741</v>
      </c>
      <c r="C375" s="9">
        <v>0.1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1" t="s">
        <v>742</v>
      </c>
      <c r="B376" s="9" t="s">
        <v>743</v>
      </c>
      <c r="C376" s="9">
        <v>0.3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1" t="s">
        <v>744</v>
      </c>
      <c r="B377" s="9" t="s">
        <v>745</v>
      </c>
      <c r="C377" s="9">
        <v>0.4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1" t="s">
        <v>746</v>
      </c>
      <c r="B378" s="9" t="s">
        <v>747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1" t="s">
        <v>748</v>
      </c>
      <c r="B379" s="9" t="s">
        <v>749</v>
      </c>
      <c r="C379" s="9">
        <v>0.1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1" t="s">
        <v>750</v>
      </c>
      <c r="B380" s="9" t="s">
        <v>751</v>
      </c>
      <c r="C380" s="9" t="s">
        <v>236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1" t="s">
        <v>752</v>
      </c>
      <c r="B381" s="9" t="s">
        <v>753</v>
      </c>
      <c r="C381" s="9">
        <v>0.3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25" t="s">
        <v>754</v>
      </c>
      <c r="B382" s="25" t="s">
        <v>755</v>
      </c>
      <c r="C382" s="9">
        <v>0.3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1" t="s">
        <v>756</v>
      </c>
      <c r="B383" s="9" t="s">
        <v>757</v>
      </c>
      <c r="C383" s="9">
        <v>0.5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1" t="s">
        <v>758</v>
      </c>
      <c r="B384" s="9" t="s">
        <v>759</v>
      </c>
      <c r="C384" s="9">
        <v>0.5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1" t="s">
        <v>760</v>
      </c>
      <c r="B385" s="9" t="s">
        <v>761</v>
      </c>
      <c r="C385" s="9">
        <v>0.5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1" t="s">
        <v>762</v>
      </c>
      <c r="B386" s="9" t="s">
        <v>763</v>
      </c>
      <c r="C386" s="9">
        <v>0.5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1" t="s">
        <v>764</v>
      </c>
      <c r="B387" s="9" t="s">
        <v>765</v>
      </c>
      <c r="C387" s="9">
        <v>0.5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1" t="s">
        <v>766</v>
      </c>
      <c r="B388" s="9" t="s">
        <v>767</v>
      </c>
      <c r="C388" s="9">
        <v>0.2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9" t="s">
        <v>768</v>
      </c>
      <c r="B389" s="9" t="s">
        <v>769</v>
      </c>
      <c r="C389" s="9">
        <v>0.5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1" t="s">
        <v>770</v>
      </c>
      <c r="B390" s="9" t="s">
        <v>771</v>
      </c>
      <c r="C390" s="9">
        <v>0.3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1" t="s">
        <v>772</v>
      </c>
      <c r="B391" s="9" t="s">
        <v>773</v>
      </c>
      <c r="C391" s="9">
        <v>0.5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1" t="s">
        <v>774</v>
      </c>
      <c r="B392" s="9" t="s">
        <v>775</v>
      </c>
      <c r="C392" s="9">
        <v>0.2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1" t="s">
        <v>776</v>
      </c>
      <c r="B393" s="9" t="s">
        <v>777</v>
      </c>
      <c r="C393" s="9">
        <v>0.2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1" t="s">
        <v>778</v>
      </c>
      <c r="B394" s="9" t="s">
        <v>779</v>
      </c>
      <c r="C394" s="9">
        <v>0.2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1" t="s">
        <v>780</v>
      </c>
      <c r="B395" s="9" t="s">
        <v>781</v>
      </c>
      <c r="C395" s="9">
        <v>0.2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1" t="s">
        <v>782</v>
      </c>
      <c r="B396" s="9" t="s">
        <v>783</v>
      </c>
      <c r="C396" s="9">
        <v>0.3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1" t="s">
        <v>784</v>
      </c>
      <c r="B397" s="17" t="s">
        <v>785</v>
      </c>
      <c r="C397" s="9">
        <v>0.2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1" t="s">
        <v>786</v>
      </c>
      <c r="B398" s="26" t="s">
        <v>787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1" t="s">
        <v>788</v>
      </c>
      <c r="B399" s="26" t="s">
        <v>789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1" t="s">
        <v>790</v>
      </c>
      <c r="B400" s="9" t="s">
        <v>791</v>
      </c>
      <c r="C400" s="9">
        <v>0.5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1" t="s">
        <v>792</v>
      </c>
      <c r="B401" s="9" t="s">
        <v>793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1" t="s">
        <v>794</v>
      </c>
      <c r="B402" s="9" t="s">
        <v>795</v>
      </c>
      <c r="C402" s="9">
        <v>0.5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1" t="s">
        <v>796</v>
      </c>
      <c r="B403" s="9" t="s">
        <v>797</v>
      </c>
      <c r="C403" s="9">
        <v>0.5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1" t="s">
        <v>798</v>
      </c>
      <c r="B404" s="9" t="s">
        <v>799</v>
      </c>
      <c r="C404" s="9">
        <v>0.1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1" t="s">
        <v>113</v>
      </c>
      <c r="B405" s="9" t="s">
        <v>394</v>
      </c>
      <c r="C405" s="9">
        <v>0.1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1" t="s">
        <v>800</v>
      </c>
      <c r="B406" s="9" t="s">
        <v>801</v>
      </c>
      <c r="C406" s="9">
        <v>0.1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1" t="s">
        <v>802</v>
      </c>
      <c r="B407" s="9" t="s">
        <v>803</v>
      </c>
      <c r="C407" s="9">
        <v>0.1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1" t="s">
        <v>804</v>
      </c>
      <c r="B408" s="9" t="s">
        <v>805</v>
      </c>
      <c r="C408" s="9">
        <v>0.1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1" t="s">
        <v>806</v>
      </c>
      <c r="B409" s="9" t="s">
        <v>807</v>
      </c>
      <c r="C409" s="9">
        <v>0.1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1" t="s">
        <v>808</v>
      </c>
      <c r="B410" s="9" t="s">
        <v>809</v>
      </c>
      <c r="C410" s="9">
        <v>0.1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1" t="s">
        <v>810</v>
      </c>
      <c r="B411" s="9" t="s">
        <v>811</v>
      </c>
      <c r="C411" s="9">
        <v>0.1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1" t="s">
        <v>812</v>
      </c>
      <c r="B412" s="9" t="s">
        <v>813</v>
      </c>
      <c r="C412" s="9">
        <v>0.2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27" t="s">
        <v>814</v>
      </c>
      <c r="B413" s="28" t="s">
        <v>815</v>
      </c>
      <c r="C413" s="9">
        <v>0.2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1" t="s">
        <v>816</v>
      </c>
      <c r="B414" s="9" t="s">
        <v>817</v>
      </c>
      <c r="C414" s="9">
        <v>0.3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1" t="s">
        <v>818</v>
      </c>
      <c r="B415" s="9" t="s">
        <v>819</v>
      </c>
      <c r="C415" s="9">
        <v>0.3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1" t="s">
        <v>820</v>
      </c>
      <c r="B416" s="9" t="s">
        <v>821</v>
      </c>
      <c r="C416" s="9">
        <v>0.4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1" t="s">
        <v>822</v>
      </c>
      <c r="B417" s="9" t="s">
        <v>823</v>
      </c>
      <c r="C417" s="9">
        <v>0.1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1" t="s">
        <v>824</v>
      </c>
      <c r="B418" s="9" t="s">
        <v>825</v>
      </c>
      <c r="C418" s="9">
        <v>0.1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1" t="s">
        <v>826</v>
      </c>
      <c r="B419" s="9" t="s">
        <v>827</v>
      </c>
      <c r="C419" s="9">
        <v>0.2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1" t="s">
        <v>828</v>
      </c>
      <c r="B420" s="25" t="s">
        <v>829</v>
      </c>
      <c r="C420" s="9">
        <v>0.4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1" t="s">
        <v>830</v>
      </c>
      <c r="B421" s="9" t="s">
        <v>831</v>
      </c>
      <c r="C421" s="9">
        <v>0.3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1" t="s">
        <v>832</v>
      </c>
      <c r="B422" s="9" t="s">
        <v>833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1" t="s">
        <v>834</v>
      </c>
      <c r="B423" s="9" t="s">
        <v>835</v>
      </c>
      <c r="C423" s="9">
        <v>0.4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1" t="s">
        <v>836</v>
      </c>
      <c r="B424" s="9" t="s">
        <v>837</v>
      </c>
      <c r="C424" s="9">
        <v>0.4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1" t="s">
        <v>281</v>
      </c>
      <c r="B425" s="9" t="s">
        <v>838</v>
      </c>
      <c r="C425" s="9">
        <v>0.1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1" t="s">
        <v>839</v>
      </c>
      <c r="B426" s="9" t="s">
        <v>840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1" t="s">
        <v>841</v>
      </c>
      <c r="B427" s="9" t="s">
        <v>842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1" t="s">
        <v>843</v>
      </c>
      <c r="B428" s="9" t="s">
        <v>844</v>
      </c>
      <c r="C428" s="9">
        <v>0.1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1" t="s">
        <v>845</v>
      </c>
      <c r="B429" s="9" t="s">
        <v>846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1" t="s">
        <v>847</v>
      </c>
      <c r="B430" s="9" t="s">
        <v>848</v>
      </c>
      <c r="C430" s="9">
        <v>0.5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1" t="s">
        <v>849</v>
      </c>
      <c r="B431" s="9" t="s">
        <v>850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1" t="s">
        <v>851</v>
      </c>
      <c r="B432" s="9" t="s">
        <v>852</v>
      </c>
      <c r="C432" s="9">
        <v>0.3</v>
      </c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1" t="s">
        <v>853</v>
      </c>
      <c r="B433" s="9" t="s">
        <v>854</v>
      </c>
      <c r="C433" s="9">
        <v>0.4</v>
      </c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1" t="s">
        <v>855</v>
      </c>
      <c r="B434" s="9" t="s">
        <v>856</v>
      </c>
      <c r="C434" s="9">
        <v>0.4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1" t="s">
        <v>857</v>
      </c>
      <c r="B435" s="9" t="s">
        <v>858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1" t="s">
        <v>859</v>
      </c>
      <c r="B436" s="29" t="s">
        <v>859</v>
      </c>
      <c r="C436" s="9">
        <v>0.4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1" t="s">
        <v>860</v>
      </c>
      <c r="B437" s="29" t="s">
        <v>861</v>
      </c>
      <c r="C437" s="9">
        <v>0.4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1" t="s">
        <v>862</v>
      </c>
      <c r="B438" s="29" t="s">
        <v>863</v>
      </c>
      <c r="C438" s="9">
        <v>0.4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1" t="s">
        <v>864</v>
      </c>
      <c r="B439" s="29" t="s">
        <v>864</v>
      </c>
      <c r="C439" s="9">
        <v>0.4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1" t="s">
        <v>865</v>
      </c>
      <c r="B440" s="29" t="s">
        <v>865</v>
      </c>
      <c r="C440" s="9">
        <v>0.4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1" t="s">
        <v>866</v>
      </c>
      <c r="B441" s="29" t="s">
        <v>867</v>
      </c>
      <c r="C441" s="9">
        <v>0.4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1" t="s">
        <v>868</v>
      </c>
      <c r="B442" s="29" t="s">
        <v>869</v>
      </c>
      <c r="C442" s="9">
        <v>0.4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1" t="s">
        <v>870</v>
      </c>
      <c r="B443" s="29" t="s">
        <v>871</v>
      </c>
      <c r="C443" s="9">
        <v>0.4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1" t="s">
        <v>872</v>
      </c>
      <c r="B444" s="11" t="s">
        <v>873</v>
      </c>
      <c r="C444" s="9">
        <v>0.4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1" t="s">
        <v>874</v>
      </c>
      <c r="B445" s="29" t="s">
        <v>875</v>
      </c>
      <c r="C445" s="9">
        <v>0.4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1" t="s">
        <v>876</v>
      </c>
      <c r="B446" s="29" t="s">
        <v>876</v>
      </c>
      <c r="C446" s="9">
        <v>0.4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1" t="s">
        <v>877</v>
      </c>
      <c r="B447" s="29" t="s">
        <v>878</v>
      </c>
      <c r="C447" s="9">
        <v>0.4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1" t="s">
        <v>879</v>
      </c>
      <c r="B448" s="29" t="s">
        <v>880</v>
      </c>
      <c r="C448" s="9">
        <v>0.4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1" t="s">
        <v>881</v>
      </c>
      <c r="B449" s="29" t="s">
        <v>882</v>
      </c>
      <c r="C449" s="9">
        <v>0.4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1" t="s">
        <v>883</v>
      </c>
      <c r="B450" s="29" t="s">
        <v>883</v>
      </c>
      <c r="C450" s="9">
        <v>0.4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1" t="s">
        <v>884</v>
      </c>
      <c r="B451" s="29" t="s">
        <v>885</v>
      </c>
      <c r="C451" s="9">
        <v>0.4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1" t="s">
        <v>886</v>
      </c>
      <c r="B452" s="29" t="s">
        <v>887</v>
      </c>
      <c r="C452" s="9">
        <v>0.4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1" t="s">
        <v>888</v>
      </c>
      <c r="B453" s="29" t="s">
        <v>889</v>
      </c>
      <c r="C453" s="9">
        <v>0.4</v>
      </c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1" t="s">
        <v>890</v>
      </c>
      <c r="B454" s="29" t="s">
        <v>891</v>
      </c>
      <c r="C454" s="9">
        <v>0.4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1" t="s">
        <v>892</v>
      </c>
      <c r="B455" s="29" t="s">
        <v>893</v>
      </c>
      <c r="C455" s="9">
        <v>0.4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1" t="s">
        <v>894</v>
      </c>
      <c r="B456" s="29" t="s">
        <v>895</v>
      </c>
      <c r="C456" s="9">
        <v>0.4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1" t="s">
        <v>896</v>
      </c>
      <c r="B457" s="29" t="s">
        <v>897</v>
      </c>
      <c r="C457" s="9">
        <v>0.4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1" t="s">
        <v>898</v>
      </c>
      <c r="B458" s="29" t="s">
        <v>899</v>
      </c>
      <c r="C458" s="9">
        <v>0.4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1" t="s">
        <v>900</v>
      </c>
      <c r="B459" s="29" t="s">
        <v>901</v>
      </c>
      <c r="C459" s="9">
        <v>0.4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1" t="s">
        <v>902</v>
      </c>
      <c r="B460" s="29" t="s">
        <v>902</v>
      </c>
      <c r="C460" s="9">
        <v>0.4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1" t="s">
        <v>903</v>
      </c>
      <c r="B461" s="29" t="s">
        <v>904</v>
      </c>
      <c r="C461" s="9">
        <v>0.4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1" t="s">
        <v>905</v>
      </c>
      <c r="B462" s="9" t="s">
        <v>906</v>
      </c>
      <c r="C462" s="9">
        <v>0.3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1" t="s">
        <v>907</v>
      </c>
      <c r="B463" s="9" t="s">
        <v>908</v>
      </c>
      <c r="C463" s="9">
        <v>0.3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1" t="s">
        <v>909</v>
      </c>
      <c r="B464" s="9" t="s">
        <v>910</v>
      </c>
      <c r="C464" s="9">
        <v>0.3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1" t="s">
        <v>911</v>
      </c>
      <c r="B465" s="9" t="s">
        <v>911</v>
      </c>
      <c r="C465" s="9">
        <v>0.4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1" t="s">
        <v>912</v>
      </c>
      <c r="B466" s="9" t="s">
        <v>912</v>
      </c>
      <c r="C466" s="9">
        <v>0.3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1" t="s">
        <v>913</v>
      </c>
      <c r="B467" s="9" t="s">
        <v>913</v>
      </c>
      <c r="C467" s="9">
        <v>0.3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1" t="s">
        <v>914</v>
      </c>
      <c r="B468" s="9" t="s">
        <v>915</v>
      </c>
      <c r="C468" s="9">
        <v>0.3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1" t="s">
        <v>916</v>
      </c>
      <c r="B469" s="9" t="s">
        <v>917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1" t="s">
        <v>918</v>
      </c>
      <c r="B470" s="9" t="s">
        <v>919</v>
      </c>
      <c r="C470" s="9">
        <v>0.5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1" t="s">
        <v>920</v>
      </c>
      <c r="B471" s="9" t="s">
        <v>921</v>
      </c>
      <c r="C471" s="9">
        <v>0.4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1" t="s">
        <v>922</v>
      </c>
      <c r="B472" s="9" t="s">
        <v>923</v>
      </c>
      <c r="C472" s="9">
        <v>0.3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1" t="s">
        <v>924</v>
      </c>
      <c r="B473" s="9" t="s">
        <v>925</v>
      </c>
      <c r="C473" s="9">
        <v>0.3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1" t="s">
        <v>926</v>
      </c>
      <c r="B474" s="9" t="s">
        <v>927</v>
      </c>
      <c r="C474" s="9" t="s">
        <v>236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1" t="s">
        <v>928</v>
      </c>
      <c r="B475" s="9" t="s">
        <v>929</v>
      </c>
      <c r="C475" s="9">
        <v>0.3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1" t="s">
        <v>930</v>
      </c>
      <c r="B476" s="9" t="s">
        <v>931</v>
      </c>
      <c r="C476" s="9">
        <v>0.4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1" t="s">
        <v>932</v>
      </c>
      <c r="B477" s="9" t="s">
        <v>933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1" t="s">
        <v>934</v>
      </c>
      <c r="B478" s="9" t="s">
        <v>935</v>
      </c>
      <c r="C478" s="9">
        <v>0.3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9" t="s">
        <v>936</v>
      </c>
      <c r="B479" s="9" t="s">
        <v>936</v>
      </c>
      <c r="C479" s="9">
        <v>0.3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1" t="s">
        <v>937</v>
      </c>
      <c r="B480" s="9" t="s">
        <v>938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1" t="s">
        <v>939</v>
      </c>
      <c r="B481" s="9" t="s">
        <v>940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1" t="s">
        <v>941</v>
      </c>
      <c r="B482" s="9" t="s">
        <v>942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1" t="s">
        <v>943</v>
      </c>
      <c r="B483" s="9" t="s">
        <v>944</v>
      </c>
      <c r="C483" s="9">
        <v>0.5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1" t="s">
        <v>945</v>
      </c>
      <c r="B484" s="9" t="s">
        <v>946</v>
      </c>
      <c r="C484" s="9">
        <v>0.4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1" t="s">
        <v>947</v>
      </c>
      <c r="B485" s="9" t="s">
        <v>948</v>
      </c>
      <c r="C485" s="9">
        <v>0.2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1" t="s">
        <v>949</v>
      </c>
      <c r="B486" s="9" t="s">
        <v>950</v>
      </c>
      <c r="C486" s="9">
        <v>0.3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1" t="s">
        <v>951</v>
      </c>
      <c r="B487" s="9" t="s">
        <v>952</v>
      </c>
      <c r="C487" s="9">
        <v>0.3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1" t="s">
        <v>953</v>
      </c>
      <c r="B488" s="9" t="s">
        <v>954</v>
      </c>
      <c r="C488" s="9">
        <v>0.3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25" t="s">
        <v>955</v>
      </c>
      <c r="B489" s="25" t="s">
        <v>956</v>
      </c>
      <c r="C489" s="9">
        <v>0.2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1" t="s">
        <v>957</v>
      </c>
      <c r="B490" s="9" t="s">
        <v>958</v>
      </c>
      <c r="C490" s="9">
        <v>0.3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30" t="s">
        <v>959</v>
      </c>
      <c r="B491" s="9" t="s">
        <v>960</v>
      </c>
      <c r="C491" s="9">
        <v>0.4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1" t="s">
        <v>961</v>
      </c>
      <c r="B492" s="9" t="s">
        <v>962</v>
      </c>
      <c r="C492" s="9">
        <v>0.3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1" t="s">
        <v>963</v>
      </c>
      <c r="B493" s="9" t="s">
        <v>964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1" t="s">
        <v>965</v>
      </c>
      <c r="B494" s="9" t="s">
        <v>966</v>
      </c>
      <c r="C494" s="9">
        <v>0.1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1" t="s">
        <v>967</v>
      </c>
      <c r="B495" s="9" t="s">
        <v>968</v>
      </c>
      <c r="C495" s="9">
        <v>0.3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1" t="s">
        <v>969</v>
      </c>
      <c r="B496" s="9" t="s">
        <v>970</v>
      </c>
      <c r="C496" s="9">
        <v>0.3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1" t="s">
        <v>971</v>
      </c>
      <c r="B497" s="9" t="s">
        <v>972</v>
      </c>
      <c r="C497" s="9">
        <v>0.3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1" t="s">
        <v>973</v>
      </c>
      <c r="B498" s="9" t="s">
        <v>974</v>
      </c>
      <c r="C498" s="9">
        <v>0.3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1" t="s">
        <v>975</v>
      </c>
      <c r="B499" s="9" t="s">
        <v>976</v>
      </c>
      <c r="C499" s="9">
        <v>0.3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1" t="s">
        <v>977</v>
      </c>
      <c r="B500" s="11" t="s">
        <v>978</v>
      </c>
      <c r="C500" s="9">
        <v>0.3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9" t="s">
        <v>979</v>
      </c>
      <c r="B501" s="9" t="s">
        <v>979</v>
      </c>
      <c r="C501" s="9">
        <v>0.3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1" t="s">
        <v>980</v>
      </c>
      <c r="B502" s="9" t="s">
        <v>981</v>
      </c>
      <c r="C502" s="9">
        <v>0.3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1" t="s">
        <v>982</v>
      </c>
      <c r="B503" s="9" t="s">
        <v>983</v>
      </c>
      <c r="C503" s="9">
        <v>0.3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1" t="s">
        <v>984</v>
      </c>
      <c r="B504" s="9" t="s">
        <v>984</v>
      </c>
      <c r="C504" s="9">
        <v>0.3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1" t="s">
        <v>985</v>
      </c>
      <c r="B505" s="9" t="s">
        <v>986</v>
      </c>
      <c r="C505" s="9">
        <v>0.3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1" t="s">
        <v>987</v>
      </c>
      <c r="B506" s="9" t="s">
        <v>988</v>
      </c>
      <c r="C506" s="9">
        <v>0.3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1" t="s">
        <v>989</v>
      </c>
      <c r="B507" s="9" t="s">
        <v>990</v>
      </c>
      <c r="C507" s="9">
        <v>0.3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1" t="s">
        <v>991</v>
      </c>
      <c r="B508" s="9" t="s">
        <v>992</v>
      </c>
      <c r="C508" s="9">
        <v>0.3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1" t="s">
        <v>993</v>
      </c>
      <c r="B509" s="9" t="s">
        <v>994</v>
      </c>
      <c r="C509" s="9">
        <v>0.1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1" t="s">
        <v>995</v>
      </c>
      <c r="B510" s="9" t="s">
        <v>996</v>
      </c>
      <c r="C510" s="9">
        <v>0.3</v>
      </c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1" t="s">
        <v>997</v>
      </c>
      <c r="B511" s="9" t="s">
        <v>998</v>
      </c>
      <c r="C511" s="9">
        <v>0.3</v>
      </c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1" t="s">
        <v>999</v>
      </c>
      <c r="B512" s="31" t="s">
        <v>1000</v>
      </c>
      <c r="C512" s="9">
        <v>0.2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1" t="s">
        <v>1001</v>
      </c>
      <c r="B513" s="31" t="s">
        <v>1002</v>
      </c>
      <c r="C513" s="9">
        <v>0.2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1" t="s">
        <v>1003</v>
      </c>
      <c r="B514" s="31" t="s">
        <v>1004</v>
      </c>
      <c r="C514" s="9">
        <v>0.2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1" t="s">
        <v>1005</v>
      </c>
      <c r="B515" s="31" t="s">
        <v>1006</v>
      </c>
      <c r="C515" s="9">
        <v>0.2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25" t="s">
        <v>1007</v>
      </c>
      <c r="B516" s="32" t="s">
        <v>1008</v>
      </c>
      <c r="C516" s="9">
        <v>0.2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1" t="s">
        <v>1009</v>
      </c>
      <c r="B517" s="31" t="s">
        <v>1010</v>
      </c>
      <c r="C517" s="9">
        <v>0.2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1" t="s">
        <v>1011</v>
      </c>
      <c r="B518" s="9" t="s">
        <v>1012</v>
      </c>
      <c r="C518" s="9">
        <v>0.2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1" t="s">
        <v>1013</v>
      </c>
      <c r="B519" s="9" t="s">
        <v>1014</v>
      </c>
      <c r="C519" s="9">
        <v>0.2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1" t="s">
        <v>1015</v>
      </c>
      <c r="B520" s="9" t="s">
        <v>1016</v>
      </c>
      <c r="C520" s="9">
        <v>0.2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1" t="s">
        <v>1017</v>
      </c>
      <c r="B521" s="9" t="s">
        <v>1018</v>
      </c>
      <c r="C521" s="9">
        <v>0.3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1" t="s">
        <v>1019</v>
      </c>
      <c r="B522" s="9" t="s">
        <v>1020</v>
      </c>
      <c r="C522" s="9">
        <v>0.2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1" t="s">
        <v>1021</v>
      </c>
      <c r="B523" s="9" t="s">
        <v>1022</v>
      </c>
      <c r="C523" s="9">
        <v>0.3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1" t="s">
        <v>1023</v>
      </c>
      <c r="B524" s="9" t="s">
        <v>1024</v>
      </c>
      <c r="C524" s="9" t="s">
        <v>236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1" t="s">
        <v>1025</v>
      </c>
      <c r="B525" s="9" t="s">
        <v>1026</v>
      </c>
      <c r="C525" s="9">
        <v>0.3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1" t="s">
        <v>1027</v>
      </c>
      <c r="B526" s="9" t="s">
        <v>1028</v>
      </c>
      <c r="C526" s="9">
        <v>0.3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1" t="s">
        <v>1029</v>
      </c>
      <c r="B527" s="9" t="s">
        <v>1029</v>
      </c>
      <c r="C527" s="9">
        <v>0.3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1" t="s">
        <v>1030</v>
      </c>
      <c r="B528" s="9" t="s">
        <v>1031</v>
      </c>
      <c r="C528" s="9">
        <v>0.4</v>
      </c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1" t="s">
        <v>1032</v>
      </c>
      <c r="B529" s="33" t="s">
        <v>1033</v>
      </c>
      <c r="C529" s="9">
        <v>0.4</v>
      </c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1" t="s">
        <v>1034</v>
      </c>
      <c r="B530" s="9" t="s">
        <v>1035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1" t="s">
        <v>1036</v>
      </c>
      <c r="B531" s="9" t="s">
        <v>1036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1" t="s">
        <v>1037</v>
      </c>
      <c r="B532" s="9" t="s">
        <v>1038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9" t="s">
        <v>1039</v>
      </c>
      <c r="B533" s="9" t="s">
        <v>1040</v>
      </c>
      <c r="C533" s="9">
        <v>0.3</v>
      </c>
      <c r="D533" s="10"/>
      <c r="E533" s="9" t="s">
        <v>18</v>
      </c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25" t="s">
        <v>1041</v>
      </c>
      <c r="B534" s="25" t="s">
        <v>1042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25" t="s">
        <v>1043</v>
      </c>
      <c r="B535" s="25" t="s">
        <v>1044</v>
      </c>
      <c r="C535" s="9">
        <v>0.3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1" t="s">
        <v>1045</v>
      </c>
      <c r="B536" s="9" t="s">
        <v>1046</v>
      </c>
      <c r="C536" s="9">
        <v>0.1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1" t="s">
        <v>1047</v>
      </c>
      <c r="B537" s="9" t="s">
        <v>1048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1" t="s">
        <v>1049</v>
      </c>
      <c r="B538" s="9" t="s">
        <v>1050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1" t="s">
        <v>1051</v>
      </c>
      <c r="B539" s="9" t="s">
        <v>1052</v>
      </c>
      <c r="C539" s="9">
        <v>0.2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1" t="s">
        <v>1053</v>
      </c>
      <c r="B540" s="9" t="s">
        <v>1054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1" t="s">
        <v>1055</v>
      </c>
      <c r="B541" s="9" t="s">
        <v>1056</v>
      </c>
      <c r="C541" s="9">
        <v>0.1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9" t="s">
        <v>1057</v>
      </c>
      <c r="B542" s="9" t="s">
        <v>1058</v>
      </c>
      <c r="C542" s="9">
        <v>0.3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1" t="s">
        <v>1059</v>
      </c>
      <c r="B543" s="9" t="s">
        <v>1060</v>
      </c>
      <c r="C543" s="9">
        <v>0.1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1" t="s">
        <v>1061</v>
      </c>
      <c r="B544" s="9" t="s">
        <v>491</v>
      </c>
      <c r="C544" s="9">
        <v>0.1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1" t="s">
        <v>1062</v>
      </c>
      <c r="B545" s="9" t="s">
        <v>1063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1" t="s">
        <v>1064</v>
      </c>
      <c r="B546" s="9" t="s">
        <v>1065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1" t="s">
        <v>1066</v>
      </c>
      <c r="B547" s="9" t="s">
        <v>1067</v>
      </c>
      <c r="C547" s="9">
        <v>0.4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1" t="s">
        <v>1068</v>
      </c>
      <c r="B548" s="9" t="s">
        <v>1069</v>
      </c>
      <c r="C548" s="9">
        <v>0.1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1" t="s">
        <v>1070</v>
      </c>
      <c r="B549" s="9" t="s">
        <v>1071</v>
      </c>
      <c r="C549" s="9">
        <v>0.1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1" t="s">
        <v>1072</v>
      </c>
      <c r="B550" s="9" t="s">
        <v>1073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9" t="s">
        <v>1074</v>
      </c>
      <c r="B551" s="9" t="s">
        <v>1075</v>
      </c>
      <c r="C551" s="9">
        <v>0.3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1" t="s">
        <v>1076</v>
      </c>
      <c r="B552" s="9" t="s">
        <v>1077</v>
      </c>
      <c r="C552" s="9">
        <v>0.4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1" t="s">
        <v>1078</v>
      </c>
      <c r="B553" s="9" t="s">
        <v>1079</v>
      </c>
      <c r="C553" s="9">
        <v>0.4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1" t="s">
        <v>1080</v>
      </c>
      <c r="B554" s="9" t="s">
        <v>1081</v>
      </c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1" t="s">
        <v>1082</v>
      </c>
      <c r="B555" s="9" t="s">
        <v>1083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1" t="s">
        <v>1084</v>
      </c>
      <c r="B556" s="9" t="s">
        <v>1085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1" t="s">
        <v>1086</v>
      </c>
      <c r="B557" s="9" t="s">
        <v>1087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1" t="s">
        <v>1088</v>
      </c>
      <c r="B558" s="9" t="s">
        <v>1089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1" t="s">
        <v>1090</v>
      </c>
      <c r="B559" s="9" t="s">
        <v>1091</v>
      </c>
      <c r="C559" s="9">
        <v>0.3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9" t="s">
        <v>1092</v>
      </c>
      <c r="B560" s="9" t="s">
        <v>1093</v>
      </c>
      <c r="C560" s="9">
        <v>0.3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9" t="s">
        <v>1094</v>
      </c>
      <c r="B561" s="9" t="s">
        <v>1095</v>
      </c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1" t="s">
        <v>1096</v>
      </c>
      <c r="B562" s="9" t="s">
        <v>1097</v>
      </c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1" t="s">
        <v>1098</v>
      </c>
      <c r="B563" s="9" t="s">
        <v>1099</v>
      </c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1" t="s">
        <v>1100</v>
      </c>
      <c r="B564" s="9" t="s">
        <v>1101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1" t="s">
        <v>1102</v>
      </c>
      <c r="B565" s="9" t="s">
        <v>1103</v>
      </c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1" t="s">
        <v>1104</v>
      </c>
      <c r="B566" s="9" t="s">
        <v>1105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1" t="s">
        <v>1106</v>
      </c>
      <c r="B567" s="9" t="s">
        <v>1107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1" t="s">
        <v>1108</v>
      </c>
      <c r="B568" s="9" t="s">
        <v>1109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34" t="s">
        <v>1110</v>
      </c>
      <c r="B569" s="34" t="s">
        <v>1111</v>
      </c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1" t="s">
        <v>1112</v>
      </c>
      <c r="B570" s="9" t="s">
        <v>1113</v>
      </c>
      <c r="C570" s="9">
        <v>0.4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1" t="s">
        <v>1114</v>
      </c>
      <c r="B571" s="9" t="s">
        <v>1115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1" t="s">
        <v>1116</v>
      </c>
      <c r="B572" s="9" t="s">
        <v>1117</v>
      </c>
      <c r="C572" s="9">
        <v>0.3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1" t="s">
        <v>1118</v>
      </c>
      <c r="B573" s="9" t="s">
        <v>1119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1" t="s">
        <v>1120</v>
      </c>
      <c r="B574" s="9" t="s">
        <v>1121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1" t="s">
        <v>1122</v>
      </c>
      <c r="B575" s="26" t="s">
        <v>1123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1" t="s">
        <v>1124</v>
      </c>
      <c r="B576" s="25" t="s">
        <v>1125</v>
      </c>
      <c r="C576" s="9">
        <v>0.4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9" t="s">
        <v>1126</v>
      </c>
      <c r="B577" s="9" t="s">
        <v>1127</v>
      </c>
      <c r="C577" s="9">
        <v>0.3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1" t="s">
        <v>1128</v>
      </c>
      <c r="B578" s="9" t="s">
        <v>1129</v>
      </c>
      <c r="C578" s="9">
        <v>0.1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1" t="s">
        <v>1130</v>
      </c>
      <c r="B579" s="9" t="s">
        <v>1131</v>
      </c>
      <c r="C579" s="9">
        <v>0.1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1" t="s">
        <v>1132</v>
      </c>
      <c r="B580" s="9" t="s">
        <v>1133</v>
      </c>
      <c r="C580" s="9">
        <v>0.1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1" t="s">
        <v>1134</v>
      </c>
      <c r="B581" s="9" t="s">
        <v>1135</v>
      </c>
      <c r="C581" s="9" t="s">
        <v>236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1" t="s">
        <v>1136</v>
      </c>
      <c r="B582" s="9" t="s">
        <v>1137</v>
      </c>
      <c r="C582" s="9" t="s">
        <v>236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35" t="s">
        <v>1138</v>
      </c>
      <c r="B583" s="35" t="s">
        <v>1139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35" t="s">
        <v>1140</v>
      </c>
      <c r="B584" s="35" t="s">
        <v>1141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1" t="s">
        <v>1142</v>
      </c>
      <c r="B585" s="9" t="s">
        <v>1143</v>
      </c>
      <c r="C585" s="9">
        <v>0.1</v>
      </c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1" t="s">
        <v>1144</v>
      </c>
      <c r="B586" s="9" t="s">
        <v>1145</v>
      </c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1" t="s">
        <v>1146</v>
      </c>
      <c r="B587" s="9" t="s">
        <v>1147</v>
      </c>
      <c r="C587" s="9">
        <v>0.4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35" t="s">
        <v>1148</v>
      </c>
      <c r="B588" s="35" t="s">
        <v>1149</v>
      </c>
      <c r="C588" s="9">
        <v>0.3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35" t="s">
        <v>1150</v>
      </c>
      <c r="B589" s="35" t="s">
        <v>1151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35" t="s">
        <v>1152</v>
      </c>
      <c r="B590" s="35" t="s">
        <v>1153</v>
      </c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1" t="s">
        <v>1154</v>
      </c>
      <c r="B591" s="9" t="s">
        <v>1155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1" t="s">
        <v>1156</v>
      </c>
      <c r="B592" s="9" t="s">
        <v>1157</v>
      </c>
      <c r="C592" s="9">
        <v>0.3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1" t="s">
        <v>1158</v>
      </c>
      <c r="B593" s="9" t="s">
        <v>1159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1" t="s">
        <v>1160</v>
      </c>
      <c r="B594" s="9" t="s">
        <v>1161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1" t="s">
        <v>1162</v>
      </c>
      <c r="B595" s="9" t="s">
        <v>1163</v>
      </c>
      <c r="C595" s="9">
        <v>0.4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1" t="s">
        <v>1164</v>
      </c>
      <c r="B596" s="9" t="s">
        <v>1165</v>
      </c>
      <c r="C596" s="9">
        <v>0.3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1" t="s">
        <v>1166</v>
      </c>
      <c r="B597" s="9" t="s">
        <v>1167</v>
      </c>
      <c r="C597" s="9">
        <v>0.3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1" t="s">
        <v>1168</v>
      </c>
      <c r="B598" s="9" t="s">
        <v>1169</v>
      </c>
      <c r="C598" s="9">
        <v>0.3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1" t="s">
        <v>1170</v>
      </c>
      <c r="B599" s="9" t="s">
        <v>1171</v>
      </c>
      <c r="C599" s="9">
        <v>0.3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35" t="s">
        <v>1172</v>
      </c>
      <c r="B600" s="35" t="s">
        <v>1173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1" t="s">
        <v>1174</v>
      </c>
      <c r="B601" s="9" t="s">
        <v>1175</v>
      </c>
      <c r="C601" s="9">
        <v>0.3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1" t="s">
        <v>1176</v>
      </c>
      <c r="B602" s="9" t="s">
        <v>1177</v>
      </c>
      <c r="C602" s="9">
        <v>0.3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1" t="s">
        <v>1178</v>
      </c>
      <c r="B603" s="9" t="s">
        <v>1179</v>
      </c>
      <c r="C603" s="9">
        <v>0.3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25" t="s">
        <v>1180</v>
      </c>
      <c r="B604" s="25" t="s">
        <v>1181</v>
      </c>
      <c r="C604" s="9">
        <v>0.3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1" t="s">
        <v>1182</v>
      </c>
      <c r="B605" s="9" t="s">
        <v>13</v>
      </c>
      <c r="C605" s="9">
        <v>0.3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1" t="s">
        <v>1183</v>
      </c>
      <c r="B606" s="9" t="s">
        <v>1184</v>
      </c>
      <c r="C606" s="9">
        <v>0.3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1" t="s">
        <v>1185</v>
      </c>
      <c r="B607" s="9" t="s">
        <v>1186</v>
      </c>
      <c r="C607" s="9">
        <v>0.3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1" t="s">
        <v>1187</v>
      </c>
      <c r="B608" s="9" t="s">
        <v>1188</v>
      </c>
      <c r="C608" s="9">
        <v>0.3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1" t="s">
        <v>1189</v>
      </c>
      <c r="B609" s="9" t="s">
        <v>1190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1" t="s">
        <v>1191</v>
      </c>
      <c r="B610" s="9" t="s">
        <v>1192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1" t="s">
        <v>1193</v>
      </c>
      <c r="B611" s="9" t="s">
        <v>1194</v>
      </c>
      <c r="C611" s="9">
        <v>0.3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1" t="s">
        <v>1195</v>
      </c>
      <c r="B612" s="9" t="s">
        <v>1196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1" t="s">
        <v>1197</v>
      </c>
      <c r="B613" s="9" t="s">
        <v>1198</v>
      </c>
      <c r="C613" s="9">
        <v>0.3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1" t="s">
        <v>1199</v>
      </c>
      <c r="B614" s="9" t="s">
        <v>1200</v>
      </c>
      <c r="C614" s="9">
        <v>0.3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1" t="s">
        <v>1201</v>
      </c>
      <c r="B615" s="9" t="s">
        <v>1202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1" t="s">
        <v>1203</v>
      </c>
      <c r="B616" s="9" t="s">
        <v>1204</v>
      </c>
      <c r="C616" s="9">
        <v>0.3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1" t="s">
        <v>1205</v>
      </c>
      <c r="B617" s="9" t="s">
        <v>1206</v>
      </c>
      <c r="C617" s="9">
        <v>0.3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1" t="s">
        <v>1207</v>
      </c>
      <c r="B618" s="9" t="s">
        <v>1208</v>
      </c>
      <c r="C618" s="9">
        <v>0.3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1" t="s">
        <v>1209</v>
      </c>
      <c r="B619" s="9" t="s">
        <v>1210</v>
      </c>
      <c r="C619" s="9">
        <v>0.3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1" t="s">
        <v>1211</v>
      </c>
      <c r="B620" s="9" t="s">
        <v>1212</v>
      </c>
      <c r="C620" s="9">
        <v>0.3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1" t="s">
        <v>1213</v>
      </c>
      <c r="B621" s="9" t="s">
        <v>1214</v>
      </c>
      <c r="C621" s="9">
        <v>0.3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1" t="s">
        <v>1215</v>
      </c>
      <c r="B622" s="9" t="s">
        <v>1216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1" t="s">
        <v>1217</v>
      </c>
      <c r="B623" s="9" t="s">
        <v>1218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1" t="s">
        <v>1219</v>
      </c>
      <c r="B624" s="9" t="s">
        <v>1220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1" t="s">
        <v>1221</v>
      </c>
      <c r="B625" s="9" t="s">
        <v>1222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1" t="s">
        <v>1223</v>
      </c>
      <c r="B626" s="9" t="s">
        <v>1224</v>
      </c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1" t="s">
        <v>1225</v>
      </c>
      <c r="B627" s="9" t="s">
        <v>1226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1" t="s">
        <v>1227</v>
      </c>
      <c r="B628" s="9" t="s">
        <v>1228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1" t="s">
        <v>1229</v>
      </c>
      <c r="B629" s="9" t="s">
        <v>1230</v>
      </c>
      <c r="C629" s="9" t="s">
        <v>236</v>
      </c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1" t="s">
        <v>1231</v>
      </c>
      <c r="B630" s="9" t="s">
        <v>1231</v>
      </c>
      <c r="C630" s="9">
        <v>0.3</v>
      </c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1" t="s">
        <v>1232</v>
      </c>
      <c r="B631" s="9" t="s">
        <v>1233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1" t="s">
        <v>1234</v>
      </c>
      <c r="B632" s="9" t="s">
        <v>1235</v>
      </c>
      <c r="C632" s="10"/>
      <c r="D632" s="10"/>
      <c r="E632" s="10"/>
      <c r="F632" s="9" t="s">
        <v>18</v>
      </c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1" t="s">
        <v>1236</v>
      </c>
      <c r="B633" s="9" t="s">
        <v>1237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1" t="s">
        <v>1238</v>
      </c>
      <c r="B634" s="9" t="s">
        <v>1239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1" t="s">
        <v>1240</v>
      </c>
      <c r="B635" s="9" t="s">
        <v>1241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1" t="s">
        <v>1242</v>
      </c>
      <c r="B636" s="9" t="s">
        <v>1243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1" t="s">
        <v>1244</v>
      </c>
      <c r="B637" s="9" t="s">
        <v>1245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1" t="s">
        <v>1246</v>
      </c>
      <c r="B638" s="9" t="s">
        <v>1247</v>
      </c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1" t="s">
        <v>1248</v>
      </c>
      <c r="B639" s="9" t="s">
        <v>1249</v>
      </c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1" t="s">
        <v>1250</v>
      </c>
      <c r="B640" s="9" t="s">
        <v>1251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1" t="s">
        <v>1252</v>
      </c>
      <c r="B641" s="9" t="s">
        <v>1253</v>
      </c>
      <c r="C641" s="9">
        <v>0.3</v>
      </c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1" t="s">
        <v>1254</v>
      </c>
      <c r="B642" s="9" t="s">
        <v>1255</v>
      </c>
      <c r="C642" s="9">
        <v>0.3</v>
      </c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1" t="s">
        <v>1256</v>
      </c>
      <c r="B643" s="9" t="s">
        <v>1257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1" t="s">
        <v>1258</v>
      </c>
      <c r="B644" s="9" t="s">
        <v>1259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9" t="s">
        <v>1260</v>
      </c>
      <c r="B645" s="9" t="s">
        <v>1260</v>
      </c>
      <c r="C645" s="9">
        <v>0.3</v>
      </c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1" t="s">
        <v>1261</v>
      </c>
      <c r="B646" s="9" t="s">
        <v>1262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25" t="s">
        <v>1263</v>
      </c>
      <c r="B647" s="25" t="s">
        <v>1264</v>
      </c>
      <c r="C647" s="9">
        <v>0.3</v>
      </c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1" t="s">
        <v>1265</v>
      </c>
      <c r="B648" s="9" t="s">
        <v>1266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1" t="s">
        <v>1267</v>
      </c>
      <c r="B649" s="9" t="s">
        <v>1268</v>
      </c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1" t="s">
        <v>1269</v>
      </c>
      <c r="B650" s="9" t="s">
        <v>1270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1" t="s">
        <v>1271</v>
      </c>
      <c r="B651" s="9" t="s">
        <v>1272</v>
      </c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9" t="s">
        <v>1273</v>
      </c>
      <c r="B652" s="9" t="s">
        <v>1274</v>
      </c>
      <c r="C652" s="9">
        <v>0.3</v>
      </c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1" t="s">
        <v>1275</v>
      </c>
      <c r="B653" s="9" t="s">
        <v>1276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25" t="s">
        <v>1277</v>
      </c>
      <c r="B654" s="25" t="s">
        <v>1278</v>
      </c>
      <c r="C654" s="9">
        <v>0.4</v>
      </c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1" t="s">
        <v>1279</v>
      </c>
      <c r="B655" s="36" t="s">
        <v>1280</v>
      </c>
      <c r="C655" s="9">
        <v>0.3</v>
      </c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37" t="s">
        <v>1281</v>
      </c>
      <c r="B656" s="37" t="s">
        <v>1282</v>
      </c>
      <c r="C656" s="9">
        <v>0.3</v>
      </c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1" t="s">
        <v>1283</v>
      </c>
      <c r="B657" s="9" t="s">
        <v>1284</v>
      </c>
      <c r="C657" s="9">
        <v>0.1</v>
      </c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1" t="s">
        <v>1285</v>
      </c>
      <c r="B658" s="9" t="s">
        <v>1286</v>
      </c>
      <c r="C658" s="9">
        <v>0.1</v>
      </c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1" t="s">
        <v>1287</v>
      </c>
      <c r="B659" s="9" t="s">
        <v>1288</v>
      </c>
      <c r="C659" s="9">
        <v>0.1</v>
      </c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1" t="s">
        <v>1289</v>
      </c>
      <c r="B660" s="9" t="s">
        <v>1290</v>
      </c>
      <c r="C660" s="9">
        <v>0.2</v>
      </c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1" t="s">
        <v>1291</v>
      </c>
      <c r="B661" s="9" t="s">
        <v>1292</v>
      </c>
      <c r="C661" s="9">
        <v>0.1</v>
      </c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1" t="s">
        <v>1293</v>
      </c>
      <c r="B662" s="9" t="s">
        <v>1294</v>
      </c>
      <c r="C662" s="9">
        <v>0.1</v>
      </c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1" t="s">
        <v>1295</v>
      </c>
      <c r="B663" s="9" t="s">
        <v>1296</v>
      </c>
      <c r="C663" s="9">
        <v>0.1</v>
      </c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1" t="s">
        <v>1297</v>
      </c>
      <c r="B664" s="9" t="s">
        <v>1298</v>
      </c>
      <c r="C664" s="9">
        <v>0.1</v>
      </c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1" t="s">
        <v>1299</v>
      </c>
      <c r="B665" s="9" t="s">
        <v>1300</v>
      </c>
      <c r="C665" s="9">
        <v>0.1</v>
      </c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1" t="s">
        <v>1301</v>
      </c>
      <c r="B666" s="9" t="s">
        <v>1302</v>
      </c>
      <c r="C666" s="9">
        <v>0.1</v>
      </c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1" t="s">
        <v>1303</v>
      </c>
      <c r="B667" s="9" t="s">
        <v>1304</v>
      </c>
      <c r="C667" s="9">
        <v>0.1</v>
      </c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1" t="s">
        <v>1305</v>
      </c>
      <c r="B668" s="9" t="s">
        <v>1306</v>
      </c>
      <c r="C668" s="9">
        <v>0.1</v>
      </c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1" t="s">
        <v>1307</v>
      </c>
      <c r="B669" s="9" t="s">
        <v>1307</v>
      </c>
      <c r="C669" s="9">
        <v>0.1</v>
      </c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1" t="s">
        <v>1308</v>
      </c>
      <c r="B670" s="9" t="s">
        <v>1309</v>
      </c>
      <c r="C670" s="9">
        <v>0.1</v>
      </c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1" t="s">
        <v>1310</v>
      </c>
      <c r="B671" s="9" t="s">
        <v>1311</v>
      </c>
      <c r="C671" s="9">
        <v>0.1</v>
      </c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1" t="s">
        <v>1312</v>
      </c>
      <c r="B672" s="9" t="s">
        <v>1313</v>
      </c>
      <c r="C672" s="9">
        <v>0.1</v>
      </c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1" t="s">
        <v>1314</v>
      </c>
      <c r="B673" s="9" t="s">
        <v>1315</v>
      </c>
      <c r="C673" s="9">
        <v>0.1</v>
      </c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1" t="s">
        <v>1316</v>
      </c>
      <c r="B674" s="9" t="s">
        <v>1317</v>
      </c>
      <c r="C674" s="9">
        <v>0.1</v>
      </c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1" t="s">
        <v>1318</v>
      </c>
      <c r="B675" s="9" t="s">
        <v>1319</v>
      </c>
      <c r="C675" s="9">
        <v>0.1</v>
      </c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1" t="s">
        <v>1320</v>
      </c>
      <c r="B676" s="9" t="s">
        <v>1321</v>
      </c>
      <c r="C676" s="9">
        <v>0.1</v>
      </c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1" t="s">
        <v>1322</v>
      </c>
      <c r="B677" s="9" t="s">
        <v>1323</v>
      </c>
      <c r="C677" s="9">
        <v>0.1</v>
      </c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1" t="s">
        <v>1324</v>
      </c>
      <c r="B678" s="9" t="s">
        <v>1325</v>
      </c>
      <c r="C678" s="9">
        <v>0.1</v>
      </c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1" t="s">
        <v>1326</v>
      </c>
      <c r="B679" s="9" t="s">
        <v>1327</v>
      </c>
      <c r="C679" s="9">
        <v>0.3</v>
      </c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1" t="s">
        <v>1328</v>
      </c>
      <c r="B680" s="9" t="s">
        <v>1328</v>
      </c>
      <c r="C680" s="9">
        <v>0.1</v>
      </c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1" t="s">
        <v>1329</v>
      </c>
      <c r="B681" s="9" t="s">
        <v>1329</v>
      </c>
      <c r="C681" s="9">
        <v>0.1</v>
      </c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1" t="s">
        <v>1330</v>
      </c>
      <c r="B682" s="9" t="s">
        <v>1331</v>
      </c>
      <c r="C682" s="9">
        <v>0.1</v>
      </c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1" t="s">
        <v>1332</v>
      </c>
      <c r="B683" s="9" t="s">
        <v>1333</v>
      </c>
      <c r="C683" s="9">
        <v>0.1</v>
      </c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1" t="s">
        <v>1334</v>
      </c>
      <c r="B684" s="9" t="s">
        <v>1334</v>
      </c>
      <c r="C684" s="9">
        <v>0.1</v>
      </c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1" t="s">
        <v>1335</v>
      </c>
      <c r="B685" s="9" t="s">
        <v>1335</v>
      </c>
      <c r="C685" s="9">
        <v>0.1</v>
      </c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36" t="s">
        <v>1336</v>
      </c>
      <c r="B686" s="36" t="s">
        <v>1337</v>
      </c>
      <c r="C686" s="9">
        <v>0.4</v>
      </c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1" t="s">
        <v>1338</v>
      </c>
      <c r="B687" s="9" t="s">
        <v>1339</v>
      </c>
      <c r="C687" s="9">
        <v>0.1</v>
      </c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1" t="s">
        <v>1340</v>
      </c>
      <c r="B688" s="9" t="s">
        <v>1341</v>
      </c>
      <c r="C688" s="9">
        <v>0.1</v>
      </c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1" t="s">
        <v>1342</v>
      </c>
      <c r="B689" s="9" t="s">
        <v>1343</v>
      </c>
      <c r="C689" s="9">
        <v>0.1</v>
      </c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1" t="s">
        <v>1344</v>
      </c>
      <c r="B690" s="9" t="s">
        <v>1344</v>
      </c>
      <c r="C690" s="9">
        <v>0.1</v>
      </c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1" t="s">
        <v>1345</v>
      </c>
      <c r="B691" s="9" t="s">
        <v>1345</v>
      </c>
      <c r="C691" s="9">
        <v>0.3</v>
      </c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1" t="s">
        <v>1346</v>
      </c>
      <c r="B692" s="9" t="s">
        <v>1347</v>
      </c>
      <c r="C692" s="9">
        <v>0.1</v>
      </c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36" t="s">
        <v>1348</v>
      </c>
      <c r="B693" s="36" t="s">
        <v>1349</v>
      </c>
      <c r="C693" s="9">
        <v>0.3</v>
      </c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1" t="s">
        <v>1350</v>
      </c>
      <c r="B694" s="9" t="s">
        <v>1350</v>
      </c>
      <c r="C694" s="9">
        <v>0.1</v>
      </c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1" t="s">
        <v>706</v>
      </c>
      <c r="B695" s="9" t="s">
        <v>1351</v>
      </c>
      <c r="C695" s="9">
        <v>0.4</v>
      </c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1" t="s">
        <v>1213</v>
      </c>
      <c r="B696" s="7" t="s">
        <v>1214</v>
      </c>
      <c r="C696" s="9">
        <v>0.1</v>
      </c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1" t="s">
        <v>1352</v>
      </c>
      <c r="B697" s="9" t="s">
        <v>1353</v>
      </c>
      <c r="C697" s="9">
        <v>0.1</v>
      </c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1" t="s">
        <v>1354</v>
      </c>
      <c r="B698" s="9" t="s">
        <v>1354</v>
      </c>
      <c r="C698" s="9">
        <v>0.1</v>
      </c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1" t="s">
        <v>1355</v>
      </c>
      <c r="B699" s="9" t="s">
        <v>1356</v>
      </c>
      <c r="C699" s="9">
        <v>0.1</v>
      </c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9" t="s">
        <v>1357</v>
      </c>
      <c r="B700" s="9" t="s">
        <v>1357</v>
      </c>
      <c r="C700" s="9">
        <v>0.2</v>
      </c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1" t="s">
        <v>1358</v>
      </c>
      <c r="B701" s="9" t="s">
        <v>1359</v>
      </c>
      <c r="C701" s="9">
        <v>0.1</v>
      </c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1" t="s">
        <v>1360</v>
      </c>
      <c r="B702" s="9" t="s">
        <v>1079</v>
      </c>
      <c r="C702" s="9">
        <v>0.1</v>
      </c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9" t="s">
        <v>1361</v>
      </c>
      <c r="B703" s="9" t="s">
        <v>1362</v>
      </c>
      <c r="C703" s="9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1" t="s">
        <v>1363</v>
      </c>
      <c r="B704" s="9" t="s">
        <v>1363</v>
      </c>
      <c r="C704" s="9">
        <v>0.1</v>
      </c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1" t="s">
        <v>1364</v>
      </c>
      <c r="B705" s="9" t="s">
        <v>1365</v>
      </c>
      <c r="C705" s="9">
        <v>0.1</v>
      </c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1" t="s">
        <v>1366</v>
      </c>
      <c r="B706" s="9" t="s">
        <v>1367</v>
      </c>
      <c r="C706" s="9">
        <v>0.1</v>
      </c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1" t="s">
        <v>1368</v>
      </c>
      <c r="B707" s="9" t="s">
        <v>1369</v>
      </c>
      <c r="C707" s="9">
        <v>0.1</v>
      </c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1" t="s">
        <v>1370</v>
      </c>
      <c r="B708" s="9" t="s">
        <v>1371</v>
      </c>
      <c r="C708" s="9">
        <v>0.1</v>
      </c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1" t="s">
        <v>1372</v>
      </c>
      <c r="B709" s="9" t="s">
        <v>1373</v>
      </c>
      <c r="C709" s="9">
        <v>0.1</v>
      </c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1" t="s">
        <v>1374</v>
      </c>
      <c r="B710" s="9" t="s">
        <v>1375</v>
      </c>
      <c r="C710" s="9">
        <v>0.1</v>
      </c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1" t="s">
        <v>1376</v>
      </c>
      <c r="B711" s="9" t="s">
        <v>1377</v>
      </c>
      <c r="C711" s="9">
        <v>0.1</v>
      </c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1" t="s">
        <v>1378</v>
      </c>
      <c r="B712" s="9" t="s">
        <v>1379</v>
      </c>
      <c r="C712" s="9">
        <v>0.1</v>
      </c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1" t="s">
        <v>1380</v>
      </c>
      <c r="B713" s="9" t="s">
        <v>1381</v>
      </c>
      <c r="C713" s="9">
        <v>0.1</v>
      </c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1" t="s">
        <v>1382</v>
      </c>
      <c r="B714" s="9" t="s">
        <v>1383</v>
      </c>
      <c r="C714" s="9">
        <v>0.1</v>
      </c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1" t="s">
        <v>1384</v>
      </c>
      <c r="B715" s="9" t="s">
        <v>1385</v>
      </c>
      <c r="C715" s="9">
        <v>0.1</v>
      </c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1" t="s">
        <v>1386</v>
      </c>
      <c r="B716" s="9" t="s">
        <v>1386</v>
      </c>
      <c r="C716" s="9">
        <v>0.1</v>
      </c>
      <c r="D716" s="10"/>
      <c r="E716" s="10"/>
      <c r="F716" s="10"/>
      <c r="G716" s="9">
        <v>0.4</v>
      </c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1" t="s">
        <v>1387</v>
      </c>
      <c r="B717" s="9" t="s">
        <v>1387</v>
      </c>
      <c r="C717" s="9">
        <v>0.1</v>
      </c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1" t="s">
        <v>1388</v>
      </c>
      <c r="B718" s="9" t="s">
        <v>1389</v>
      </c>
      <c r="C718" s="9">
        <v>0.1</v>
      </c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1" t="s">
        <v>1390</v>
      </c>
      <c r="B719" s="9" t="s">
        <v>1390</v>
      </c>
      <c r="C719" s="9">
        <v>0.1</v>
      </c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1" t="s">
        <v>1391</v>
      </c>
      <c r="B720" s="9" t="s">
        <v>1392</v>
      </c>
      <c r="C720" s="9">
        <v>0.1</v>
      </c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1" t="s">
        <v>1393</v>
      </c>
      <c r="B721" s="9" t="s">
        <v>1394</v>
      </c>
      <c r="C721" s="9">
        <v>0.1</v>
      </c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1" t="s">
        <v>1395</v>
      </c>
      <c r="B722" s="9" t="s">
        <v>1396</v>
      </c>
      <c r="C722" s="9">
        <v>0.1</v>
      </c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1" t="s">
        <v>1397</v>
      </c>
      <c r="B723" s="9" t="s">
        <v>1397</v>
      </c>
      <c r="C723" s="9">
        <v>0.0999999999999998</v>
      </c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1" t="s">
        <v>1398</v>
      </c>
      <c r="B724" s="9" t="s">
        <v>1399</v>
      </c>
      <c r="C724" s="9">
        <v>0.1</v>
      </c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1" t="s">
        <v>1400</v>
      </c>
      <c r="B725" s="9" t="s">
        <v>1401</v>
      </c>
      <c r="C725" s="9">
        <v>0.1</v>
      </c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1" t="s">
        <v>1402</v>
      </c>
      <c r="B726" s="9" t="s">
        <v>1403</v>
      </c>
      <c r="C726" s="9">
        <v>0.1</v>
      </c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1" t="s">
        <v>1404</v>
      </c>
      <c r="B727" s="9" t="s">
        <v>1405</v>
      </c>
      <c r="C727" s="9">
        <v>0.1</v>
      </c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1" t="s">
        <v>1406</v>
      </c>
      <c r="B728" s="9" t="s">
        <v>1407</v>
      </c>
      <c r="C728" s="9">
        <v>0.1</v>
      </c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1" t="s">
        <v>1408</v>
      </c>
      <c r="B729" s="9" t="s">
        <v>1408</v>
      </c>
      <c r="C729" s="9">
        <v>0.1</v>
      </c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1" t="s">
        <v>1409</v>
      </c>
      <c r="B730" s="9" t="s">
        <v>1409</v>
      </c>
      <c r="C730" s="9">
        <v>0.1</v>
      </c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1" t="s">
        <v>1410</v>
      </c>
      <c r="B731" s="9" t="s">
        <v>1411</v>
      </c>
      <c r="C731" s="9">
        <v>0.1</v>
      </c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1" t="s">
        <v>1412</v>
      </c>
      <c r="B732" s="9" t="s">
        <v>1413</v>
      </c>
      <c r="C732" s="9">
        <v>0.1</v>
      </c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1" t="s">
        <v>1414</v>
      </c>
      <c r="B733" s="9" t="s">
        <v>1415</v>
      </c>
      <c r="C733" s="9">
        <v>0.2</v>
      </c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1"/>
      <c r="B734" s="9"/>
      <c r="C734" s="9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1" t="s">
        <v>1416</v>
      </c>
      <c r="B735" s="9" t="s">
        <v>1417</v>
      </c>
      <c r="C735" s="9">
        <v>0.2</v>
      </c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1" t="s">
        <v>1418</v>
      </c>
      <c r="B736" s="9" t="s">
        <v>1419</v>
      </c>
      <c r="C736" s="9">
        <v>0.2</v>
      </c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1" t="s">
        <v>1420</v>
      </c>
      <c r="B737" s="9" t="s">
        <v>1421</v>
      </c>
      <c r="C737" s="9">
        <v>0.2</v>
      </c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1" t="s">
        <v>1422</v>
      </c>
      <c r="B738" s="9" t="s">
        <v>1423</v>
      </c>
      <c r="C738" s="9">
        <v>0.2</v>
      </c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1" t="s">
        <v>1424</v>
      </c>
      <c r="B739" s="9" t="s">
        <v>1425</v>
      </c>
      <c r="C739" s="9">
        <v>0.2</v>
      </c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1" t="s">
        <v>1426</v>
      </c>
      <c r="B740" s="9" t="s">
        <v>1427</v>
      </c>
      <c r="C740" s="9">
        <v>0.3</v>
      </c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1" t="s">
        <v>1428</v>
      </c>
      <c r="B741" s="9" t="s">
        <v>1429</v>
      </c>
      <c r="C741" s="9">
        <v>0.2</v>
      </c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1" t="s">
        <v>1430</v>
      </c>
      <c r="B742" s="9" t="s">
        <v>1431</v>
      </c>
      <c r="C742" s="9">
        <v>0.2</v>
      </c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1" t="s">
        <v>1432</v>
      </c>
      <c r="B743" s="9" t="s">
        <v>1432</v>
      </c>
      <c r="C743" s="9">
        <v>0.2</v>
      </c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1" t="s">
        <v>1433</v>
      </c>
      <c r="B744" s="9" t="s">
        <v>1434</v>
      </c>
      <c r="C744" s="9">
        <v>0.2</v>
      </c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2" t="s">
        <v>1435</v>
      </c>
      <c r="B745" s="9" t="s">
        <v>1436</v>
      </c>
      <c r="C745" s="9">
        <v>0.3</v>
      </c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1" t="s">
        <v>1437</v>
      </c>
      <c r="B746" s="9" t="s">
        <v>1438</v>
      </c>
      <c r="C746" s="9">
        <v>0.2</v>
      </c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1" t="s">
        <v>1439</v>
      </c>
      <c r="B747" s="9" t="s">
        <v>1440</v>
      </c>
      <c r="C747" s="9">
        <v>0.2</v>
      </c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1" t="s">
        <v>1441</v>
      </c>
      <c r="B748" s="9" t="s">
        <v>1442</v>
      </c>
      <c r="C748" s="9">
        <v>0.2</v>
      </c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1" t="s">
        <v>1443</v>
      </c>
      <c r="B749" s="9" t="s">
        <v>1444</v>
      </c>
      <c r="C749" s="9">
        <v>0.2</v>
      </c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1" t="s">
        <v>1445</v>
      </c>
      <c r="B750" s="9" t="s">
        <v>1445</v>
      </c>
      <c r="C750" s="9">
        <v>0.2</v>
      </c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1" t="s">
        <v>1446</v>
      </c>
      <c r="B751" s="9" t="s">
        <v>1447</v>
      </c>
      <c r="C751" s="9">
        <v>0.2</v>
      </c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1" t="s">
        <v>1448</v>
      </c>
      <c r="B752" s="9" t="s">
        <v>1449</v>
      </c>
      <c r="C752" s="9">
        <v>0.2</v>
      </c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1" t="s">
        <v>1450</v>
      </c>
      <c r="B753" s="9" t="s">
        <v>1451</v>
      </c>
      <c r="C753" s="9">
        <v>0.2</v>
      </c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1" t="s">
        <v>1452</v>
      </c>
      <c r="B754" s="9" t="s">
        <v>1452</v>
      </c>
      <c r="C754" s="9">
        <v>0.2</v>
      </c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1" t="s">
        <v>1453</v>
      </c>
      <c r="B755" s="9" t="s">
        <v>1454</v>
      </c>
      <c r="C755" s="9">
        <v>0.2</v>
      </c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1" t="s">
        <v>1455</v>
      </c>
      <c r="B756" s="9" t="s">
        <v>1456</v>
      </c>
      <c r="C756" s="9">
        <v>0.2</v>
      </c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1" t="s">
        <v>1457</v>
      </c>
      <c r="B757" s="9" t="s">
        <v>1458</v>
      </c>
      <c r="C757" s="9">
        <v>0.2</v>
      </c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1" t="s">
        <v>1459</v>
      </c>
      <c r="B758" s="9" t="s">
        <v>1459</v>
      </c>
      <c r="C758" s="9">
        <v>0.2</v>
      </c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1" t="s">
        <v>1460</v>
      </c>
      <c r="B759" s="9" t="s">
        <v>1461</v>
      </c>
      <c r="C759" s="9">
        <v>0.2</v>
      </c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1" t="s">
        <v>1462</v>
      </c>
      <c r="B760" s="9" t="s">
        <v>1463</v>
      </c>
      <c r="C760" s="9">
        <v>0.2</v>
      </c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1" t="s">
        <v>1464</v>
      </c>
      <c r="B761" s="9" t="s">
        <v>1465</v>
      </c>
      <c r="C761" s="9">
        <v>0.2</v>
      </c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1" t="s">
        <v>1466</v>
      </c>
      <c r="B762" s="9" t="s">
        <v>1467</v>
      </c>
      <c r="C762" s="9">
        <v>0.2</v>
      </c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1" t="s">
        <v>1468</v>
      </c>
      <c r="B763" s="9" t="s">
        <v>1469</v>
      </c>
      <c r="C763" s="9">
        <v>0.2</v>
      </c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1" t="s">
        <v>1470</v>
      </c>
      <c r="B764" s="9" t="s">
        <v>1471</v>
      </c>
      <c r="C764" s="9">
        <v>0.2</v>
      </c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1" t="s">
        <v>1472</v>
      </c>
      <c r="B765" s="9" t="s">
        <v>1473</v>
      </c>
      <c r="C765" s="9">
        <v>0.2</v>
      </c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1" t="s">
        <v>1474</v>
      </c>
      <c r="B766" s="9" t="s">
        <v>1474</v>
      </c>
      <c r="C766" s="9">
        <v>0.2</v>
      </c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1" t="s">
        <v>1475</v>
      </c>
      <c r="B767" s="9" t="s">
        <v>1476</v>
      </c>
      <c r="C767" s="9">
        <v>0.2</v>
      </c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1" t="s">
        <v>1477</v>
      </c>
      <c r="B768" s="9" t="s">
        <v>1478</v>
      </c>
      <c r="C768" s="9">
        <v>0.2</v>
      </c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1" t="s">
        <v>1479</v>
      </c>
      <c r="B769" s="9" t="s">
        <v>1480</v>
      </c>
      <c r="C769" s="9">
        <v>0.2</v>
      </c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1" t="s">
        <v>1481</v>
      </c>
      <c r="B770" s="9" t="s">
        <v>1481</v>
      </c>
      <c r="C770" s="9">
        <v>0.2</v>
      </c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1" t="s">
        <v>1482</v>
      </c>
      <c r="B771" s="9" t="s">
        <v>1482</v>
      </c>
      <c r="C771" s="9">
        <v>0.2</v>
      </c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1" t="s">
        <v>1483</v>
      </c>
      <c r="B772" s="9" t="s">
        <v>1483</v>
      </c>
      <c r="C772" s="9">
        <v>0.2</v>
      </c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1" t="s">
        <v>1484</v>
      </c>
      <c r="B773" s="9" t="s">
        <v>1485</v>
      </c>
      <c r="C773" s="9">
        <v>0.2</v>
      </c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1" t="s">
        <v>1486</v>
      </c>
      <c r="B774" s="9" t="s">
        <v>1486</v>
      </c>
      <c r="C774" s="9">
        <v>0.2</v>
      </c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1" t="s">
        <v>1487</v>
      </c>
      <c r="B775" s="9" t="s">
        <v>1487</v>
      </c>
      <c r="C775" s="9">
        <v>0.2</v>
      </c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1" t="s">
        <v>1488</v>
      </c>
      <c r="B776" s="9" t="s">
        <v>1488</v>
      </c>
      <c r="C776" s="9">
        <v>0.2</v>
      </c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1" t="s">
        <v>1489</v>
      </c>
      <c r="B777" s="9" t="s">
        <v>1490</v>
      </c>
      <c r="C777" s="9">
        <v>0.2</v>
      </c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1" t="s">
        <v>1491</v>
      </c>
      <c r="B778" s="9" t="s">
        <v>1492</v>
      </c>
      <c r="C778" s="9">
        <v>0.2</v>
      </c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1" t="s">
        <v>1493</v>
      </c>
      <c r="B779" s="9" t="s">
        <v>1493</v>
      </c>
      <c r="C779" s="9">
        <v>0.2</v>
      </c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1" t="s">
        <v>1494</v>
      </c>
      <c r="B780" s="9" t="s">
        <v>1494</v>
      </c>
      <c r="C780" s="9">
        <v>0.2</v>
      </c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1" t="s">
        <v>1495</v>
      </c>
      <c r="B781" s="9" t="s">
        <v>1495</v>
      </c>
      <c r="C781" s="9">
        <v>0.2</v>
      </c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1" t="s">
        <v>1496</v>
      </c>
      <c r="B782" s="9" t="s">
        <v>1496</v>
      </c>
      <c r="C782" s="9">
        <v>0.2</v>
      </c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1" t="s">
        <v>1497</v>
      </c>
      <c r="B783" s="9" t="s">
        <v>1498</v>
      </c>
      <c r="C783" s="9">
        <v>0.1</v>
      </c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1" t="s">
        <v>1499</v>
      </c>
      <c r="B784" s="9" t="s">
        <v>1500</v>
      </c>
      <c r="C784" s="9">
        <v>0.2</v>
      </c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1" t="s">
        <v>1501</v>
      </c>
      <c r="B785" s="9" t="s">
        <v>1502</v>
      </c>
      <c r="C785" s="9">
        <v>0.2</v>
      </c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1" t="s">
        <v>1503</v>
      </c>
      <c r="B786" s="9" t="s">
        <v>1504</v>
      </c>
      <c r="C786" s="9">
        <v>0.2</v>
      </c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1" t="s">
        <v>1505</v>
      </c>
      <c r="B787" s="9" t="s">
        <v>1505</v>
      </c>
      <c r="C787" s="9">
        <v>0.2</v>
      </c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1" t="s">
        <v>1506</v>
      </c>
      <c r="B788" s="9" t="s">
        <v>1506</v>
      </c>
      <c r="C788" s="9">
        <v>0.2</v>
      </c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1" t="s">
        <v>1507</v>
      </c>
      <c r="B789" s="9" t="s">
        <v>1508</v>
      </c>
      <c r="C789" s="9">
        <v>0.2</v>
      </c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1" t="s">
        <v>1509</v>
      </c>
      <c r="B790" s="9" t="s">
        <v>1510</v>
      </c>
      <c r="C790" s="9">
        <v>0.3</v>
      </c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1" t="s">
        <v>1511</v>
      </c>
      <c r="B791" s="9" t="s">
        <v>1511</v>
      </c>
      <c r="C791" s="9">
        <v>0.2</v>
      </c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1" t="s">
        <v>1512</v>
      </c>
      <c r="B792" s="9" t="s">
        <v>1512</v>
      </c>
      <c r="C792" s="9">
        <v>0.2</v>
      </c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1" t="s">
        <v>1513</v>
      </c>
      <c r="B793" s="9" t="s">
        <v>1513</v>
      </c>
      <c r="C793" s="9">
        <v>0.2</v>
      </c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1" t="s">
        <v>1514</v>
      </c>
      <c r="B794" s="9" t="s">
        <v>1514</v>
      </c>
      <c r="C794" s="9">
        <v>0.2</v>
      </c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1" t="s">
        <v>1515</v>
      </c>
      <c r="B795" s="9" t="s">
        <v>1516</v>
      </c>
      <c r="C795" s="9">
        <v>0.2</v>
      </c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1" t="s">
        <v>1517</v>
      </c>
      <c r="B796" s="9" t="s">
        <v>1518</v>
      </c>
      <c r="C796" s="9">
        <v>0.2</v>
      </c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1" t="s">
        <v>1519</v>
      </c>
      <c r="B797" s="9" t="s">
        <v>1520</v>
      </c>
      <c r="C797" s="9">
        <v>0.2</v>
      </c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1" t="s">
        <v>1521</v>
      </c>
      <c r="B798" s="9" t="s">
        <v>1522</v>
      </c>
      <c r="C798" s="9">
        <v>0.2</v>
      </c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1" t="s">
        <v>1523</v>
      </c>
      <c r="B799" s="9" t="s">
        <v>1524</v>
      </c>
      <c r="C799" s="9">
        <v>0.2</v>
      </c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1" t="s">
        <v>1525</v>
      </c>
      <c r="B800" s="9" t="s">
        <v>1526</v>
      </c>
      <c r="C800" s="9">
        <v>0.2</v>
      </c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1" t="s">
        <v>1527</v>
      </c>
      <c r="B801" s="9" t="s">
        <v>1528</v>
      </c>
      <c r="C801" s="9">
        <v>0.2</v>
      </c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1" t="s">
        <v>1529</v>
      </c>
      <c r="B802" s="9" t="s">
        <v>1530</v>
      </c>
      <c r="C802" s="9">
        <v>0.2</v>
      </c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1" t="s">
        <v>1531</v>
      </c>
      <c r="B803" s="9" t="s">
        <v>1532</v>
      </c>
      <c r="C803" s="9">
        <v>0.2</v>
      </c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1" t="s">
        <v>1533</v>
      </c>
      <c r="B804" s="9" t="s">
        <v>1534</v>
      </c>
      <c r="C804" s="9">
        <v>0.2</v>
      </c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1" t="s">
        <v>1535</v>
      </c>
      <c r="B805" s="9" t="s">
        <v>1535</v>
      </c>
      <c r="C805" s="9">
        <v>0.2</v>
      </c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1" t="s">
        <v>1536</v>
      </c>
      <c r="B806" s="9" t="s">
        <v>1537</v>
      </c>
      <c r="C806" s="9">
        <v>0.2</v>
      </c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1" t="s">
        <v>1538</v>
      </c>
      <c r="B807" s="9" t="s">
        <v>1538</v>
      </c>
      <c r="C807" s="9">
        <v>0.2</v>
      </c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38" t="s">
        <v>1539</v>
      </c>
      <c r="B808" s="39" t="s">
        <v>1539</v>
      </c>
      <c r="C808" s="9">
        <v>0.2</v>
      </c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1" t="s">
        <v>1540</v>
      </c>
      <c r="B809" s="28" t="s">
        <v>1541</v>
      </c>
      <c r="C809" s="9">
        <v>0.2</v>
      </c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25" t="s">
        <v>1542</v>
      </c>
      <c r="B810" s="31" t="s">
        <v>1543</v>
      </c>
      <c r="C810" s="9">
        <v>0.2</v>
      </c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1" t="s">
        <v>1544</v>
      </c>
      <c r="B811" s="31" t="s">
        <v>1545</v>
      </c>
      <c r="C811" s="9">
        <v>0.2</v>
      </c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1" t="s">
        <v>1546</v>
      </c>
      <c r="B812" s="31" t="s">
        <v>1547</v>
      </c>
      <c r="C812" s="9">
        <v>0.2</v>
      </c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1" t="s">
        <v>1548</v>
      </c>
      <c r="B813" s="31" t="s">
        <v>1549</v>
      </c>
      <c r="C813" s="9">
        <v>0.2</v>
      </c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1" t="s">
        <v>1550</v>
      </c>
      <c r="B814" s="31" t="s">
        <v>1551</v>
      </c>
      <c r="C814" s="9">
        <v>0.2</v>
      </c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1" t="s">
        <v>1552</v>
      </c>
      <c r="B815" s="31" t="s">
        <v>1553</v>
      </c>
      <c r="C815" s="9">
        <v>0.2</v>
      </c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1" t="s">
        <v>1554</v>
      </c>
      <c r="B816" s="31" t="s">
        <v>1555</v>
      </c>
      <c r="C816" s="9">
        <v>0.2</v>
      </c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1" t="s">
        <v>1556</v>
      </c>
      <c r="B817" s="9" t="s">
        <v>1557</v>
      </c>
      <c r="C817" s="9">
        <v>0.2</v>
      </c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25" t="s">
        <v>1558</v>
      </c>
      <c r="B818" s="25" t="s">
        <v>1558</v>
      </c>
      <c r="C818" s="9">
        <v>0.3</v>
      </c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25" t="s">
        <v>1559</v>
      </c>
      <c r="B819" s="25" t="s">
        <v>1560</v>
      </c>
      <c r="C819" s="9">
        <v>0.3</v>
      </c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25" t="s">
        <v>1561</v>
      </c>
      <c r="B820" s="25" t="s">
        <v>1562</v>
      </c>
      <c r="C820" s="9">
        <v>0.3</v>
      </c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25" t="s">
        <v>1563</v>
      </c>
      <c r="B821" s="25" t="s">
        <v>1564</v>
      </c>
      <c r="C821" s="9">
        <v>0.3</v>
      </c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25" t="s">
        <v>1565</v>
      </c>
      <c r="B822" s="25" t="s">
        <v>1566</v>
      </c>
      <c r="C822" s="9">
        <v>0.3</v>
      </c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25" t="s">
        <v>1567</v>
      </c>
      <c r="B823" s="25" t="s">
        <v>1568</v>
      </c>
      <c r="C823" s="9">
        <v>0.3</v>
      </c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36" t="s">
        <v>1569</v>
      </c>
      <c r="B824" s="36" t="s">
        <v>1570</v>
      </c>
      <c r="C824" s="9">
        <v>0.3</v>
      </c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36" t="s">
        <v>1571</v>
      </c>
      <c r="B825" s="36" t="s">
        <v>1572</v>
      </c>
      <c r="C825" s="9">
        <v>0.3</v>
      </c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36" t="s">
        <v>1573</v>
      </c>
      <c r="B826" s="36" t="s">
        <v>1574</v>
      </c>
      <c r="C826" s="9">
        <v>0.3</v>
      </c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36" t="s">
        <v>1575</v>
      </c>
      <c r="B827" s="36" t="s">
        <v>1576</v>
      </c>
      <c r="C827" s="9">
        <v>0.3</v>
      </c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40" t="s">
        <v>1577</v>
      </c>
      <c r="B828" s="40" t="s">
        <v>1577</v>
      </c>
      <c r="C828" s="9">
        <v>0.3</v>
      </c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40" t="s">
        <v>1578</v>
      </c>
      <c r="B829" s="40" t="s">
        <v>1579</v>
      </c>
      <c r="C829" s="9">
        <v>0.3</v>
      </c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40" t="s">
        <v>1580</v>
      </c>
      <c r="B830" s="40" t="s">
        <v>1581</v>
      </c>
      <c r="C830" s="9">
        <v>0.3</v>
      </c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40" t="s">
        <v>1582</v>
      </c>
      <c r="B831" s="40" t="s">
        <v>1583</v>
      </c>
      <c r="C831" s="9">
        <v>0.3</v>
      </c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40" t="s">
        <v>1584</v>
      </c>
      <c r="B832" s="40" t="s">
        <v>1585</v>
      </c>
      <c r="C832" s="9">
        <v>0.3</v>
      </c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40" t="s">
        <v>1586</v>
      </c>
      <c r="B833" s="40" t="s">
        <v>1587</v>
      </c>
      <c r="C833" s="9">
        <v>0.3</v>
      </c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40" t="s">
        <v>1588</v>
      </c>
      <c r="B834" s="40" t="s">
        <v>1589</v>
      </c>
      <c r="C834" s="9">
        <v>0.3</v>
      </c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40" t="s">
        <v>1590</v>
      </c>
      <c r="B835" s="40" t="s">
        <v>1591</v>
      </c>
      <c r="C835" s="9">
        <v>0.3</v>
      </c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40" t="s">
        <v>1592</v>
      </c>
      <c r="B836" s="40" t="s">
        <v>1593</v>
      </c>
      <c r="C836" s="9">
        <v>0.3</v>
      </c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40" t="s">
        <v>1594</v>
      </c>
      <c r="B837" s="40" t="s">
        <v>1595</v>
      </c>
      <c r="C837" s="9">
        <v>0.3</v>
      </c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40" t="s">
        <v>1596</v>
      </c>
      <c r="B838" s="40" t="s">
        <v>1596</v>
      </c>
      <c r="C838" s="9">
        <v>0.3</v>
      </c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40" t="s">
        <v>1597</v>
      </c>
      <c r="B839" s="40" t="s">
        <v>1597</v>
      </c>
      <c r="C839" s="9">
        <v>0.3</v>
      </c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40" t="s">
        <v>1598</v>
      </c>
      <c r="B840" s="40" t="s">
        <v>1599</v>
      </c>
      <c r="C840" s="9">
        <v>0.3</v>
      </c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40" t="s">
        <v>1600</v>
      </c>
      <c r="B841" s="40" t="s">
        <v>1601</v>
      </c>
      <c r="C841" s="9">
        <v>0.3</v>
      </c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40" t="s">
        <v>1602</v>
      </c>
      <c r="B842" s="40" t="s">
        <v>1603</v>
      </c>
      <c r="C842" s="9">
        <v>0.3</v>
      </c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40" t="s">
        <v>1604</v>
      </c>
      <c r="B843" s="40" t="s">
        <v>1605</v>
      </c>
      <c r="C843" s="9">
        <v>0.3</v>
      </c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40" t="s">
        <v>1606</v>
      </c>
      <c r="B844" s="40" t="s">
        <v>1607</v>
      </c>
      <c r="C844" s="9">
        <v>0.3</v>
      </c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40" t="s">
        <v>1608</v>
      </c>
      <c r="B845" s="40" t="s">
        <v>1609</v>
      </c>
      <c r="C845" s="9">
        <v>0.3</v>
      </c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40" t="s">
        <v>1610</v>
      </c>
      <c r="B846" s="40" t="s">
        <v>1610</v>
      </c>
      <c r="C846" s="9">
        <v>0.3</v>
      </c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40" t="s">
        <v>1611</v>
      </c>
      <c r="B847" s="40" t="s">
        <v>1612</v>
      </c>
      <c r="C847" s="9">
        <v>0.3</v>
      </c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40" t="s">
        <v>1613</v>
      </c>
      <c r="B848" s="40" t="s">
        <v>1614</v>
      </c>
      <c r="C848" s="9">
        <v>0.3</v>
      </c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9" t="s">
        <v>1615</v>
      </c>
      <c r="B849" s="9" t="s">
        <v>1615</v>
      </c>
      <c r="C849" s="9">
        <v>0.4</v>
      </c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9" t="s">
        <v>1616</v>
      </c>
      <c r="B850" s="9" t="s">
        <v>1617</v>
      </c>
      <c r="C850" s="9">
        <v>0.4</v>
      </c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1" t="s">
        <v>1618</v>
      </c>
      <c r="B851" s="9" t="s">
        <v>1619</v>
      </c>
      <c r="C851" s="9">
        <v>0.4</v>
      </c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9" t="s">
        <v>1620</v>
      </c>
      <c r="B852" s="9" t="s">
        <v>1621</v>
      </c>
      <c r="C852" s="9">
        <v>0.4</v>
      </c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9" t="s">
        <v>1622</v>
      </c>
      <c r="B853" s="9" t="s">
        <v>1622</v>
      </c>
      <c r="C853" s="9">
        <v>0.4</v>
      </c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9" t="s">
        <v>1623</v>
      </c>
      <c r="B854" s="9" t="s">
        <v>1624</v>
      </c>
      <c r="C854" s="9">
        <v>0.4</v>
      </c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9" t="s">
        <v>1625</v>
      </c>
      <c r="B855" s="9" t="s">
        <v>1626</v>
      </c>
      <c r="C855" s="9">
        <v>0.4</v>
      </c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9" t="s">
        <v>1627</v>
      </c>
      <c r="B856" s="9" t="s">
        <v>1627</v>
      </c>
      <c r="C856" s="9">
        <v>0.4</v>
      </c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9" t="s">
        <v>1628</v>
      </c>
      <c r="B857" s="9" t="s">
        <v>1629</v>
      </c>
      <c r="C857" s="9">
        <v>1.0</v>
      </c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9" t="s">
        <v>1630</v>
      </c>
      <c r="B858" s="9" t="s">
        <v>1630</v>
      </c>
      <c r="C858" s="9">
        <v>1.0</v>
      </c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9" t="s">
        <v>1631</v>
      </c>
      <c r="B859" s="9" t="s">
        <v>1631</v>
      </c>
      <c r="C859" s="9">
        <v>1.0</v>
      </c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9" t="s">
        <v>1632</v>
      </c>
      <c r="B860" s="9" t="s">
        <v>1633</v>
      </c>
      <c r="C860" s="9">
        <v>1.0</v>
      </c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9" t="s">
        <v>1634</v>
      </c>
      <c r="B861" s="9" t="s">
        <v>1635</v>
      </c>
      <c r="C861" s="9">
        <v>1.0</v>
      </c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9" t="s">
        <v>1636</v>
      </c>
      <c r="B862" s="9" t="s">
        <v>1636</v>
      </c>
      <c r="C862" s="9">
        <v>1.0</v>
      </c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9" t="s">
        <v>1637</v>
      </c>
      <c r="B863" s="9" t="s">
        <v>1637</v>
      </c>
      <c r="C863" s="9">
        <v>1.0</v>
      </c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26" t="s">
        <v>1638</v>
      </c>
      <c r="B864" s="26" t="s">
        <v>1639</v>
      </c>
      <c r="C864" s="9">
        <v>1.0</v>
      </c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9" t="s">
        <v>1640</v>
      </c>
      <c r="B865" s="9" t="s">
        <v>1640</v>
      </c>
      <c r="C865" s="9">
        <v>1.0</v>
      </c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9" t="s">
        <v>1641</v>
      </c>
      <c r="B866" s="9" t="s">
        <v>1642</v>
      </c>
      <c r="C866" s="9">
        <v>1.0</v>
      </c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9" t="s">
        <v>1643</v>
      </c>
      <c r="B867" s="9" t="s">
        <v>1644</v>
      </c>
      <c r="C867" s="9">
        <v>1.0</v>
      </c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9" t="s">
        <v>1645</v>
      </c>
      <c r="B868" s="9" t="s">
        <v>1646</v>
      </c>
      <c r="C868" s="9">
        <v>1.0</v>
      </c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9" t="s">
        <v>1647</v>
      </c>
      <c r="B869" s="9" t="s">
        <v>1648</v>
      </c>
      <c r="C869" s="9">
        <v>1.0</v>
      </c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9" t="s">
        <v>1649</v>
      </c>
      <c r="B870" s="9" t="s">
        <v>1650</v>
      </c>
      <c r="C870" s="9">
        <v>1.0</v>
      </c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9" t="s">
        <v>1651</v>
      </c>
      <c r="B871" s="9" t="s">
        <v>1652</v>
      </c>
      <c r="C871" s="9">
        <v>1.0</v>
      </c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9" t="s">
        <v>1653</v>
      </c>
      <c r="B872" s="9" t="s">
        <v>1654</v>
      </c>
      <c r="C872" s="9">
        <v>1.0</v>
      </c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9" t="s">
        <v>1655</v>
      </c>
      <c r="B873" s="9" t="s">
        <v>1656</v>
      </c>
      <c r="C873" s="9">
        <v>1.0</v>
      </c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9" t="s">
        <v>1657</v>
      </c>
      <c r="B874" s="9" t="s">
        <v>1657</v>
      </c>
      <c r="C874" s="9">
        <v>1.0</v>
      </c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9" t="s">
        <v>1658</v>
      </c>
      <c r="B875" s="9" t="s">
        <v>1659</v>
      </c>
      <c r="C875" s="9">
        <v>1.0</v>
      </c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9" t="s">
        <v>1660</v>
      </c>
      <c r="B876" s="9" t="s">
        <v>1661</v>
      </c>
      <c r="C876" s="9">
        <v>1.0</v>
      </c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9" t="s">
        <v>1662</v>
      </c>
      <c r="B877" s="9" t="s">
        <v>1663</v>
      </c>
      <c r="C877" s="9">
        <v>1.0</v>
      </c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9" t="s">
        <v>1664</v>
      </c>
      <c r="B878" s="9" t="s">
        <v>1665</v>
      </c>
      <c r="C878" s="9">
        <v>1.0</v>
      </c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9" t="s">
        <v>1666</v>
      </c>
      <c r="B879" s="9" t="s">
        <v>1667</v>
      </c>
      <c r="C879" s="9">
        <v>1.0</v>
      </c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9" t="s">
        <v>1668</v>
      </c>
      <c r="B880" s="9" t="s">
        <v>1668</v>
      </c>
      <c r="C880" s="9">
        <v>1.0</v>
      </c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9" t="s">
        <v>1669</v>
      </c>
      <c r="B881" s="9" t="s">
        <v>1669</v>
      </c>
      <c r="C881" s="9">
        <v>1.0</v>
      </c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9" t="s">
        <v>1670</v>
      </c>
      <c r="B882" s="9" t="s">
        <v>1670</v>
      </c>
      <c r="C882" s="9">
        <v>1.0</v>
      </c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9" t="s">
        <v>1671</v>
      </c>
      <c r="B883" s="9" t="s">
        <v>1672</v>
      </c>
      <c r="C883" s="9">
        <v>1.0</v>
      </c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9" t="s">
        <v>1673</v>
      </c>
      <c r="B884" s="9" t="s">
        <v>1674</v>
      </c>
      <c r="C884" s="9">
        <v>1.0</v>
      </c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9" t="s">
        <v>1675</v>
      </c>
      <c r="B885" s="9" t="s">
        <v>1676</v>
      </c>
      <c r="C885" s="9">
        <v>1.0</v>
      </c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9" t="s">
        <v>1677</v>
      </c>
      <c r="B886" s="9" t="s">
        <v>1678</v>
      </c>
      <c r="C886" s="9">
        <v>1.0</v>
      </c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9" t="s">
        <v>1679</v>
      </c>
      <c r="B887" s="9" t="s">
        <v>1680</v>
      </c>
      <c r="C887" s="9">
        <v>1.0</v>
      </c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9" t="s">
        <v>1681</v>
      </c>
      <c r="B888" s="9" t="s">
        <v>1682</v>
      </c>
      <c r="C888" s="9">
        <v>1.0</v>
      </c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9" t="s">
        <v>1683</v>
      </c>
      <c r="B889" s="9" t="s">
        <v>1684</v>
      </c>
      <c r="C889" s="9">
        <v>1.0</v>
      </c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9" t="s">
        <v>1685</v>
      </c>
      <c r="B890" s="9" t="s">
        <v>1686</v>
      </c>
      <c r="C890" s="9">
        <v>1.0</v>
      </c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9" t="s">
        <v>1687</v>
      </c>
      <c r="B891" s="9" t="s">
        <v>1688</v>
      </c>
      <c r="C891" s="9">
        <v>1.0</v>
      </c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9" t="s">
        <v>1689</v>
      </c>
      <c r="B892" s="9" t="s">
        <v>1690</v>
      </c>
      <c r="C892" s="9">
        <v>1.0</v>
      </c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9" t="s">
        <v>1691</v>
      </c>
      <c r="B893" s="9" t="s">
        <v>1692</v>
      </c>
      <c r="C893" s="9">
        <v>1.0</v>
      </c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9" t="s">
        <v>1693</v>
      </c>
      <c r="B894" s="9" t="s">
        <v>1694</v>
      </c>
      <c r="C894" s="9">
        <v>1.0</v>
      </c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9" t="s">
        <v>1695</v>
      </c>
      <c r="B895" s="9" t="s">
        <v>1696</v>
      </c>
      <c r="C895" s="9">
        <v>1.0</v>
      </c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9" t="s">
        <v>1697</v>
      </c>
      <c r="B896" s="9" t="s">
        <v>1698</v>
      </c>
      <c r="C896" s="9">
        <v>1.0</v>
      </c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9" t="s">
        <v>1699</v>
      </c>
      <c r="B897" s="9" t="s">
        <v>1699</v>
      </c>
      <c r="C897" s="9">
        <v>1.0</v>
      </c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9" t="s">
        <v>1700</v>
      </c>
      <c r="B898" s="9" t="s">
        <v>1701</v>
      </c>
      <c r="C898" s="9">
        <v>1.0</v>
      </c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9" t="s">
        <v>1702</v>
      </c>
      <c r="B899" s="9" t="s">
        <v>1703</v>
      </c>
      <c r="C899" s="9">
        <v>1.0</v>
      </c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9" t="s">
        <v>1704</v>
      </c>
      <c r="B900" s="9" t="s">
        <v>1705</v>
      </c>
      <c r="C900" s="9">
        <v>1.0</v>
      </c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9" t="s">
        <v>1706</v>
      </c>
      <c r="B901" s="9" t="s">
        <v>1706</v>
      </c>
      <c r="C901" s="9">
        <v>1.0</v>
      </c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9" t="s">
        <v>1707</v>
      </c>
      <c r="B902" s="9" t="s">
        <v>1708</v>
      </c>
      <c r="C902" s="9">
        <v>1.0</v>
      </c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9" t="s">
        <v>1709</v>
      </c>
      <c r="B903" s="9" t="s">
        <v>1710</v>
      </c>
      <c r="C903" s="9">
        <v>1.0</v>
      </c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9" t="s">
        <v>1711</v>
      </c>
      <c r="B904" s="9" t="s">
        <v>1712</v>
      </c>
      <c r="C904" s="9">
        <v>1.0</v>
      </c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9" t="s">
        <v>1713</v>
      </c>
      <c r="B905" s="9" t="s">
        <v>1714</v>
      </c>
      <c r="C905" s="9">
        <v>1.0</v>
      </c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9" t="s">
        <v>1715</v>
      </c>
      <c r="B906" s="9" t="s">
        <v>1715</v>
      </c>
      <c r="C906" s="9">
        <v>1.0</v>
      </c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9" t="s">
        <v>1716</v>
      </c>
      <c r="B907" s="9" t="s">
        <v>1717</v>
      </c>
      <c r="C907" s="9">
        <v>1.0</v>
      </c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9" t="s">
        <v>1718</v>
      </c>
      <c r="B908" s="9" t="s">
        <v>1719</v>
      </c>
      <c r="C908" s="9">
        <v>1.0</v>
      </c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9" t="s">
        <v>1720</v>
      </c>
      <c r="B909" s="9" t="s">
        <v>1721</v>
      </c>
      <c r="C909" s="9">
        <v>1.0</v>
      </c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9" t="s">
        <v>1722</v>
      </c>
      <c r="B910" s="9" t="s">
        <v>1723</v>
      </c>
      <c r="C910" s="9">
        <v>1.0</v>
      </c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9" t="s">
        <v>1724</v>
      </c>
      <c r="B911" s="9" t="s">
        <v>1725</v>
      </c>
      <c r="C911" s="9">
        <v>1.0</v>
      </c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1" t="s">
        <v>1726</v>
      </c>
      <c r="B912" s="9" t="s">
        <v>1727</v>
      </c>
      <c r="C912" s="9">
        <v>1.0</v>
      </c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1" t="s">
        <v>1728</v>
      </c>
      <c r="B913" s="9" t="s">
        <v>1728</v>
      </c>
      <c r="C913" s="9">
        <v>1.0</v>
      </c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1" t="s">
        <v>1729</v>
      </c>
      <c r="B914" s="9" t="s">
        <v>1730</v>
      </c>
      <c r="C914" s="9">
        <v>1.0</v>
      </c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1" t="s">
        <v>1731</v>
      </c>
      <c r="B915" s="9" t="s">
        <v>1732</v>
      </c>
      <c r="C915" s="9">
        <v>1.0</v>
      </c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9" t="s">
        <v>1733</v>
      </c>
      <c r="B916" s="9" t="s">
        <v>1734</v>
      </c>
      <c r="C916" s="9">
        <v>1.0</v>
      </c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1" t="s">
        <v>1735</v>
      </c>
      <c r="B917" s="9" t="s">
        <v>1736</v>
      </c>
      <c r="C917" s="9">
        <v>1.0</v>
      </c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9" t="s">
        <v>1737</v>
      </c>
      <c r="B918" s="9" t="s">
        <v>1738</v>
      </c>
      <c r="C918" s="9">
        <v>1.0</v>
      </c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9" t="s">
        <v>1739</v>
      </c>
      <c r="B919" s="9" t="s">
        <v>1740</v>
      </c>
      <c r="C919" s="9">
        <v>1.0</v>
      </c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25" t="s">
        <v>1741</v>
      </c>
      <c r="B920" s="25" t="s">
        <v>1742</v>
      </c>
      <c r="C920" s="9">
        <v>1.0</v>
      </c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9" t="s">
        <v>1743</v>
      </c>
      <c r="B921" s="9" t="s">
        <v>1743</v>
      </c>
      <c r="C921" s="9">
        <v>1.0</v>
      </c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9" t="s">
        <v>1744</v>
      </c>
      <c r="B922" s="9" t="s">
        <v>1745</v>
      </c>
      <c r="C922" s="9">
        <v>1.0</v>
      </c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9" t="s">
        <v>1746</v>
      </c>
      <c r="B923" s="9" t="s">
        <v>1747</v>
      </c>
      <c r="C923" s="9">
        <v>1.0</v>
      </c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9" t="s">
        <v>1748</v>
      </c>
      <c r="B924" s="9" t="s">
        <v>1749</v>
      </c>
      <c r="C924" s="9">
        <v>1.0</v>
      </c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1" t="s">
        <v>1750</v>
      </c>
      <c r="B925" s="9" t="s">
        <v>1751</v>
      </c>
      <c r="C925" s="9">
        <v>1.0</v>
      </c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41" t="s">
        <v>1752</v>
      </c>
      <c r="B926" s="42" t="s">
        <v>1052</v>
      </c>
      <c r="C926" s="9">
        <v>1.0</v>
      </c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41" t="s">
        <v>1753</v>
      </c>
      <c r="B927" s="42" t="s">
        <v>1753</v>
      </c>
      <c r="C927" s="9">
        <v>1.0</v>
      </c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41" t="s">
        <v>1754</v>
      </c>
      <c r="B928" s="42" t="s">
        <v>1755</v>
      </c>
      <c r="C928" s="9">
        <v>1.0</v>
      </c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1" t="s">
        <v>1756</v>
      </c>
      <c r="B929" s="9" t="s">
        <v>254</v>
      </c>
      <c r="C929" s="9">
        <v>1.0</v>
      </c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1" t="s">
        <v>1757</v>
      </c>
      <c r="B930" s="9" t="s">
        <v>1387</v>
      </c>
      <c r="C930" s="9">
        <v>1.0</v>
      </c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1" t="s">
        <v>1758</v>
      </c>
      <c r="B931" s="9" t="s">
        <v>1386</v>
      </c>
      <c r="C931" s="9">
        <v>1.0</v>
      </c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1" t="s">
        <v>1759</v>
      </c>
      <c r="B932" s="9" t="s">
        <v>1760</v>
      </c>
      <c r="C932" s="9">
        <v>1.0</v>
      </c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1" t="s">
        <v>1761</v>
      </c>
      <c r="B933" s="9" t="s">
        <v>707</v>
      </c>
      <c r="C933" s="9">
        <v>1.0</v>
      </c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1" t="s">
        <v>1762</v>
      </c>
      <c r="B934" s="9" t="s">
        <v>1763</v>
      </c>
      <c r="C934" s="9">
        <v>1.0</v>
      </c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1" t="s">
        <v>1764</v>
      </c>
      <c r="B935" s="9" t="s">
        <v>42</v>
      </c>
      <c r="C935" s="9">
        <v>1.0</v>
      </c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1" t="s">
        <v>1765</v>
      </c>
      <c r="B936" s="9" t="s">
        <v>333</v>
      </c>
      <c r="C936" s="9">
        <v>1.0</v>
      </c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1" t="s">
        <v>1766</v>
      </c>
      <c r="B937" s="9" t="s">
        <v>1767</v>
      </c>
      <c r="C937" s="9">
        <v>1.0</v>
      </c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1" t="s">
        <v>1768</v>
      </c>
      <c r="B938" s="9" t="s">
        <v>695</v>
      </c>
      <c r="C938" s="9">
        <v>1.0</v>
      </c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1" t="s">
        <v>1769</v>
      </c>
      <c r="B939" s="9" t="s">
        <v>1770</v>
      </c>
      <c r="C939" s="9">
        <v>1.0</v>
      </c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1" t="s">
        <v>1771</v>
      </c>
      <c r="B940" s="9" t="s">
        <v>1772</v>
      </c>
      <c r="C940" s="9">
        <v>1.0</v>
      </c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1" t="s">
        <v>1773</v>
      </c>
      <c r="B941" s="9" t="s">
        <v>1774</v>
      </c>
      <c r="C941" s="9">
        <v>1.0</v>
      </c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1" t="s">
        <v>1775</v>
      </c>
      <c r="B942" s="9" t="s">
        <v>1775</v>
      </c>
      <c r="C942" s="9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43" t="s">
        <v>1776</v>
      </c>
      <c r="B943" s="43" t="s">
        <v>1776</v>
      </c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1" t="s">
        <v>1777</v>
      </c>
      <c r="B944" s="9" t="s">
        <v>1777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1" t="s">
        <v>1778</v>
      </c>
      <c r="B945" s="9" t="s">
        <v>1778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1" t="s">
        <v>1779</v>
      </c>
      <c r="B946" s="9" t="s">
        <v>1779</v>
      </c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1" t="s">
        <v>1780</v>
      </c>
      <c r="B947" s="9" t="s">
        <v>1780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1" t="s">
        <v>1781</v>
      </c>
      <c r="B948" s="9" t="s">
        <v>1781</v>
      </c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1" t="s">
        <v>1782</v>
      </c>
      <c r="B949" s="9" t="s">
        <v>1782</v>
      </c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1" t="s">
        <v>1783</v>
      </c>
      <c r="B950" s="9" t="s">
        <v>1783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1" t="s">
        <v>1784</v>
      </c>
      <c r="B951" s="9" t="s">
        <v>1784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1" t="s">
        <v>1785</v>
      </c>
      <c r="B952" s="9" t="s">
        <v>1785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1" t="s">
        <v>1786</v>
      </c>
      <c r="B953" s="9" t="s">
        <v>1786</v>
      </c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1" t="s">
        <v>1787</v>
      </c>
      <c r="B954" s="9" t="s">
        <v>1787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1" t="s">
        <v>1788</v>
      </c>
      <c r="B955" s="9" t="s">
        <v>1789</v>
      </c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1" t="s">
        <v>1790</v>
      </c>
      <c r="B956" s="9" t="s">
        <v>1791</v>
      </c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1" t="s">
        <v>1792</v>
      </c>
      <c r="B957" s="9" t="s">
        <v>1793</v>
      </c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1" t="s">
        <v>1794</v>
      </c>
      <c r="B958" s="9" t="s">
        <v>1795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1" t="s">
        <v>1796</v>
      </c>
      <c r="B959" s="9" t="s">
        <v>1797</v>
      </c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1" t="s">
        <v>1798</v>
      </c>
      <c r="B960" s="9" t="s">
        <v>1799</v>
      </c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1" t="s">
        <v>1800</v>
      </c>
      <c r="B961" s="9" t="s">
        <v>1801</v>
      </c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1" t="s">
        <v>1802</v>
      </c>
      <c r="B962" s="9" t="s">
        <v>1803</v>
      </c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1" t="s">
        <v>1804</v>
      </c>
      <c r="B963" s="9" t="s">
        <v>1805</v>
      </c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1" t="s">
        <v>1806</v>
      </c>
      <c r="B964" s="9" t="s">
        <v>1807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1" t="s">
        <v>1808</v>
      </c>
      <c r="B965" s="9" t="s">
        <v>1809</v>
      </c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1" t="s">
        <v>1810</v>
      </c>
      <c r="B966" s="9" t="s">
        <v>1811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1" t="s">
        <v>1812</v>
      </c>
      <c r="B967" s="9" t="s">
        <v>1813</v>
      </c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1" t="s">
        <v>1814</v>
      </c>
      <c r="B968" s="9" t="s">
        <v>1815</v>
      </c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1" t="s">
        <v>1816</v>
      </c>
      <c r="B969" s="9" t="s">
        <v>1817</v>
      </c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1" t="s">
        <v>1818</v>
      </c>
      <c r="B970" s="9" t="s">
        <v>1819</v>
      </c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1" t="s">
        <v>1820</v>
      </c>
      <c r="B971" s="9" t="s">
        <v>1821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1" t="s">
        <v>1822</v>
      </c>
      <c r="B972" s="9" t="s">
        <v>1823</v>
      </c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1" t="s">
        <v>1824</v>
      </c>
      <c r="B973" s="11" t="s">
        <v>1825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1" t="s">
        <v>1826</v>
      </c>
      <c r="B974" s="11" t="s">
        <v>1827</v>
      </c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1" t="s">
        <v>1828</v>
      </c>
      <c r="B975" s="11" t="s">
        <v>1829</v>
      </c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1" t="s">
        <v>1830</v>
      </c>
      <c r="B976" s="11" t="s">
        <v>1831</v>
      </c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1" t="s">
        <v>1832</v>
      </c>
      <c r="B977" s="11" t="s">
        <v>1833</v>
      </c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1" t="s">
        <v>1834</v>
      </c>
      <c r="B978" s="11" t="s">
        <v>1835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1" t="s">
        <v>1836</v>
      </c>
      <c r="B979" s="11" t="s">
        <v>1837</v>
      </c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1" t="s">
        <v>1838</v>
      </c>
      <c r="B980" s="11" t="s">
        <v>1839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1" t="s">
        <v>1840</v>
      </c>
      <c r="B981" s="11" t="s">
        <v>1841</v>
      </c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1" t="s">
        <v>1842</v>
      </c>
      <c r="B982" s="11" t="s">
        <v>1843</v>
      </c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44" t="s">
        <v>1844</v>
      </c>
      <c r="B983" s="44" t="s">
        <v>1844</v>
      </c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1" t="s">
        <v>1845</v>
      </c>
      <c r="B984" s="9" t="s">
        <v>1846</v>
      </c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1" t="s">
        <v>1847</v>
      </c>
      <c r="B985" s="9" t="s">
        <v>1848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1" t="s">
        <v>1849</v>
      </c>
      <c r="B986" s="9" t="s">
        <v>1850</v>
      </c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1" t="s">
        <v>1851</v>
      </c>
      <c r="B987" s="9" t="s">
        <v>1851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1" t="s">
        <v>1852</v>
      </c>
      <c r="B988" s="9" t="s">
        <v>1852</v>
      </c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1" t="s">
        <v>1853</v>
      </c>
      <c r="B989" s="9" t="s">
        <v>1853</v>
      </c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1" t="s">
        <v>1854</v>
      </c>
      <c r="B990" s="9" t="s">
        <v>1854</v>
      </c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1" t="s">
        <v>1855</v>
      </c>
      <c r="B991" s="9" t="s">
        <v>1855</v>
      </c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1" t="s">
        <v>1856</v>
      </c>
      <c r="B992" s="9" t="s">
        <v>1856</v>
      </c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1" t="s">
        <v>1857</v>
      </c>
      <c r="B993" s="9" t="s">
        <v>1857</v>
      </c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1" t="s">
        <v>1858</v>
      </c>
      <c r="B994" s="9" t="s">
        <v>1858</v>
      </c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1" t="s">
        <v>1859</v>
      </c>
      <c r="B995" s="9" t="s">
        <v>1860</v>
      </c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1" t="s">
        <v>1861</v>
      </c>
      <c r="B996" s="9" t="s">
        <v>1862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1" t="s">
        <v>1863</v>
      </c>
      <c r="B997" s="9" t="s">
        <v>1864</v>
      </c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1" t="s">
        <v>1865</v>
      </c>
      <c r="B998" s="9" t="s">
        <v>1866</v>
      </c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1" t="s">
        <v>1867</v>
      </c>
      <c r="B999" s="9" t="s">
        <v>1868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1" t="s">
        <v>1869</v>
      </c>
      <c r="B1000" s="9" t="s">
        <v>1870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9" t="s">
        <v>1871</v>
      </c>
      <c r="B1001" s="7" t="s">
        <v>1872</v>
      </c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9" t="s">
        <v>1873</v>
      </c>
      <c r="B1002" s="7" t="s">
        <v>1874</v>
      </c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9" t="s">
        <v>1875</v>
      </c>
      <c r="B1003" s="7" t="s">
        <v>1875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9" t="s">
        <v>1876</v>
      </c>
      <c r="B1004" s="7" t="s">
        <v>1876</v>
      </c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9" t="s">
        <v>1877</v>
      </c>
      <c r="B1005" s="7" t="s">
        <v>1878</v>
      </c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9" t="s">
        <v>1879</v>
      </c>
      <c r="B1006" s="7" t="s">
        <v>1880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>
      <c r="A1007" s="9" t="s">
        <v>1881</v>
      </c>
      <c r="B1007" s="7" t="s">
        <v>1882</v>
      </c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>
      <c r="A1008" s="9" t="s">
        <v>1883</v>
      </c>
      <c r="B1008" s="7" t="s">
        <v>1884</v>
      </c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>
      <c r="A1009" s="9" t="s">
        <v>1885</v>
      </c>
      <c r="B1009" s="7" t="s">
        <v>1886</v>
      </c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>
      <c r="A1010" s="9" t="s">
        <v>1887</v>
      </c>
      <c r="B1010" s="7" t="s">
        <v>1888</v>
      </c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>
      <c r="A1011" s="11" t="s">
        <v>1889</v>
      </c>
      <c r="B1011" s="9" t="s">
        <v>1889</v>
      </c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>
      <c r="A1012" s="11" t="s">
        <v>1890</v>
      </c>
      <c r="B1012" s="9" t="s">
        <v>1890</v>
      </c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>
      <c r="A1013" s="11" t="s">
        <v>1891</v>
      </c>
      <c r="B1013" s="9" t="s">
        <v>1892</v>
      </c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>
      <c r="A1014" s="11" t="s">
        <v>1893</v>
      </c>
      <c r="B1014" s="9" t="s">
        <v>1894</v>
      </c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>
      <c r="A1015" s="11" t="s">
        <v>1895</v>
      </c>
      <c r="B1015" s="9" t="s">
        <v>1896</v>
      </c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>
      <c r="A1016" s="11" t="s">
        <v>1897</v>
      </c>
      <c r="B1016" s="9" t="s">
        <v>1898</v>
      </c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>
      <c r="A1017" s="11" t="s">
        <v>1899</v>
      </c>
      <c r="B1017" s="9" t="s">
        <v>1900</v>
      </c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>
      <c r="A1018" s="11" t="s">
        <v>1901</v>
      </c>
      <c r="B1018" s="9" t="s">
        <v>1902</v>
      </c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>
      <c r="A1019" s="11" t="s">
        <v>1903</v>
      </c>
      <c r="B1019" s="9" t="s">
        <v>1904</v>
      </c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>
      <c r="A1020" s="11" t="s">
        <v>1905</v>
      </c>
      <c r="B1020" s="9" t="s">
        <v>1906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>
      <c r="A1021" s="11" t="s">
        <v>1907</v>
      </c>
      <c r="B1021" s="9" t="s">
        <v>1908</v>
      </c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>
      <c r="A1022" s="11" t="s">
        <v>1909</v>
      </c>
      <c r="B1022" s="9" t="s">
        <v>1910</v>
      </c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>
      <c r="A1023" s="11" t="s">
        <v>1911</v>
      </c>
      <c r="B1023" s="9" t="s">
        <v>1912</v>
      </c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>
      <c r="A1024" s="9" t="s">
        <v>1913</v>
      </c>
      <c r="B1024" s="9" t="s">
        <v>1914</v>
      </c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>
      <c r="A1025" s="9" t="s">
        <v>1915</v>
      </c>
      <c r="B1025" s="9" t="s">
        <v>1916</v>
      </c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>
      <c r="A1026" s="9" t="s">
        <v>1917</v>
      </c>
      <c r="B1026" s="9" t="s">
        <v>1918</v>
      </c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>
      <c r="A1027" s="9" t="s">
        <v>1919</v>
      </c>
      <c r="B1027" s="9" t="s">
        <v>1919</v>
      </c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>
      <c r="A1028" s="9" t="s">
        <v>1920</v>
      </c>
      <c r="B1028" s="9" t="s">
        <v>1920</v>
      </c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>
      <c r="A1029" s="11" t="s">
        <v>0</v>
      </c>
      <c r="B1029" s="9" t="s">
        <v>0</v>
      </c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>
      <c r="A1030" s="11" t="s">
        <v>1921</v>
      </c>
      <c r="B1030" s="9" t="s">
        <v>1921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>
      <c r="A1031" s="11" t="s">
        <v>1922</v>
      </c>
      <c r="B1031" s="9" t="s">
        <v>1922</v>
      </c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>
      <c r="A1032" s="11" t="s">
        <v>1923</v>
      </c>
      <c r="B1032" s="9" t="s">
        <v>1923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>
      <c r="A1033" s="11" t="s">
        <v>1924</v>
      </c>
      <c r="B1033" s="9" t="s">
        <v>1924</v>
      </c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>
      <c r="A1034" s="11" t="s">
        <v>1925</v>
      </c>
      <c r="B1034" s="9" t="s">
        <v>1926</v>
      </c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>
      <c r="A1035" s="11" t="s">
        <v>1927</v>
      </c>
      <c r="B1035" s="9" t="s">
        <v>1928</v>
      </c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>
      <c r="A1036" s="11" t="s">
        <v>1929</v>
      </c>
      <c r="B1036" s="9" t="s">
        <v>1929</v>
      </c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>
      <c r="A1037" s="11" t="s">
        <v>1930</v>
      </c>
      <c r="B1037" s="9" t="s">
        <v>1931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>
      <c r="A1038" s="11" t="s">
        <v>1932</v>
      </c>
      <c r="B1038" s="9" t="s">
        <v>1932</v>
      </c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>
      <c r="A1039" s="11" t="s">
        <v>1933</v>
      </c>
      <c r="B1039" s="9" t="s">
        <v>1933</v>
      </c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>
      <c r="A1040" s="11" t="s">
        <v>1934</v>
      </c>
      <c r="B1040" s="9" t="s">
        <v>1934</v>
      </c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>
      <c r="A1041" s="11" t="s">
        <v>1935</v>
      </c>
      <c r="B1041" s="9" t="s">
        <v>1936</v>
      </c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>
      <c r="A1042" s="11" t="s">
        <v>1937</v>
      </c>
      <c r="B1042" s="9" t="s">
        <v>1938</v>
      </c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>
      <c r="A1043" s="11" t="s">
        <v>1939</v>
      </c>
      <c r="B1043" s="9" t="s">
        <v>1940</v>
      </c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>
      <c r="A1044" s="11" t="s">
        <v>1941</v>
      </c>
      <c r="B1044" s="9" t="s">
        <v>1942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>
      <c r="A1045" s="11" t="s">
        <v>1943</v>
      </c>
      <c r="B1045" s="9" t="s">
        <v>1943</v>
      </c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>
      <c r="A1046" s="11" t="s">
        <v>1944</v>
      </c>
      <c r="B1046" s="9" t="s">
        <v>1945</v>
      </c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>
      <c r="A1047" s="11" t="s">
        <v>1946</v>
      </c>
      <c r="B1047" s="9" t="s">
        <v>1947</v>
      </c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>
      <c r="A1048" s="11" t="s">
        <v>1948</v>
      </c>
      <c r="B1048" s="9" t="s">
        <v>1948</v>
      </c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>
      <c r="A1049" s="11" t="s">
        <v>1949</v>
      </c>
      <c r="B1049" s="9" t="s">
        <v>1949</v>
      </c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>
      <c r="A1050" s="11" t="s">
        <v>1950</v>
      </c>
      <c r="B1050" s="9" t="s">
        <v>1951</v>
      </c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>
      <c r="A1051" s="11" t="s">
        <v>1952</v>
      </c>
      <c r="B1051" s="9" t="s">
        <v>1952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>
      <c r="A1052" s="9" t="s">
        <v>1953</v>
      </c>
      <c r="B1052" s="9" t="s">
        <v>1954</v>
      </c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>
      <c r="A1053" s="9" t="s">
        <v>1955</v>
      </c>
      <c r="B1053" s="9" t="s">
        <v>1956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>
      <c r="A1054" s="9" t="s">
        <v>1957</v>
      </c>
      <c r="B1054" s="9" t="s">
        <v>1958</v>
      </c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>
      <c r="A1055" s="9" t="s">
        <v>1959</v>
      </c>
      <c r="B1055" s="9" t="s">
        <v>1959</v>
      </c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>
      <c r="A1056" s="9" t="s">
        <v>1960</v>
      </c>
      <c r="B1056" s="9" t="s">
        <v>1961</v>
      </c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>
      <c r="A1057" s="9" t="s">
        <v>1962</v>
      </c>
      <c r="B1057" s="9" t="s">
        <v>1963</v>
      </c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>
      <c r="A1058" s="9" t="s">
        <v>1964</v>
      </c>
      <c r="B1058" s="9" t="s">
        <v>1965</v>
      </c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>
      <c r="A1059" s="9" t="s">
        <v>1966</v>
      </c>
      <c r="B1059" s="9" t="s">
        <v>1967</v>
      </c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>
      <c r="A1060" s="9" t="s">
        <v>1968</v>
      </c>
      <c r="B1060" s="9" t="s">
        <v>1969</v>
      </c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>
      <c r="A1061" s="9" t="s">
        <v>1970</v>
      </c>
      <c r="B1061" s="9" t="s">
        <v>1971</v>
      </c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>
      <c r="A1062" s="9" t="s">
        <v>1972</v>
      </c>
      <c r="B1062" s="9" t="s">
        <v>1973</v>
      </c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>
      <c r="A1063" s="9" t="s">
        <v>1974</v>
      </c>
      <c r="B1063" s="9" t="s">
        <v>1975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>
      <c r="A1064" s="9" t="s">
        <v>1976</v>
      </c>
      <c r="B1064" s="9" t="s">
        <v>1977</v>
      </c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>
      <c r="A1065" s="9" t="s">
        <v>1978</v>
      </c>
      <c r="B1065" s="9" t="s">
        <v>1979</v>
      </c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>
      <c r="A1066" s="9" t="s">
        <v>1980</v>
      </c>
      <c r="B1066" s="9" t="s">
        <v>1981</v>
      </c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>
      <c r="A1067" s="9" t="s">
        <v>1982</v>
      </c>
      <c r="B1067" s="9" t="s">
        <v>1983</v>
      </c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>
      <c r="A1068" s="9" t="s">
        <v>1984</v>
      </c>
      <c r="B1068" s="9" t="s">
        <v>1985</v>
      </c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>
      <c r="A1069" s="9" t="s">
        <v>1986</v>
      </c>
      <c r="B1069" s="9" t="s">
        <v>1987</v>
      </c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>
      <c r="A1070" s="9" t="s">
        <v>1988</v>
      </c>
      <c r="B1070" s="9" t="s">
        <v>1989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>
      <c r="A1071" s="9" t="s">
        <v>1990</v>
      </c>
      <c r="B1071" s="9" t="s">
        <v>1991</v>
      </c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>
      <c r="A1072" s="9" t="s">
        <v>1992</v>
      </c>
      <c r="B1072" s="9" t="s">
        <v>1993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>
      <c r="A1073" s="9" t="s">
        <v>1994</v>
      </c>
      <c r="B1073" s="9" t="s">
        <v>1995</v>
      </c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>
      <c r="A1074" s="9" t="s">
        <v>1996</v>
      </c>
      <c r="B1074" s="9" t="s">
        <v>1997</v>
      </c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>
      <c r="A1075" s="9" t="s">
        <v>1998</v>
      </c>
      <c r="B1075" s="9" t="s">
        <v>1999</v>
      </c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>
      <c r="A1076" s="45" t="s">
        <v>2000</v>
      </c>
      <c r="B1076" s="45" t="s">
        <v>2001</v>
      </c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>
      <c r="A1077" s="9" t="s">
        <v>2002</v>
      </c>
      <c r="B1077" s="9" t="s">
        <v>2003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>
      <c r="A1078" s="9" t="s">
        <v>2004</v>
      </c>
      <c r="B1078" s="9" t="s">
        <v>2005</v>
      </c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>
      <c r="A1079" s="9" t="s">
        <v>2006</v>
      </c>
      <c r="B1079" s="9" t="s">
        <v>2007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>
      <c r="A1080" s="9" t="s">
        <v>2008</v>
      </c>
      <c r="B1080" s="9" t="s">
        <v>2009</v>
      </c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>
      <c r="A1081" s="9" t="s">
        <v>2010</v>
      </c>
      <c r="B1081" s="9" t="s">
        <v>2010</v>
      </c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>
      <c r="A1082" s="7" t="s">
        <v>2011</v>
      </c>
      <c r="B1082" s="7" t="s">
        <v>2011</v>
      </c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>
      <c r="A1083" s="7" t="s">
        <v>2012</v>
      </c>
      <c r="B1083" s="7" t="s">
        <v>2013</v>
      </c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>
      <c r="A1084" s="7" t="s">
        <v>2014</v>
      </c>
      <c r="B1084" s="7" t="s">
        <v>2015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>
      <c r="A1085" s="9" t="s">
        <v>2016</v>
      </c>
      <c r="B1085" s="9" t="s">
        <v>2016</v>
      </c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>
      <c r="A1086" s="9" t="s">
        <v>2017</v>
      </c>
      <c r="B1086" s="9" t="s">
        <v>2018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>
      <c r="A1087" s="9" t="s">
        <v>2019</v>
      </c>
      <c r="B1087" s="9" t="s">
        <v>2020</v>
      </c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>
      <c r="A1088" s="9" t="s">
        <v>2021</v>
      </c>
      <c r="B1088" s="9" t="s">
        <v>2022</v>
      </c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>
      <c r="A1089" s="9" t="s">
        <v>2023</v>
      </c>
      <c r="B1089" s="9" t="s">
        <v>2024</v>
      </c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>
      <c r="A1090" s="9" t="s">
        <v>2025</v>
      </c>
      <c r="B1090" s="9" t="s">
        <v>2025</v>
      </c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>
      <c r="A1091" s="9" t="s">
        <v>2026</v>
      </c>
      <c r="B1091" s="9" t="s">
        <v>2026</v>
      </c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>
      <c r="A1092" s="9" t="s">
        <v>2027</v>
      </c>
      <c r="B1092" s="9" t="s">
        <v>2028</v>
      </c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>
      <c r="A1093" s="46" t="s">
        <v>2029</v>
      </c>
      <c r="B1093" s="46" t="s">
        <v>2029</v>
      </c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>
      <c r="A1094" s="42" t="s">
        <v>2030</v>
      </c>
      <c r="B1094" s="46" t="s">
        <v>2031</v>
      </c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>
      <c r="A1095" s="47" t="s">
        <v>2032</v>
      </c>
      <c r="B1095" s="48" t="s">
        <v>2033</v>
      </c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>
      <c r="A1096" s="47" t="s">
        <v>2034</v>
      </c>
      <c r="B1096" s="48" t="s">
        <v>2035</v>
      </c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>
      <c r="A1097" s="47" t="s">
        <v>2036</v>
      </c>
      <c r="B1097" s="48" t="s">
        <v>2037</v>
      </c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>
      <c r="A1098" s="42" t="s">
        <v>2038</v>
      </c>
      <c r="B1098" s="42" t="s">
        <v>2039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>
      <c r="A1099" s="47" t="s">
        <v>2040</v>
      </c>
      <c r="B1099" s="48" t="s">
        <v>2041</v>
      </c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>
      <c r="A1100" s="42" t="s">
        <v>2042</v>
      </c>
      <c r="B1100" s="46" t="s">
        <v>2043</v>
      </c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>
      <c r="A1101" s="42" t="s">
        <v>2044</v>
      </c>
      <c r="B1101" s="46" t="s">
        <v>2045</v>
      </c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>
      <c r="A1102" s="42" t="s">
        <v>2046</v>
      </c>
      <c r="B1102" s="46" t="s">
        <v>2047</v>
      </c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>
      <c r="A1103" s="42" t="s">
        <v>2048</v>
      </c>
      <c r="B1103" s="46" t="s">
        <v>2049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>
      <c r="A1104" s="42" t="s">
        <v>2050</v>
      </c>
      <c r="B1104" s="46" t="s">
        <v>2051</v>
      </c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>
      <c r="A1105" s="42" t="s">
        <v>2052</v>
      </c>
      <c r="B1105" s="46" t="s">
        <v>2053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>
      <c r="A1106" s="47" t="s">
        <v>2054</v>
      </c>
      <c r="B1106" s="48" t="s">
        <v>2055</v>
      </c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>
      <c r="A1107" s="47" t="s">
        <v>2056</v>
      </c>
      <c r="B1107" s="48" t="s">
        <v>2057</v>
      </c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>
      <c r="A1108" s="47" t="s">
        <v>2058</v>
      </c>
      <c r="B1108" s="48" t="s">
        <v>2059</v>
      </c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>
      <c r="A1109" s="47" t="s">
        <v>2060</v>
      </c>
      <c r="B1109" s="48" t="s">
        <v>2061</v>
      </c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>
      <c r="A1110" s="47" t="s">
        <v>2062</v>
      </c>
      <c r="B1110" s="48" t="s">
        <v>2063</v>
      </c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>
      <c r="A1111" s="42" t="s">
        <v>2064</v>
      </c>
      <c r="B1111" s="46" t="s">
        <v>2065</v>
      </c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>
      <c r="A1112" s="47" t="s">
        <v>2066</v>
      </c>
      <c r="B1112" s="48" t="s">
        <v>2067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>
      <c r="A1113" s="47" t="s">
        <v>2068</v>
      </c>
      <c r="B1113" s="48" t="s">
        <v>2069</v>
      </c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>
      <c r="A1114" s="11"/>
      <c r="B1114" s="9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>
      <c r="A1115" s="11"/>
      <c r="B1115" s="9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>
      <c r="A1116" s="11"/>
      <c r="B1116" s="9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>
      <c r="A1117" s="11"/>
      <c r="B1117" s="9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>
      <c r="A1118" s="11"/>
      <c r="B1118" s="9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>
      <c r="A1119" s="11"/>
      <c r="B1119" s="9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>
      <c r="A1120" s="11"/>
      <c r="B1120" s="9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>
      <c r="A1121" s="11"/>
      <c r="B1121" s="9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>
      <c r="A1122" s="11"/>
      <c r="B1122" s="9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>
      <c r="A1123" s="11"/>
      <c r="B1123" s="9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>
      <c r="A1124" s="11"/>
      <c r="B1124" s="9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>
      <c r="A1125" s="11"/>
      <c r="B1125" s="9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>
      <c r="A1126" s="11"/>
      <c r="B1126" s="9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>
      <c r="A1127" s="11"/>
      <c r="B1127" s="9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>
      <c r="A1128" s="11"/>
      <c r="B1128" s="9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  <row r="1129">
      <c r="A1129" s="11"/>
      <c r="B1129" s="9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</row>
    <row r="1130">
      <c r="A1130" s="11"/>
      <c r="B1130" s="9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</row>
    <row r="1131">
      <c r="A1131" s="11"/>
      <c r="B1131" s="9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</row>
    <row r="1132">
      <c r="A1132" s="11"/>
      <c r="B1132" s="9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</row>
    <row r="1133">
      <c r="A1133" s="11"/>
      <c r="B1133" s="9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</row>
    <row r="1134">
      <c r="A1134" s="11"/>
      <c r="B1134" s="9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</row>
    <row r="1135">
      <c r="A1135" s="11"/>
      <c r="B1135" s="9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</row>
    <row r="1136">
      <c r="A1136" s="11"/>
      <c r="B1136" s="9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</row>
    <row r="1137">
      <c r="A1137" s="11"/>
      <c r="B1137" s="9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</row>
    <row r="1138">
      <c r="A1138" s="11"/>
      <c r="B1138" s="9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</row>
    <row r="1139">
      <c r="A1139" s="11"/>
      <c r="B1139" s="9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</row>
    <row r="1140">
      <c r="A1140" s="11"/>
      <c r="B1140" s="9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</row>
    <row r="1141">
      <c r="A1141" s="11"/>
      <c r="B1141" s="9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</row>
    <row r="1142">
      <c r="A1142" s="11"/>
      <c r="B1142" s="9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</row>
    <row r="1143">
      <c r="A1143" s="11"/>
      <c r="B1143" s="9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</row>
    <row r="1144">
      <c r="A1144" s="11"/>
      <c r="B1144" s="9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</row>
    <row r="1145">
      <c r="A1145" s="11"/>
      <c r="B1145" s="9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</row>
    <row r="1146">
      <c r="A1146" s="11"/>
      <c r="B1146" s="9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</row>
    <row r="1147">
      <c r="A1147" s="11"/>
      <c r="B1147" s="9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</row>
    <row r="1148">
      <c r="A1148" s="11"/>
      <c r="B1148" s="9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</row>
    <row r="1149">
      <c r="A1149" s="11"/>
      <c r="B1149" s="9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</row>
    <row r="1150">
      <c r="A1150" s="11"/>
      <c r="B1150" s="9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</row>
    <row r="1151">
      <c r="A1151" s="11"/>
      <c r="B1151" s="9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</row>
    <row r="1152">
      <c r="A1152" s="11"/>
      <c r="B1152" s="9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</row>
    <row r="1153">
      <c r="A1153" s="11"/>
      <c r="B1153" s="9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</row>
    <row r="1154">
      <c r="A1154" s="11"/>
      <c r="B1154" s="9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</row>
    <row r="1155">
      <c r="A1155" s="11"/>
      <c r="B1155" s="9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</row>
    <row r="1156">
      <c r="A1156" s="11"/>
      <c r="B1156" s="9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</row>
    <row r="1157">
      <c r="A1157" s="11"/>
      <c r="B1157" s="9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</row>
    <row r="1158">
      <c r="A1158" s="11"/>
      <c r="B1158" s="9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</row>
    <row r="1159">
      <c r="A1159" s="11"/>
      <c r="B1159" s="9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</row>
    <row r="1160">
      <c r="A1160" s="11"/>
      <c r="B1160" s="9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</row>
    <row r="1161">
      <c r="A1161" s="11"/>
      <c r="B1161" s="9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</row>
    <row r="1162">
      <c r="A1162" s="11"/>
      <c r="B1162" s="9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</row>
    <row r="1163">
      <c r="A1163" s="11"/>
      <c r="B1163" s="9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</row>
    <row r="1164">
      <c r="A1164" s="11"/>
      <c r="B1164" s="9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</row>
    <row r="1165">
      <c r="A1165" s="11"/>
      <c r="B1165" s="9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</row>
    <row r="1166">
      <c r="A1166" s="11"/>
      <c r="B1166" s="9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</row>
    <row r="1167">
      <c r="A1167" s="11"/>
      <c r="B1167" s="9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</row>
    <row r="1168">
      <c r="A1168" s="11"/>
      <c r="B1168" s="9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</row>
    <row r="1169">
      <c r="A1169" s="11"/>
      <c r="B1169" s="9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</row>
    <row r="1170">
      <c r="A1170" s="11"/>
      <c r="B1170" s="9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</row>
    <row r="1171">
      <c r="A1171" s="11"/>
      <c r="B1171" s="9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</row>
    <row r="1172">
      <c r="A1172" s="11"/>
      <c r="B1172" s="9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</row>
    <row r="1173">
      <c r="A1173" s="11"/>
      <c r="B1173" s="9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</row>
    <row r="1174">
      <c r="A1174" s="11"/>
      <c r="B1174" s="9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</row>
    <row r="1175">
      <c r="A1175" s="11"/>
      <c r="B1175" s="9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</row>
    <row r="1176">
      <c r="A1176" s="11"/>
      <c r="B1176" s="9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</row>
    <row r="1177">
      <c r="A1177" s="11"/>
      <c r="B1177" s="9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</row>
    <row r="1178">
      <c r="A1178" s="11"/>
      <c r="B1178" s="9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</row>
    <row r="1179">
      <c r="A1179" s="11"/>
      <c r="B1179" s="9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</row>
    <row r="1180">
      <c r="A1180" s="11"/>
      <c r="B1180" s="9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</row>
    <row r="1181">
      <c r="A1181" s="11"/>
      <c r="B1181" s="9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</row>
    <row r="1182">
      <c r="A1182" s="11"/>
      <c r="B1182" s="9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</row>
    <row r="1183">
      <c r="A1183" s="11"/>
      <c r="B1183" s="9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</row>
    <row r="1184">
      <c r="A1184" s="11"/>
      <c r="B1184" s="9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</row>
    <row r="1185">
      <c r="A1185" s="11"/>
      <c r="B1185" s="9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</row>
    <row r="1186">
      <c r="A1186" s="11"/>
      <c r="B1186" s="9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</row>
    <row r="1187">
      <c r="A1187" s="11"/>
      <c r="B1187" s="9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</row>
    <row r="1188">
      <c r="A1188" s="11"/>
      <c r="B1188" s="9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</row>
    <row r="1189">
      <c r="A1189" s="11"/>
      <c r="B1189" s="9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</row>
    <row r="1190">
      <c r="A1190" s="11"/>
      <c r="B1190" s="9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</row>
    <row r="1191">
      <c r="A1191" s="11"/>
      <c r="B1191" s="9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</row>
    <row r="1192">
      <c r="A1192" s="11"/>
      <c r="B1192" s="9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</row>
    <row r="1193">
      <c r="A1193" s="11"/>
      <c r="B1193" s="9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</row>
    <row r="1194">
      <c r="A1194" s="11"/>
      <c r="B1194" s="9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</row>
    <row r="1195">
      <c r="A1195" s="11"/>
      <c r="B1195" s="9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</row>
    <row r="1196">
      <c r="A1196" s="11"/>
      <c r="B1196" s="9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</row>
    <row r="1197">
      <c r="A1197" s="11"/>
      <c r="B1197" s="9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</row>
    <row r="1198">
      <c r="A1198" s="11"/>
      <c r="B1198" s="9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</row>
    <row r="1199">
      <c r="A1199" s="11"/>
      <c r="B1199" s="9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</row>
    <row r="1200">
      <c r="A1200" s="11"/>
      <c r="B1200" s="9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</row>
    <row r="1201">
      <c r="A1201" s="11"/>
      <c r="B1201" s="9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</row>
    <row r="1202">
      <c r="A1202" s="11"/>
      <c r="B1202" s="9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</row>
    <row r="1203">
      <c r="A1203" s="11"/>
      <c r="B1203" s="9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</row>
    <row r="1204">
      <c r="A1204" s="11"/>
      <c r="B1204" s="9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</row>
    <row r="1205">
      <c r="A1205" s="11"/>
      <c r="B1205" s="9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</row>
    <row r="1206">
      <c r="A1206" s="11"/>
      <c r="B1206" s="9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</row>
    <row r="1207">
      <c r="A1207" s="11"/>
      <c r="B1207" s="9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</row>
    <row r="1208">
      <c r="A1208" s="11"/>
      <c r="B1208" s="9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</row>
    <row r="1209">
      <c r="A1209" s="11"/>
      <c r="B1209" s="9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</row>
    <row r="1210">
      <c r="A1210" s="11"/>
      <c r="B1210" s="9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</row>
    <row r="1211">
      <c r="A1211" s="11"/>
      <c r="B1211" s="9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</row>
    <row r="1212">
      <c r="A1212" s="11"/>
      <c r="B1212" s="9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</row>
    <row r="1213">
      <c r="A1213" s="11"/>
      <c r="B1213" s="9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</row>
    <row r="1214">
      <c r="A1214" s="11"/>
      <c r="B1214" s="9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</row>
    <row r="1215">
      <c r="A1215" s="11"/>
      <c r="B1215" s="9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</row>
    <row r="1216">
      <c r="A1216" s="11"/>
      <c r="B1216" s="9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</row>
    <row r="1217">
      <c r="A1217" s="11"/>
      <c r="B1217" s="9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</row>
    <row r="1218">
      <c r="A1218" s="11"/>
      <c r="B1218" s="9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</row>
    <row r="1219">
      <c r="A1219" s="11"/>
      <c r="B1219" s="9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</row>
    <row r="1220">
      <c r="A1220" s="11"/>
      <c r="B1220" s="9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</row>
    <row r="1221">
      <c r="A1221" s="11"/>
      <c r="B1221" s="9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</row>
    <row r="1222">
      <c r="A1222" s="11"/>
      <c r="B1222" s="9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</row>
    <row r="1223">
      <c r="A1223" s="11"/>
      <c r="B1223" s="9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</row>
    <row r="1224">
      <c r="A1224" s="11"/>
      <c r="B1224" s="9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</row>
    <row r="1225">
      <c r="A1225" s="11"/>
      <c r="B1225" s="9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</row>
    <row r="1226">
      <c r="A1226" s="11"/>
      <c r="B1226" s="9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</row>
    <row r="1227">
      <c r="A1227" s="11"/>
      <c r="B1227" s="9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</row>
    <row r="1228">
      <c r="A1228" s="11"/>
      <c r="B1228" s="9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</row>
    <row r="1229">
      <c r="A1229" s="11"/>
      <c r="B1229" s="9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</row>
    <row r="1230">
      <c r="A1230" s="11"/>
      <c r="B1230" s="9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</row>
    <row r="1231">
      <c r="A1231" s="11"/>
      <c r="B1231" s="9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</row>
    <row r="1232">
      <c r="A1232" s="11"/>
      <c r="B1232" s="9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</row>
    <row r="1233">
      <c r="A1233" s="11"/>
      <c r="B1233" s="9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</row>
    <row r="1234">
      <c r="A1234" s="11"/>
      <c r="B1234" s="9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</row>
    <row r="1235">
      <c r="A1235" s="11"/>
      <c r="B1235" s="9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</row>
    <row r="1236">
      <c r="A1236" s="11"/>
      <c r="B1236" s="9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</row>
    <row r="1237">
      <c r="A1237" s="11"/>
      <c r="B1237" s="9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</row>
    <row r="1238">
      <c r="A1238" s="11"/>
      <c r="B1238" s="9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</row>
    <row r="1239">
      <c r="A1239" s="11"/>
      <c r="B1239" s="9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</row>
    <row r="1240">
      <c r="A1240" s="11"/>
      <c r="B1240" s="9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</row>
    <row r="1241">
      <c r="A1241" s="11"/>
      <c r="B1241" s="9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</row>
    <row r="1242">
      <c r="A1242" s="11"/>
      <c r="B1242" s="9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</row>
    <row r="1243">
      <c r="A1243" s="11"/>
      <c r="B1243" s="9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</row>
    <row r="1244">
      <c r="A1244" s="11"/>
      <c r="B1244" s="9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</row>
    <row r="1245">
      <c r="A1245" s="11"/>
      <c r="B1245" s="9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</row>
    <row r="1246">
      <c r="A1246" s="11"/>
      <c r="B1246" s="9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</row>
    <row r="1247">
      <c r="A1247" s="11"/>
      <c r="B1247" s="9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</row>
    <row r="1248">
      <c r="A1248" s="11"/>
      <c r="B1248" s="9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</row>
    <row r="1249">
      <c r="A1249" s="11"/>
      <c r="B1249" s="9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</row>
    <row r="1250">
      <c r="A1250" s="11"/>
      <c r="B1250" s="9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</row>
    <row r="1251">
      <c r="A1251" s="11"/>
      <c r="B1251" s="9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</row>
    <row r="1252">
      <c r="A1252" s="11"/>
      <c r="B1252" s="9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</row>
    <row r="1253">
      <c r="A1253" s="11"/>
      <c r="B1253" s="9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</row>
    <row r="1254">
      <c r="A1254" s="11"/>
      <c r="B1254" s="9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</row>
    <row r="1255">
      <c r="A1255" s="11"/>
      <c r="B1255" s="9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</row>
    <row r="1256">
      <c r="A1256" s="11"/>
      <c r="B1256" s="9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</row>
    <row r="1257">
      <c r="A1257" s="11"/>
      <c r="B1257" s="9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</row>
    <row r="1258">
      <c r="A1258" s="11"/>
      <c r="B1258" s="9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</row>
    <row r="1259">
      <c r="A1259" s="11"/>
      <c r="B1259" s="9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</row>
    <row r="1260">
      <c r="A1260" s="11"/>
      <c r="B1260" s="9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</row>
    <row r="1261">
      <c r="A1261" s="11"/>
      <c r="B1261" s="9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</row>
    <row r="1262">
      <c r="A1262" s="11"/>
      <c r="B1262" s="9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</row>
    <row r="1263">
      <c r="A1263" s="11"/>
      <c r="B1263" s="9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</row>
    <row r="1264">
      <c r="A1264" s="11"/>
      <c r="B1264" s="9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</row>
    <row r="1265">
      <c r="A1265" s="11"/>
      <c r="B1265" s="9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</row>
    <row r="1266">
      <c r="A1266" s="11"/>
      <c r="B1266" s="9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</row>
    <row r="1267">
      <c r="A1267" s="11"/>
      <c r="B1267" s="9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</row>
    <row r="1268">
      <c r="A1268" s="11"/>
      <c r="B1268" s="9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</row>
    <row r="1269">
      <c r="A1269" s="11"/>
      <c r="B1269" s="9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</row>
    <row r="1270">
      <c r="A1270" s="11"/>
      <c r="B1270" s="9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</row>
    <row r="1271">
      <c r="A1271" s="11"/>
      <c r="B1271" s="9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</row>
    <row r="1272">
      <c r="A1272" s="11"/>
      <c r="B1272" s="9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</row>
    <row r="1273">
      <c r="A1273" s="11"/>
      <c r="B1273" s="9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</row>
    <row r="1274">
      <c r="A1274" s="11"/>
      <c r="B1274" s="9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</row>
    <row r="1275">
      <c r="A1275" s="11"/>
      <c r="B1275" s="9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</row>
    <row r="1276">
      <c r="A1276" s="11"/>
      <c r="B1276" s="9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</row>
    <row r="1277">
      <c r="A1277" s="11"/>
      <c r="B1277" s="9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</row>
    <row r="1278">
      <c r="A1278" s="11"/>
      <c r="B1278" s="9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</row>
    <row r="1279">
      <c r="A1279" s="11"/>
      <c r="B1279" s="9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</row>
    <row r="1280">
      <c r="A1280" s="11"/>
      <c r="B1280" s="9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</row>
    <row r="1281">
      <c r="A1281" s="11"/>
      <c r="B1281" s="9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</row>
    <row r="1282">
      <c r="A1282" s="11"/>
      <c r="B1282" s="9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</row>
    <row r="1283">
      <c r="A1283" s="11"/>
      <c r="B1283" s="9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</row>
    <row r="1284">
      <c r="A1284" s="11"/>
      <c r="B1284" s="9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</row>
    <row r="1285">
      <c r="A1285" s="11"/>
      <c r="B1285" s="9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</row>
    <row r="1286">
      <c r="A1286" s="11"/>
      <c r="B1286" s="9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</row>
    <row r="1287">
      <c r="A1287" s="11"/>
      <c r="B1287" s="9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</row>
    <row r="1288">
      <c r="A1288" s="11"/>
      <c r="B1288" s="9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</row>
    <row r="1289">
      <c r="A1289" s="11"/>
      <c r="B1289" s="9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</row>
    <row r="1290">
      <c r="A1290" s="11"/>
      <c r="B1290" s="9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</row>
    <row r="1291">
      <c r="A1291" s="11"/>
      <c r="B1291" s="9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</row>
    <row r="1292">
      <c r="A1292" s="11"/>
      <c r="B1292" s="9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</row>
    <row r="1293">
      <c r="A1293" s="11"/>
      <c r="B1293" s="9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</row>
    <row r="1294">
      <c r="A1294" s="11"/>
      <c r="B1294" s="9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</row>
    <row r="1295">
      <c r="A1295" s="11"/>
      <c r="B1295" s="9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</row>
    <row r="1296">
      <c r="A1296" s="11"/>
      <c r="B1296" s="9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</row>
    <row r="1297">
      <c r="A1297" s="11"/>
      <c r="B1297" s="9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</row>
    <row r="1298">
      <c r="A1298" s="11"/>
      <c r="B1298" s="9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</row>
    <row r="1299">
      <c r="A1299" s="11"/>
      <c r="B1299" s="9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</row>
    <row r="1300">
      <c r="A1300" s="11"/>
      <c r="B1300" s="9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</row>
    <row r="1301">
      <c r="A1301" s="11"/>
      <c r="B1301" s="9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</row>
    <row r="1302">
      <c r="A1302" s="11"/>
      <c r="B1302" s="9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</row>
    <row r="1303">
      <c r="A1303" s="11"/>
      <c r="B1303" s="9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</row>
    <row r="1304">
      <c r="A1304" s="11"/>
      <c r="B1304" s="9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</row>
    <row r="1305">
      <c r="A1305" s="11"/>
      <c r="B1305" s="9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</row>
    <row r="1306">
      <c r="A1306" s="11"/>
      <c r="B1306" s="9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</row>
    <row r="1307">
      <c r="A1307" s="11"/>
      <c r="B1307" s="9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</row>
    <row r="1308">
      <c r="A1308" s="11"/>
      <c r="B1308" s="9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</row>
    <row r="1309">
      <c r="A1309" s="11"/>
      <c r="B1309" s="9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</row>
    <row r="1310">
      <c r="A1310" s="11"/>
      <c r="B1310" s="9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</row>
    <row r="1311">
      <c r="A1311" s="11"/>
      <c r="B1311" s="9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</row>
    <row r="1312">
      <c r="A1312" s="11"/>
      <c r="B1312" s="9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</row>
    <row r="1313">
      <c r="A1313" s="11"/>
      <c r="B1313" s="9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</row>
    <row r="1314">
      <c r="A1314" s="11"/>
      <c r="B1314" s="9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</row>
    <row r="1315">
      <c r="A1315" s="11"/>
      <c r="B1315" s="9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</row>
    <row r="1316">
      <c r="A1316" s="11"/>
      <c r="B1316" s="9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</row>
    <row r="1317">
      <c r="A1317" s="11"/>
      <c r="B1317" s="9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</row>
    <row r="1318">
      <c r="A1318" s="11"/>
      <c r="B1318" s="9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</row>
    <row r="1319">
      <c r="A1319" s="11"/>
      <c r="B1319" s="9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</row>
    <row r="1320">
      <c r="A1320" s="11"/>
      <c r="B1320" s="9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</row>
    <row r="1321">
      <c r="A1321" s="11"/>
      <c r="B1321" s="9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</row>
    <row r="1322">
      <c r="A1322" s="11"/>
      <c r="B1322" s="9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</row>
    <row r="1323">
      <c r="A1323" s="11"/>
      <c r="B1323" s="9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</row>
    <row r="1324">
      <c r="A1324" s="11"/>
      <c r="B1324" s="9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</row>
    <row r="1325">
      <c r="A1325" s="11"/>
      <c r="B1325" s="9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</row>
    <row r="1326">
      <c r="A1326" s="11"/>
      <c r="B1326" s="9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</row>
    <row r="1327">
      <c r="A1327" s="11"/>
      <c r="B1327" s="9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</row>
    <row r="1328">
      <c r="A1328" s="11"/>
      <c r="B1328" s="9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</row>
    <row r="1329">
      <c r="A1329" s="11"/>
      <c r="B1329" s="9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</row>
    <row r="1330">
      <c r="A1330" s="11"/>
      <c r="B1330" s="9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</row>
    <row r="1331">
      <c r="A1331" s="11"/>
      <c r="B1331" s="9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</row>
    <row r="1332">
      <c r="A1332" s="11"/>
      <c r="B1332" s="9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</row>
    <row r="1333">
      <c r="A1333" s="11"/>
      <c r="B1333" s="9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</row>
    <row r="1334">
      <c r="A1334" s="11"/>
      <c r="B1334" s="9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</row>
    <row r="1335">
      <c r="A1335" s="11"/>
      <c r="B1335" s="9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</row>
    <row r="1336">
      <c r="A1336" s="11"/>
      <c r="B1336" s="9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</row>
    <row r="1337">
      <c r="A1337" s="11"/>
      <c r="B1337" s="9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</row>
    <row r="1338">
      <c r="A1338" s="11"/>
      <c r="B1338" s="9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</row>
    <row r="1339">
      <c r="A1339" s="11"/>
      <c r="B1339" s="9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</row>
    <row r="1340">
      <c r="A1340" s="11"/>
      <c r="B1340" s="9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</row>
    <row r="1341">
      <c r="A1341" s="11"/>
      <c r="B1341" s="9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</row>
    <row r="1342">
      <c r="A1342" s="11"/>
      <c r="B1342" s="9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</row>
    <row r="1343">
      <c r="A1343" s="11"/>
      <c r="B1343" s="9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</row>
    <row r="1344">
      <c r="A1344" s="11"/>
      <c r="B1344" s="9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</row>
    <row r="1345">
      <c r="A1345" s="11"/>
      <c r="B1345" s="9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</row>
    <row r="1346">
      <c r="A1346" s="11"/>
      <c r="B1346" s="9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</row>
    <row r="1347">
      <c r="A1347" s="11"/>
      <c r="B1347" s="9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</row>
    <row r="1348">
      <c r="A1348" s="11"/>
      <c r="B1348" s="9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</row>
    <row r="1349">
      <c r="A1349" s="11"/>
      <c r="B1349" s="9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</row>
    <row r="1350">
      <c r="A1350" s="11"/>
      <c r="B1350" s="9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</row>
    <row r="1351">
      <c r="A1351" s="11"/>
      <c r="B1351" s="9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</row>
    <row r="1352">
      <c r="A1352" s="11"/>
      <c r="B1352" s="9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</row>
    <row r="1353">
      <c r="A1353" s="11"/>
      <c r="B1353" s="9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</row>
    <row r="1354">
      <c r="A1354" s="11"/>
      <c r="B1354" s="9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</row>
    <row r="1355">
      <c r="A1355" s="11"/>
      <c r="B1355" s="9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</row>
    <row r="1356">
      <c r="A1356" s="11"/>
      <c r="B1356" s="9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</row>
    <row r="1357">
      <c r="A1357" s="11"/>
      <c r="B1357" s="9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</row>
    <row r="1358">
      <c r="A1358" s="11"/>
      <c r="B1358" s="9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</row>
    <row r="1359">
      <c r="A1359" s="11"/>
      <c r="B1359" s="9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</row>
    <row r="1360">
      <c r="A1360" s="11"/>
      <c r="B1360" s="9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</row>
    <row r="1361">
      <c r="A1361" s="11"/>
      <c r="B1361" s="9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</row>
    <row r="1362">
      <c r="A1362" s="11"/>
      <c r="B1362" s="9"/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</row>
    <row r="1363">
      <c r="A1363" s="11"/>
      <c r="B1363" s="9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</row>
    <row r="1364">
      <c r="A1364" s="11"/>
      <c r="B1364" s="9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</row>
    <row r="1365">
      <c r="A1365" s="11"/>
      <c r="B1365" s="9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</row>
    <row r="1366">
      <c r="A1366" s="11"/>
      <c r="B1366" s="9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</row>
    <row r="1367">
      <c r="A1367" s="11"/>
      <c r="B1367" s="9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</row>
    <row r="1368">
      <c r="A1368" s="11"/>
      <c r="B1368" s="9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</row>
    <row r="1369">
      <c r="A1369" s="11"/>
      <c r="B1369" s="9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</row>
    <row r="1370">
      <c r="A1370" s="11"/>
      <c r="B1370" s="9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</row>
    <row r="1371">
      <c r="A1371" s="11"/>
      <c r="B1371" s="9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</row>
    <row r="1372">
      <c r="A1372" s="11"/>
      <c r="B1372" s="9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</row>
    <row r="1373">
      <c r="A1373" s="11"/>
      <c r="B1373" s="9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</row>
    <row r="1374">
      <c r="A1374" s="11"/>
      <c r="B1374" s="9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</row>
    <row r="1375">
      <c r="A1375" s="11"/>
      <c r="B1375" s="9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</row>
    <row r="1376">
      <c r="A1376" s="11"/>
      <c r="B1376" s="9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</row>
    <row r="1377">
      <c r="A1377" s="11"/>
      <c r="B1377" s="9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</row>
    <row r="1378">
      <c r="A1378" s="11"/>
      <c r="B1378" s="9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</row>
    <row r="1379">
      <c r="A1379" s="11"/>
      <c r="B1379" s="9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</row>
    <row r="1380">
      <c r="A1380" s="11"/>
      <c r="B1380" s="9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</row>
    <row r="1381">
      <c r="A1381" s="11"/>
      <c r="B1381" s="9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</row>
    <row r="1382">
      <c r="A1382" s="11"/>
      <c r="B1382" s="9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</row>
    <row r="1383">
      <c r="A1383" s="11"/>
      <c r="B1383" s="9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</row>
    <row r="1384">
      <c r="A1384" s="11"/>
      <c r="B1384" s="9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</row>
    <row r="1385">
      <c r="A1385" s="11"/>
      <c r="B1385" s="9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</row>
    <row r="1386">
      <c r="A1386" s="11"/>
      <c r="B1386" s="9"/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</row>
    <row r="1387">
      <c r="A1387" s="11"/>
      <c r="B1387" s="9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</row>
    <row r="1388">
      <c r="A1388" s="11"/>
      <c r="B1388" s="9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</row>
    <row r="1389">
      <c r="A1389" s="11"/>
      <c r="B1389" s="9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</row>
    <row r="1390">
      <c r="A1390" s="11"/>
      <c r="B1390" s="9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</row>
    <row r="1391">
      <c r="A1391" s="11"/>
      <c r="B1391" s="9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</row>
    <row r="1392">
      <c r="A1392" s="11"/>
      <c r="B1392" s="9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</row>
    <row r="1393">
      <c r="A1393" s="11"/>
      <c r="B1393" s="9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</row>
    <row r="1394">
      <c r="A1394" s="11"/>
      <c r="B1394" s="9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</row>
    <row r="1395">
      <c r="A1395" s="11"/>
      <c r="B1395" s="9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</row>
    <row r="1396">
      <c r="A1396" s="11"/>
      <c r="B1396" s="9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</row>
    <row r="1397">
      <c r="A1397" s="11"/>
      <c r="B1397" s="9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</row>
    <row r="1398">
      <c r="A1398" s="11"/>
      <c r="B1398" s="9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</row>
    <row r="1399">
      <c r="A1399" s="11"/>
      <c r="B1399" s="9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</row>
    <row r="1400">
      <c r="A1400" s="11"/>
      <c r="B1400" s="9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</row>
    <row r="1401">
      <c r="A1401" s="11"/>
      <c r="B1401" s="9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</row>
    <row r="1402">
      <c r="A1402" s="11"/>
      <c r="B1402" s="9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</row>
    <row r="1403">
      <c r="A1403" s="11"/>
      <c r="B1403" s="9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</row>
    <row r="1404">
      <c r="A1404" s="11"/>
      <c r="B1404" s="9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</row>
    <row r="1405">
      <c r="A1405" s="11"/>
      <c r="B1405" s="9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</row>
    <row r="1406">
      <c r="A1406" s="11"/>
      <c r="B1406" s="9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</row>
    <row r="1407">
      <c r="A1407" s="11"/>
      <c r="B1407" s="9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</row>
    <row r="1408">
      <c r="A1408" s="11"/>
      <c r="B1408" s="9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</row>
    <row r="1409">
      <c r="A1409" s="11"/>
      <c r="B1409" s="9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</row>
    <row r="1410">
      <c r="A1410" s="11"/>
      <c r="B1410" s="9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</row>
    <row r="1411">
      <c r="A1411" s="11"/>
      <c r="B1411" s="9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</row>
    <row r="1412">
      <c r="A1412" s="11"/>
      <c r="B1412" s="9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</row>
    <row r="1413">
      <c r="A1413" s="11"/>
      <c r="B1413" s="9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</row>
    <row r="1414">
      <c r="A1414" s="11"/>
      <c r="B1414" s="9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</row>
    <row r="1415">
      <c r="A1415" s="11"/>
      <c r="B1415" s="9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</row>
    <row r="1416">
      <c r="A1416" s="11"/>
      <c r="B1416" s="9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</row>
    <row r="1417">
      <c r="A1417" s="11"/>
      <c r="B1417" s="9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</row>
    <row r="1418">
      <c r="A1418" s="11"/>
      <c r="B1418" s="9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</row>
    <row r="1419">
      <c r="A1419" s="11"/>
      <c r="B1419" s="9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</row>
    <row r="1420">
      <c r="A1420" s="11"/>
      <c r="B1420" s="9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</row>
    <row r="1421">
      <c r="A1421" s="11"/>
      <c r="B1421" s="9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</row>
    <row r="1422">
      <c r="A1422" s="11"/>
      <c r="B1422" s="9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</row>
    <row r="1423">
      <c r="A1423" s="11"/>
      <c r="B1423" s="9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</row>
    <row r="1424">
      <c r="A1424" s="11"/>
      <c r="B1424" s="9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</row>
    <row r="1425">
      <c r="A1425" s="11"/>
      <c r="B1425" s="9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</row>
    <row r="1426">
      <c r="A1426" s="11"/>
      <c r="B1426" s="9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</row>
    <row r="1427">
      <c r="A1427" s="11"/>
      <c r="B1427" s="9"/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</row>
    <row r="1428">
      <c r="A1428" s="11"/>
      <c r="B1428" s="9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</row>
    <row r="1429">
      <c r="A1429" s="11"/>
      <c r="B1429" s="9"/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</row>
    <row r="1430">
      <c r="A1430" s="11"/>
      <c r="B1430" s="9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</row>
    <row r="1431">
      <c r="A1431" s="11"/>
      <c r="B1431" s="9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</row>
    <row r="1432">
      <c r="A1432" s="11"/>
      <c r="B1432" s="9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</row>
    <row r="1433">
      <c r="A1433" s="11"/>
      <c r="B1433" s="9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</row>
    <row r="1434">
      <c r="A1434" s="11"/>
      <c r="B1434" s="9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</row>
    <row r="1435">
      <c r="A1435" s="11"/>
      <c r="B1435" s="9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</row>
    <row r="1436">
      <c r="A1436" s="11"/>
      <c r="B1436" s="9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</row>
    <row r="1437">
      <c r="A1437" s="11"/>
      <c r="B1437" s="9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</row>
    <row r="1438">
      <c r="A1438" s="11"/>
      <c r="B1438" s="9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</row>
    <row r="1439">
      <c r="A1439" s="11"/>
      <c r="B1439" s="9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</row>
    <row r="1440">
      <c r="A1440" s="11"/>
      <c r="B1440" s="9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</row>
    <row r="1441">
      <c r="A1441" s="11"/>
      <c r="B1441" s="9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</row>
    <row r="1442">
      <c r="A1442" s="11"/>
      <c r="B1442" s="9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</row>
    <row r="1443">
      <c r="A1443" s="11"/>
      <c r="B1443" s="9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</row>
    <row r="1444">
      <c r="A1444" s="11"/>
      <c r="B1444" s="9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</row>
    <row r="1445">
      <c r="A1445" s="11"/>
      <c r="B1445" s="9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</row>
    <row r="1446">
      <c r="A1446" s="11"/>
      <c r="B1446" s="9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</row>
    <row r="1447">
      <c r="A1447" s="11"/>
      <c r="B1447" s="9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</row>
    <row r="1448">
      <c r="A1448" s="11"/>
      <c r="B1448" s="9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</row>
    <row r="1449">
      <c r="A1449" s="11"/>
      <c r="B1449" s="9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</row>
    <row r="1450">
      <c r="A1450" s="11"/>
      <c r="B1450" s="9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</row>
    <row r="1451">
      <c r="A1451" s="11"/>
      <c r="B1451" s="9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</row>
    <row r="1452">
      <c r="A1452" s="11"/>
      <c r="B1452" s="9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</row>
    <row r="1453">
      <c r="A1453" s="11"/>
      <c r="B1453" s="9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</row>
    <row r="1454">
      <c r="A1454" s="11"/>
      <c r="B1454" s="9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</row>
    <row r="1455">
      <c r="A1455" s="11"/>
      <c r="B1455" s="9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</row>
    <row r="1456">
      <c r="A1456" s="11"/>
      <c r="B1456" s="9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</row>
    <row r="1457">
      <c r="A1457" s="11"/>
      <c r="B1457" s="9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</row>
    <row r="1458">
      <c r="A1458" s="11"/>
      <c r="B1458" s="9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</row>
    <row r="1459">
      <c r="A1459" s="11"/>
      <c r="B1459" s="9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</row>
    <row r="1460">
      <c r="A1460" s="11"/>
      <c r="B1460" s="9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</row>
    <row r="1461">
      <c r="A1461" s="11"/>
      <c r="B1461" s="9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</row>
    <row r="1462">
      <c r="A1462" s="11"/>
      <c r="B1462" s="9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</row>
    <row r="1463">
      <c r="A1463" s="11"/>
      <c r="B1463" s="9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</row>
    <row r="1464">
      <c r="A1464" s="11"/>
      <c r="B1464" s="9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</row>
    <row r="1465">
      <c r="A1465" s="11"/>
      <c r="B1465" s="9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</row>
    <row r="1466">
      <c r="A1466" s="11"/>
      <c r="B1466" s="9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</row>
    <row r="1467">
      <c r="A1467" s="11"/>
      <c r="B1467" s="9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</row>
    <row r="1468">
      <c r="A1468" s="11"/>
      <c r="B1468" s="9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</row>
    <row r="1469">
      <c r="A1469" s="11"/>
      <c r="B1469" s="9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</row>
    <row r="1470">
      <c r="A1470" s="11"/>
      <c r="B1470" s="9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</row>
    <row r="1471">
      <c r="A1471" s="11"/>
      <c r="B1471" s="9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</row>
    <row r="1472">
      <c r="A1472" s="11"/>
      <c r="B1472" s="9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</row>
    <row r="1473">
      <c r="A1473" s="11"/>
      <c r="B1473" s="9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</row>
    <row r="1474">
      <c r="A1474" s="11"/>
      <c r="B1474" s="9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</row>
    <row r="1475">
      <c r="A1475" s="11"/>
      <c r="B1475" s="9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</row>
    <row r="1476">
      <c r="A1476" s="11"/>
      <c r="B1476" s="9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</row>
    <row r="1477">
      <c r="A1477" s="11"/>
      <c r="B1477" s="9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</row>
    <row r="1478">
      <c r="A1478" s="11"/>
      <c r="B1478" s="9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</row>
    <row r="1479">
      <c r="A1479" s="11"/>
      <c r="B1479" s="9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</row>
    <row r="1480">
      <c r="A1480" s="11"/>
      <c r="B1480" s="9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</row>
    <row r="1481">
      <c r="A1481" s="11"/>
      <c r="B1481" s="9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</row>
    <row r="1482">
      <c r="A1482" s="11"/>
      <c r="B1482" s="9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</row>
    <row r="1483">
      <c r="A1483" s="11"/>
      <c r="B1483" s="9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</row>
    <row r="1484">
      <c r="A1484" s="11"/>
      <c r="B1484" s="9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</row>
    <row r="1485">
      <c r="A1485" s="11"/>
      <c r="B1485" s="9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</row>
    <row r="1486">
      <c r="A1486" s="11"/>
      <c r="B1486" s="9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</row>
    <row r="1487">
      <c r="A1487" s="11"/>
      <c r="B1487" s="9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</row>
    <row r="1488">
      <c r="A1488" s="11"/>
      <c r="B1488" s="9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</row>
    <row r="1489">
      <c r="A1489" s="11"/>
      <c r="B1489" s="9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</row>
    <row r="1490">
      <c r="A1490" s="11"/>
      <c r="B1490" s="9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</row>
    <row r="1491">
      <c r="A1491" s="11"/>
      <c r="B1491" s="9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</row>
    <row r="1492">
      <c r="A1492" s="11"/>
      <c r="B1492" s="9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</row>
    <row r="1493">
      <c r="A1493" s="11"/>
      <c r="B1493" s="9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</row>
    <row r="1494">
      <c r="A1494" s="11"/>
      <c r="B1494" s="9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</row>
    <row r="1495">
      <c r="A1495" s="11"/>
      <c r="B1495" s="9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</row>
    <row r="1496">
      <c r="A1496" s="11"/>
      <c r="B1496" s="9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</row>
    <row r="1497">
      <c r="A1497" s="11"/>
      <c r="B1497" s="9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</row>
    <row r="1498">
      <c r="A1498" s="11"/>
      <c r="B1498" s="9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</row>
    <row r="1499">
      <c r="A1499" s="11"/>
      <c r="B1499" s="9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</row>
    <row r="1500">
      <c r="A1500" s="11"/>
      <c r="B1500" s="9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</row>
    <row r="1501">
      <c r="A1501" s="11"/>
      <c r="B1501" s="9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</row>
    <row r="1502">
      <c r="A1502" s="11"/>
      <c r="B1502" s="9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</row>
    <row r="1503">
      <c r="A1503" s="11"/>
      <c r="B1503" s="9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</row>
    <row r="1504">
      <c r="A1504" s="11"/>
      <c r="B1504" s="9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</row>
    <row r="1505">
      <c r="A1505" s="11"/>
      <c r="B1505" s="9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</row>
    <row r="1506">
      <c r="A1506" s="11"/>
      <c r="B1506" s="9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</row>
    <row r="1507">
      <c r="A1507" s="11"/>
      <c r="B1507" s="9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</row>
    <row r="1508">
      <c r="A1508" s="11"/>
      <c r="B1508" s="9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</row>
    <row r="1509">
      <c r="A1509" s="11"/>
      <c r="B1509" s="9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</row>
    <row r="1510">
      <c r="A1510" s="11"/>
      <c r="B1510" s="9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</row>
    <row r="1511">
      <c r="A1511" s="11"/>
      <c r="B1511" s="9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</row>
    <row r="1512">
      <c r="A1512" s="11"/>
      <c r="B1512" s="9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</row>
    <row r="1513">
      <c r="A1513" s="11"/>
      <c r="B1513" s="9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</row>
    <row r="1514">
      <c r="A1514" s="11"/>
      <c r="B1514" s="9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</row>
    <row r="1515">
      <c r="A1515" s="11"/>
      <c r="B1515" s="9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</row>
    <row r="1516">
      <c r="A1516" s="11"/>
      <c r="B1516" s="9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</row>
    <row r="1517">
      <c r="A1517" s="11"/>
      <c r="B1517" s="9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</row>
    <row r="1518">
      <c r="A1518" s="11"/>
      <c r="B1518" s="9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</row>
    <row r="1519">
      <c r="A1519" s="11"/>
      <c r="B1519" s="9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</row>
    <row r="1520">
      <c r="A1520" s="11"/>
      <c r="B1520" s="9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</row>
    <row r="1521">
      <c r="A1521" s="11"/>
      <c r="B1521" s="9"/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</row>
    <row r="1522">
      <c r="A1522" s="11"/>
      <c r="B1522" s="9"/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</row>
    <row r="1523">
      <c r="A1523" s="11"/>
      <c r="B1523" s="9"/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</row>
    <row r="1524">
      <c r="A1524" s="11"/>
      <c r="B1524" s="9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</row>
    <row r="1525">
      <c r="A1525" s="11"/>
      <c r="B1525" s="9"/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</row>
    <row r="1526">
      <c r="A1526" s="11"/>
      <c r="B1526" s="9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</row>
    <row r="1527">
      <c r="A1527" s="11"/>
      <c r="B1527" s="9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</row>
    <row r="1528">
      <c r="A1528" s="11"/>
      <c r="B1528" s="9"/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</row>
    <row r="1529">
      <c r="A1529" s="11"/>
      <c r="B1529" s="9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</row>
    <row r="1530">
      <c r="A1530" s="11"/>
      <c r="B1530" s="9"/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</row>
    <row r="1531">
      <c r="A1531" s="11"/>
      <c r="B1531" s="9"/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</row>
    <row r="1532">
      <c r="A1532" s="11"/>
      <c r="B1532" s="9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</row>
    <row r="1533">
      <c r="A1533" s="11"/>
      <c r="B1533" s="9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</row>
    <row r="1534">
      <c r="A1534" s="11"/>
      <c r="B1534" s="9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</row>
    <row r="1535">
      <c r="A1535" s="11"/>
      <c r="B1535" s="9"/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</row>
    <row r="1536">
      <c r="A1536" s="11"/>
      <c r="B1536" s="9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</row>
    <row r="1537">
      <c r="A1537" s="11"/>
      <c r="B1537" s="9"/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</row>
    <row r="1538">
      <c r="A1538" s="11"/>
      <c r="B1538" s="9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</row>
    <row r="1539">
      <c r="A1539" s="11"/>
      <c r="B1539" s="9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</row>
    <row r="1540">
      <c r="A1540" s="11"/>
      <c r="B1540" s="9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</row>
    <row r="1541">
      <c r="A1541" s="11"/>
      <c r="B1541" s="9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</row>
    <row r="1542">
      <c r="A1542" s="11"/>
      <c r="B1542" s="9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</row>
    <row r="1543">
      <c r="A1543" s="11"/>
      <c r="B1543" s="9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</row>
    <row r="1544">
      <c r="A1544" s="11"/>
      <c r="B1544" s="9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</row>
    <row r="1545">
      <c r="A1545" s="11"/>
      <c r="B1545" s="9"/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</row>
    <row r="1546">
      <c r="A1546" s="11"/>
      <c r="B1546" s="9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</row>
    <row r="1547">
      <c r="A1547" s="11"/>
      <c r="B1547" s="9"/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</row>
    <row r="1548">
      <c r="A1548" s="11"/>
      <c r="B1548" s="9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</row>
    <row r="1549">
      <c r="A1549" s="11"/>
      <c r="B1549" s="9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</row>
    <row r="1550">
      <c r="A1550" s="11"/>
      <c r="B1550" s="9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</row>
    <row r="1551">
      <c r="A1551" s="11"/>
      <c r="B1551" s="9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</row>
    <row r="1552">
      <c r="A1552" s="11"/>
      <c r="B1552" s="9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</row>
    <row r="1553">
      <c r="A1553" s="11"/>
      <c r="B1553" s="9"/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</row>
    <row r="1554">
      <c r="A1554" s="11"/>
      <c r="B1554" s="9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</row>
    <row r="1555">
      <c r="A1555" s="11"/>
      <c r="B1555" s="9"/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</row>
    <row r="1556">
      <c r="A1556" s="11"/>
      <c r="B1556" s="9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</row>
    <row r="1557">
      <c r="A1557" s="11"/>
      <c r="B1557" s="9"/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</row>
    <row r="1558">
      <c r="A1558" s="11"/>
      <c r="B1558" s="9"/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</row>
    <row r="1559">
      <c r="A1559" s="11"/>
      <c r="B1559" s="9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</row>
    <row r="1560">
      <c r="A1560" s="11"/>
      <c r="B1560" s="9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</row>
    <row r="1561">
      <c r="A1561" s="11"/>
      <c r="B1561" s="9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</row>
    <row r="1562">
      <c r="A1562" s="11"/>
      <c r="B1562" s="9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</row>
    <row r="1563">
      <c r="A1563" s="11"/>
      <c r="B1563" s="9"/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</row>
    <row r="1564">
      <c r="A1564" s="11"/>
      <c r="B1564" s="9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</row>
    <row r="1565">
      <c r="A1565" s="11"/>
      <c r="B1565" s="9"/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</row>
    <row r="1566">
      <c r="A1566" s="11"/>
      <c r="B1566" s="9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</row>
    <row r="1567">
      <c r="A1567" s="11"/>
      <c r="B1567" s="9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</row>
    <row r="1568">
      <c r="A1568" s="11"/>
      <c r="B1568" s="9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</row>
    <row r="1569">
      <c r="A1569" s="11"/>
      <c r="B1569" s="9"/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</row>
    <row r="1570">
      <c r="A1570" s="11"/>
      <c r="B1570" s="9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</row>
    <row r="1571">
      <c r="A1571" s="11"/>
      <c r="B1571" s="9"/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</row>
    <row r="1572">
      <c r="A1572" s="11"/>
      <c r="B1572" s="9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</row>
    <row r="1573">
      <c r="A1573" s="11"/>
      <c r="B1573" s="9"/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</row>
    <row r="1574">
      <c r="A1574" s="11"/>
      <c r="B1574" s="9"/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</row>
    <row r="1575">
      <c r="A1575" s="11"/>
      <c r="B1575" s="9"/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</row>
    <row r="1576">
      <c r="A1576" s="11"/>
      <c r="B1576" s="9"/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</row>
    <row r="1577">
      <c r="A1577" s="11"/>
      <c r="B1577" s="9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</row>
    <row r="1578">
      <c r="A1578" s="11"/>
      <c r="B1578" s="9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</row>
    <row r="1579">
      <c r="A1579" s="11"/>
      <c r="B1579" s="9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</row>
    <row r="1580">
      <c r="A1580" s="11"/>
      <c r="B1580" s="9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</row>
    <row r="1581">
      <c r="A1581" s="11"/>
      <c r="B1581" s="9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</row>
    <row r="1582">
      <c r="A1582" s="11"/>
      <c r="B1582" s="9"/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</row>
    <row r="1583">
      <c r="A1583" s="11"/>
      <c r="B1583" s="9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</row>
    <row r="1584">
      <c r="A1584" s="11"/>
      <c r="B1584" s="9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</row>
    <row r="1585">
      <c r="A1585" s="11"/>
      <c r="B1585" s="9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</row>
    <row r="1586">
      <c r="A1586" s="11"/>
      <c r="B1586" s="9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</row>
    <row r="1587">
      <c r="A1587" s="11"/>
      <c r="B1587" s="9"/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</row>
    <row r="1588">
      <c r="A1588" s="11"/>
      <c r="B1588" s="9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</row>
    <row r="1589">
      <c r="A1589" s="11"/>
      <c r="B1589" s="9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</row>
    <row r="1590">
      <c r="A1590" s="11"/>
      <c r="B1590" s="9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</row>
    <row r="1591">
      <c r="A1591" s="11"/>
      <c r="B1591" s="9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</row>
    <row r="1592">
      <c r="A1592" s="11"/>
      <c r="B1592" s="9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</row>
    <row r="1593">
      <c r="A1593" s="11"/>
      <c r="B1593" s="9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</row>
    <row r="1594">
      <c r="A1594" s="11"/>
      <c r="B1594" s="9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</row>
    <row r="1595">
      <c r="A1595" s="11"/>
      <c r="B1595" s="9"/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</row>
    <row r="1596">
      <c r="A1596" s="11"/>
      <c r="B1596" s="9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</row>
    <row r="1597">
      <c r="A1597" s="11"/>
      <c r="B1597" s="9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</row>
    <row r="1598">
      <c r="A1598" s="11"/>
      <c r="B1598" s="9"/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</row>
    <row r="1599">
      <c r="A1599" s="11"/>
      <c r="B1599" s="9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</row>
    <row r="1600">
      <c r="A1600" s="11"/>
      <c r="B1600" s="9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</row>
    <row r="1601">
      <c r="A1601" s="11"/>
      <c r="B1601" s="9"/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</row>
    <row r="1602">
      <c r="A1602" s="11"/>
      <c r="B1602" s="9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</row>
    <row r="1603">
      <c r="A1603" s="11"/>
      <c r="B1603" s="9"/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</row>
    <row r="1604">
      <c r="A1604" s="11"/>
      <c r="B1604" s="9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</row>
    <row r="1605">
      <c r="A1605" s="11"/>
      <c r="B1605" s="9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</row>
    <row r="1606">
      <c r="A1606" s="11"/>
      <c r="B1606" s="9"/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</row>
    <row r="1607">
      <c r="A1607" s="11"/>
      <c r="B1607" s="9"/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</row>
    <row r="1608">
      <c r="A1608" s="11"/>
      <c r="B1608" s="9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</row>
    <row r="1609">
      <c r="A1609" s="11"/>
      <c r="B1609" s="9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</row>
    <row r="1610">
      <c r="A1610" s="11"/>
      <c r="B1610" s="9"/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</row>
    <row r="1611">
      <c r="A1611" s="11"/>
      <c r="B1611" s="9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</row>
    <row r="1612">
      <c r="A1612" s="11"/>
      <c r="B1612" s="9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</row>
    <row r="1613">
      <c r="A1613" s="11"/>
      <c r="B1613" s="9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</row>
    <row r="1614">
      <c r="A1614" s="11"/>
      <c r="B1614" s="9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</row>
    <row r="1615">
      <c r="A1615" s="11"/>
      <c r="B1615" s="9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</row>
    <row r="1616">
      <c r="A1616" s="11"/>
      <c r="B1616" s="9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</row>
    <row r="1617">
      <c r="A1617" s="11"/>
      <c r="B1617" s="9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</row>
    <row r="1618">
      <c r="A1618" s="11"/>
      <c r="B1618" s="9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</row>
    <row r="1619">
      <c r="A1619" s="11"/>
      <c r="B1619" s="9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</row>
    <row r="1620">
      <c r="A1620" s="11"/>
      <c r="B1620" s="9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</row>
    <row r="1621">
      <c r="A1621" s="11"/>
      <c r="B1621" s="9"/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</row>
    <row r="1622">
      <c r="A1622" s="11"/>
      <c r="B1622" s="9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</row>
    <row r="1623">
      <c r="A1623" s="11"/>
      <c r="B1623" s="9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</row>
    <row r="1624">
      <c r="A1624" s="11"/>
      <c r="B1624" s="9"/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</row>
    <row r="1625">
      <c r="A1625" s="11"/>
      <c r="B1625" s="9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</row>
    <row r="1626">
      <c r="A1626" s="11"/>
      <c r="B1626" s="9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</row>
    <row r="1627">
      <c r="A1627" s="11"/>
      <c r="B1627" s="9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</row>
    <row r="1628">
      <c r="A1628" s="11"/>
      <c r="B1628" s="9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</row>
    <row r="1629">
      <c r="A1629" s="11"/>
      <c r="B1629" s="9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</row>
    <row r="1630">
      <c r="A1630" s="11"/>
      <c r="B1630" s="9"/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</row>
    <row r="1631">
      <c r="A1631" s="11"/>
      <c r="B1631" s="9"/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</row>
    <row r="1632">
      <c r="A1632" s="11"/>
      <c r="B1632" s="9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</row>
    <row r="1633">
      <c r="A1633" s="11"/>
      <c r="B1633" s="9"/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</row>
    <row r="1634">
      <c r="A1634" s="11"/>
      <c r="B1634" s="9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</row>
    <row r="1635">
      <c r="A1635" s="11"/>
      <c r="B1635" s="9"/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</row>
    <row r="1636">
      <c r="A1636" s="11"/>
      <c r="B1636" s="9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</row>
    <row r="1637">
      <c r="A1637" s="11"/>
      <c r="B1637" s="9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</row>
    <row r="1638">
      <c r="A1638" s="11"/>
      <c r="B1638" s="9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</row>
    <row r="1639">
      <c r="A1639" s="11"/>
      <c r="B1639" s="9"/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</row>
    <row r="1640">
      <c r="A1640" s="11"/>
      <c r="B1640" s="9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</row>
    <row r="1641">
      <c r="A1641" s="11"/>
      <c r="B1641" s="9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</row>
    <row r="1642">
      <c r="A1642" s="11"/>
      <c r="B1642" s="9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</row>
    <row r="1643">
      <c r="A1643" s="11"/>
      <c r="B1643" s="9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</row>
    <row r="1644">
      <c r="A1644" s="11"/>
      <c r="B1644" s="9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</row>
    <row r="1645">
      <c r="A1645" s="11"/>
      <c r="B1645" s="9"/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</row>
    <row r="1646">
      <c r="A1646" s="11"/>
      <c r="B1646" s="9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</row>
    <row r="1647">
      <c r="A1647" s="11"/>
      <c r="B1647" s="9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</row>
    <row r="1648">
      <c r="A1648" s="11"/>
      <c r="B1648" s="9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</row>
    <row r="1649">
      <c r="A1649" s="11"/>
      <c r="B1649" s="9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</row>
    <row r="1650">
      <c r="A1650" s="11"/>
      <c r="B1650" s="9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</row>
    <row r="1651">
      <c r="A1651" s="11"/>
      <c r="B1651" s="9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</row>
    <row r="1652">
      <c r="A1652" s="11"/>
      <c r="B1652" s="9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</row>
    <row r="1653">
      <c r="A1653" s="11"/>
      <c r="B1653" s="9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</row>
    <row r="1654">
      <c r="A1654" s="11"/>
      <c r="B1654" s="9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</row>
    <row r="1655">
      <c r="A1655" s="11"/>
      <c r="B1655" s="9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</row>
    <row r="1656">
      <c r="A1656" s="11"/>
      <c r="B1656" s="9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</row>
    <row r="1657">
      <c r="A1657" s="11"/>
      <c r="B1657" s="9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</row>
    <row r="1658">
      <c r="A1658" s="11"/>
      <c r="B1658" s="9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</row>
    <row r="1659">
      <c r="A1659" s="11"/>
      <c r="B1659" s="9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</row>
    <row r="1660">
      <c r="A1660" s="11"/>
      <c r="B1660" s="9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</row>
    <row r="1661">
      <c r="A1661" s="11"/>
      <c r="B1661" s="9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</row>
    <row r="1662">
      <c r="A1662" s="11"/>
      <c r="B1662" s="9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</row>
    <row r="1663">
      <c r="A1663" s="11"/>
      <c r="B1663" s="9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</row>
    <row r="1664">
      <c r="A1664" s="11"/>
      <c r="B1664" s="9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</row>
    <row r="1665">
      <c r="A1665" s="11"/>
      <c r="B1665" s="9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</row>
    <row r="1666">
      <c r="A1666" s="11"/>
      <c r="B1666" s="9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</row>
    <row r="1667">
      <c r="A1667" s="11"/>
      <c r="B1667" s="9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</row>
    <row r="1668">
      <c r="A1668" s="11"/>
      <c r="B1668" s="9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</row>
    <row r="1669">
      <c r="A1669" s="11"/>
      <c r="B1669" s="9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</row>
    <row r="1670">
      <c r="A1670" s="11"/>
      <c r="B1670" s="9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</row>
    <row r="1671">
      <c r="A1671" s="11"/>
      <c r="B1671" s="9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</row>
    <row r="1672">
      <c r="A1672" s="11"/>
      <c r="B1672" s="9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</row>
    <row r="1673">
      <c r="A1673" s="11"/>
      <c r="B1673" s="9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</row>
    <row r="1674">
      <c r="A1674" s="11"/>
      <c r="B1674" s="9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</row>
    <row r="1675">
      <c r="A1675" s="11"/>
      <c r="B1675" s="9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</row>
    <row r="1676">
      <c r="A1676" s="11"/>
      <c r="B1676" s="9"/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</row>
    <row r="1677">
      <c r="A1677" s="11"/>
      <c r="B1677" s="9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</row>
    <row r="1678">
      <c r="A1678" s="11"/>
      <c r="B1678" s="9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</row>
    <row r="1679">
      <c r="A1679" s="11"/>
      <c r="B1679" s="9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</row>
    <row r="1680">
      <c r="A1680" s="11"/>
      <c r="B1680" s="9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</row>
    <row r="1681">
      <c r="A1681" s="11"/>
      <c r="B1681" s="9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</row>
    <row r="1682">
      <c r="A1682" s="11"/>
      <c r="B1682" s="9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</row>
    <row r="1683">
      <c r="A1683" s="11"/>
      <c r="B1683" s="9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</row>
    <row r="1684">
      <c r="A1684" s="11"/>
      <c r="B1684" s="9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</row>
    <row r="1685">
      <c r="A1685" s="11"/>
      <c r="B1685" s="9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</row>
    <row r="1686">
      <c r="A1686" s="11"/>
      <c r="B1686" s="9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</row>
    <row r="1687">
      <c r="A1687" s="11"/>
      <c r="B1687" s="9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</row>
    <row r="1688">
      <c r="A1688" s="11"/>
      <c r="B1688" s="9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</row>
    <row r="1689">
      <c r="A1689" s="11"/>
      <c r="B1689" s="9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</row>
    <row r="1690">
      <c r="A1690" s="11"/>
      <c r="B1690" s="9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</row>
    <row r="1691">
      <c r="A1691" s="11"/>
      <c r="B1691" s="9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</row>
    <row r="1692">
      <c r="A1692" s="11"/>
      <c r="B1692" s="9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</row>
    <row r="1693">
      <c r="A1693" s="11"/>
      <c r="B1693" s="9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</row>
    <row r="1694">
      <c r="A1694" s="11"/>
      <c r="B1694" s="9"/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</row>
    <row r="1695">
      <c r="A1695" s="11"/>
      <c r="B1695" s="9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</row>
    <row r="1696">
      <c r="A1696" s="11"/>
      <c r="B1696" s="9"/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</row>
    <row r="1697">
      <c r="A1697" s="11"/>
      <c r="B1697" s="9"/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</row>
    <row r="1698">
      <c r="A1698" s="11"/>
      <c r="B1698" s="9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</row>
    <row r="1699">
      <c r="A1699" s="11"/>
      <c r="B1699" s="9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</row>
    <row r="1700">
      <c r="A1700" s="11"/>
      <c r="B1700" s="9"/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</row>
    <row r="1701">
      <c r="A1701" s="11"/>
      <c r="B1701" s="9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</row>
    <row r="1702">
      <c r="A1702" s="11"/>
      <c r="B1702" s="9"/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</row>
    <row r="1703">
      <c r="A1703" s="11"/>
      <c r="B1703" s="9"/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</row>
    <row r="1704">
      <c r="A1704" s="11"/>
      <c r="B1704" s="9"/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</row>
    <row r="1705">
      <c r="A1705" s="11"/>
      <c r="B1705" s="9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</row>
    <row r="1706">
      <c r="A1706" s="11"/>
      <c r="B1706" s="9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</row>
    <row r="1707">
      <c r="A1707" s="11"/>
      <c r="B1707" s="9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</row>
    <row r="1708">
      <c r="A1708" s="11"/>
      <c r="B1708" s="9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</row>
    <row r="1709">
      <c r="A1709" s="11"/>
      <c r="B1709" s="9"/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</row>
    <row r="1710">
      <c r="A1710" s="11"/>
      <c r="B1710" s="9"/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</row>
    <row r="1711">
      <c r="A1711" s="11"/>
      <c r="B1711" s="9"/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</row>
    <row r="1712">
      <c r="A1712" s="11"/>
      <c r="B1712" s="9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</row>
    <row r="1713">
      <c r="A1713" s="11"/>
      <c r="B1713" s="9"/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</row>
    <row r="1714">
      <c r="A1714" s="11"/>
      <c r="B1714" s="9"/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</row>
    <row r="1715">
      <c r="A1715" s="11"/>
      <c r="B1715" s="9"/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</row>
    <row r="1716">
      <c r="A1716" s="11"/>
      <c r="B1716" s="9"/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</row>
    <row r="1717">
      <c r="A1717" s="11"/>
      <c r="B1717" s="9"/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</row>
    <row r="1718">
      <c r="A1718" s="11"/>
      <c r="B1718" s="9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</row>
    <row r="1719">
      <c r="A1719" s="11"/>
      <c r="B1719" s="9"/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</row>
    <row r="1720">
      <c r="A1720" s="11"/>
      <c r="B1720" s="9"/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</row>
    <row r="1721">
      <c r="A1721" s="11"/>
      <c r="B1721" s="9"/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</row>
    <row r="1722">
      <c r="A1722" s="11"/>
      <c r="B1722" s="9"/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</row>
    <row r="1723">
      <c r="A1723" s="11"/>
      <c r="B1723" s="9"/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</row>
    <row r="1724">
      <c r="A1724" s="11"/>
      <c r="B1724" s="9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</row>
    <row r="1725">
      <c r="A1725" s="11"/>
      <c r="B1725" s="9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</row>
    <row r="1726">
      <c r="A1726" s="11"/>
      <c r="B1726" s="9"/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</row>
    <row r="1727">
      <c r="A1727" s="11"/>
      <c r="B1727" s="9"/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</row>
    <row r="1728">
      <c r="A1728" s="11"/>
      <c r="B1728" s="9"/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</row>
    <row r="1729">
      <c r="A1729" s="11"/>
      <c r="B1729" s="9"/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</row>
    <row r="1730">
      <c r="A1730" s="11"/>
      <c r="B1730" s="9"/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</row>
    <row r="1731">
      <c r="A1731" s="11"/>
      <c r="B1731" s="9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</row>
    <row r="1732">
      <c r="A1732" s="11"/>
      <c r="B1732" s="9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</row>
    <row r="1733">
      <c r="A1733" s="11"/>
      <c r="B1733" s="9"/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</row>
    <row r="1734">
      <c r="A1734" s="11"/>
      <c r="B1734" s="9"/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</row>
    <row r="1735">
      <c r="A1735" s="11"/>
      <c r="B1735" s="9"/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</row>
    <row r="1736">
      <c r="A1736" s="11"/>
      <c r="B1736" s="9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</row>
    <row r="1737">
      <c r="A1737" s="11"/>
      <c r="B1737" s="9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</row>
    <row r="1738">
      <c r="A1738" s="11"/>
      <c r="B1738" s="9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</row>
    <row r="1739">
      <c r="A1739" s="11"/>
      <c r="B1739" s="9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</row>
    <row r="1740">
      <c r="A1740" s="11"/>
      <c r="B1740" s="9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</row>
    <row r="1741">
      <c r="A1741" s="11"/>
      <c r="B1741" s="9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</row>
    <row r="1742">
      <c r="A1742" s="11"/>
      <c r="B1742" s="9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</row>
    <row r="1743">
      <c r="A1743" s="11"/>
      <c r="B1743" s="9"/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</row>
    <row r="1744">
      <c r="A1744" s="11"/>
      <c r="B1744" s="9"/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</row>
    <row r="1745">
      <c r="A1745" s="11"/>
      <c r="B1745" s="9"/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</row>
    <row r="1746">
      <c r="A1746" s="11"/>
      <c r="B1746" s="9"/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</row>
    <row r="1747">
      <c r="A1747" s="11"/>
      <c r="B1747" s="9"/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</row>
    <row r="1748">
      <c r="A1748" s="11"/>
      <c r="B1748" s="9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</row>
    <row r="1749">
      <c r="A1749" s="11"/>
      <c r="B1749" s="9"/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</row>
    <row r="1750">
      <c r="A1750" s="11"/>
      <c r="B1750" s="9"/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</row>
    <row r="1751">
      <c r="A1751" s="11"/>
      <c r="B1751" s="9"/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</row>
    <row r="1752">
      <c r="A1752" s="11"/>
      <c r="B1752" s="9"/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</row>
    <row r="1753">
      <c r="A1753" s="11"/>
      <c r="B1753" s="9"/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</row>
    <row r="1754">
      <c r="A1754" s="11"/>
      <c r="B1754" s="9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</row>
    <row r="1755">
      <c r="A1755" s="11"/>
      <c r="B1755" s="9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</row>
    <row r="1756">
      <c r="A1756" s="11"/>
      <c r="B1756" s="9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</row>
    <row r="1757">
      <c r="A1757" s="11"/>
      <c r="B1757" s="9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</row>
    <row r="1758">
      <c r="A1758" s="11"/>
      <c r="B1758" s="9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</row>
    <row r="1759">
      <c r="A1759" s="11"/>
      <c r="B1759" s="9"/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</row>
    <row r="1760">
      <c r="A1760" s="11"/>
      <c r="B1760" s="9"/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</row>
    <row r="1761">
      <c r="A1761" s="11"/>
      <c r="B1761" s="9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</row>
    <row r="1762">
      <c r="A1762" s="11"/>
      <c r="B1762" s="9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</row>
    <row r="1763">
      <c r="A1763" s="11"/>
      <c r="B1763" s="9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</row>
    <row r="1764">
      <c r="A1764" s="11"/>
      <c r="B1764" s="9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</row>
    <row r="1765">
      <c r="A1765" s="11"/>
      <c r="B1765" s="9"/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</row>
    <row r="1766">
      <c r="A1766" s="11"/>
      <c r="B1766" s="9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</row>
    <row r="1767">
      <c r="A1767" s="11"/>
      <c r="B1767" s="9"/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</row>
    <row r="1768">
      <c r="A1768" s="11"/>
      <c r="B1768" s="9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</row>
    <row r="1769">
      <c r="A1769" s="11"/>
      <c r="B1769" s="9"/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</row>
    <row r="1770">
      <c r="A1770" s="11"/>
      <c r="B1770" s="9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</row>
    <row r="1771">
      <c r="A1771" s="11"/>
      <c r="B1771" s="9"/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</row>
    <row r="1772">
      <c r="A1772" s="11"/>
      <c r="B1772" s="9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</row>
    <row r="1773">
      <c r="A1773" s="11"/>
      <c r="B1773" s="9"/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</row>
    <row r="1774">
      <c r="A1774" s="11"/>
      <c r="B1774" s="9"/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</row>
    <row r="1775">
      <c r="A1775" s="11"/>
      <c r="B1775" s="9"/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</row>
    <row r="1776">
      <c r="A1776" s="11"/>
      <c r="B1776" s="9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</row>
    <row r="1777">
      <c r="A1777" s="11"/>
      <c r="B1777" s="9"/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</row>
    <row r="1778">
      <c r="A1778" s="11"/>
      <c r="B1778" s="9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</row>
    <row r="1779">
      <c r="A1779" s="11"/>
      <c r="B1779" s="9"/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</row>
    <row r="1780">
      <c r="A1780" s="11"/>
      <c r="B1780" s="9"/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</row>
    <row r="1781">
      <c r="A1781" s="11"/>
      <c r="B1781" s="9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</row>
    <row r="1782">
      <c r="A1782" s="11"/>
      <c r="B1782" s="9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</row>
    <row r="1783">
      <c r="A1783" s="11"/>
      <c r="B1783" s="9"/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</row>
    <row r="1784">
      <c r="A1784" s="11"/>
      <c r="B1784" s="9"/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</row>
    <row r="1785">
      <c r="A1785" s="11"/>
      <c r="B1785" s="9"/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</row>
    <row r="1786">
      <c r="A1786" s="11"/>
      <c r="B1786" s="9"/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</row>
    <row r="1787">
      <c r="A1787" s="11"/>
      <c r="B1787" s="9"/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</row>
    <row r="1788">
      <c r="A1788" s="11"/>
      <c r="B1788" s="9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</row>
    <row r="1789">
      <c r="A1789" s="11"/>
      <c r="B1789" s="9"/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</row>
    <row r="1790">
      <c r="A1790" s="11"/>
      <c r="B1790" s="9"/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</row>
    <row r="1791">
      <c r="A1791" s="11"/>
      <c r="B1791" s="9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</row>
    <row r="1792">
      <c r="A1792" s="11"/>
      <c r="B1792" s="9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</row>
    <row r="1793">
      <c r="A1793" s="11"/>
      <c r="B1793" s="9"/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</row>
    <row r="1794">
      <c r="A1794" s="11"/>
      <c r="B1794" s="9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</row>
    <row r="1795">
      <c r="A1795" s="11"/>
      <c r="B1795" s="9"/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</row>
    <row r="1796">
      <c r="A1796" s="11"/>
      <c r="B1796" s="9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</row>
    <row r="1797">
      <c r="A1797" s="11"/>
      <c r="B1797" s="9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</row>
    <row r="1798">
      <c r="A1798" s="11"/>
      <c r="B1798" s="9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</row>
    <row r="1799">
      <c r="A1799" s="11"/>
      <c r="B1799" s="9"/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</row>
    <row r="1800">
      <c r="A1800" s="11"/>
      <c r="B1800" s="9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</row>
    <row r="1801">
      <c r="A1801" s="11"/>
      <c r="B1801" s="9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</row>
    <row r="1802">
      <c r="A1802" s="11"/>
      <c r="B1802" s="9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</row>
    <row r="1803">
      <c r="A1803" s="11"/>
      <c r="B1803" s="9"/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</row>
    <row r="1804">
      <c r="A1804" s="11"/>
      <c r="B1804" s="9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</row>
    <row r="1805">
      <c r="A1805" s="11"/>
      <c r="B1805" s="9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</row>
    <row r="1806">
      <c r="A1806" s="11"/>
      <c r="B1806" s="9"/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</row>
    <row r="1807">
      <c r="A1807" s="11"/>
      <c r="B1807" s="9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</row>
    <row r="1808">
      <c r="A1808" s="11"/>
      <c r="B1808" s="9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</row>
    <row r="1809">
      <c r="A1809" s="11"/>
      <c r="B1809" s="9"/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</row>
    <row r="1810">
      <c r="A1810" s="11"/>
      <c r="B1810" s="9"/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</row>
    <row r="1811">
      <c r="A1811" s="11"/>
      <c r="B1811" s="9"/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</row>
    <row r="1812">
      <c r="A1812" s="11"/>
      <c r="B1812" s="9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</row>
    <row r="1813">
      <c r="A1813" s="11"/>
      <c r="B1813" s="9"/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</row>
    <row r="1814">
      <c r="A1814" s="11"/>
      <c r="B1814" s="9"/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</row>
    <row r="1815">
      <c r="A1815" s="11"/>
      <c r="B1815" s="9"/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</row>
    <row r="1816">
      <c r="A1816" s="11"/>
      <c r="B1816" s="9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</row>
    <row r="1817">
      <c r="A1817" s="11"/>
      <c r="B1817" s="9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</row>
    <row r="1818">
      <c r="A1818" s="11"/>
      <c r="B1818" s="9"/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</row>
    <row r="1819">
      <c r="A1819" s="11"/>
      <c r="B1819" s="9"/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</row>
    <row r="1820">
      <c r="A1820" s="11"/>
      <c r="B1820" s="9"/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</row>
    <row r="1821">
      <c r="A1821" s="11"/>
      <c r="B1821" s="9"/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</row>
    <row r="1822">
      <c r="A1822" s="11"/>
      <c r="B1822" s="9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</row>
    <row r="1823">
      <c r="A1823" s="11"/>
      <c r="B1823" s="9"/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</row>
    <row r="1824">
      <c r="A1824" s="11"/>
      <c r="B1824" s="9"/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</row>
    <row r="1825">
      <c r="A1825" s="11"/>
      <c r="B1825" s="9"/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</row>
    <row r="1826">
      <c r="A1826" s="11"/>
      <c r="B1826" s="9"/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</row>
    <row r="1827">
      <c r="A1827" s="11"/>
      <c r="B1827" s="9"/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</row>
    <row r="1828">
      <c r="A1828" s="11"/>
      <c r="B1828" s="9"/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</row>
    <row r="1829">
      <c r="A1829" s="11"/>
      <c r="B1829" s="9"/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</row>
    <row r="1830">
      <c r="A1830" s="11"/>
      <c r="B1830" s="9"/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</row>
    <row r="1831">
      <c r="A1831" s="11"/>
      <c r="B1831" s="9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</row>
    <row r="1832">
      <c r="A1832" s="11"/>
      <c r="B1832" s="9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</row>
    <row r="1833">
      <c r="A1833" s="11"/>
      <c r="B1833" s="9"/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</row>
    <row r="1834">
      <c r="A1834" s="11"/>
      <c r="B1834" s="9"/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</row>
    <row r="1835">
      <c r="A1835" s="11"/>
      <c r="B1835" s="9"/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</row>
    <row r="1836">
      <c r="A1836" s="11"/>
      <c r="B1836" s="9"/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</row>
    <row r="1837">
      <c r="A1837" s="11"/>
      <c r="B1837" s="9"/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</row>
    <row r="1838">
      <c r="A1838" s="11"/>
      <c r="B1838" s="9"/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</row>
    <row r="1839">
      <c r="A1839" s="11"/>
      <c r="B1839" s="9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</row>
    <row r="1840">
      <c r="A1840" s="11"/>
      <c r="B1840" s="9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</row>
    <row r="1841">
      <c r="A1841" s="11"/>
      <c r="B1841" s="9"/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</row>
    <row r="1842">
      <c r="A1842" s="11"/>
      <c r="B1842" s="9"/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</row>
    <row r="1843">
      <c r="A1843" s="11"/>
      <c r="B1843" s="9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</row>
    <row r="1844">
      <c r="A1844" s="11"/>
      <c r="B1844" s="9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</row>
    <row r="1845">
      <c r="A1845" s="11"/>
      <c r="B1845" s="9"/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</row>
    <row r="1846">
      <c r="A1846" s="11"/>
      <c r="B1846" s="9"/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</row>
    <row r="1847">
      <c r="A1847" s="11"/>
      <c r="B1847" s="9"/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</row>
    <row r="1848">
      <c r="A1848" s="11"/>
      <c r="B1848" s="9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</row>
    <row r="1849">
      <c r="A1849" s="11"/>
      <c r="B1849" s="9"/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</row>
    <row r="1850">
      <c r="A1850" s="11"/>
      <c r="B1850" s="9"/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</row>
    <row r="1851">
      <c r="A1851" s="11"/>
      <c r="B1851" s="9"/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</row>
    <row r="1852">
      <c r="A1852" s="11"/>
      <c r="B1852" s="9"/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</row>
    <row r="1853">
      <c r="A1853" s="11"/>
      <c r="B1853" s="9"/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</row>
    <row r="1854">
      <c r="A1854" s="11"/>
      <c r="B1854" s="9"/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</row>
    <row r="1855">
      <c r="A1855" s="11"/>
      <c r="B1855" s="9"/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</row>
    <row r="1856">
      <c r="A1856" s="11"/>
      <c r="B1856" s="9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</row>
    <row r="1857">
      <c r="A1857" s="11"/>
      <c r="B1857" s="9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</row>
    <row r="1858">
      <c r="A1858" s="11"/>
      <c r="B1858" s="9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</row>
    <row r="1859">
      <c r="A1859" s="11"/>
      <c r="B1859" s="9"/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</row>
    <row r="1860">
      <c r="A1860" s="11"/>
      <c r="B1860" s="9"/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</row>
    <row r="1861">
      <c r="A1861" s="11"/>
      <c r="B1861" s="9"/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</row>
    <row r="1862">
      <c r="A1862" s="11"/>
      <c r="B1862" s="9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</row>
    <row r="1863">
      <c r="A1863" s="11"/>
      <c r="B1863" s="9"/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</row>
    <row r="1864">
      <c r="A1864" s="11"/>
      <c r="B1864" s="9"/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</row>
    <row r="1865">
      <c r="A1865" s="11"/>
      <c r="B1865" s="9"/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</row>
    <row r="1866">
      <c r="A1866" s="11"/>
      <c r="B1866" s="9"/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</row>
    <row r="1867">
      <c r="A1867" s="11"/>
      <c r="B1867" s="9"/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</row>
    <row r="1868">
      <c r="A1868" s="11"/>
      <c r="B1868" s="9"/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</row>
    <row r="1869">
      <c r="A1869" s="11"/>
      <c r="B1869" s="9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</row>
    <row r="1870">
      <c r="A1870" s="11"/>
      <c r="B1870" s="9"/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</row>
    <row r="1871">
      <c r="A1871" s="11"/>
      <c r="B1871" s="9"/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</row>
    <row r="1872">
      <c r="A1872" s="11"/>
      <c r="B1872" s="9"/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</row>
    <row r="1873">
      <c r="A1873" s="11"/>
      <c r="B1873" s="9"/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</row>
    <row r="1874">
      <c r="A1874" s="11"/>
      <c r="B1874" s="9"/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</row>
    <row r="1875">
      <c r="A1875" s="11"/>
      <c r="B1875" s="9"/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</row>
    <row r="1876">
      <c r="A1876" s="11"/>
      <c r="B1876" s="9"/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</row>
    <row r="1877">
      <c r="A1877" s="11"/>
      <c r="B1877" s="9"/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</row>
    <row r="1878">
      <c r="A1878" s="11"/>
      <c r="B1878" s="9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</row>
    <row r="1879">
      <c r="A1879" s="11"/>
      <c r="B1879" s="9"/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</row>
    <row r="1880">
      <c r="A1880" s="11"/>
      <c r="B1880" s="9"/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</row>
    <row r="1881">
      <c r="A1881" s="11"/>
      <c r="B1881" s="9"/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</row>
    <row r="1882">
      <c r="A1882" s="11"/>
      <c r="B1882" s="9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</row>
    <row r="1883">
      <c r="A1883" s="11"/>
      <c r="B1883" s="9"/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</row>
    <row r="1884">
      <c r="A1884" s="11"/>
      <c r="B1884" s="9"/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</row>
    <row r="1885">
      <c r="A1885" s="11"/>
      <c r="B1885" s="9"/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</row>
    <row r="1886">
      <c r="A1886" s="11"/>
      <c r="B1886" s="9"/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</row>
    <row r="1887">
      <c r="A1887" s="11"/>
      <c r="B1887" s="9"/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</row>
    <row r="1888">
      <c r="A1888" s="11"/>
      <c r="B1888" s="9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</row>
    <row r="1889">
      <c r="A1889" s="11"/>
      <c r="B1889" s="9"/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</row>
    <row r="1890">
      <c r="A1890" s="11"/>
      <c r="B1890" s="9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</row>
    <row r="1891">
      <c r="A1891" s="11"/>
      <c r="B1891" s="9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</row>
    <row r="1892">
      <c r="A1892" s="11"/>
      <c r="B1892" s="9"/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</row>
    <row r="1893">
      <c r="A1893" s="11"/>
      <c r="B1893" s="9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</row>
    <row r="1894">
      <c r="A1894" s="11"/>
      <c r="B1894" s="9"/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</row>
    <row r="1895">
      <c r="A1895" s="11"/>
      <c r="B1895" s="9"/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</row>
    <row r="1896">
      <c r="A1896" s="11"/>
      <c r="B1896" s="9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</row>
    <row r="1897">
      <c r="A1897" s="11"/>
      <c r="B1897" s="9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</row>
    <row r="1898">
      <c r="A1898" s="11"/>
      <c r="B1898" s="9"/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</row>
    <row r="1899">
      <c r="A1899" s="11"/>
      <c r="B1899" s="9"/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</row>
    <row r="1900">
      <c r="A1900" s="11"/>
      <c r="B1900" s="9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</row>
    <row r="1901">
      <c r="A1901" s="11"/>
      <c r="B1901" s="9"/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</row>
    <row r="1902">
      <c r="A1902" s="11"/>
      <c r="B1902" s="9"/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</row>
    <row r="1903">
      <c r="A1903" s="11"/>
      <c r="B1903" s="9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</row>
    <row r="1904">
      <c r="A1904" s="11"/>
      <c r="B1904" s="9"/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</row>
    <row r="1905">
      <c r="A1905" s="11"/>
      <c r="B1905" s="9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</row>
    <row r="1906">
      <c r="A1906" s="11"/>
      <c r="B1906" s="9"/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</row>
    <row r="1907">
      <c r="A1907" s="11"/>
      <c r="B1907" s="9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</row>
    <row r="1908">
      <c r="A1908" s="11"/>
      <c r="B1908" s="9"/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</row>
    <row r="1909">
      <c r="A1909" s="11"/>
      <c r="B1909" s="9"/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</row>
    <row r="1910">
      <c r="A1910" s="11"/>
      <c r="B1910" s="9"/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</row>
    <row r="1911">
      <c r="A1911" s="11"/>
      <c r="B1911" s="9"/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</row>
    <row r="1912">
      <c r="A1912" s="11"/>
      <c r="B1912" s="9"/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</row>
    <row r="1913">
      <c r="A1913" s="11"/>
      <c r="B1913" s="9"/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</row>
    <row r="1914">
      <c r="A1914" s="11"/>
      <c r="B1914" s="9"/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</row>
    <row r="1915">
      <c r="A1915" s="11"/>
      <c r="B1915" s="9"/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</row>
    <row r="1916">
      <c r="A1916" s="11"/>
      <c r="B1916" s="9"/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</row>
    <row r="1917">
      <c r="A1917" s="11"/>
      <c r="B1917" s="9"/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</row>
    <row r="1918">
      <c r="A1918" s="11"/>
      <c r="B1918" s="9"/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</row>
    <row r="1919">
      <c r="A1919" s="11"/>
      <c r="B1919" s="9"/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</row>
    <row r="1920">
      <c r="A1920" s="11"/>
      <c r="B1920" s="9"/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</row>
    <row r="1921">
      <c r="A1921" s="11"/>
      <c r="B1921" s="9"/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</row>
    <row r="1922">
      <c r="A1922" s="11"/>
      <c r="B1922" s="9"/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</row>
    <row r="1923">
      <c r="A1923" s="11"/>
      <c r="B1923" s="9"/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</row>
    <row r="1924">
      <c r="A1924" s="11"/>
      <c r="B1924" s="9"/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</row>
    <row r="1925">
      <c r="A1925" s="11"/>
      <c r="B1925" s="9"/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</row>
    <row r="1926">
      <c r="A1926" s="11"/>
      <c r="B1926" s="9"/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</row>
    <row r="1927">
      <c r="A1927" s="11"/>
      <c r="B1927" s="9"/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</row>
    <row r="1928">
      <c r="A1928" s="11"/>
      <c r="B1928" s="9"/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</row>
    <row r="1929">
      <c r="A1929" s="11"/>
      <c r="B1929" s="9"/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</row>
    <row r="1930">
      <c r="A1930" s="11"/>
      <c r="B1930" s="9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</row>
    <row r="1931">
      <c r="A1931" s="11"/>
      <c r="B1931" s="9"/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</row>
    <row r="1932">
      <c r="A1932" s="11"/>
      <c r="B1932" s="9"/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</row>
    <row r="1933">
      <c r="A1933" s="11"/>
      <c r="B1933" s="9"/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</row>
    <row r="1934">
      <c r="A1934" s="11"/>
      <c r="B1934" s="9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</row>
    <row r="1935">
      <c r="A1935" s="11"/>
      <c r="B1935" s="9"/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</row>
    <row r="1936">
      <c r="A1936" s="11"/>
      <c r="B1936" s="9"/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</row>
    <row r="1937">
      <c r="A1937" s="11"/>
      <c r="B1937" s="9"/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</row>
    <row r="1938">
      <c r="A1938" s="11"/>
      <c r="B1938" s="9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</row>
    <row r="1939">
      <c r="A1939" s="11"/>
      <c r="B1939" s="9"/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</row>
    <row r="1940">
      <c r="A1940" s="11"/>
      <c r="B1940" s="9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</row>
    <row r="1941">
      <c r="A1941" s="11"/>
      <c r="B1941" s="9"/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</row>
    <row r="1942">
      <c r="A1942" s="11"/>
      <c r="B1942" s="9"/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</row>
    <row r="1943">
      <c r="A1943" s="11"/>
      <c r="B1943" s="9"/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</row>
    <row r="1944">
      <c r="A1944" s="11"/>
      <c r="B1944" s="9"/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</row>
    <row r="1945">
      <c r="A1945" s="11"/>
      <c r="B1945" s="9"/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</row>
    <row r="1946">
      <c r="A1946" s="11"/>
      <c r="B1946" s="9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</row>
    <row r="1947">
      <c r="A1947" s="11"/>
      <c r="B1947" s="9"/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</row>
    <row r="1948">
      <c r="A1948" s="11"/>
      <c r="B1948" s="9"/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</row>
    <row r="1949">
      <c r="A1949" s="11"/>
      <c r="B1949" s="9"/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</row>
    <row r="1950">
      <c r="A1950" s="11"/>
      <c r="B1950" s="9"/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</row>
    <row r="1951">
      <c r="A1951" s="11"/>
      <c r="B1951" s="9"/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</row>
    <row r="1952">
      <c r="A1952" s="11"/>
      <c r="B1952" s="9"/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</row>
    <row r="1953">
      <c r="A1953" s="11"/>
      <c r="B1953" s="9"/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</row>
    <row r="1954">
      <c r="A1954" s="11"/>
      <c r="B1954" s="9"/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</row>
    <row r="1955">
      <c r="A1955" s="11"/>
      <c r="B1955" s="9"/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</row>
    <row r="1956">
      <c r="A1956" s="11"/>
      <c r="B1956" s="9"/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</row>
    <row r="1957">
      <c r="A1957" s="11"/>
      <c r="B1957" s="9"/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</row>
    <row r="1958">
      <c r="A1958" s="11"/>
      <c r="B1958" s="9"/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</row>
    <row r="1959">
      <c r="A1959" s="11"/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</row>
  </sheetData>
  <customSheetViews>
    <customSheetView guid="{3A3ACAD7-56EA-4EB5-91EC-4561616EBF2C}" filter="1" showAutoFilter="1">
      <autoFilter ref="$A$1:$Z$1081"/>
    </customSheetView>
    <customSheetView guid="{D90CB828-D843-4A3F-849D-1DE183AE93B3}" filter="1" showAutoFilter="1">
      <autoFilter ref="$A$1:$C$287"/>
    </customSheetView>
    <customSheetView guid="{98473FF4-E264-4A1E-AC62-8179841E3475}" filter="1" showAutoFilter="1">
      <autoFilter ref="$A$1:$Z$287">
        <filterColumn colId="2">
          <filters>
            <filter val="0.1"/>
            <filter val="0.4.1"/>
            <filter val="0.2"/>
            <filter val="0.3"/>
            <filter val="0.4"/>
            <filter val="0.5"/>
          </filters>
        </filterColumn>
        <filterColumn colId="1">
          <filters>
            <filter val="Self Onboard"/>
            <filter val="Street no"/>
            <filter val="Save this address as"/>
            <filter val="Alternate Mobile"/>
            <filter val="Add Debit/Credit Card"/>
            <filter val="History"/>
            <filter val="Shop by Categories"/>
            <filter val="Credit Card"/>
            <filter val="Consumer"/>
            <filter val="Verify"/>
            <filter val="sure you"/>
            <filter val="Onboard"/>
            <filter val="Deliver at"/>
            <filter val="Manage Employee"/>
            <filter val="Add to favourites"/>
            <filter val="Hour"/>
            <filter val="AM"/>
            <filter val="Dispatched"/>
            <filter val="Order Delivered"/>
            <filter val="Add Details"/>
            <filter val="Complaint Raised"/>
            <filter val="Add New Address"/>
            <filter val="Building"/>
            <filter val="Block Number"/>
            <filter val="want to"/>
            <filter val="By allowing the location you will get all your nearby restaurants"/>
            <filter val="Search Location"/>
            <filter val="Proceed"/>
            <filter val="Notification"/>
            <filter val="Pay at Pickup"/>
            <filter val="House No"/>
            <filter val="Distance less than"/>
            <filter val="Customer Care"/>
            <filter val="PhonePe"/>
            <filter val="New Address"/>
            <filter val="Onboard by Sales"/>
            <filter val="Allow Location"/>
            <filter val="Fabulous"/>
            <filter val="Cancel Order"/>
            <filter val="More Banks"/>
            <filter val="No Users Created Yet"/>
            <filter val="Complain ID"/>
            <filter val="By clicking, I accept the Terms &amp; conditions and Privacy Policy"/>
            <filter val="Wallets &amp; UPI"/>
            <filter val="Order Summary"/>
            <filter val="Delivery Manager"/>
            <filter val="Terms &amp; Conditions and Privacy Policy"/>
            <filter val="Change Language"/>
            <filter val="Restaurant"/>
            <filter val="Didnt receive the OTP?"/>
            <filter val="Submit"/>
            <filter val="Date of Order"/>
            <filter val="By allowing the notification you will get notified by your favourite restaurants"/>
            <filter val="Order Total"/>
            <filter val="Phone Number"/>
            <filter val="Add Member"/>
            <filter val="Other"/>
            <filter val="Other UPI"/>
            <filter val="Allow Notification"/>
            <filter val="Email"/>
            <filter val="Order Confirmed"/>
            <filter val="Order Placed"/>
            <filter val="Tap to record closing note"/>
            <filter val="Re-upload"/>
            <filter val="Free Delivery"/>
            <filter val="Name"/>
            <filter val="Net Banking"/>
            <filter val="View Order Summary"/>
            <filter val="Previous Order"/>
            <filter val="Make Payment"/>
            <filter val="Successfully"/>
            <filter val="Order Submitted"/>
            <filter val="HDFC"/>
            <filter val="Add Quantity"/>
            <filter val="Payment Pending"/>
            <filter val="Business"/>
            <filter val="Deliver"/>
            <filter val="Expires in"/>
            <filter val="Confirm Payment"/>
            <filter val="Past Orders"/>
            <filter val="Are you"/>
            <filter val="Compliant"/>
            <filter val="Detailed Bill"/>
            <filter val="Reorder"/>
            <filter val="Area"/>
            <filter val="Add Instructions"/>
            <filter val="Individual"/>
            <filter val="WhatsApp"/>
            <filter val="Order Number"/>
            <filter val="Verify Via"/>
            <filter val="Name on Card"/>
            <filter val="Customer Rated"/>
            <filter val="SMS sent"/>
            <filter val="Yes"/>
            <filter val="Building/Locality"/>
            <filter val="Favourites"/>
            <filter val="Processing"/>
            <filter val="Refer by"/>
            <filter val="Relation"/>
            <filter val="Will Be"/>
            <filter val="No Contact"/>
            <filter val="Pickup"/>
            <filter val="View"/>
            <filter val="Order Accepted"/>
            <filter val="Enter CVV"/>
            <filter val="Customer Care Number"/>
            <filter val="Enable Notification"/>
            <filter val="Upload Identity Proof"/>
            <filter val="Delivery"/>
            <filter val="Card Number"/>
            <filter val="Manage Referral"/>
            <filter val="Vegetables"/>
            <filter val="Address"/>
            <filter val="Support"/>
            <filter val="Seller profile"/>
            <filter val="Select Language"/>
            <filter val="OTP"/>
            <filter val="Remove"/>
            <filter val="UPI"/>
            <filter val="Pickup No Show"/>
            <filter val="Item"/>
            <filter val="Onboard by Business"/>
            <filter val="Now you can choose your suitable language"/>
            <filter val="Validate Again"/>
            <filter val="has been"/>
            <filter val="Active Orders"/>
            <filter val="Shop Info"/>
            <filter val="15-digit Alpha Numeric Number"/>
            <filter val="Contact Number"/>
            <filter val="Order Notification"/>
            <filter val="Enter Mobile number for OTP Verification"/>
            <filter val="No.of Pieces"/>
            <filter val="Middleman"/>
            <filter val="Recommended"/>
            <filter val="Self Pickup"/>
            <filter val="Send To"/>
            <filter val="House"/>
            <filter val="Total Payable"/>
            <filter val="Schedule Delivery"/>
            <filter val="Apartment"/>
            <filter val="Tomorrow"/>
            <filter val="Save and Proceed"/>
            <filter val="Pay Now"/>
            <filter val="ICICI"/>
            <filter val="Ready"/>
            <filter val="Next"/>
            <filter val="Your order has been Delivered Successfully"/>
            <filter val="Are you sure you want to log out?"/>
            <filter val="Address as"/>
            <filter val="Discount"/>
            <filter val="Cancel"/>
            <filter val="About Seller"/>
            <filter val="Saved Details"/>
            <filter val="Privacy Policy"/>
            <filter val="ID Details"/>
            <filter val="Confirm"/>
            <filter val="Log Out"/>
            <filter val="Save as"/>
            <filter val="More"/>
            <filter val="My Complaints"/>
            <filter val="Current Location"/>
            <filter val="Chat"/>
            <filter val="Non-Vegetarian"/>
            <filter val="Menu"/>
            <filter val="First Order"/>
            <filter val="Product Item"/>
            <filter val="KM"/>
            <filter val="Road"/>
            <filter val="Near You"/>
            <filter val="Cart Total"/>
            <filter val="in 00.30 secs"/>
            <filter val="Mobile"/>
            <filter val="Order Again"/>
            <filter val="Escalated to State Head"/>
            <filter val="your registered"/>
            <filter val="Son"/>
            <filter val="Rate Order"/>
            <filter val="Update User"/>
            <filter val="More than"/>
            <filter val="Assigned to Account Manager"/>
            <filter val="Share"/>
            <filter val="Your Location"/>
            <filter val="Post Order"/>
            <filter val="Escalated to City Officer"/>
            <filter val="Ratings"/>
            <filter val="My Family"/>
            <filter val="Edit Address"/>
            <filter val="Paytm"/>
            <filter val="View Cart"/>
            <filter val="Items"/>
            <filter val="Home Work"/>
            <filter val="Not delivering"/>
            <filter val="Facebook"/>
            <filter val="Add Debit"/>
            <filter val="LOGOUT"/>
            <filter val="Terms and Conditions"/>
            <filter val="Advance"/>
            <filter val="Yesterday"/>
            <filter val="View More Orders"/>
            <filter val="Payment"/>
            <filter val="sent at"/>
            <filter val="Price"/>
            <filter val="Save this"/>
            <filter val="Frequently Used"/>
            <filter val="Debit/ATM Card"/>
            <filter val="Me"/>
            <filter val="An OTP has been sent at your registered mobile number"/>
            <filter val="Flat"/>
            <filter val="Frequently Bought"/>
            <filter val="Block"/>
            <filter val="Order Details"/>
            <filter val="House/Flat/Block no."/>
            <filter val="Pin Code"/>
            <filter val="Message"/>
            <filter val="Saved Address"/>
            <filter val="Number of Pieces"/>
            <filter val="Cost"/>
            <filter val="Do you want to delete?"/>
            <filter val="Apartment/Road/Area"/>
            <filter val="Edit Profile"/>
            <filter val="SBI"/>
            <filter val="Recommended for You"/>
            <filter val="Expiry"/>
            <filter val="No"/>
            <filter val="Order Manager"/>
            <filter val="Shop Information"/>
            <filter val="Selling Items"/>
            <filter val="How Do You Feel?"/>
            <filter val="Error"/>
            <filter val="Contact Seller"/>
            <filter val="Contact"/>
            <filter val="Your Order"/>
            <filter val="Enable Location"/>
            <filter val="Today"/>
            <filter val="Mail"/>
            <filter val="Upload Voter ID"/>
            <filter val="Total"/>
            <filter val="Contact Us"/>
            <filter val="Delivery within"/>
            <filter val="Save Card Details"/>
            <filter val="PM"/>
            <filter val="Voice"/>
            <filter val="Pickup within"/>
          </filters>
        </filterColumn>
      </autoFilter>
    </customSheetView>
    <customSheetView guid="{F0709D5F-2F09-47FF-A2C7-EDE2AE570F3E}" filter="1" showAutoFilter="1">
      <autoFilter ref="$E$227"/>
    </customSheetView>
    <customSheetView guid="{1E322D37-4BD7-4951-9BD3-997BDA68D817}" filter="1" showAutoFilter="1">
      <autoFilter ref="$E$15"/>
    </customSheetView>
    <customSheetView guid="{C2028B6D-F769-4EF4-8DE2-9E7C6F687D8F}" filter="1" showAutoFilter="1">
      <autoFilter ref="$A$1:$Z$1081">
        <filterColumn colId="1">
          <filters>
            <filter val="Enter no. of Kgs"/>
            <filter val="Paan Shops"/>
            <filter val="Save this address as"/>
            <filter val="Regular Price"/>
            <filter val="Upload RC (Registration Certificate)"/>
            <filter val="Street no.is required."/>
            <filter val="Sweet Shops"/>
            <filter val="Sarvm.ai Manager ID"/>
            <filter val="Bike"/>
            <filter val="Pending Payment"/>
            <filter val="Status"/>
            <filter val="Sales &amp; Service Officer"/>
            <filter val="Picked Up"/>
            <filter val="Manage Employee"/>
            <filter val="Processing-Orders Works!"/>
            <filter val="Shop no.is required."/>
            <filter val="AM"/>
            <filter val="Drupe Fruit (10)"/>
            <filter val="Accepted"/>
            <filter val="Selected Items"/>
            <filter val="Delivered at"/>
            <filter val="Uber"/>
            <filter val="Remove from favourites"/>
            <filter val="Trips History"/>
            <filter val="Increase Referral Earning On Each Successful Invite"/>
            <filter val="This Weeks Earnings"/>
            <filter val="Search Location"/>
            <filter val="Satellite"/>
            <filter val="Tap to retry"/>
            <filter val="RC No."/>
            <filter val="Delivery Charges for"/>
            <filter val="Onboard by Sales"/>
            <filter val="Complain ID"/>
            <filter val="Are you sure you want to withdraw complaint?"/>
            <filter val="Sign Up"/>
            <filter val="employee status updated!!"/>
            <filter val="Change Language"/>
            <filter val="Didnt receive the OTP?"/>
            <filter val="Account Number"/>
            <filter val="Apply"/>
            <filter val="Pay"/>
            <filter val="Enter PAN Card No"/>
            <filter val="Vehicle"/>
            <filter val="Remarks"/>
            <filter val="Repeat Order"/>
            <filter val="Camera"/>
            <filter val="Please Wait"/>
            <filter val="OTP sent to registered mobile number"/>
            <filter val="Search By"/>
            <filter val="Home Delivery"/>
            <filter val="Cycle Rickshaw"/>
            <filter val="Do you want to Ready the order ?"/>
            <filter val="Expires in"/>
            <filter val="Confirm Payment"/>
            <filter val="Pre-Order"/>
            <filter val="Pre-Order Discount"/>
            <filter val="Gallery"/>
            <filter val="Fixed Retailer Shop"/>
            <filter val="Beneficiary Name is required."/>
            <filter val="Online Delivery"/>
            <filter val="Pedestrian"/>
            <filter val="Favourites"/>
            <filter val="No Data Found"/>
            <filter val="Are you sure ?"/>
            <filter val="Do you want to Cancel the order ?"/>
            <filter val="Please scan the referral QR code"/>
            <filter val="You want to delete your account"/>
            <filter val="Upload profile photo"/>
            <filter val="Upload BPL Card"/>
            <filter val="Payment Done-Acknowledgement Pending"/>
            <filter val="3 days"/>
            <filter val="Pay at Delivery"/>
            <filter val="Return"/>
            <filter val="Organisation"/>
            <filter val="Once +91 01234xxxxx Order"/>
            <filter val="Items For"/>
            <filter val="Not Delivery"/>
            <filter val="Upload Identity Proof"/>
            <filter val="Passbook Photo is required."/>
            <filter val="Minimum order quantity"/>
            <filter val="UPI ID"/>
            <filter val="Agency - Excelience"/>
            <filter val="Please Enter Landmark"/>
            <filter val="Accept-Popup Works!"/>
            <filter val="Item will Be Removed From the Cart"/>
            <filter val="Manager ID"/>
            <filter val="Total Pieces"/>
            <filter val="Instruction"/>
            <filter val="UPI"/>
            <filter val="Picked up at"/>
            <filter val="New-Order Works!"/>
            <filter val="Do you want to Deliver the order ?"/>
            <filter val="Add More"/>
            <filter val="Delivery Order Details"/>
            <filter val="Back"/>
            <filter val="Available"/>
            <filter val="15-digit Alpha Numeric Number"/>
            <filter val="Reached DL"/>
            <filter val="Dispatched(In Transit)"/>
            <filter val="City is required."/>
            <filter val="Schedule Delivery"/>
            <filter val="PAN Proof"/>
            <filter val="Order Completed"/>
            <filter val="Date of Joining"/>
            <filter val="Your order has been Delivered Successfully"/>
            <filter val="Are you sure you want to log out?"/>
            <filter val="Price List"/>
            <filter val="Re-enter Account No."/>
            <filter val="Remainder"/>
            <filter val="Payment : Pending"/>
            <filter val="Delivery at"/>
            <filter val="Non-Vegetarian"/>
            <filter val="Address deleted !!"/>
            <filter val="Type Something Here"/>
            <filter val="No data Available.please try Again later"/>
            <filter val="Fruits Shops"/>
            <filter val="Delivered"/>
            <filter val="Add Quantity (g/kg)"/>
            <filter val="Shop no"/>
            <filter val="Near You"/>
            <filter val="Pending amount"/>
            <filter val="order or shop"/>
            <filter val="Update User"/>
            <filter val="Time slot"/>
            <filter val="Are you sure.Delete the Bank Details?"/>
            <filter val="New"/>
            <filter val="Km"/>
            <filter val="use gps"/>
            <filter val="Ready-Orders Works!"/>
            <filter val="Your Location"/>
            <filter val="Upload Driving Licence"/>
            <filter val="Escalated to City Officer"/>
            <filter val="Enter Name"/>
            <filter val="Fruits Category"/>
            <filter val="Enter GSTIN"/>
            <filter val="Add Debit"/>
            <filter val="Max Reward"/>
            <filter val="Update Rating"/>
            <filter val="Me"/>
            <filter val="Order Ready"/>
            <filter val="View/Edit"/>
            <filter val="IGSTIN"/>
            <filter val="and"/>
            <filter val="Invalid DOJ"/>
            <filter val="Publish"/>
            <filter val="Delivery Options"/>
            <filter val="SMS Sent Successfully"/>
            <filter val="Vegetable Shops"/>
            <filter val="Wallet"/>
            <filter val="Ok"/>
            <filter val="PM"/>
            <filter val="Initiate Payment"/>
            <filter val="Alternate Mobile"/>
            <filter val="Address Detail"/>
            <filter val="Shop by Categories"/>
            <filter val="Credit Card"/>
            <filter val="Consumer"/>
            <filter val="Salary Per Month"/>
            <filter val="Masalas"/>
            <filter val="Sweet"/>
            <filter val="InActive"/>
            <filter val="Picked up for delivery"/>
            <filter val="Hour"/>
            <filter val="Update GSTIN"/>
            <filter val="landmark is required."/>
            <filter val="06AM-10PM"/>
            <filter val="RC"/>
            <filter val="Order Delivered"/>
            <filter val="Total Referral"/>
            <filter val="MIni. qty per Order"/>
            <filter val="Orders"/>
            <filter val="Inventory Manager"/>
            <filter val="Select Your Preference"/>
            <filter val="You cannot delete Active User!"/>
            <filter val="Last order"/>
            <filter val="Are you sure you want to delete?"/>
            <filter val="Date Of Delivery"/>
            <filter val="Send Referral Invite"/>
            <filter val="Enter Father’s Name"/>
            <filter val="Enter no. of Pcs"/>
            <filter val="Fish"/>
            <filter val="refferal code?"/>
            <filter val="Name as per PAN card"/>
            <filter val="Axis pay"/>
            <filter val="Delivery Slot"/>
            <filter val="Rate Management"/>
            <filter val="By clicking, I accept the Terms &amp; conditions and Privacy Policy"/>
            <filter val="Terms &amp; Conditions and Privacy Policy"/>
            <filter val="Restaurant"/>
            <filter val="Name should be min 5 chars long."/>
            <filter val="Payment Successful"/>
            <filter val="PAN Number is Required."/>
            <filter val="Tap to record closing note"/>
            <filter val="You Can Win"/>
            <filter val="Clean Tech"/>
            <filter val="Order dispatch"/>
            <filter val="Mobile Retailer Shop"/>
            <filter val="Invalid name"/>
            <filter val="GST (18%)"/>
            <filter val="Customer Picked up"/>
            <filter val="To"/>
            <filter val="Min Order Quantity"/>
            <filter val="Not available"/>
            <filter val="Do you want to processing the order?"/>
            <filter val="Increase earning on each invite"/>
            <filter val="﻿The user has already an active referral"/>
            <filter val="Refer and Earn"/>
            <filter val="Search your Address"/>
            <filter val="Accepted Order Details"/>
            <filter val="Go to Map"/>
            <filter val="Compliant"/>
            <filter val="View All"/>
            <filter val="This Week"/>
            <filter val="Meat Shops"/>
            <filter val="Enter Street no"/>
            <filter val="Delivery Instructions"/>
            <filter val="Wholesaler"/>
            <filter val="Select UPI App"/>
            <filter val="G pay"/>
            <filter val="Region"/>
            <filter val="Online Payment"/>
            <filter val="Invalid Manager id"/>
            <filter val="Verify Via"/>
            <filter val="Name on Card"/>
            <filter val="Invalid Mobile Number"/>
            <filter val="Enter ID Card No"/>
            <filter val="Picker"/>
            <filter val="Alert!!"/>
            <filter val="Online Shop Space"/>
            <filter val="something went wrong"/>
            <filter val="Report Incident"/>
            <filter val="Cancelled"/>
            <filter val="Franchise"/>
            <filter val="Moved To"/>
            <filter val="Auto Rickshaw"/>
            <filter val="Select Image Source"/>
            <filter val="Filter"/>
            <filter val="Catalogue Management"/>
            <filter val="New Order Details"/>
            <filter val="Start Delivery"/>
            <filter val="Trip Status"/>
            <filter val="Enter text"/>
            <filter val="Location is needed for the app to work properly, kindly go to settings and provide location permission to app."/>
            <filter val="Pickup No Show"/>
            <filter val="Now you can choose your suitable language"/>
            <filter val="Skip Now"/>
            <filter val="Progressbar Works!"/>
            <filter val="I Own"/>
            <filter val="Are you Sure ."/>
            <filter val="Please Enter House/Flat/Block no"/>
            <filter val="Offline"/>
            <filter val="Enter Name as per PAN card"/>
            <filter val="Referral Management"/>
            <filter val="Payment processing cancelled by use"/>
            <filter val="Employee Management"/>
            <filter val="Order ID or Customer Number"/>
            <filter val="Re Order"/>
            <filter val="Enter Pincode"/>
            <filter val="Please provide all the required values!"/>
            <filter val="ID Details"/>
            <filter val="Log Out"/>
            <filter val="Enter Landmark"/>
            <filter val="Manage Multiple Delivery"/>
            <filter val="Grocery Shops"/>
            <filter val="Referral Status"/>
            <filter val="Mobikwik"/>
            <filter val="Shop no./Building"/>
            <filter val="Order Delivery"/>
            <filter val="Do You Want to Reject the order"/>
            <filter val="City/Ward/District"/>
            <filter val="Bakery Shops"/>
            <filter val="Order Aggregation"/>
            <filter val="This Order was Delivered"/>
            <filter val="are you sure you want to deactivate?"/>
            <filter val="Increase Earning By 150%"/>
            <filter val="Flowers Shops"/>
            <filter val="Will Update you soon"/>
            <filter val="Bank Account"/>
            <filter val="Staples"/>
            <filter val="Total Employees Found"/>
            <filter val="Delivery Management"/>
            <filter val="Referral SMS Sent Successfully"/>
            <filter val="Easy Navigation"/>
            <filter val="Yesterday"/>
            <filter val="Total Plates"/>
            <filter val="Aadhar Card"/>
            <filter val="Accept Order"/>
            <filter val="Number of Pieces"/>
            <filter val="In Transit"/>
            <filter val="Your product is Under Review"/>
            <filter val="INR"/>
            <filter val="Cost"/>
            <filter val="Avail Our"/>
            <filter val="Store Manager"/>
            <filter val="Rewards"/>
            <filter val="Recommended for You"/>
            <filter val="Home Foods"/>
            <filter val="Add Distance Covers"/>
            <filter val="Shop Picture"/>
            <filter val="Pooja Items"/>
            <filter val="City/state"/>
            <filter val="Shop Name"/>
            <filter val="Location Permission"/>
            <filter val="Delete Account"/>
            <filter val="Enter Mobile Number"/>
            <filter val="Name as Per Pan Card"/>
            <filter val="Pending"/>
            <filter val="PoS Executive"/>
            <filter val="You Cannot Delete"/>
            <filter val="Send Reminder"/>
            <filter val="Pre Order Management"/>
            <filter val="Loading ..."/>
            <filter val="Order Cancelled"/>
            <filter val="Date of Pickup"/>
            <filter val="Add Details"/>
            <filter val="SBI pay"/>
            <filter val="New Order!"/>
            <filter val="Dispatch"/>
            <filter val="Order Processed"/>
            <filter val="Push notification"/>
            <filter val="Employee Created Successfully YAY!"/>
            <filter val="New Address"/>
            <filter val="Enable Free"/>
            <filter val="Download"/>
            <filter val="Refer &amp; Earn"/>
            <filter val="Multi - State Permit"/>
            <filter val="Delivered Order Details"/>
            <filter val="Delivery Manager"/>
            <filter val="Search by Fruits, Categories"/>
            <filter val="Select All"/>
            <filter val="Deliver to"/>
            <filter val="Published"/>
            <filter val="Please Save Your Address"/>
            <filter val="No Show"/>
            <filter val="Invalid pincode"/>
            <filter val="Invalid number"/>
            <filter val="Invalid Role"/>
            <filter val="Upload Vehicle Permit Docs"/>
            <filter val="Alternate Mobile Number"/>
            <filter val="Are you sure? You want to send referral invite to this number?"/>
            <filter val="Make Payment"/>
            <filter val="Invalid Full Name"/>
            <filter val="Order Submitted"/>
            <filter val="Unsubscribe"/>
            <filter val="By clicking, I accept the"/>
            <filter val="Vehicle Permit(optional)"/>
            <filter val="Your Order Will Be Delivered"/>
            <filter val="Ongoing Trip"/>
            <filter val="Reorder"/>
            <filter val="Delivery Valet"/>
            <filter val="Invite via"/>
            <filter val="why would you like to delete your account ?"/>
            <filter val="SMS sent"/>
            <filter val="Item Status"/>
            <filter val="Number for"/>
            <filter val="for"/>
            <filter val="Language"/>
            <filter val="Payment Received"/>
            <filter val="Account number and Re-account number fields should match"/>
            <filter val="Pickup/No show"/>
            <filter val="Will Be"/>
            <filter val="Ready for delivery"/>
            <filter val="image saved successfully"/>
            <filter val="Invite people and earn cash rewards"/>
            <filter val="Upload BPL card"/>
            <filter val="Please enter valid number"/>
            <filter val="Bicycle"/>
            <filter val="Entity Name"/>
            <filter val="Are you sure you want to leave the page without saving changes?"/>
            <filter val="Tropical Fruit"/>
            <filter val="OTP Resent Successful"/>
            <filter val="Order #"/>
            <filter val="Select &amp; Continue"/>
            <filter val="Environment: Staging"/>
            <filter val="Existing"/>
            <filter val="5 days"/>
            <filter val="Aadhar Card/ Voter ID/BPL ID/Driving License"/>
            <filter val="New Trips"/>
            <filter val="Payments"/>
            <filter val="Remove"/>
            <filter val="within kms"/>
            <filter val="Shop added to favourites"/>
            <filter val="Invoice Number GSTIN Number"/>
            <filter val="Complain"/>
            <filter val="Active Orders"/>
            <filter val="Invitees Mobile Number"/>
            <filter val="Distance"/>
            <filter val="Re-enter Account Number"/>
            <filter val="Scan QR code"/>
            <filter val="Save and Proceed"/>
            <filter val="In Store Pickup"/>
            <filter val="User Created Successfully  Yay!"/>
            <filter val="Map"/>
            <filter val="Save Address"/>
            <filter val="Load From Gallery"/>
            <filter val="Passbook Photo"/>
            <filter val="Enter no. of Ltr"/>
            <filter val="GST Number"/>
            <filter val="Order Weight"/>
            <filter val="Drinks &amp; Beverages"/>
            <filter val="User data uploaded!"/>
            <filter val="First Order"/>
            <filter val="kg"/>
            <filter val="Pet Foods"/>
            <filter val="within"/>
            <filter val="Do you want to Pick Up the order ?"/>
            <filter val="7 days"/>
            <filter val="Mobile"/>
            <filter val="State Level Permit"/>
            <filter val="Son"/>
            <filter val="Rate Order"/>
            <filter val="Re-enter Account Number is required."/>
            <filter val="Environment: Dev"/>
            <filter val="did you receive the payment"/>
            <filter val="Please Enter Pincode"/>
            <filter val="E-RIckshaw"/>
            <filter val="Order Pickedup"/>
            <filter val="Veg/Non-Veg"/>
            <filter val="Terms and Conditions"/>
            <filter val="Accept"/>
            <filter val="Received"/>
            <filter val="Shop already exist for this user"/>
            <filter val="Successful"/>
            <filter val="Total Weight"/>
            <filter val="Oil"/>
            <filter val="Add Product Details"/>
            <filter val="An OTP has been sent at your registered mobile number"/>
            <filter val="Do You Have GSTIN Number?"/>
            <filter val="Home Food Shops"/>
            <filter val="Distance(km)"/>
            <filter val="Sarvm"/>
            <filter val="Account Number is required."/>
            <filter val="Accepted-Order Works!"/>
            <filter val="Do you want to Delivery the Order?"/>
            <filter val="Change not saved!"/>
            <filter val="Do you want to No-Show the order ?"/>
            <filter val="Paan"/>
            <filter val="Order Manager"/>
            <filter val="Comment"/>
            <filter val="Selling Items"/>
            <filter val="Error"/>
            <filter val="Rejected at"/>
            <filter val="Do you want to delivered the Order ?"/>
            <filter val="Current Address"/>
            <filter val="find the date"/>
            <filter val="Upload Voter ID"/>
            <filter val="Delivery Boy"/>
            <filter val="Track"/>
            <filter val="Add Quantity (ml/l)"/>
            <filter val="Street no"/>
            <filter val="QR Code"/>
            <filter val="History"/>
            <filter val="Manage Customers"/>
            <filter val="Reject"/>
            <filter val="Expected Earnings"/>
            <filter val="Selling"/>
            <filter val="Tap to record your complain"/>
            <filter val="To Add Product"/>
            <filter val="Pay On Delivery"/>
            <filter val="Categories"/>
            <filter val="Order ID"/>
            <filter val="rating success"/>
            <filter val="Items to be delivered"/>
            <filter val="Block/Ward"/>
            <filter val="Credit Management"/>
            <filter val="Limited Offer"/>
            <filter val="Complaint Raised"/>
            <filter val="My Shop QR Code"/>
            <filter val="Select Preference"/>
            <filter val="Save Your Location!"/>
            <filter val="Finance Manager"/>
            <filter val="Sell/Purchase"/>
            <filter val="By allowing the location you will get all your nearby restaurants"/>
            <filter val="Shop By Categories"/>
            <filter val="New Order"/>
            <filter val="Selected Product Preview"/>
            <filter val="Gram"/>
            <filter val="Do you want to continue with this number?"/>
            <filter val="Get Cash Rewards Upto"/>
            <filter val="Per Order Discount"/>
            <filter val="Mandatory Item"/>
            <filter val="No Users Created Yet"/>
            <filter val="Procurement Manager"/>
            <filter val="Shop removed from favourites"/>
            <filter val="Delivery/Pickup Within"/>
            <filter val="Pet Food Shops"/>
            <filter val="By allowing the notification you will get notified by your favourite restaurants"/>
            <filter val="Delivery Partner"/>
            <filter val="Re-upload"/>
            <filter val="GST included"/>
            <filter val="Process"/>
            <filter val="Add Quantity (Pieces/Plates)"/>
            <filter val="Bank Name is required."/>
            <filter val="Update &amp; Continue"/>
            <filter val="Payment Pending"/>
            <filter val="Business Name is Required"/>
            <filter val="Phone No."/>
            <filter val="Deliver"/>
            <filter val="Reached Delivery Location"/>
            <filter val="Reopen"/>
            <filter val="Org ID"/>
            <filter val="Do you want to Cancel the Order?"/>
            <filter val="OTP Sent to"/>
            <filter val="Address Added !!"/>
            <filter val="Customer Rated"/>
            <filter val="I will deliver by"/>
            <filter val="Paid"/>
            <filter val="Search for product name"/>
            <filter val="Membership Plan"/>
            <filter val="Browse Catalog"/>
            <filter val="Enter Shop No or Building"/>
            <filter val="Delivery Service"/>
            <filter val="Asmaa India"/>
            <filter val="Driving License No"/>
            <filter val="Enable Notification"/>
            <filter val="Select State"/>
            <filter val="Received amount"/>
            <filter val="Please input all required fields"/>
            <filter val="Please enter your location to help us find the shops near you"/>
            <filter val="Manage Referral"/>
            <filter val="Im Selling"/>
            <filter val="Jyoti Enterprises"/>
            <filter val="The dicount cannot be greater than 99%"/>
            <filter val="Order Rejected"/>
            <filter val="Do You Have"/>
            <filter val="About Me"/>
            <filter val="PAN Number"/>
            <filter val="Select Organization"/>
            <filter val="Favourite Shop"/>
            <filter val="Feature Not Available"/>
            <filter val="Ready Order Details"/>
            <filter val="Order Notification"/>
            <filter val="Enter Mobile number for OTP Verification"/>
            <filter val="No.of Pieces"/>
            <filter val="Send To"/>
            <filter val="Pay Now"/>
            <filter val="Dispatch Order"/>
            <filter val="All India Permit"/>
            <filter val="IFSC is Required"/>
            <filter val="Description"/>
            <filter val="Add Weight"/>
            <filter val="Unpublish"/>
            <filter val="Fish Shops"/>
            <filter val="Process Order"/>
            <filter val="Add Address"/>
            <filter val="About Seller"/>
            <filter val="My Catalog"/>
            <filter val="Cash"/>
            <filter val="Save as"/>
            <filter val="Cash Received"/>
            <filter val="kms"/>
            <filter val="My Complaints"/>
            <filter val="Invoice Number"/>
            <filter val="Locality/Area"/>
            <filter val="Total Litres"/>
            <filter val="Complaint"/>
            <filter val="Favourites Shops"/>
            <filter val="scan my shop"/>
            <filter val="Uploading"/>
            <filter val="Escalated to State Head"/>
            <filter val="Pincode is required."/>
            <filter val="Order History"/>
            <filter val="Enter Amount"/>
            <filter val="Assigned to Account Manager"/>
            <filter val="Online"/>
            <filter val="Distance Management"/>
            <filter val="Requesting Referee to Give a Miss Call on"/>
            <filter val="Use Camera"/>
            <filter val="Refer a Friend &amp; Earn"/>
            <filter val="Re-record"/>
            <filter val="Reached Pickup Location"/>
            <filter val="Ratings"/>
            <filter val="Drop-Off"/>
            <filter val="Do you want to Accept the order ?"/>
            <filter val="App Version:"/>
            <filter val="You have got the Reward"/>
            <filter val="LOGOUT"/>
            <filter val="Search Number"/>
            <filter val="Advance"/>
            <filter val="Total Rewards Earned"/>
            <filter val="Enter City or State"/>
            <filter val="PAN Card No. is required ."/>
            <filter val="Restaurant Shops"/>
            <filter val="Order dispatched"/>
            <filter val="Active"/>
            <filter val="Enter Locality or Area"/>
            <filter val="Environment"/>
            <filter val="House/Flat/Block no."/>
            <filter val="Tropical Fruit (7)"/>
            <filter val="Category"/>
            <filter val="This Month"/>
            <filter val="Do you want to delete?"/>
            <filter val="IFSC Code"/>
            <filter val="Apartment/Road/Area"/>
            <filter val="Dispatch-Orders Works!"/>
            <filter val="Search By Category"/>
            <filter val="Payment Method"/>
            <filter val="Please provide all the required value"/>
            <filter val="How Do You Feel?"/>
            <filter val="Ready For Pickup"/>
            <filter val="Please Enter Apartment/Road/Area"/>
            <filter val="Sarvm.Ai"/>
            <filter val="Your Order"/>
            <filter val="Enable Location"/>
            <filter val="BHIM"/>
          </filters>
        </filterColumn>
        <filterColumn colId="2">
          <filters>
            <filter val="1"/>
            <filter val="0.1"/>
            <filter val="0.4.1"/>
          </filters>
        </filterColumn>
      </autoFilter>
    </customSheetView>
    <customSheetView guid="{1655C0F8-6873-4EBA-9220-36EA4165A533}" filter="1" showAutoFilter="1">
      <autoFilter ref="$A$1:$Z$1081">
        <filterColumn colId="1">
          <filters>
            <filter val="Enter no. of Kgs"/>
            <filter val="Paan Shops"/>
            <filter val="Regular Price"/>
            <filter val="Upload RC (Registration Certificate)"/>
            <filter val="Street"/>
            <filter val="Street no.is required."/>
            <filter val="Sweet Shops"/>
            <filter val="Sarvm.ai Manager ID"/>
            <filter val="Bike"/>
            <filter val="Pending Payment"/>
            <filter val="Sales &amp; Service Officer"/>
            <filter val="Picked Up"/>
            <filter val="Processing-Orders Works!"/>
            <filter val="Shop no.is required."/>
            <filter val="AM"/>
            <filter val="Drupe Fruit (10)"/>
            <filter val="Selected Items"/>
            <filter val="Uber"/>
            <filter val="Remove from favourites"/>
            <filter val="Trips History"/>
            <filter val="Increase Referral Earning On Each Successful Invite"/>
            <filter val="This Weeks Earnings"/>
            <filter val="Satellite"/>
            <filter val="Tap to retry"/>
            <filter val="RC No."/>
            <filter val="Delivery Charges for"/>
            <filter val="Onboard by Sales"/>
            <filter val="Are you sure you want to withdraw complaint?"/>
            <filter val="employee status updated!!"/>
            <filter val="Didnt receive the OTP?"/>
            <filter val="Apply"/>
            <filter val="Pay"/>
            <filter val="Enter PAN Card No"/>
            <filter val="Vehicle"/>
            <filter val="Remarks"/>
            <filter val="Repeat Order"/>
            <filter val="Camera"/>
            <filter val="Please Wait"/>
            <filter val="Search By"/>
            <filter val="Cycle Rickshaw"/>
            <filter val="Do you want to Ready the order ?"/>
            <filter val="Confirm Payment"/>
            <filter val="Pre-Order"/>
            <filter val="Pre-Order Discount"/>
            <filter val="Gallery"/>
            <filter val="Fixed Retailer Shop"/>
            <filter val="Beneficiary Name is required."/>
            <filter val="Online Delivery"/>
            <filter val="Pedestrian"/>
            <filter val="Favourites"/>
            <filter val="No Data Found"/>
            <filter val="Are you sure ?"/>
            <filter val="Do you want to Cancel the order ?"/>
            <filter val="Please scan the referral QR code"/>
            <filter val="You want to delete your account"/>
            <filter val="Upload profile photo"/>
            <filter val="Upload BPL Card"/>
            <filter val="Payment Done-Acknowledgement Pending"/>
            <filter val="3 days"/>
            <filter val="Pay at Delivery"/>
            <filter val="Organisation"/>
            <filter val="Items For"/>
            <filter val="Not Delivery"/>
            <filter val="Passbook Photo is required."/>
            <filter val="Minimum order quantity"/>
            <filter val="UPI ID"/>
            <filter val="Agency - Excelience"/>
            <filter val="Please Enter Landmark"/>
            <filter val="Accept-Popup Works!"/>
            <filter val="Item will Be Removed From the Cart"/>
            <filter val="Manager ID"/>
            <filter val="Total Pieces"/>
            <filter val="Instruction"/>
            <filter val="UPI"/>
            <filter val="New-Order Works!"/>
            <filter val="Do you want to Deliver the order ?"/>
            <filter val="Delivery Order Details"/>
            <filter val="Back"/>
            <filter val="15-digit Alpha Numeric Number"/>
            <filter val="Reached DL"/>
            <filter val="Dispatched(In Transit)"/>
            <filter val="City is required."/>
            <filter val="Order Completed"/>
            <filter val="Date of Joining"/>
            <filter val="Your order has been Delivered Successfully"/>
            <filter val="Price List"/>
            <filter val="Re-enter Account No."/>
            <filter val="Remainder"/>
            <filter val="Payment : Pending"/>
            <filter val="Delivery at"/>
            <filter val="Address deleted !!"/>
            <filter val="Type Something Here"/>
            <filter val="No data Available.please try Again later"/>
            <filter val="Fruits Shops"/>
            <filter val="Add Quantity (g/kg)"/>
            <filter val="Shop no"/>
            <filter val="Pending amount"/>
            <filter val="order or shop"/>
            <filter val="Are you sure.Delete the Bank Details?"/>
            <filter val="Km"/>
            <filter val="use gps"/>
            <filter val="Ready-Orders Works!"/>
            <filter val="Escalated to City Officer"/>
            <filter val="Enter Name"/>
            <filter val="Fruits Category"/>
            <filter val="Enter GSTIN"/>
            <filter val="Invite People and earn Cash Rewards"/>
            <filter val="Add Debit"/>
            <filter val="Max Reward"/>
            <filter val="Update Rating"/>
            <filter val="Order Ready"/>
            <filter val="View/Edit"/>
            <filter val="IGSTIN"/>
            <filter val="and"/>
            <filter val="Invalid DOJ"/>
            <filter val="Publish"/>
            <filter val="SMS Sent Successfully"/>
            <filter val="Vegetable Shops"/>
            <filter val="Wallet"/>
            <filter val="PM"/>
            <filter val="Initiate Payment"/>
            <filter val="Address Detail"/>
            <filter val="Shop by Categories"/>
            <filter val="Credit Card"/>
            <filter val="Sweet"/>
            <filter val="InActive"/>
            <filter val="Picked up for delivery"/>
            <filter val="Hour"/>
            <filter val="Update GSTIN"/>
            <filter val="landmark is required."/>
            <filter val="06AM-10PM"/>
            <filter val="RC"/>
            <filter val="Total Referral"/>
            <filter val="MIni. qty per Order"/>
            <filter val="Orders"/>
            <filter val="Select Your Preference"/>
            <filter val="Last order"/>
            <filter val="Are you sure you want to delete?"/>
            <filter val="Date Of Delivery"/>
            <filter val="Enter Father’s Name"/>
            <filter val="Enter no. of Pcs"/>
            <filter val="Fish"/>
            <filter val="refferal code?"/>
            <filter val="Axis pay"/>
            <filter val="Delivery Slot"/>
            <filter val="Rate Management"/>
            <filter val="By clicking, I accept the Terms &amp; conditions and Privacy Policy"/>
            <filter val="Restaurant"/>
            <filter val="Name should be min 5 chars long."/>
            <filter val="PAN Number is Required."/>
            <filter val="You Can Win"/>
            <filter val="Clean Tech"/>
            <filter val="Order dispatch"/>
            <filter val="Mobile Retailer Shop"/>
            <filter val="Invalid name"/>
            <filter val="GST (18%)"/>
            <filter val="Customer Picked up"/>
            <filter val="To"/>
            <filter val="Min Order Quantity"/>
            <filter val="Do you want to processing the order?"/>
            <filter val="﻿The user has already an active referral"/>
            <filter val="Refer and Earn"/>
            <filter val="Search your Address"/>
            <filter val="Accepted Order Details"/>
            <filter val="Go to Map"/>
            <filter val="Compliant"/>
            <filter val="View All"/>
            <filter val="This Week"/>
            <filter val="Meat Shops"/>
            <filter val="Enter Street no"/>
            <filter val="Delivery Instructions"/>
            <filter val="Wholesaler"/>
            <filter val="Select UPI App"/>
            <filter val="G pay"/>
            <filter val="Region"/>
            <filter val="Invalid Manager id"/>
            <filter val="Verify Via"/>
            <filter val="Name on Card"/>
            <filter val="Invalid Mobile Number"/>
            <filter val="Enter ID Card No"/>
            <filter val="Picker"/>
            <filter val="Alert!!"/>
            <filter val="Online Shop Space"/>
            <filter val="something went wrong"/>
            <filter val="Report Incident"/>
            <filter val="Franchise"/>
            <filter val="Moved To"/>
            <filter val="Auto Rickshaw"/>
            <filter val="Select Image Source"/>
            <filter val="Filter"/>
            <filter val="New Order Details"/>
            <filter val="Start Delivery"/>
            <filter val="Trip Status"/>
            <filter val="Enter text"/>
            <filter val="Location is needed for the app to work properly, kindly go to settings and provide location permission to app."/>
            <filter val="Pickup No Show"/>
            <filter val="Skip Now"/>
            <filter val="Progressbar Works!"/>
            <filter val="I Own"/>
            <filter val="Are you Sure ."/>
            <filter val="Please Enter House/Flat/Block no"/>
            <filter val="Offline"/>
            <filter val="Enter Name as per PAN card"/>
            <filter val="Payment processing cancelled by use"/>
            <filter val="Employee Management"/>
            <filter val="Order ID or Customer Number"/>
            <filter val="Re Order"/>
            <filter val="Enter Pincode"/>
            <filter val="Please provide all the required values!"/>
            <filter val="ID Details"/>
            <filter val="Log Out"/>
            <filter val="Enter Landmark"/>
            <filter val="Manage Multiple Delivery"/>
            <filter val="Grocery Shops"/>
            <filter val="Referral Status"/>
            <filter val="Mobikwik"/>
            <filter val="Order Delivery"/>
            <filter val="City/Ward/District"/>
            <filter val="Bakery Shops"/>
            <filter val="Order Aggregation"/>
            <filter val="This Order was Delivered"/>
            <filter val="are you sure you want to deactivate?"/>
            <filter val="Increase Earning By 150%"/>
            <filter val="Flowers Shops"/>
            <filter val="Bank Account"/>
            <filter val="Total Employees Found"/>
            <filter val="Referral SMS Sent Successfully"/>
            <filter val="Easy Navigation"/>
            <filter val="Yesterday"/>
            <filter val="Total Plates"/>
            <filter val="Aadhar Card"/>
            <filter val="Number of Pieces"/>
            <filter val="INR"/>
            <filter val="Cost"/>
            <filter val="Avail Our"/>
            <filter val="Rewards"/>
            <filter val="Recommended for You"/>
            <filter val="Home Foods"/>
            <filter val="Add Distance Covers"/>
            <filter val="Shop Picture"/>
            <filter val="Pooja Items"/>
            <filter val="Shop Name"/>
            <filter val="Location Permission"/>
            <filter val="Delete Account"/>
            <filter val="Name as Per Pan Card"/>
            <filter val="Pending"/>
            <filter val="You Cannot Delete"/>
            <filter val="Send Reminder"/>
            <filter val="Pre Order Management"/>
            <filter val="Loading ..."/>
            <filter val="Order Cancelled"/>
            <filter val="Date of Pickup"/>
            <filter val="SBI pay"/>
            <filter val="New Order!"/>
            <filter val="Order Processed"/>
            <filter val="Push notification"/>
            <filter val="Enable Free"/>
            <filter val="Download"/>
            <filter val="Refer &amp; Earn"/>
            <filter val="Multi - State Permit"/>
            <filter val="Delivered Order Details"/>
            <filter val="Search by Fruits, Categories"/>
            <filter val="Select All"/>
            <filter val="Deliver to"/>
            <filter val="Published"/>
            <filter val="Please Save Your Address"/>
            <filter val="No Show"/>
            <filter val="Invalid pincode"/>
            <filter val="Invalid number"/>
            <filter val="Invalid Role"/>
            <filter val="Upload Vehicle Permit Docs"/>
            <filter val="Alternate Mobile Number"/>
            <filter val="Invalid Full Name"/>
            <filter val="Order Submitted"/>
            <filter val="Unsubscribe"/>
            <filter val="By clicking, I accept the"/>
            <filter val="Vehicle Permit(optional)"/>
            <filter val="Your Order Will Be Delivered"/>
            <filter val="Ongoing Trip"/>
            <filter val="Delivery Valet"/>
            <filter val="Invite via"/>
            <filter val="why would you like to delete your account ?"/>
            <filter val="SMS sent"/>
            <filter val="Number for"/>
            <filter val="for"/>
            <filter val="Language"/>
            <filter val="Payment Received"/>
            <filter val="Account number and Re-account number fields should match"/>
            <filter val="Pickup/No show"/>
            <filter val="Will Be"/>
            <filter val="Ready for delivery"/>
            <filter val="image saved successfully"/>
            <filter val="Please enter valid number"/>
            <filter val="Bicycle"/>
            <filter val="Entity Name"/>
            <filter val="Are you sure you want to leave the page without saving changes?"/>
            <filter val="Tropical Fruit"/>
            <filter val="OTP Resent Successful"/>
            <filter val="Order #"/>
            <filter val="Select &amp; Continue"/>
            <filter val="Environment: Staging"/>
            <filter val="Existing"/>
            <filter val="5 days"/>
            <filter val="Aadhar Card/ Voter ID/BPL ID/Driving License"/>
            <filter val="New Trips"/>
            <filter val="Payments"/>
            <filter val="within kms"/>
            <filter val="Shop added to favourites"/>
            <filter val="Invoice Number GSTIN Number"/>
            <filter val="Complain"/>
            <filter val="Active Orders"/>
            <filter val="Invitees Mobile Number"/>
            <filter val="Distance"/>
            <filter val="Re-enter Account Number"/>
            <filter val="Scan QR code"/>
            <filter val="Save and Proceed"/>
            <filter val="Map"/>
            <filter val="Save Address"/>
            <filter val="Load From Gallery"/>
            <filter val="Passbook Photo"/>
            <filter val="Enter no. of Ltr"/>
            <filter val="GST Number"/>
            <filter val="Order Weight"/>
            <filter val="Drinks &amp; Beverages"/>
            <filter val="User data uploaded!"/>
            <filter val="Pet Foods"/>
            <filter val="within"/>
            <filter val="Do you want to Pick Up the order ?"/>
            <filter val="7 days"/>
            <filter val="State Level Permit"/>
            <filter val="Re-enter Account Number is required."/>
            <filter val="Environment: Dev"/>
            <filter val="did you receive the payment"/>
            <filter val="Please Enter Pincode"/>
            <filter val="E-RIckshaw"/>
            <filter val="Order Pickedup"/>
            <filter val="Veg/Non-Veg"/>
            <filter val="Terms and Conditions"/>
            <filter val="Accept"/>
            <filter val="Received"/>
            <filter val="Shop already exist for this user"/>
            <filter val="Total Weight"/>
            <filter val="Add Product Details"/>
            <filter val="Home Food Shops"/>
            <filter val="Distance(km)"/>
            <filter val="Sarvm"/>
            <filter val="Account Number is required."/>
            <filter val="Accepted-Order Works!"/>
            <filter val="Do you want to Delivery the Order?"/>
            <filter val="Change not saved!"/>
            <filter val="Do you want to No-Show the order ?"/>
            <filter val="Paan"/>
            <filter val="Comment"/>
            <filter val="Error"/>
            <filter val="Do you want to delivered the Order ?"/>
            <filter val="Current Address"/>
            <filter val="find the date"/>
            <filter val="Delivery Boy"/>
            <filter val="Track"/>
            <filter val="Add Quantity (ml/l)"/>
            <filter val="QR Code"/>
            <filter val="History"/>
            <filter val="Expected Earnings"/>
            <filter val="To Add Product"/>
            <filter val="Pay On Delivery"/>
            <filter val="Categories"/>
            <filter val="Order ID"/>
            <filter val="rating success"/>
            <filter val="Items to be delivered"/>
            <filter val="Block/Ward"/>
            <filter val="Complaint Raised"/>
            <filter val="My Shop QR Code"/>
            <filter val="Select Preference"/>
            <filter val="Save Your Location!"/>
            <filter val="Shop By Categories"/>
            <filter val="Selected Product Preview"/>
            <filter val="Gram"/>
            <filter val="Do you want to continue with this number?"/>
            <filter val="Get Cash Rewards Upto"/>
            <filter val="Per Order Discount"/>
            <filter val="Mandatory Item"/>
            <filter val="Shop removed from favourites"/>
            <filter val="Delivery/Pickup Within"/>
            <filter val="Pet Food Shops"/>
            <filter val="Delivery Partner"/>
            <filter val="Add Quantity (Pieces/Plates)"/>
            <filter val="Bank Name is required."/>
            <filter val="Update &amp; Continue"/>
            <filter val="Payment Pending"/>
            <filter val="Business Name is Required"/>
            <filter val="Phone No."/>
            <filter val="Deliver"/>
            <filter val="Signup"/>
            <filter val="Reached Delivery Location"/>
            <filter val="Org ID"/>
            <filter val="Do you want to Cancel the Order?"/>
            <filter val="OTP Sent to"/>
            <filter val="Address Added !!"/>
            <filter val="Customer Rated"/>
            <filter val="I will deliver by"/>
            <filter val="Building/Locality"/>
            <filter val="Paid"/>
            <filter val="Search for product name"/>
            <filter val="Membership Plan"/>
            <filter val="Browse Catalog"/>
            <filter val="Enter Shop No or Building"/>
            <filter val="Delivery Service"/>
            <filter val="Asmaa India"/>
            <filter val="Driving License No"/>
            <filter val="Select State"/>
            <filter val="Received amount"/>
            <filter val="Please input all required fields"/>
            <filter val="Please enter your location to help us find the shops near you"/>
            <filter val="Im Selling"/>
            <filter val="Jyoti Enterprises"/>
            <filter val="The dicount cannot be greater than 99%"/>
            <filter val="Order Rejected"/>
            <filter val="Do You Have"/>
            <filter val="About Me"/>
            <filter val="Select Organization"/>
            <filter val="Favourite Shop"/>
            <filter val="Feature Not Available"/>
            <filter val="Ready Order Details"/>
            <filter val="Order Notification"/>
            <filter val="Send To"/>
            <filter val="Pay Now"/>
            <filter val="First order"/>
            <filter val="Dispatch Order"/>
            <filter val="All India Permit"/>
            <filter val="IFSC is Required"/>
            <filter val="Description"/>
            <filter val="Add Weight"/>
            <filter val="Unpublish"/>
            <filter val="Fish Shops"/>
            <filter val="Process Order"/>
            <filter val="Add Address"/>
            <filter val="Cash"/>
            <filter val="kms"/>
            <filter val="Invoice Number"/>
            <filter val="Total Litres"/>
            <filter val="Complaint"/>
            <filter val="Favourites Shops"/>
            <filter val="scan my shop"/>
            <filter val="Uploading"/>
            <filter val="Escalated to State Head"/>
            <filter val="Pincode is required."/>
            <filter val="Order History"/>
            <filter val="Enter Amount"/>
            <filter val="Online"/>
            <filter val="Distance Management"/>
            <filter val="Requesting Referee to Give a Miss Call on"/>
            <filter val="Use Camera"/>
            <filter val="Refer a Friend &amp; Earn"/>
            <filter val="Reached Pickup Location"/>
            <filter val="Drop-Off"/>
            <filter val="Do you want to Accept the order ?"/>
            <filter val="App Version:"/>
            <filter val="LOGOUT"/>
            <filter val="Search Number"/>
            <filter val="Total Rewards Earned"/>
            <filter val="Enter City or State"/>
            <filter val="PAN Card No. is required ."/>
            <filter val="Restaurant Shops"/>
            <filter val="Order dispatched"/>
            <filter val="Active"/>
            <filter val="Enter Locality or Area"/>
            <filter val="Environment"/>
            <filter val="Tropical Fruit (7)"/>
            <filter val="Category"/>
            <filter val="This Month"/>
            <filter val="Dispatch-Orders Works!"/>
            <filter val="Search By Category"/>
            <filter val="Payment Method"/>
            <filter val="Please provide all the required value"/>
            <filter val="How Do You Feel?"/>
            <filter val="Ready For Pickup"/>
            <filter val="Please Enter Apartment/Road/Area"/>
            <filter val="Sarvm.Ai"/>
            <filter val="Your Order"/>
            <filter val="BHIM"/>
          </filters>
        </filterColumn>
      </autoFilter>
    </customSheetView>
    <customSheetView guid="{2D4CB3B7-B84D-4D80-A7C8-046640686541}" filter="1" showAutoFilter="1">
      <autoFilter ref="$A$1:$C$19"/>
    </customSheetView>
    <customSheetView guid="{0C7A36B9-DE08-4145-BA09-FD95AC9DC240}" filter="1" showAutoFilter="1">
      <autoFilter ref="$A$1:$C$19"/>
    </customSheetView>
  </customSheetViews>
  <conditionalFormatting sqref="A1082:B1084">
    <cfRule type="notContainsBlanks" dxfId="0" priority="1">
      <formula>LEN(TRIM(A1082))&gt;0</formula>
    </cfRule>
  </conditionalFormatting>
  <conditionalFormatting sqref="A1001:A1010">
    <cfRule type="expression" dxfId="0" priority="2">
      <formula>COUNTIF(B:B,A1001)&gt;1</formula>
    </cfRule>
  </conditionalFormatting>
  <conditionalFormatting sqref="B1:B128 B130:B157 B159:B165 A161 B167:B271 B273:B443 A305 A360 A389 B445:B695 A450:A460 A479 A501 A533 A542 A551 A560:A561 A569 A577 A583 A588:A590 A600 A645 A652 A656 A686 A693 B697:B972 A700 A703 A745 A818:A850 A852:A911 A916 A918:A919 A921:A924 B984:B1000 B1011:B1081 A1024:A1028 A1052:A1081 A1085:A1113 B1085:B1959">
    <cfRule type="expression" dxfId="0" priority="3">
      <formula>COUNTIF(B:B,B1)&gt;1</formula>
    </cfRule>
  </conditionalFormatting>
  <conditionalFormatting sqref="B2:B128 B130:B157 B159:B165 A161 B167:B271 B273:B443 A305 A360 A389 B445:B695 A479 A501 A533 A542 A551 A560:A561 A569 A577 A583 A588:A590 A600 A645 A652 A656 A686 A693 B697:B816 A700 A703 A745 A864:B864 B925">
    <cfRule type="expression" dxfId="1" priority="4">
      <formula>countif(B2:B1959,B1)&gt;1</formula>
    </cfRule>
  </conditionalFormatting>
  <conditionalFormatting sqref="D5">
    <cfRule type="notContainsBlanks" dxfId="0" priority="5">
      <formula>LEN(TRIM(D5))&gt;0</formula>
    </cfRule>
  </conditionalFormatting>
  <conditionalFormatting sqref="C3">
    <cfRule type="notContainsBlanks" dxfId="0" priority="6">
      <formula>LEN(TRIM(C3))&gt;0</formula>
    </cfRule>
  </conditionalFormatting>
  <conditionalFormatting sqref="F358">
    <cfRule type="notContainsBlanks" dxfId="0" priority="7">
      <formula>LEN(TRIM(F358))&gt;0</formula>
    </cfRule>
  </conditionalFormatting>
  <hyperlinks>
    <hyperlink r:id="rId1" ref="A983"/>
    <hyperlink r:id="rId2" ref="B983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28.63"/>
  </cols>
  <sheetData>
    <row r="1">
      <c r="A1" s="7" t="s">
        <v>1</v>
      </c>
      <c r="B1" s="7" t="s">
        <v>2070</v>
      </c>
      <c r="C1" s="7" t="s">
        <v>2071</v>
      </c>
    </row>
    <row r="2">
      <c r="A2" s="7" t="s">
        <v>2072</v>
      </c>
      <c r="B2" s="7" t="s">
        <v>2073</v>
      </c>
      <c r="C2" s="7" t="s">
        <v>2074</v>
      </c>
    </row>
    <row r="3">
      <c r="A3" s="7" t="s">
        <v>2075</v>
      </c>
      <c r="B3" s="7" t="s">
        <v>2076</v>
      </c>
      <c r="C3" s="7" t="s">
        <v>2077</v>
      </c>
    </row>
    <row r="4">
      <c r="A4" s="7" t="s">
        <v>2078</v>
      </c>
      <c r="B4" s="7" t="s">
        <v>2079</v>
      </c>
      <c r="C4" s="7" t="s">
        <v>2080</v>
      </c>
    </row>
    <row r="5">
      <c r="A5" s="7" t="s">
        <v>2081</v>
      </c>
      <c r="B5" s="7" t="s">
        <v>2082</v>
      </c>
      <c r="C5" s="7" t="s">
        <v>2083</v>
      </c>
    </row>
    <row r="6">
      <c r="A6" s="7" t="s">
        <v>2084</v>
      </c>
      <c r="B6" s="7" t="s">
        <v>2085</v>
      </c>
      <c r="C6" s="7" t="s">
        <v>2086</v>
      </c>
    </row>
    <row r="7">
      <c r="A7" s="7" t="s">
        <v>2087</v>
      </c>
      <c r="B7" s="7" t="s">
        <v>2088</v>
      </c>
      <c r="C7" s="7" t="s">
        <v>2089</v>
      </c>
    </row>
    <row r="8">
      <c r="A8" s="7" t="s">
        <v>2090</v>
      </c>
      <c r="B8" s="7" t="s">
        <v>2091</v>
      </c>
      <c r="C8" s="7" t="s">
        <v>2092</v>
      </c>
    </row>
    <row r="9">
      <c r="A9" s="7" t="s">
        <v>2093</v>
      </c>
      <c r="B9" s="7" t="s">
        <v>2094</v>
      </c>
      <c r="C9" s="7" t="s">
        <v>2095</v>
      </c>
    </row>
    <row r="10">
      <c r="A10" s="7" t="s">
        <v>2096</v>
      </c>
      <c r="B10" s="7" t="s">
        <v>2097</v>
      </c>
      <c r="C10" s="7" t="s">
        <v>2098</v>
      </c>
    </row>
    <row r="11">
      <c r="A11" s="7" t="s">
        <v>2099</v>
      </c>
      <c r="B11" s="7" t="s">
        <v>2100</v>
      </c>
      <c r="C11" s="7" t="s">
        <v>2101</v>
      </c>
    </row>
    <row r="12">
      <c r="A12" s="7" t="s">
        <v>2102</v>
      </c>
      <c r="B12" s="7" t="s">
        <v>2103</v>
      </c>
      <c r="C12" s="7" t="s">
        <v>2104</v>
      </c>
    </row>
    <row r="13">
      <c r="A13" s="7" t="s">
        <v>2105</v>
      </c>
      <c r="B13" s="7" t="s">
        <v>2106</v>
      </c>
      <c r="C13" s="7" t="s">
        <v>2107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30.25"/>
  </cols>
  <sheetData>
    <row r="1">
      <c r="A1" s="7" t="s">
        <v>745</v>
      </c>
      <c r="B1" s="7" t="s">
        <v>2108</v>
      </c>
    </row>
    <row r="2">
      <c r="A2" s="7" t="s">
        <v>2109</v>
      </c>
      <c r="B2" s="7" t="s">
        <v>2110</v>
      </c>
    </row>
    <row r="3">
      <c r="A3" s="7" t="s">
        <v>2111</v>
      </c>
      <c r="B3" s="7" t="s">
        <v>2112</v>
      </c>
    </row>
    <row r="4">
      <c r="A4" s="7" t="s">
        <v>2113</v>
      </c>
      <c r="B4" s="7" t="s">
        <v>2114</v>
      </c>
    </row>
    <row r="5">
      <c r="A5" s="7" t="s">
        <v>807</v>
      </c>
      <c r="B5" s="7" t="s">
        <v>806</v>
      </c>
    </row>
    <row r="6">
      <c r="A6" s="7" t="s">
        <v>2115</v>
      </c>
      <c r="B6" s="7" t="s">
        <v>2115</v>
      </c>
    </row>
    <row r="7">
      <c r="A7" s="7" t="s">
        <v>825</v>
      </c>
      <c r="B7" s="7" t="s">
        <v>824</v>
      </c>
    </row>
    <row r="8">
      <c r="A8" s="7" t="s">
        <v>804</v>
      </c>
      <c r="B8" s="7" t="s">
        <v>804</v>
      </c>
    </row>
    <row r="9">
      <c r="A9" s="7" t="s">
        <v>1494</v>
      </c>
      <c r="B9" s="7" t="s">
        <v>2116</v>
      </c>
    </row>
    <row r="10">
      <c r="A10" s="7" t="s">
        <v>2117</v>
      </c>
      <c r="B10" s="7" t="s">
        <v>2118</v>
      </c>
    </row>
    <row r="11">
      <c r="A11" s="7" t="s">
        <v>2119</v>
      </c>
      <c r="B11" s="7" t="s">
        <v>2120</v>
      </c>
    </row>
    <row r="12">
      <c r="A12" s="7" t="s">
        <v>751</v>
      </c>
      <c r="B12" s="7" t="s">
        <v>2121</v>
      </c>
    </row>
    <row r="13">
      <c r="A13" s="7" t="s">
        <v>2122</v>
      </c>
      <c r="B13" s="7" t="s">
        <v>2123</v>
      </c>
    </row>
    <row r="14">
      <c r="A14" s="7" t="s">
        <v>2124</v>
      </c>
      <c r="B14" s="7" t="s">
        <v>1023</v>
      </c>
    </row>
    <row r="15">
      <c r="A15" s="7" t="s">
        <v>227</v>
      </c>
      <c r="B15" s="7" t="s">
        <v>226</v>
      </c>
    </row>
    <row r="16">
      <c r="A16" s="7" t="s">
        <v>2125</v>
      </c>
      <c r="B16" s="7" t="s">
        <v>2126</v>
      </c>
    </row>
    <row r="17">
      <c r="A17" s="7" t="s">
        <v>94</v>
      </c>
      <c r="B17" s="7" t="s">
        <v>2127</v>
      </c>
    </row>
    <row r="18">
      <c r="A18" s="7" t="s">
        <v>2128</v>
      </c>
      <c r="B18" s="7" t="s">
        <v>2129</v>
      </c>
    </row>
    <row r="19">
      <c r="A19" s="7" t="s">
        <v>669</v>
      </c>
      <c r="B19" s="7" t="s">
        <v>668</v>
      </c>
    </row>
    <row r="20">
      <c r="A20" s="7" t="s">
        <v>2130</v>
      </c>
      <c r="B20" s="7" t="s">
        <v>2131</v>
      </c>
    </row>
    <row r="21">
      <c r="A21" s="7" t="s">
        <v>2132</v>
      </c>
      <c r="B21" s="7" t="s">
        <v>2133</v>
      </c>
    </row>
    <row r="22">
      <c r="A22" s="7" t="s">
        <v>325</v>
      </c>
      <c r="B22" s="7" t="s">
        <v>2134</v>
      </c>
    </row>
    <row r="24">
      <c r="B24" s="46"/>
    </row>
    <row r="25">
      <c r="B25" s="46"/>
    </row>
    <row r="26">
      <c r="B26" s="48"/>
    </row>
    <row r="27">
      <c r="B27" s="48"/>
    </row>
    <row r="28">
      <c r="B28" s="48"/>
    </row>
    <row r="29">
      <c r="B29" s="46"/>
    </row>
    <row r="30">
      <c r="B30" s="48"/>
    </row>
    <row r="31">
      <c r="B31" s="46"/>
    </row>
    <row r="32">
      <c r="B32" s="46"/>
    </row>
    <row r="33">
      <c r="B33" s="46"/>
    </row>
    <row r="34">
      <c r="B34" s="46"/>
    </row>
    <row r="35">
      <c r="B35" s="46"/>
    </row>
    <row r="36">
      <c r="B36" s="46"/>
    </row>
    <row r="37">
      <c r="B37" s="48"/>
    </row>
    <row r="38">
      <c r="B38" s="48"/>
    </row>
    <row r="39">
      <c r="B39" s="48"/>
    </row>
    <row r="40">
      <c r="B40" s="48"/>
    </row>
    <row r="41">
      <c r="B41" s="48"/>
    </row>
    <row r="42">
      <c r="B42" s="46"/>
    </row>
    <row r="43">
      <c r="B43" s="48"/>
    </row>
    <row r="44">
      <c r="B44" s="48"/>
    </row>
  </sheetData>
  <conditionalFormatting sqref="B24:B44">
    <cfRule type="expression" dxfId="0" priority="1">
      <formula>COUNTIF(B:B,B24)&gt;1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47.88"/>
  </cols>
  <sheetData>
    <row r="1">
      <c r="A1" s="7" t="s">
        <v>1</v>
      </c>
      <c r="B1" s="7" t="s">
        <v>2135</v>
      </c>
    </row>
    <row r="2">
      <c r="A2" s="7" t="s">
        <v>1128</v>
      </c>
      <c r="B2" s="7" t="s">
        <v>2136</v>
      </c>
    </row>
    <row r="3">
      <c r="A3" s="7" t="s">
        <v>1130</v>
      </c>
      <c r="B3" s="7" t="s">
        <v>2137</v>
      </c>
    </row>
    <row r="4">
      <c r="A4" s="7" t="s">
        <v>1132</v>
      </c>
      <c r="B4" s="7" t="s">
        <v>2138</v>
      </c>
    </row>
    <row r="5">
      <c r="A5" s="7" t="s">
        <v>85</v>
      </c>
      <c r="B5" s="7" t="s">
        <v>86</v>
      </c>
    </row>
    <row r="6">
      <c r="A6" s="7" t="s">
        <v>843</v>
      </c>
      <c r="B6" s="7" t="s">
        <v>844</v>
      </c>
    </row>
    <row r="7">
      <c r="A7" s="7" t="s">
        <v>798</v>
      </c>
      <c r="B7" s="7" t="s">
        <v>799</v>
      </c>
    </row>
    <row r="8">
      <c r="A8" s="7" t="s">
        <v>806</v>
      </c>
      <c r="B8" s="7" t="s">
        <v>807</v>
      </c>
    </row>
    <row r="9">
      <c r="A9" s="7" t="s">
        <v>1142</v>
      </c>
      <c r="B9" s="7" t="s">
        <v>1143</v>
      </c>
    </row>
    <row r="10">
      <c r="A10" s="7" t="s">
        <v>1144</v>
      </c>
      <c r="B10" s="7" t="s">
        <v>1145</v>
      </c>
    </row>
    <row r="11">
      <c r="A11" s="7" t="s">
        <v>612</v>
      </c>
      <c r="B11" s="7" t="s">
        <v>613</v>
      </c>
    </row>
    <row r="12">
      <c r="A12" s="7" t="s">
        <v>712</v>
      </c>
      <c r="B12" s="7" t="s">
        <v>713</v>
      </c>
    </row>
    <row r="13">
      <c r="A13" s="7" t="s">
        <v>2139</v>
      </c>
      <c r="B13" s="7" t="s">
        <v>2140</v>
      </c>
    </row>
    <row r="14">
      <c r="A14" s="7" t="s">
        <v>2141</v>
      </c>
      <c r="B14" s="7" t="s">
        <v>2142</v>
      </c>
    </row>
    <row r="15">
      <c r="A15" s="7" t="s">
        <v>1154</v>
      </c>
      <c r="B15" s="7" t="s">
        <v>1155</v>
      </c>
    </row>
    <row r="16">
      <c r="A16" s="7" t="s">
        <v>1156</v>
      </c>
      <c r="B16" s="7" t="s">
        <v>1157</v>
      </c>
    </row>
    <row r="17">
      <c r="A17" s="7" t="s">
        <v>1158</v>
      </c>
      <c r="B17" s="7" t="s">
        <v>1159</v>
      </c>
    </row>
    <row r="18">
      <c r="A18" s="7" t="s">
        <v>1160</v>
      </c>
      <c r="B18" s="7" t="s">
        <v>1161</v>
      </c>
    </row>
    <row r="19">
      <c r="A19" s="7" t="s">
        <v>967</v>
      </c>
      <c r="B19" s="7" t="s">
        <v>968</v>
      </c>
    </row>
    <row r="20">
      <c r="A20" s="7" t="s">
        <v>1164</v>
      </c>
      <c r="B20" s="7" t="s">
        <v>1165</v>
      </c>
    </row>
    <row r="21">
      <c r="A21" s="7" t="s">
        <v>1166</v>
      </c>
      <c r="B21" s="7" t="s">
        <v>1167</v>
      </c>
    </row>
    <row r="22">
      <c r="A22" s="7" t="s">
        <v>1168</v>
      </c>
      <c r="B22" s="7" t="s">
        <v>1169</v>
      </c>
    </row>
    <row r="23">
      <c r="A23" s="7" t="s">
        <v>1170</v>
      </c>
      <c r="B23" s="7" t="s">
        <v>1171</v>
      </c>
    </row>
    <row r="24">
      <c r="A24" s="7" t="s">
        <v>439</v>
      </c>
      <c r="B24" s="7" t="s">
        <v>440</v>
      </c>
    </row>
    <row r="25">
      <c r="A25" s="7" t="s">
        <v>1174</v>
      </c>
      <c r="B25" s="7" t="s">
        <v>1175</v>
      </c>
    </row>
    <row r="26">
      <c r="A26" s="7" t="s">
        <v>1176</v>
      </c>
      <c r="B26" s="7" t="s">
        <v>1177</v>
      </c>
    </row>
    <row r="27">
      <c r="A27" s="7" t="s">
        <v>1178</v>
      </c>
      <c r="B27" s="7" t="s">
        <v>1179</v>
      </c>
    </row>
    <row r="28">
      <c r="A28" s="7" t="s">
        <v>2143</v>
      </c>
      <c r="B28" s="7" t="s">
        <v>2144</v>
      </c>
    </row>
    <row r="29">
      <c r="A29" s="7" t="s">
        <v>939</v>
      </c>
      <c r="B29" s="7" t="s">
        <v>940</v>
      </c>
    </row>
    <row r="30">
      <c r="A30" s="7" t="s">
        <v>1183</v>
      </c>
      <c r="B30" s="7" t="s">
        <v>1184</v>
      </c>
    </row>
    <row r="31">
      <c r="A31" s="7" t="s">
        <v>121</v>
      </c>
      <c r="B31" s="7" t="s">
        <v>121</v>
      </c>
    </row>
    <row r="32">
      <c r="A32" s="7" t="s">
        <v>1187</v>
      </c>
      <c r="B32" s="7" t="s">
        <v>1188</v>
      </c>
    </row>
    <row r="33">
      <c r="A33" s="7" t="s">
        <v>1189</v>
      </c>
      <c r="B33" s="7" t="s">
        <v>1190</v>
      </c>
    </row>
    <row r="34">
      <c r="A34" s="7" t="s">
        <v>1191</v>
      </c>
      <c r="B34" s="7" t="s">
        <v>1192</v>
      </c>
    </row>
    <row r="35">
      <c r="A35" s="7" t="s">
        <v>2145</v>
      </c>
      <c r="B35" s="7" t="s">
        <v>2146</v>
      </c>
    </row>
    <row r="36">
      <c r="A36" s="7" t="s">
        <v>1195</v>
      </c>
      <c r="B36" s="7" t="s">
        <v>1196</v>
      </c>
    </row>
    <row r="37">
      <c r="A37" s="7" t="s">
        <v>2147</v>
      </c>
      <c r="B37" s="7" t="s">
        <v>2148</v>
      </c>
    </row>
    <row r="38">
      <c r="A38" s="7" t="s">
        <v>2149</v>
      </c>
      <c r="B38" s="7" t="s">
        <v>1200</v>
      </c>
    </row>
    <row r="39">
      <c r="A39" s="7" t="s">
        <v>1201</v>
      </c>
      <c r="B39" s="7" t="s">
        <v>1202</v>
      </c>
    </row>
    <row r="40">
      <c r="A40" s="7" t="s">
        <v>1203</v>
      </c>
      <c r="B40" s="7" t="s">
        <v>1204</v>
      </c>
    </row>
    <row r="41">
      <c r="A41" s="7" t="s">
        <v>1205</v>
      </c>
      <c r="B41" s="7" t="s">
        <v>1206</v>
      </c>
    </row>
    <row r="42">
      <c r="A42" s="7" t="s">
        <v>1207</v>
      </c>
      <c r="B42" s="7" t="s">
        <v>1208</v>
      </c>
    </row>
    <row r="43">
      <c r="A43" s="7" t="s">
        <v>1209</v>
      </c>
      <c r="B43" s="7" t="s">
        <v>1210</v>
      </c>
    </row>
    <row r="44">
      <c r="A44" s="7" t="s">
        <v>1211</v>
      </c>
      <c r="B44" s="7" t="s">
        <v>1212</v>
      </c>
    </row>
    <row r="45">
      <c r="A45" s="7" t="s">
        <v>1213</v>
      </c>
      <c r="B45" s="7" t="s">
        <v>1214</v>
      </c>
    </row>
    <row r="46">
      <c r="A46" s="7" t="s">
        <v>1215</v>
      </c>
      <c r="B46" s="7" t="s">
        <v>1216</v>
      </c>
    </row>
    <row r="47">
      <c r="A47" s="7" t="s">
        <v>1217</v>
      </c>
      <c r="B47" s="7" t="s">
        <v>1218</v>
      </c>
    </row>
    <row r="48">
      <c r="A48" s="7" t="s">
        <v>1219</v>
      </c>
      <c r="B48" s="7" t="s">
        <v>1220</v>
      </c>
    </row>
    <row r="49">
      <c r="A49" s="7" t="s">
        <v>1221</v>
      </c>
      <c r="B49" s="7" t="s">
        <v>2150</v>
      </c>
    </row>
    <row r="50">
      <c r="A50" s="7" t="s">
        <v>1223</v>
      </c>
      <c r="B50" s="7" t="s">
        <v>1224</v>
      </c>
    </row>
    <row r="51">
      <c r="A51" s="7" t="s">
        <v>1225</v>
      </c>
      <c r="B51" s="7" t="s">
        <v>1226</v>
      </c>
    </row>
    <row r="52">
      <c r="A52" s="7" t="s">
        <v>1227</v>
      </c>
      <c r="B52" s="7" t="s">
        <v>1228</v>
      </c>
    </row>
    <row r="53">
      <c r="A53" s="7" t="s">
        <v>316</v>
      </c>
      <c r="B53" s="7" t="s">
        <v>2151</v>
      </c>
    </row>
    <row r="54">
      <c r="A54" s="7" t="s">
        <v>314</v>
      </c>
      <c r="B54" s="7" t="s">
        <v>315</v>
      </c>
    </row>
    <row r="55">
      <c r="A55" s="7" t="s">
        <v>1232</v>
      </c>
      <c r="B55" s="7" t="s">
        <v>1233</v>
      </c>
    </row>
    <row r="56">
      <c r="A56" s="7" t="s">
        <v>1234</v>
      </c>
      <c r="B56" s="7" t="s">
        <v>1235</v>
      </c>
    </row>
    <row r="57">
      <c r="A57" s="7" t="s">
        <v>1236</v>
      </c>
      <c r="B57" s="7" t="s">
        <v>1237</v>
      </c>
    </row>
    <row r="58">
      <c r="A58" s="7" t="s">
        <v>1238</v>
      </c>
      <c r="B58" s="7" t="s">
        <v>1239</v>
      </c>
    </row>
    <row r="59">
      <c r="A59" s="7" t="s">
        <v>1240</v>
      </c>
      <c r="B59" s="7" t="s">
        <v>1241</v>
      </c>
    </row>
    <row r="60">
      <c r="A60" s="7" t="s">
        <v>2152</v>
      </c>
      <c r="B60" s="7" t="s">
        <v>1243</v>
      </c>
    </row>
    <row r="61">
      <c r="A61" s="7" t="s">
        <v>1244</v>
      </c>
      <c r="B61" s="7" t="s">
        <v>1245</v>
      </c>
    </row>
    <row r="62">
      <c r="A62" s="7" t="s">
        <v>1246</v>
      </c>
      <c r="B62" s="7" t="s">
        <v>1247</v>
      </c>
    </row>
    <row r="63">
      <c r="A63" s="7" t="s">
        <v>1248</v>
      </c>
      <c r="B63" s="7" t="s">
        <v>1249</v>
      </c>
    </row>
    <row r="64">
      <c r="A64" s="7" t="s">
        <v>1250</v>
      </c>
      <c r="B64" s="7" t="s">
        <v>1251</v>
      </c>
    </row>
    <row r="65">
      <c r="A65" s="7" t="s">
        <v>1252</v>
      </c>
      <c r="B65" s="7" t="s">
        <v>1253</v>
      </c>
    </row>
    <row r="66">
      <c r="A66" s="7" t="s">
        <v>1254</v>
      </c>
      <c r="B66" s="7" t="s">
        <v>1255</v>
      </c>
    </row>
    <row r="67">
      <c r="A67" s="7" t="s">
        <v>1256</v>
      </c>
      <c r="B67" s="7" t="s">
        <v>1257</v>
      </c>
    </row>
    <row r="68">
      <c r="A68" s="7" t="s">
        <v>1258</v>
      </c>
      <c r="B68" s="7" t="s">
        <v>1259</v>
      </c>
    </row>
    <row r="69">
      <c r="A69" s="7" t="s">
        <v>175</v>
      </c>
      <c r="B69" s="7" t="s">
        <v>176</v>
      </c>
    </row>
    <row r="70">
      <c r="A70" s="7" t="s">
        <v>1261</v>
      </c>
      <c r="B70" s="7" t="s">
        <v>1262</v>
      </c>
    </row>
    <row r="71">
      <c r="A71" s="7" t="s">
        <v>83</v>
      </c>
      <c r="B71" s="7" t="s">
        <v>2153</v>
      </c>
    </row>
    <row r="72">
      <c r="A72" s="7" t="s">
        <v>1265</v>
      </c>
      <c r="B72" s="7" t="s">
        <v>2154</v>
      </c>
    </row>
    <row r="73">
      <c r="A73" s="7" t="s">
        <v>1267</v>
      </c>
      <c r="B73" s="7" t="s">
        <v>1268</v>
      </c>
    </row>
    <row r="74">
      <c r="A74" s="7" t="s">
        <v>1269</v>
      </c>
      <c r="B74" s="7" t="s">
        <v>2155</v>
      </c>
    </row>
    <row r="75">
      <c r="A75" s="7" t="s">
        <v>1271</v>
      </c>
      <c r="B75" s="7" t="s">
        <v>2156</v>
      </c>
    </row>
    <row r="76">
      <c r="A76" s="7" t="s">
        <v>2157</v>
      </c>
      <c r="B76" s="7" t="s">
        <v>1365</v>
      </c>
    </row>
    <row r="77">
      <c r="A77" s="7" t="s">
        <v>1275</v>
      </c>
      <c r="B77" s="7" t="s">
        <v>1276</v>
      </c>
    </row>
    <row r="78">
      <c r="A78" s="7" t="s">
        <v>822</v>
      </c>
      <c r="B78" s="7" t="s">
        <v>822</v>
      </c>
    </row>
    <row r="79">
      <c r="B79" s="49"/>
    </row>
    <row r="80">
      <c r="A80" s="7" t="s">
        <v>569</v>
      </c>
      <c r="B80" s="7" t="s">
        <v>2158</v>
      </c>
    </row>
    <row r="81">
      <c r="A81" s="7" t="s">
        <v>571</v>
      </c>
      <c r="B81" s="7" t="s">
        <v>572</v>
      </c>
    </row>
    <row r="82">
      <c r="A82" s="7" t="s">
        <v>573</v>
      </c>
      <c r="B82" s="7" t="s">
        <v>574</v>
      </c>
    </row>
    <row r="83">
      <c r="A83" s="7" t="s">
        <v>385</v>
      </c>
      <c r="B83" s="7" t="s">
        <v>386</v>
      </c>
    </row>
    <row r="84">
      <c r="A84" s="7" t="s">
        <v>2159</v>
      </c>
      <c r="B84" s="7" t="s">
        <v>1046</v>
      </c>
    </row>
    <row r="85">
      <c r="A85" s="7" t="s">
        <v>267</v>
      </c>
      <c r="B85" s="7" t="s">
        <v>268</v>
      </c>
    </row>
    <row r="86">
      <c r="A86" s="7" t="s">
        <v>581</v>
      </c>
      <c r="B86" s="7" t="s">
        <v>582</v>
      </c>
    </row>
    <row r="87">
      <c r="A87" s="7" t="s">
        <v>269</v>
      </c>
      <c r="B87" s="7" t="s">
        <v>270</v>
      </c>
    </row>
    <row r="88">
      <c r="A88" s="7" t="s">
        <v>585</v>
      </c>
      <c r="B88" s="7" t="s">
        <v>586</v>
      </c>
    </row>
    <row r="89">
      <c r="A89" s="7" t="s">
        <v>449</v>
      </c>
      <c r="B89" s="7" t="s">
        <v>450</v>
      </c>
    </row>
    <row r="90">
      <c r="A90" s="7" t="s">
        <v>588</v>
      </c>
      <c r="B90" s="7" t="s">
        <v>589</v>
      </c>
    </row>
    <row r="91">
      <c r="A91" s="7" t="s">
        <v>590</v>
      </c>
      <c r="B91" s="7" t="s">
        <v>2160</v>
      </c>
    </row>
    <row r="92">
      <c r="A92" s="7" t="s">
        <v>592</v>
      </c>
      <c r="B92" s="7" t="s">
        <v>593</v>
      </c>
    </row>
    <row r="93">
      <c r="A93" s="7" t="s">
        <v>594</v>
      </c>
      <c r="B93" s="7" t="s">
        <v>595</v>
      </c>
    </row>
    <row r="94">
      <c r="A94" s="7" t="s">
        <v>2161</v>
      </c>
      <c r="B94" s="7" t="s">
        <v>2162</v>
      </c>
    </row>
    <row r="95">
      <c r="A95" s="7" t="s">
        <v>2163</v>
      </c>
      <c r="B95" s="7" t="s">
        <v>483</v>
      </c>
    </row>
    <row r="96">
      <c r="A96" s="7" t="s">
        <v>1185</v>
      </c>
      <c r="B96" s="7" t="s">
        <v>1186</v>
      </c>
    </row>
    <row r="97">
      <c r="A97" s="7" t="s">
        <v>2164</v>
      </c>
      <c r="B97" s="7" t="s">
        <v>299</v>
      </c>
    </row>
    <row r="98">
      <c r="A98" s="7" t="s">
        <v>350</v>
      </c>
      <c r="B98" s="7" t="s">
        <v>2165</v>
      </c>
    </row>
    <row r="99">
      <c r="A99" s="7" t="s">
        <v>352</v>
      </c>
      <c r="B99" s="7" t="s">
        <v>605</v>
      </c>
    </row>
    <row r="100">
      <c r="A100" s="7" t="s">
        <v>606</v>
      </c>
      <c r="B100" s="7" t="s">
        <v>607</v>
      </c>
    </row>
    <row r="101">
      <c r="A101" s="7" t="s">
        <v>608</v>
      </c>
      <c r="B101" s="7" t="s">
        <v>609</v>
      </c>
    </row>
    <row r="102">
      <c r="A102" s="7" t="s">
        <v>610</v>
      </c>
      <c r="B102" s="7" t="s">
        <v>611</v>
      </c>
    </row>
    <row r="103">
      <c r="A103" s="7" t="s">
        <v>612</v>
      </c>
      <c r="B103" s="7" t="s">
        <v>613</v>
      </c>
    </row>
    <row r="104">
      <c r="A104" s="7" t="s">
        <v>614</v>
      </c>
      <c r="B104" s="7" t="s">
        <v>615</v>
      </c>
    </row>
    <row r="105">
      <c r="A105" s="7" t="s">
        <v>1246</v>
      </c>
      <c r="B105" s="7" t="s">
        <v>1247</v>
      </c>
    </row>
    <row r="106">
      <c r="A106" s="7" t="s">
        <v>1248</v>
      </c>
      <c r="B106" s="7" t="s">
        <v>1249</v>
      </c>
    </row>
    <row r="107">
      <c r="A107" s="7" t="s">
        <v>620</v>
      </c>
      <c r="B107" s="7" t="s">
        <v>621</v>
      </c>
    </row>
    <row r="108">
      <c r="A108" s="7" t="s">
        <v>622</v>
      </c>
      <c r="B108" s="7" t="s">
        <v>623</v>
      </c>
    </row>
    <row r="109">
      <c r="A109" s="7" t="s">
        <v>2166</v>
      </c>
      <c r="B109" s="7" t="s">
        <v>625</v>
      </c>
    </row>
    <row r="110">
      <c r="A110" s="7" t="s">
        <v>626</v>
      </c>
      <c r="B110" s="7" t="s">
        <v>627</v>
      </c>
    </row>
    <row r="111">
      <c r="A111" s="7" t="s">
        <v>628</v>
      </c>
      <c r="B111" s="7" t="s">
        <v>629</v>
      </c>
    </row>
    <row r="112">
      <c r="A112" s="7" t="s">
        <v>2167</v>
      </c>
      <c r="B112" s="7" t="s">
        <v>2168</v>
      </c>
    </row>
    <row r="113">
      <c r="A113" s="7" t="s">
        <v>632</v>
      </c>
      <c r="B113" s="7" t="s">
        <v>633</v>
      </c>
    </row>
    <row r="114">
      <c r="A114" s="7" t="s">
        <v>634</v>
      </c>
      <c r="B114" s="7" t="s">
        <v>635</v>
      </c>
    </row>
    <row r="115">
      <c r="A115" s="7" t="s">
        <v>636</v>
      </c>
      <c r="B115" s="7" t="s">
        <v>637</v>
      </c>
    </row>
    <row r="116">
      <c r="A116" s="7" t="s">
        <v>638</v>
      </c>
      <c r="B116" s="7" t="s">
        <v>639</v>
      </c>
    </row>
    <row r="117">
      <c r="A117" s="7" t="s">
        <v>640</v>
      </c>
      <c r="B117" s="7" t="s">
        <v>641</v>
      </c>
    </row>
    <row r="118">
      <c r="A118" s="7" t="s">
        <v>642</v>
      </c>
      <c r="B118" s="7" t="s">
        <v>643</v>
      </c>
    </row>
    <row r="119">
      <c r="A119" s="7" t="s">
        <v>644</v>
      </c>
      <c r="B119" s="7" t="s">
        <v>645</v>
      </c>
    </row>
    <row r="120">
      <c r="A120" s="7" t="s">
        <v>646</v>
      </c>
      <c r="B120" s="7" t="s">
        <v>647</v>
      </c>
    </row>
    <row r="121">
      <c r="A121" s="7" t="s">
        <v>648</v>
      </c>
      <c r="B121" s="7" t="s">
        <v>649</v>
      </c>
    </row>
    <row r="122">
      <c r="A122" s="7" t="s">
        <v>650</v>
      </c>
      <c r="B122" s="7" t="s">
        <v>651</v>
      </c>
    </row>
    <row r="123">
      <c r="A123" s="7" t="s">
        <v>588</v>
      </c>
      <c r="B123" s="7" t="s">
        <v>589</v>
      </c>
    </row>
    <row r="124">
      <c r="A124" s="7" t="s">
        <v>654</v>
      </c>
      <c r="B124" s="7" t="s">
        <v>655</v>
      </c>
    </row>
    <row r="125">
      <c r="A125" s="7" t="s">
        <v>656</v>
      </c>
      <c r="B125" s="7" t="s">
        <v>657</v>
      </c>
    </row>
    <row r="126">
      <c r="A126" s="7" t="s">
        <v>1168</v>
      </c>
      <c r="B126" s="7" t="s">
        <v>1169</v>
      </c>
    </row>
    <row r="127">
      <c r="A127" s="7" t="s">
        <v>2169</v>
      </c>
      <c r="B127" s="7" t="s">
        <v>2170</v>
      </c>
    </row>
    <row r="128">
      <c r="A128" s="7" t="s">
        <v>706</v>
      </c>
      <c r="B128" s="7" t="s">
        <v>707</v>
      </c>
    </row>
    <row r="129">
      <c r="A129" s="7" t="s">
        <v>2169</v>
      </c>
      <c r="B129" s="7" t="s">
        <v>2170</v>
      </c>
    </row>
    <row r="130">
      <c r="A130" s="7" t="s">
        <v>87</v>
      </c>
      <c r="B130" s="7" t="s">
        <v>2171</v>
      </c>
    </row>
    <row r="131">
      <c r="A131" s="7" t="s">
        <v>2169</v>
      </c>
      <c r="B131" s="7" t="s">
        <v>2169</v>
      </c>
    </row>
    <row r="132">
      <c r="A132" s="7" t="s">
        <v>199</v>
      </c>
      <c r="B132" s="7" t="s">
        <v>221</v>
      </c>
    </row>
    <row r="133">
      <c r="A133" s="7" t="s">
        <v>2169</v>
      </c>
      <c r="B133" s="7" t="s">
        <v>2170</v>
      </c>
    </row>
    <row r="134">
      <c r="A134" s="7" t="s">
        <v>674</v>
      </c>
      <c r="B134" s="7" t="s">
        <v>675</v>
      </c>
    </row>
    <row r="135">
      <c r="A135" s="7" t="s">
        <v>2169</v>
      </c>
      <c r="B135" s="7" t="s">
        <v>2169</v>
      </c>
    </row>
    <row r="136">
      <c r="A136" s="7" t="s">
        <v>678</v>
      </c>
      <c r="B136" s="7" t="s">
        <v>679</v>
      </c>
    </row>
    <row r="137">
      <c r="A137" s="7" t="s">
        <v>680</v>
      </c>
      <c r="B137" s="7" t="s">
        <v>681</v>
      </c>
    </row>
    <row r="138">
      <c r="A138" s="7" t="s">
        <v>682</v>
      </c>
      <c r="B138" s="7" t="s">
        <v>683</v>
      </c>
    </row>
    <row r="139">
      <c r="A139" s="7" t="s">
        <v>684</v>
      </c>
      <c r="B139" s="7" t="s">
        <v>685</v>
      </c>
    </row>
    <row r="140">
      <c r="A140" s="7" t="s">
        <v>686</v>
      </c>
      <c r="B140" s="7" t="s">
        <v>687</v>
      </c>
    </row>
    <row r="141">
      <c r="A141" s="7" t="s">
        <v>2172</v>
      </c>
      <c r="B141" s="7" t="s">
        <v>2173</v>
      </c>
    </row>
    <row r="142">
      <c r="A142" s="7" t="s">
        <v>2169</v>
      </c>
      <c r="B142" s="7" t="s">
        <v>2174</v>
      </c>
    </row>
    <row r="143">
      <c r="A143" s="7" t="s">
        <v>692</v>
      </c>
      <c r="B143" s="7" t="s">
        <v>693</v>
      </c>
    </row>
    <row r="144">
      <c r="A144" s="7" t="s">
        <v>694</v>
      </c>
      <c r="B144" s="7" t="s">
        <v>695</v>
      </c>
    </row>
    <row r="145">
      <c r="A145" s="7" t="s">
        <v>696</v>
      </c>
      <c r="B145" s="7" t="s">
        <v>697</v>
      </c>
    </row>
    <row r="146">
      <c r="A146" s="7" t="s">
        <v>2169</v>
      </c>
      <c r="B146" s="7" t="s">
        <v>2170</v>
      </c>
    </row>
    <row r="147">
      <c r="A147" s="7" t="s">
        <v>69</v>
      </c>
      <c r="B147" s="7" t="s">
        <v>364</v>
      </c>
    </row>
    <row r="148">
      <c r="A148" s="7" t="s">
        <v>702</v>
      </c>
      <c r="B148" s="7" t="s">
        <v>703</v>
      </c>
    </row>
    <row r="149">
      <c r="A149" s="7" t="s">
        <v>2172</v>
      </c>
      <c r="B149" s="7" t="s">
        <v>2173</v>
      </c>
    </row>
    <row r="150">
      <c r="A150" s="7" t="s">
        <v>281</v>
      </c>
      <c r="B150" s="7" t="s">
        <v>838</v>
      </c>
    </row>
    <row r="151">
      <c r="A151" s="7" t="s">
        <v>2172</v>
      </c>
      <c r="B151" s="7" t="s">
        <v>2173</v>
      </c>
    </row>
    <row r="152">
      <c r="A152" s="7" t="s">
        <v>688</v>
      </c>
      <c r="B152" s="7" t="s">
        <v>2175</v>
      </c>
    </row>
    <row r="153">
      <c r="A153" s="7" t="s">
        <v>712</v>
      </c>
      <c r="B153" s="7" t="s">
        <v>713</v>
      </c>
    </row>
    <row r="154">
      <c r="A154" s="7" t="s">
        <v>714</v>
      </c>
      <c r="B154" s="7" t="s">
        <v>715</v>
      </c>
    </row>
    <row r="155">
      <c r="A155" s="7" t="s">
        <v>716</v>
      </c>
      <c r="B155" s="7" t="s">
        <v>717</v>
      </c>
    </row>
    <row r="156">
      <c r="A156" s="7" t="s">
        <v>718</v>
      </c>
      <c r="B156" s="7" t="s">
        <v>719</v>
      </c>
    </row>
    <row r="157">
      <c r="A157" s="7" t="s">
        <v>720</v>
      </c>
      <c r="B157" s="7" t="s">
        <v>721</v>
      </c>
    </row>
    <row r="158">
      <c r="A158" s="7" t="s">
        <v>746</v>
      </c>
      <c r="B158" s="7" t="s">
        <v>747</v>
      </c>
    </row>
    <row r="159">
      <c r="A159" s="7" t="s">
        <v>724</v>
      </c>
      <c r="B159" s="7" t="s">
        <v>725</v>
      </c>
    </row>
    <row r="160">
      <c r="A160" s="7" t="s">
        <v>726</v>
      </c>
      <c r="B160" s="7" t="s">
        <v>727</v>
      </c>
    </row>
    <row r="161">
      <c r="A161" s="7" t="s">
        <v>728</v>
      </c>
      <c r="B161" s="7" t="s">
        <v>729</v>
      </c>
    </row>
    <row r="162">
      <c r="A162" s="7" t="s">
        <v>730</v>
      </c>
      <c r="B162" s="7" t="s">
        <v>2176</v>
      </c>
    </row>
    <row r="163">
      <c r="A163" s="7" t="s">
        <v>2177</v>
      </c>
      <c r="B163" s="7" t="s">
        <v>2178</v>
      </c>
    </row>
    <row r="164">
      <c r="A164" s="7" t="s">
        <v>734</v>
      </c>
      <c r="B164" s="7" t="s">
        <v>735</v>
      </c>
    </row>
    <row r="165">
      <c r="A165" s="7" t="s">
        <v>736</v>
      </c>
      <c r="B165" s="7" t="s">
        <v>737</v>
      </c>
    </row>
    <row r="166">
      <c r="A166" s="7" t="s">
        <v>2179</v>
      </c>
      <c r="B166" s="7" t="s">
        <v>2175</v>
      </c>
    </row>
    <row r="167">
      <c r="A167" s="7" t="s">
        <v>740</v>
      </c>
      <c r="B167" s="7" t="s">
        <v>741</v>
      </c>
    </row>
    <row r="168">
      <c r="A168" s="7" t="s">
        <v>2180</v>
      </c>
      <c r="B168" s="7" t="s">
        <v>2181</v>
      </c>
    </row>
    <row r="169">
      <c r="A169" s="7" t="s">
        <v>714</v>
      </c>
      <c r="B169" s="7" t="s">
        <v>715</v>
      </c>
    </row>
    <row r="170">
      <c r="A170" s="7" t="s">
        <v>746</v>
      </c>
      <c r="B170" s="7" t="s">
        <v>747</v>
      </c>
    </row>
    <row r="171">
      <c r="A171" s="7" t="s">
        <v>748</v>
      </c>
      <c r="B171" s="7" t="s">
        <v>749</v>
      </c>
    </row>
    <row r="172">
      <c r="A172" s="7" t="s">
        <v>1142</v>
      </c>
      <c r="B172" s="7" t="s">
        <v>2182</v>
      </c>
    </row>
    <row r="173">
      <c r="A173" s="7" t="s">
        <v>634</v>
      </c>
      <c r="B173" s="7" t="s">
        <v>635</v>
      </c>
    </row>
    <row r="174">
      <c r="A174" s="7" t="s">
        <v>752</v>
      </c>
      <c r="B174" s="7" t="s">
        <v>753</v>
      </c>
    </row>
    <row r="175">
      <c r="A175" s="7" t="s">
        <v>792</v>
      </c>
      <c r="B175" s="7" t="s">
        <v>793</v>
      </c>
    </row>
    <row r="176">
      <c r="A176" s="7" t="s">
        <v>756</v>
      </c>
      <c r="B176" s="7" t="s">
        <v>757</v>
      </c>
    </row>
    <row r="177">
      <c r="A177" s="7" t="s">
        <v>758</v>
      </c>
      <c r="B177" s="7" t="s">
        <v>759</v>
      </c>
    </row>
    <row r="178">
      <c r="A178" s="7" t="s">
        <v>760</v>
      </c>
      <c r="B178" s="7" t="s">
        <v>761</v>
      </c>
    </row>
    <row r="179">
      <c r="A179" s="7" t="s">
        <v>762</v>
      </c>
      <c r="B179" s="7" t="s">
        <v>763</v>
      </c>
    </row>
    <row r="180">
      <c r="A180" s="7" t="s">
        <v>2183</v>
      </c>
      <c r="B180" s="7" t="s">
        <v>2184</v>
      </c>
    </row>
    <row r="181">
      <c r="A181" s="7" t="s">
        <v>766</v>
      </c>
      <c r="B181" s="7" t="s">
        <v>767</v>
      </c>
    </row>
    <row r="182">
      <c r="A182" s="7" t="s">
        <v>2185</v>
      </c>
      <c r="B182" s="7" t="s">
        <v>2186</v>
      </c>
    </row>
    <row r="183">
      <c r="A183" s="7" t="s">
        <v>439</v>
      </c>
      <c r="B183" s="7" t="s">
        <v>440</v>
      </c>
    </row>
    <row r="184">
      <c r="A184" s="7" t="s">
        <v>2187</v>
      </c>
      <c r="B184" s="7" t="s">
        <v>2188</v>
      </c>
    </row>
    <row r="185">
      <c r="A185" s="7" t="s">
        <v>774</v>
      </c>
      <c r="B185" s="7" t="s">
        <v>775</v>
      </c>
    </row>
    <row r="186">
      <c r="A186" s="7" t="s">
        <v>776</v>
      </c>
      <c r="B186" s="7" t="s">
        <v>777</v>
      </c>
    </row>
    <row r="187">
      <c r="A187" s="7" t="s">
        <v>778</v>
      </c>
      <c r="B187" s="7" t="s">
        <v>779</v>
      </c>
    </row>
    <row r="188">
      <c r="A188" s="7" t="s">
        <v>780</v>
      </c>
      <c r="B188" s="7" t="s">
        <v>781</v>
      </c>
    </row>
    <row r="189">
      <c r="A189" s="7" t="s">
        <v>730</v>
      </c>
      <c r="B189" s="7" t="s">
        <v>456</v>
      </c>
    </row>
    <row r="190">
      <c r="A190" s="7" t="s">
        <v>943</v>
      </c>
      <c r="B190" s="7" t="s">
        <v>944</v>
      </c>
    </row>
    <row r="191">
      <c r="A191" s="7" t="s">
        <v>786</v>
      </c>
      <c r="B191" s="26" t="s">
        <v>787</v>
      </c>
    </row>
    <row r="192">
      <c r="A192" s="7" t="s">
        <v>788</v>
      </c>
      <c r="B192" s="26" t="s">
        <v>789</v>
      </c>
    </row>
    <row r="193">
      <c r="A193" s="7" t="s">
        <v>790</v>
      </c>
      <c r="B193" s="7" t="s">
        <v>791</v>
      </c>
    </row>
    <row r="194">
      <c r="A194" s="7" t="s">
        <v>792</v>
      </c>
      <c r="B194" s="7" t="s">
        <v>793</v>
      </c>
    </row>
    <row r="195">
      <c r="A195" s="7" t="s">
        <v>2179</v>
      </c>
      <c r="B195" s="7" t="s">
        <v>2175</v>
      </c>
    </row>
    <row r="196">
      <c r="A196" s="7" t="s">
        <v>796</v>
      </c>
      <c r="B196" s="7" t="s">
        <v>797</v>
      </c>
    </row>
    <row r="197">
      <c r="A197" s="7" t="s">
        <v>798</v>
      </c>
      <c r="B197" s="7" t="s">
        <v>799</v>
      </c>
    </row>
    <row r="198">
      <c r="A198" s="7" t="s">
        <v>113</v>
      </c>
      <c r="B198" s="7" t="s">
        <v>394</v>
      </c>
    </row>
    <row r="199">
      <c r="A199" s="7" t="s">
        <v>800</v>
      </c>
      <c r="B199" s="7" t="s">
        <v>801</v>
      </c>
    </row>
    <row r="200">
      <c r="A200" s="7" t="s">
        <v>802</v>
      </c>
      <c r="B200" s="7" t="s">
        <v>803</v>
      </c>
    </row>
    <row r="201">
      <c r="A201" s="7" t="s">
        <v>804</v>
      </c>
      <c r="B201" s="7" t="s">
        <v>805</v>
      </c>
    </row>
    <row r="202">
      <c r="A202" s="7" t="s">
        <v>806</v>
      </c>
      <c r="B202" s="7" t="s">
        <v>807</v>
      </c>
    </row>
    <row r="203">
      <c r="A203" s="7" t="s">
        <v>2189</v>
      </c>
      <c r="B203" s="7" t="s">
        <v>2190</v>
      </c>
    </row>
    <row r="204">
      <c r="A204" s="7" t="s">
        <v>2191</v>
      </c>
      <c r="B204" s="7" t="s">
        <v>2192</v>
      </c>
    </row>
    <row r="205">
      <c r="A205" s="7" t="s">
        <v>798</v>
      </c>
      <c r="B205" s="7" t="s">
        <v>799</v>
      </c>
    </row>
    <row r="206">
      <c r="A206" s="7" t="s">
        <v>2193</v>
      </c>
      <c r="B206" s="7" t="s">
        <v>2194</v>
      </c>
    </row>
    <row r="207">
      <c r="A207" s="7" t="s">
        <v>798</v>
      </c>
      <c r="B207" s="7" t="s">
        <v>2195</v>
      </c>
    </row>
    <row r="208">
      <c r="A208" s="7" t="s">
        <v>1154</v>
      </c>
      <c r="B208" s="7" t="s">
        <v>1155</v>
      </c>
    </row>
    <row r="209">
      <c r="A209" s="7" t="s">
        <v>822</v>
      </c>
      <c r="B209" s="7" t="s">
        <v>823</v>
      </c>
    </row>
    <row r="210">
      <c r="A210" s="7" t="s">
        <v>822</v>
      </c>
      <c r="B210" s="7" t="s">
        <v>823</v>
      </c>
    </row>
    <row r="211">
      <c r="A211" s="7" t="s">
        <v>824</v>
      </c>
      <c r="B211" s="7" t="s">
        <v>825</v>
      </c>
    </row>
    <row r="212">
      <c r="A212" s="7" t="s">
        <v>826</v>
      </c>
      <c r="B212" s="7" t="s">
        <v>827</v>
      </c>
    </row>
    <row r="213">
      <c r="A213" s="7" t="s">
        <v>2196</v>
      </c>
      <c r="B213" s="7" t="s">
        <v>2197</v>
      </c>
    </row>
    <row r="214">
      <c r="A214" s="7" t="s">
        <v>2198</v>
      </c>
      <c r="B214" s="7" t="s">
        <v>2199</v>
      </c>
    </row>
    <row r="215">
      <c r="A215" s="7" t="s">
        <v>832</v>
      </c>
      <c r="B215" s="7" t="s">
        <v>833</v>
      </c>
    </row>
    <row r="216">
      <c r="A216" s="7" t="s">
        <v>702</v>
      </c>
      <c r="B216" s="7" t="s">
        <v>703</v>
      </c>
    </row>
    <row r="217">
      <c r="A217" s="7" t="s">
        <v>839</v>
      </c>
      <c r="B217" s="7" t="s">
        <v>840</v>
      </c>
    </row>
    <row r="218">
      <c r="A218" s="7" t="s">
        <v>281</v>
      </c>
      <c r="B218" s="7" t="s">
        <v>838</v>
      </c>
    </row>
    <row r="219">
      <c r="A219" s="7" t="s">
        <v>839</v>
      </c>
      <c r="B219" s="7" t="s">
        <v>840</v>
      </c>
    </row>
    <row r="220">
      <c r="A220" s="7" t="s">
        <v>841</v>
      </c>
      <c r="B220" s="7" t="s">
        <v>842</v>
      </c>
    </row>
    <row r="221">
      <c r="A221" s="7" t="s">
        <v>843</v>
      </c>
      <c r="B221" s="7" t="s">
        <v>844</v>
      </c>
    </row>
    <row r="222">
      <c r="A222" s="7" t="s">
        <v>845</v>
      </c>
      <c r="B222" s="7" t="s">
        <v>846</v>
      </c>
    </row>
    <row r="223">
      <c r="A223" s="7" t="s">
        <v>843</v>
      </c>
      <c r="B223" s="7" t="s">
        <v>844</v>
      </c>
    </row>
    <row r="224">
      <c r="A224" s="7" t="s">
        <v>849</v>
      </c>
      <c r="B224" s="7" t="s">
        <v>849</v>
      </c>
    </row>
    <row r="225">
      <c r="A225" s="7" t="s">
        <v>2200</v>
      </c>
      <c r="B225" s="7" t="s">
        <v>2201</v>
      </c>
    </row>
    <row r="226">
      <c r="A226" s="7" t="s">
        <v>798</v>
      </c>
      <c r="B226" s="7" t="s">
        <v>798</v>
      </c>
    </row>
    <row r="227">
      <c r="A227" s="7" t="s">
        <v>2202</v>
      </c>
      <c r="B227" s="7" t="s">
        <v>2203</v>
      </c>
    </row>
    <row r="228">
      <c r="A228" s="7" t="s">
        <v>857</v>
      </c>
      <c r="B228" s="7" t="s">
        <v>858</v>
      </c>
    </row>
    <row r="229">
      <c r="A229" s="7" t="s">
        <v>2191</v>
      </c>
      <c r="B229" s="7" t="s">
        <v>2192</v>
      </c>
    </row>
    <row r="230">
      <c r="A230" s="7" t="s">
        <v>2204</v>
      </c>
      <c r="B230" s="7" t="s">
        <v>2204</v>
      </c>
    </row>
    <row r="231">
      <c r="A231" s="7" t="s">
        <v>2202</v>
      </c>
      <c r="B231" s="7" t="s">
        <v>2203</v>
      </c>
    </row>
    <row r="232">
      <c r="A232" s="7" t="s">
        <v>2205</v>
      </c>
      <c r="B232" s="7" t="s">
        <v>2206</v>
      </c>
    </row>
    <row r="233">
      <c r="A233" s="7" t="s">
        <v>2207</v>
      </c>
      <c r="B233" s="7" t="s">
        <v>2208</v>
      </c>
    </row>
    <row r="234">
      <c r="A234" s="7" t="s">
        <v>2209</v>
      </c>
      <c r="B234" s="7" t="s">
        <v>2210</v>
      </c>
    </row>
    <row r="235">
      <c r="A235" s="7" t="s">
        <v>2193</v>
      </c>
      <c r="B235" s="7" t="s">
        <v>2194</v>
      </c>
    </row>
    <row r="236">
      <c r="A236" s="7" t="s">
        <v>2204</v>
      </c>
      <c r="B236" s="7" t="s">
        <v>2204</v>
      </c>
    </row>
    <row r="237">
      <c r="A237" s="7" t="s">
        <v>2211</v>
      </c>
      <c r="B237" s="7" t="s">
        <v>2212</v>
      </c>
    </row>
    <row r="238">
      <c r="A238" s="7" t="s">
        <v>2213</v>
      </c>
      <c r="B238" s="7" t="s">
        <v>2214</v>
      </c>
    </row>
    <row r="239">
      <c r="A239" s="7" t="s">
        <v>2215</v>
      </c>
      <c r="B239" s="7" t="s">
        <v>2216</v>
      </c>
    </row>
    <row r="240">
      <c r="A240" s="7" t="s">
        <v>1154</v>
      </c>
      <c r="B240" s="7" t="s">
        <v>1155</v>
      </c>
    </row>
    <row r="241">
      <c r="A241" s="7" t="s">
        <v>1156</v>
      </c>
      <c r="B241" s="7" t="s">
        <v>1157</v>
      </c>
    </row>
    <row r="242">
      <c r="A242" s="7" t="s">
        <v>1164</v>
      </c>
      <c r="B242" s="7" t="s">
        <v>1165</v>
      </c>
    </row>
    <row r="243">
      <c r="A243" s="7" t="s">
        <v>1166</v>
      </c>
      <c r="B243" s="7" t="s">
        <v>1167</v>
      </c>
    </row>
    <row r="244">
      <c r="A244" s="7" t="s">
        <v>1168</v>
      </c>
      <c r="B244" s="7" t="s">
        <v>1169</v>
      </c>
    </row>
    <row r="245">
      <c r="A245" s="7" t="s">
        <v>1170</v>
      </c>
      <c r="B245" s="7" t="s">
        <v>1171</v>
      </c>
    </row>
    <row r="246">
      <c r="A246" s="7" t="s">
        <v>1183</v>
      </c>
      <c r="B246" s="7" t="s">
        <v>1184</v>
      </c>
    </row>
    <row r="247">
      <c r="A247" s="7" t="s">
        <v>121</v>
      </c>
      <c r="B247" s="7" t="s">
        <v>121</v>
      </c>
    </row>
    <row r="248">
      <c r="A248" s="7" t="s">
        <v>1187</v>
      </c>
      <c r="B248" s="7" t="s">
        <v>1188</v>
      </c>
    </row>
    <row r="249">
      <c r="A249" s="7" t="s">
        <v>1189</v>
      </c>
      <c r="B249" s="7" t="s">
        <v>1190</v>
      </c>
    </row>
    <row r="250">
      <c r="A250" s="7" t="s">
        <v>439</v>
      </c>
      <c r="B250" s="7" t="s">
        <v>440</v>
      </c>
    </row>
    <row r="251">
      <c r="A251" s="7" t="s">
        <v>1174</v>
      </c>
      <c r="B251" s="7" t="s">
        <v>1175</v>
      </c>
    </row>
    <row r="252">
      <c r="A252" s="7" t="s">
        <v>2217</v>
      </c>
      <c r="B252" s="7" t="s">
        <v>1177</v>
      </c>
    </row>
    <row r="253">
      <c r="A253" s="7" t="s">
        <v>1178</v>
      </c>
      <c r="B253" s="7" t="s">
        <v>1179</v>
      </c>
    </row>
    <row r="254">
      <c r="A254" s="7" t="s">
        <v>1203</v>
      </c>
      <c r="B254" s="7" t="s">
        <v>1204</v>
      </c>
    </row>
    <row r="255">
      <c r="A255" s="7" t="s">
        <v>914</v>
      </c>
      <c r="B255" s="7" t="s">
        <v>915</v>
      </c>
    </row>
    <row r="256">
      <c r="A256" s="7" t="s">
        <v>905</v>
      </c>
      <c r="B256" s="7" t="s">
        <v>906</v>
      </c>
    </row>
    <row r="257">
      <c r="A257" s="7" t="s">
        <v>907</v>
      </c>
      <c r="B257" s="7" t="s">
        <v>908</v>
      </c>
    </row>
    <row r="258">
      <c r="A258" s="7" t="s">
        <v>909</v>
      </c>
      <c r="B258" s="7" t="s">
        <v>910</v>
      </c>
    </row>
    <row r="259">
      <c r="A259" s="7" t="s">
        <v>1205</v>
      </c>
      <c r="B259" s="7" t="s">
        <v>1206</v>
      </c>
    </row>
    <row r="260">
      <c r="A260" s="7" t="s">
        <v>912</v>
      </c>
      <c r="B260" s="7" t="s">
        <v>912</v>
      </c>
    </row>
    <row r="261">
      <c r="A261" s="7" t="s">
        <v>1207</v>
      </c>
      <c r="B261" s="7" t="s">
        <v>1208</v>
      </c>
    </row>
    <row r="262">
      <c r="A262" s="7" t="s">
        <v>914</v>
      </c>
      <c r="B262" s="7" t="s">
        <v>915</v>
      </c>
    </row>
    <row r="263">
      <c r="A263" s="7" t="s">
        <v>916</v>
      </c>
      <c r="B263" s="7" t="s">
        <v>917</v>
      </c>
    </row>
    <row r="264">
      <c r="A264" s="7" t="s">
        <v>1209</v>
      </c>
      <c r="B264" s="7" t="s">
        <v>1210</v>
      </c>
    </row>
    <row r="265">
      <c r="A265" s="7" t="s">
        <v>2147</v>
      </c>
      <c r="B265" s="7" t="s">
        <v>1198</v>
      </c>
    </row>
    <row r="266">
      <c r="A266" s="7" t="s">
        <v>922</v>
      </c>
      <c r="B266" s="7" t="s">
        <v>923</v>
      </c>
    </row>
    <row r="267">
      <c r="A267" s="7" t="s">
        <v>924</v>
      </c>
      <c r="B267" s="7" t="s">
        <v>925</v>
      </c>
    </row>
    <row r="268">
      <c r="A268" s="7" t="s">
        <v>2149</v>
      </c>
      <c r="B268" s="7" t="s">
        <v>1200</v>
      </c>
    </row>
    <row r="269">
      <c r="A269" s="7" t="s">
        <v>1211</v>
      </c>
      <c r="B269" s="7" t="s">
        <v>1212</v>
      </c>
    </row>
    <row r="270">
      <c r="A270" s="7" t="s">
        <v>1213</v>
      </c>
      <c r="B270" s="7" t="s">
        <v>1214</v>
      </c>
    </row>
    <row r="271">
      <c r="A271" s="7" t="s">
        <v>932</v>
      </c>
      <c r="B271" s="7" t="s">
        <v>2218</v>
      </c>
    </row>
    <row r="272">
      <c r="A272" s="7" t="s">
        <v>316</v>
      </c>
      <c r="B272" s="7" t="s">
        <v>2151</v>
      </c>
    </row>
    <row r="273">
      <c r="A273" s="7" t="s">
        <v>314</v>
      </c>
      <c r="B273" s="7" t="s">
        <v>315</v>
      </c>
    </row>
    <row r="274">
      <c r="A274" s="7" t="s">
        <v>937</v>
      </c>
      <c r="B274" s="7" t="s">
        <v>938</v>
      </c>
    </row>
    <row r="275">
      <c r="A275" s="7" t="s">
        <v>939</v>
      </c>
      <c r="B275" s="7" t="s">
        <v>940</v>
      </c>
    </row>
    <row r="276">
      <c r="A276" s="7" t="s">
        <v>941</v>
      </c>
      <c r="B276" s="7" t="s">
        <v>942</v>
      </c>
    </row>
    <row r="277">
      <c r="A277" s="7" t="s">
        <v>943</v>
      </c>
      <c r="B277" s="7" t="s">
        <v>944</v>
      </c>
    </row>
    <row r="278">
      <c r="A278" s="7" t="s">
        <v>85</v>
      </c>
      <c r="B278" s="7" t="s">
        <v>86</v>
      </c>
    </row>
    <row r="279">
      <c r="A279" s="7" t="s">
        <v>947</v>
      </c>
      <c r="B279" s="7" t="s">
        <v>948</v>
      </c>
    </row>
    <row r="280">
      <c r="A280" s="7" t="s">
        <v>1158</v>
      </c>
      <c r="B280" s="7" t="s">
        <v>1159</v>
      </c>
    </row>
    <row r="281">
      <c r="A281" s="7" t="s">
        <v>1160</v>
      </c>
      <c r="B281" s="7" t="s">
        <v>1161</v>
      </c>
    </row>
    <row r="282">
      <c r="A282" s="7" t="s">
        <v>2219</v>
      </c>
      <c r="B282" s="7" t="s">
        <v>1022</v>
      </c>
    </row>
    <row r="283">
      <c r="A283" s="7" t="s">
        <v>1164</v>
      </c>
      <c r="B283" s="7" t="s">
        <v>1165</v>
      </c>
    </row>
    <row r="284">
      <c r="A284" s="7" t="s">
        <v>1166</v>
      </c>
      <c r="B284" s="7" t="s">
        <v>1167</v>
      </c>
    </row>
    <row r="285">
      <c r="A285" s="7" t="s">
        <v>1168</v>
      </c>
      <c r="B285" s="7" t="s">
        <v>1169</v>
      </c>
    </row>
    <row r="286">
      <c r="A286" s="7" t="s">
        <v>1170</v>
      </c>
      <c r="B286" s="7" t="s">
        <v>1171</v>
      </c>
    </row>
    <row r="287">
      <c r="A287" s="7" t="s">
        <v>2220</v>
      </c>
      <c r="B287" s="7" t="s">
        <v>2221</v>
      </c>
    </row>
    <row r="288">
      <c r="A288" s="7" t="s">
        <v>439</v>
      </c>
      <c r="B288" s="7" t="s">
        <v>440</v>
      </c>
    </row>
    <row r="289">
      <c r="A289" s="7" t="s">
        <v>967</v>
      </c>
      <c r="B289" s="7" t="s">
        <v>968</v>
      </c>
    </row>
    <row r="290">
      <c r="A290" s="7" t="s">
        <v>281</v>
      </c>
      <c r="B290" s="7" t="s">
        <v>838</v>
      </c>
    </row>
    <row r="291">
      <c r="A291" s="7" t="s">
        <v>2222</v>
      </c>
      <c r="B291" s="7" t="s">
        <v>2223</v>
      </c>
    </row>
    <row r="292">
      <c r="A292" s="7" t="s">
        <v>1174</v>
      </c>
      <c r="B292" s="7" t="s">
        <v>1175</v>
      </c>
    </row>
    <row r="293">
      <c r="A293" s="7" t="s">
        <v>2224</v>
      </c>
      <c r="B293" s="7" t="s">
        <v>733</v>
      </c>
    </row>
    <row r="294">
      <c r="A294" s="7" t="s">
        <v>1176</v>
      </c>
      <c r="B294" s="7" t="s">
        <v>1177</v>
      </c>
    </row>
    <row r="295">
      <c r="A295" s="7" t="s">
        <v>1178</v>
      </c>
      <c r="B295" s="7" t="s">
        <v>1179</v>
      </c>
    </row>
    <row r="296">
      <c r="A296" s="7" t="s">
        <v>1183</v>
      </c>
      <c r="B296" s="7" t="s">
        <v>1184</v>
      </c>
    </row>
    <row r="297">
      <c r="A297" s="7" t="s">
        <v>1203</v>
      </c>
      <c r="B297" s="7" t="s">
        <v>1204</v>
      </c>
    </row>
    <row r="298">
      <c r="A298" s="7" t="s">
        <v>121</v>
      </c>
      <c r="B298" s="7" t="s">
        <v>121</v>
      </c>
    </row>
    <row r="299">
      <c r="A299" s="7" t="s">
        <v>1187</v>
      </c>
      <c r="B299" s="7" t="s">
        <v>1188</v>
      </c>
    </row>
    <row r="300">
      <c r="A300" s="7" t="s">
        <v>1189</v>
      </c>
      <c r="B300" s="7" t="s">
        <v>1190</v>
      </c>
    </row>
    <row r="301">
      <c r="A301" s="7" t="s">
        <v>2225</v>
      </c>
      <c r="B301" s="7" t="s">
        <v>1206</v>
      </c>
    </row>
    <row r="302">
      <c r="A302" s="7" t="s">
        <v>1207</v>
      </c>
      <c r="B302" s="7" t="s">
        <v>1208</v>
      </c>
    </row>
    <row r="303">
      <c r="A303" s="7" t="s">
        <v>2147</v>
      </c>
      <c r="B303" s="7" t="s">
        <v>1198</v>
      </c>
    </row>
    <row r="304">
      <c r="A304" s="7" t="s">
        <v>2149</v>
      </c>
      <c r="B304" s="7" t="s">
        <v>1200</v>
      </c>
    </row>
    <row r="305">
      <c r="A305" s="7" t="s">
        <v>997</v>
      </c>
      <c r="B305" s="7" t="s">
        <v>998</v>
      </c>
    </row>
    <row r="306">
      <c r="A306" s="7" t="s">
        <v>1236</v>
      </c>
      <c r="B306" s="7" t="s">
        <v>1237</v>
      </c>
    </row>
    <row r="307">
      <c r="A307" s="7" t="s">
        <v>1238</v>
      </c>
      <c r="B307" s="7" t="s">
        <v>1239</v>
      </c>
    </row>
    <row r="308">
      <c r="A308" s="7" t="s">
        <v>1240</v>
      </c>
      <c r="B308" s="7" t="s">
        <v>1241</v>
      </c>
    </row>
    <row r="309">
      <c r="A309" s="7" t="s">
        <v>2226</v>
      </c>
      <c r="B309" s="7" t="s">
        <v>2227</v>
      </c>
    </row>
    <row r="310">
      <c r="A310" s="7" t="s">
        <v>2228</v>
      </c>
      <c r="B310" s="7" t="s">
        <v>2229</v>
      </c>
    </row>
    <row r="311">
      <c r="A311" s="7" t="s">
        <v>1244</v>
      </c>
      <c r="B311" s="7" t="s">
        <v>1245</v>
      </c>
    </row>
    <row r="312">
      <c r="A312" s="7" t="s">
        <v>1246</v>
      </c>
      <c r="B312" s="7" t="s">
        <v>1247</v>
      </c>
    </row>
    <row r="313">
      <c r="A313" s="7" t="s">
        <v>1248</v>
      </c>
      <c r="B313" s="7" t="s">
        <v>1249</v>
      </c>
    </row>
    <row r="314">
      <c r="A314" s="7" t="s">
        <v>1246</v>
      </c>
      <c r="B314" s="7" t="s">
        <v>1247</v>
      </c>
    </row>
    <row r="315">
      <c r="A315" s="7" t="s">
        <v>1248</v>
      </c>
      <c r="B315" s="7" t="s">
        <v>1249</v>
      </c>
    </row>
    <row r="316">
      <c r="A316" s="7" t="s">
        <v>1254</v>
      </c>
      <c r="B316" s="7" t="s">
        <v>1255</v>
      </c>
    </row>
    <row r="317">
      <c r="A317" s="7" t="s">
        <v>1252</v>
      </c>
      <c r="B317" s="7" t="s">
        <v>1253</v>
      </c>
    </row>
    <row r="318">
      <c r="A318" s="7" t="s">
        <v>2230</v>
      </c>
      <c r="B318" s="7" t="s">
        <v>2231</v>
      </c>
    </row>
    <row r="319">
      <c r="A319" s="7" t="s">
        <v>1234</v>
      </c>
      <c r="B319" s="7" t="s">
        <v>1235</v>
      </c>
    </row>
    <row r="320">
      <c r="A320" s="7" t="s">
        <v>1256</v>
      </c>
      <c r="B320" s="7" t="s">
        <v>1257</v>
      </c>
    </row>
    <row r="321">
      <c r="A321" s="7" t="s">
        <v>1029</v>
      </c>
      <c r="B321" s="7" t="s">
        <v>2232</v>
      </c>
    </row>
    <row r="322">
      <c r="A322" s="7" t="s">
        <v>1258</v>
      </c>
      <c r="B322" s="7" t="s">
        <v>1259</v>
      </c>
    </row>
    <row r="323">
      <c r="A323" s="7" t="s">
        <v>175</v>
      </c>
      <c r="B323" s="7" t="s">
        <v>176</v>
      </c>
    </row>
    <row r="324">
      <c r="A324" s="7" t="s">
        <v>1034</v>
      </c>
      <c r="B324" s="7" t="s">
        <v>1035</v>
      </c>
    </row>
    <row r="325">
      <c r="A325" s="7" t="s">
        <v>1036</v>
      </c>
      <c r="B325" s="7" t="s">
        <v>1036</v>
      </c>
    </row>
    <row r="326">
      <c r="A326" s="7" t="s">
        <v>1037</v>
      </c>
      <c r="B326" s="7" t="s">
        <v>1038</v>
      </c>
    </row>
    <row r="327">
      <c r="A327" s="7" t="s">
        <v>1250</v>
      </c>
      <c r="B327" s="7" t="s">
        <v>1251</v>
      </c>
    </row>
    <row r="328">
      <c r="A328" s="7" t="s">
        <v>2233</v>
      </c>
      <c r="B328" s="7" t="s">
        <v>1365</v>
      </c>
    </row>
    <row r="329">
      <c r="A329" s="7" t="s">
        <v>1275</v>
      </c>
      <c r="B329" s="7" t="s">
        <v>1276</v>
      </c>
    </row>
    <row r="330">
      <c r="A330" s="7" t="s">
        <v>2234</v>
      </c>
      <c r="B330" s="7" t="s">
        <v>2235</v>
      </c>
    </row>
    <row r="331">
      <c r="A331" s="7" t="s">
        <v>1047</v>
      </c>
      <c r="B331" s="7" t="s">
        <v>2236</v>
      </c>
    </row>
    <row r="332">
      <c r="A332" s="7" t="s">
        <v>1049</v>
      </c>
      <c r="B332" s="7" t="s">
        <v>1050</v>
      </c>
    </row>
    <row r="333">
      <c r="A333" s="7" t="s">
        <v>1051</v>
      </c>
      <c r="B333" s="7" t="s">
        <v>1052</v>
      </c>
    </row>
    <row r="334">
      <c r="A334" s="7" t="s">
        <v>1053</v>
      </c>
      <c r="B334" s="7" t="s">
        <v>1054</v>
      </c>
    </row>
    <row r="335">
      <c r="A335" s="7" t="s">
        <v>1055</v>
      </c>
      <c r="B335" s="7" t="s">
        <v>1056</v>
      </c>
    </row>
    <row r="336">
      <c r="A336" s="7" t="s">
        <v>581</v>
      </c>
      <c r="B336" s="7" t="s">
        <v>2237</v>
      </c>
    </row>
    <row r="337">
      <c r="A337" s="7" t="s">
        <v>2238</v>
      </c>
      <c r="B337" s="7" t="s">
        <v>2239</v>
      </c>
    </row>
    <row r="338">
      <c r="A338" s="7" t="s">
        <v>2240</v>
      </c>
      <c r="B338" s="7" t="s">
        <v>2241</v>
      </c>
    </row>
    <row r="339">
      <c r="A339" s="7" t="s">
        <v>2242</v>
      </c>
      <c r="B339" s="7" t="s">
        <v>2243</v>
      </c>
    </row>
    <row r="340">
      <c r="A340" s="7" t="s">
        <v>1064</v>
      </c>
      <c r="B340" s="7" t="s">
        <v>1065</v>
      </c>
    </row>
    <row r="341">
      <c r="A341" s="7" t="s">
        <v>1066</v>
      </c>
      <c r="B341" s="7" t="s">
        <v>2244</v>
      </c>
    </row>
    <row r="342">
      <c r="A342" s="7" t="s">
        <v>2245</v>
      </c>
      <c r="B342" s="7" t="s">
        <v>2246</v>
      </c>
    </row>
    <row r="343">
      <c r="A343" s="7" t="s">
        <v>1070</v>
      </c>
      <c r="B343" s="7" t="s">
        <v>1071</v>
      </c>
    </row>
    <row r="344">
      <c r="A344" s="7" t="s">
        <v>1072</v>
      </c>
      <c r="B344" s="7" t="s">
        <v>1073</v>
      </c>
    </row>
    <row r="345">
      <c r="A345" s="7" t="s">
        <v>2247</v>
      </c>
      <c r="B345" s="7" t="s">
        <v>647</v>
      </c>
    </row>
    <row r="346">
      <c r="A346" s="7" t="s">
        <v>1112</v>
      </c>
      <c r="B346" s="7" t="s">
        <v>2248</v>
      </c>
    </row>
    <row r="347">
      <c r="A347" s="7" t="s">
        <v>1114</v>
      </c>
      <c r="B347" s="7" t="s">
        <v>1115</v>
      </c>
    </row>
    <row r="348">
      <c r="A348" s="7" t="s">
        <v>1080</v>
      </c>
      <c r="B348" s="7" t="s">
        <v>1081</v>
      </c>
    </row>
    <row r="349">
      <c r="A349" s="7" t="s">
        <v>1082</v>
      </c>
      <c r="B349" s="7" t="s">
        <v>2249</v>
      </c>
    </row>
    <row r="350">
      <c r="A350" s="7" t="s">
        <v>1084</v>
      </c>
      <c r="B350" s="7" t="s">
        <v>1085</v>
      </c>
    </row>
    <row r="351">
      <c r="A351" s="7" t="s">
        <v>1086</v>
      </c>
      <c r="B351" s="7" t="s">
        <v>1087</v>
      </c>
    </row>
    <row r="352">
      <c r="A352" s="7" t="s">
        <v>1088</v>
      </c>
      <c r="B352" s="7" t="s">
        <v>2250</v>
      </c>
    </row>
    <row r="353">
      <c r="A353" s="7" t="s">
        <v>2251</v>
      </c>
      <c r="B353" s="7" t="s">
        <v>2252</v>
      </c>
    </row>
    <row r="354">
      <c r="A354" s="7" t="s">
        <v>2145</v>
      </c>
      <c r="B354" s="7" t="s">
        <v>2146</v>
      </c>
    </row>
    <row r="355">
      <c r="A355" s="7" t="s">
        <v>997</v>
      </c>
      <c r="B355" s="7" t="s">
        <v>2253</v>
      </c>
    </row>
    <row r="356">
      <c r="A356" s="7" t="s">
        <v>1096</v>
      </c>
      <c r="B356" s="7" t="s">
        <v>1097</v>
      </c>
    </row>
    <row r="357">
      <c r="A357" s="7" t="s">
        <v>1098</v>
      </c>
      <c r="B357" s="7" t="s">
        <v>1099</v>
      </c>
    </row>
    <row r="358">
      <c r="A358" s="7" t="s">
        <v>1100</v>
      </c>
      <c r="B358" s="7" t="s">
        <v>1101</v>
      </c>
    </row>
    <row r="359">
      <c r="A359" s="7" t="s">
        <v>1102</v>
      </c>
      <c r="B359" s="7" t="s">
        <v>1103</v>
      </c>
    </row>
    <row r="360">
      <c r="A360" s="7" t="s">
        <v>1104</v>
      </c>
      <c r="B360" s="7" t="s">
        <v>1105</v>
      </c>
    </row>
    <row r="361">
      <c r="A361" s="7" t="s">
        <v>1106</v>
      </c>
      <c r="B361" s="7" t="s">
        <v>1107</v>
      </c>
    </row>
    <row r="362">
      <c r="A362" s="7" t="s">
        <v>1108</v>
      </c>
      <c r="B362" s="7" t="s">
        <v>1109</v>
      </c>
    </row>
    <row r="363">
      <c r="A363" s="7" t="s">
        <v>2254</v>
      </c>
      <c r="B363" s="7" t="s">
        <v>1226</v>
      </c>
    </row>
    <row r="364">
      <c r="A364" s="7" t="s">
        <v>1112</v>
      </c>
      <c r="B364" s="7" t="s">
        <v>2248</v>
      </c>
    </row>
    <row r="365">
      <c r="A365" s="7" t="s">
        <v>1114</v>
      </c>
      <c r="B365" s="7" t="s">
        <v>1115</v>
      </c>
    </row>
    <row r="366">
      <c r="A366" s="7" t="s">
        <v>2255</v>
      </c>
      <c r="B366" s="7" t="s">
        <v>2256</v>
      </c>
    </row>
    <row r="367">
      <c r="A367" s="7" t="s">
        <v>1118</v>
      </c>
      <c r="B367" s="7" t="s">
        <v>1119</v>
      </c>
    </row>
    <row r="368">
      <c r="A368" s="7" t="s">
        <v>1120</v>
      </c>
      <c r="B368" s="7" t="s">
        <v>2257</v>
      </c>
    </row>
    <row r="369">
      <c r="A369" s="7" t="s">
        <v>1122</v>
      </c>
      <c r="B369" s="26" t="s">
        <v>1123</v>
      </c>
    </row>
    <row r="370">
      <c r="A370" s="7" t="s">
        <v>1232</v>
      </c>
      <c r="B370" s="7" t="s">
        <v>1233</v>
      </c>
    </row>
    <row r="371">
      <c r="A371" s="7" t="s">
        <v>1234</v>
      </c>
      <c r="B371" s="7" t="s">
        <v>2258</v>
      </c>
    </row>
    <row r="374">
      <c r="A374" s="50"/>
      <c r="B374" s="5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tr">
        <f>IFERROR(__xludf.DUMMYFUNCTION("IMPORTRANGE(""https://docs.google.com/spreadsheets/d/1JzzhxVYe77QtbfnbdSif0yj3HyP1gdcrf-vNI3N3V14"",""Bangala!A:z"") "),"keys")</f>
        <v>keys</v>
      </c>
      <c r="B1" s="2" t="str">
        <f>IFERROR(__xludf.DUMMYFUNCTION("""COMPUTED_VALUE"""),"Phrase / Cat / Sub")</f>
        <v>Phrase / Cat / Sub</v>
      </c>
      <c r="C1" s="2" t="str">
        <f>IFERROR(__xludf.DUMMYFUNCTION("""COMPUTED_VALUE"""),"Release")</f>
        <v>Release</v>
      </c>
      <c r="D1" s="2" t="str">
        <f>IFERROR(__xludf.DUMMYFUNCTION("""COMPUTED_VALUE"""),"Bangala")</f>
        <v>Bangala</v>
      </c>
      <c r="E1" s="2" t="str">
        <f>IFERROR(__xludf.DUMMYFUNCTION("""COMPUTED_VALUE"""),"QC")</f>
        <v>QC</v>
      </c>
      <c r="F1" s="2" t="str">
        <f>IFERROR(__xludf.DUMMYFUNCTION("""COMPUTED_VALUE"""),"Eng phrase")</f>
        <v>Eng phrase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tr">
        <f>IFERROR(__xludf.DUMMYFUNCTION("""COMPUTED_VALUE"""),"item")</f>
        <v>item</v>
      </c>
      <c r="B2" s="2" t="str">
        <f>IFERROR(__xludf.DUMMYFUNCTION("""COMPUTED_VALUE"""),"Item")</f>
        <v>Item</v>
      </c>
      <c r="C2" s="2"/>
      <c r="D2" s="2" t="str">
        <f>IFERROR(__xludf.DUMMYFUNCTION("""COMPUTED_VALUE"""),"আইটেম")</f>
        <v>আইটেম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tr">
        <f>IFERROR(__xludf.DUMMYFUNCTION("""COMPUTED_VALUE"""),"productItem")</f>
        <v>productItem</v>
      </c>
      <c r="B3" s="2" t="str">
        <f>IFERROR(__xludf.DUMMYFUNCTION("""COMPUTED_VALUE"""),"Product Item")</f>
        <v>Product Item</v>
      </c>
      <c r="C3" s="2"/>
      <c r="D3" s="2" t="str">
        <f>IFERROR(__xludf.DUMMYFUNCTION("""COMPUTED_VALUE"""),"পণ্য আইটেম")</f>
        <v>পণ্য আইটেম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tr">
        <f>IFERROR(__xludf.DUMMYFUNCTION("""COMPUTED_VALUE"""),"price")</f>
        <v>price</v>
      </c>
      <c r="B4" s="2" t="str">
        <f>IFERROR(__xludf.DUMMYFUNCTION("""COMPUTED_VALUE"""),"Price")</f>
        <v>Price</v>
      </c>
      <c r="C4" s="2"/>
      <c r="D4" s="2" t="str">
        <f>IFERROR(__xludf.DUMMYFUNCTION("""COMPUTED_VALUE"""),"দাম")</f>
        <v>দাম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tr">
        <f>IFERROR(__xludf.DUMMYFUNCTION("""COMPUTED_VALUE"""),"cost")</f>
        <v>cost</v>
      </c>
      <c r="B5" s="2" t="str">
        <f>IFERROR(__xludf.DUMMYFUNCTION("""COMPUTED_VALUE"""),"Cost")</f>
        <v>Cost</v>
      </c>
      <c r="C5" s="2"/>
      <c r="D5" s="2" t="str">
        <f>IFERROR(__xludf.DUMMYFUNCTION("""COMPUTED_VALUE"""),"ব্যয়")</f>
        <v>ব্যয়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tr">
        <f>IFERROR(__xludf.DUMMYFUNCTION("""COMPUTED_VALUE"""),"favourities")</f>
        <v>favourities</v>
      </c>
      <c r="B6" s="2" t="str">
        <f>IFERROR(__xludf.DUMMYFUNCTION("""COMPUTED_VALUE"""),"Favourites")</f>
        <v>Favourites</v>
      </c>
      <c r="C6" s="2">
        <f>IFERROR(__xludf.DUMMYFUNCTION("""COMPUTED_VALUE"""),0.3)</f>
        <v>0.3</v>
      </c>
      <c r="D6" s="2" t="str">
        <f>IFERROR(__xludf.DUMMYFUNCTION("""COMPUTED_VALUE"""),"প্রিয়")</f>
        <v>প্রিয়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tr">
        <f>IFERROR(__xludf.DUMMYFUNCTION("""COMPUTED_VALUE"""),"mobile")</f>
        <v>mobile</v>
      </c>
      <c r="B7" s="2" t="str">
        <f>IFERROR(__xludf.DUMMYFUNCTION("""COMPUTED_VALUE"""),"Mobile")</f>
        <v>Mobile</v>
      </c>
      <c r="C7" s="2">
        <f>IFERROR(__xludf.DUMMYFUNCTION("""COMPUTED_VALUE"""),0.3)</f>
        <v>0.3</v>
      </c>
      <c r="D7" s="2" t="str">
        <f>IFERROR(__xludf.DUMMYFUNCTION("""COMPUTED_VALUE"""),"মুঠোফোন")</f>
        <v>মুঠোফোন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tr">
        <f>IFERROR(__xludf.DUMMYFUNCTION("""COMPUTED_VALUE"""),"address")</f>
        <v>address</v>
      </c>
      <c r="B8" s="2" t="str">
        <f>IFERROR(__xludf.DUMMYFUNCTION("""COMPUTED_VALUE"""),"Address")</f>
        <v>Address</v>
      </c>
      <c r="C8" s="2"/>
      <c r="D8" s="2" t="str">
        <f>IFERROR(__xludf.DUMMYFUNCTION("""COMPUTED_VALUE"""),"ঠিকানা")</f>
        <v>ঠিকানা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tr">
        <f>IFERROR(__xludf.DUMMYFUNCTION("""COMPUTED_VALUE"""),"error")</f>
        <v>error</v>
      </c>
      <c r="B9" s="2" t="str">
        <f>IFERROR(__xludf.DUMMYFUNCTION("""COMPUTED_VALUE"""),"Error ")</f>
        <v>Error </v>
      </c>
      <c r="C9" s="2"/>
      <c r="D9" s="2" t="str">
        <f>IFERROR(__xludf.DUMMYFUNCTION("""COMPUTED_VALUE"""),"ত্রুটি")</f>
        <v>ত্রুটি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tr">
        <f>IFERROR(__xludf.DUMMYFUNCTION("""COMPUTED_VALUE"""),"selectLanguage")</f>
        <v>selectLanguage</v>
      </c>
      <c r="B10" s="2" t="str">
        <f>IFERROR(__xludf.DUMMYFUNCTION("""COMPUTED_VALUE"""),"Select Language")</f>
        <v>Select Language</v>
      </c>
      <c r="C10" s="2">
        <f>IFERROR(__xludf.DUMMYFUNCTION("""COMPUTED_VALUE"""),0.1)</f>
        <v>0.1</v>
      </c>
      <c r="D10" s="2" t="str">
        <f>IFERROR(__xludf.DUMMYFUNCTION("""COMPUTED_VALUE"""),"ভাষা নির্বাচন কর")</f>
        <v>ভাষা নির্বাচন কর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tr">
        <f>IFERROR(__xludf.DUMMYFUNCTION("""COMPUTED_VALUE"""),"alternatemobile")</f>
        <v>alternatemobile</v>
      </c>
      <c r="B11" s="2" t="str">
        <f>IFERROR(__xludf.DUMMYFUNCTION("""COMPUTED_VALUE"""),"Alternate Mobile")</f>
        <v>Alternate Mobile</v>
      </c>
      <c r="C11" s="2">
        <f>IFERROR(__xludf.DUMMYFUNCTION("""COMPUTED_VALUE"""),0.3)</f>
        <v>0.3</v>
      </c>
      <c r="D11" s="2" t="str">
        <f>IFERROR(__xludf.DUMMYFUNCTION("""COMPUTED_VALUE"""),"বিকল্প মোবাইল")</f>
        <v>বিকল্প মোবাইল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tr">
        <f>IFERROR(__xludf.DUMMYFUNCTION("""COMPUTED_VALUE"""),"vegetarian")</f>
        <v>vegetarian</v>
      </c>
      <c r="B12" s="2" t="str">
        <f>IFERROR(__xludf.DUMMYFUNCTION("""COMPUTED_VALUE"""),"Vegetarian")</f>
        <v>Vegetarian</v>
      </c>
      <c r="C12" s="2">
        <f>IFERROR(__xludf.DUMMYFUNCTION("""COMPUTED_VALUE"""),0.1)</f>
        <v>0.1</v>
      </c>
      <c r="D12" s="2" t="str">
        <f>IFERROR(__xludf.DUMMYFUNCTION("""COMPUTED_VALUE"""),"নিরামিষ")</f>
        <v>নিরামিষ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tr">
        <f>IFERROR(__xludf.DUMMYFUNCTION("""COMPUTED_VALUE"""),"nonVegetarian")</f>
        <v>nonVegetarian</v>
      </c>
      <c r="B13" s="2" t="str">
        <f>IFERROR(__xludf.DUMMYFUNCTION("""COMPUTED_VALUE"""),"Non-Vegetarian")</f>
        <v>Non-Vegetarian</v>
      </c>
      <c r="C13" s="2">
        <f>IFERROR(__xludf.DUMMYFUNCTION("""COMPUTED_VALUE"""),0.1)</f>
        <v>0.1</v>
      </c>
      <c r="D13" s="2" t="str">
        <f>IFERROR(__xludf.DUMMYFUNCTION("""COMPUTED_VALUE"""),"মাংসাশি")</f>
        <v>মাংসাশি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tr">
        <f>IFERROR(__xludf.DUMMYFUNCTION("""COMPUTED_VALUE"""),"manageemployee")</f>
        <v>manageemployee</v>
      </c>
      <c r="B14" s="2" t="str">
        <f>IFERROR(__xludf.DUMMYFUNCTION("""COMPUTED_VALUE"""),"Manage Employee")</f>
        <v>Manage Employee</v>
      </c>
      <c r="C14" s="2">
        <f>IFERROR(__xludf.DUMMYFUNCTION("""COMPUTED_VALUE"""),0.3)</f>
        <v>0.3</v>
      </c>
      <c r="D14" s="2" t="str">
        <f>IFERROR(__xludf.DUMMYFUNCTION("""COMPUTED_VALUE"""),"কর্মচারী পরিচালনা করুন")</f>
        <v>কর্মচারী পরিচালনা করুন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tr">
        <f>IFERROR(__xludf.DUMMYFUNCTION("""COMPUTED_VALUE"""),"compliant")</f>
        <v>compliant</v>
      </c>
      <c r="B15" s="2" t="str">
        <f>IFERROR(__xludf.DUMMYFUNCTION("""COMPUTED_VALUE"""),"Compliant")</f>
        <v>Compliant</v>
      </c>
      <c r="C15" s="2">
        <f>IFERROR(__xludf.DUMMYFUNCTION("""COMPUTED_VALUE"""),0.3)</f>
        <v>0.3</v>
      </c>
      <c r="D15" s="2" t="str">
        <f>IFERROR(__xludf.DUMMYFUNCTION("""COMPUTED_VALUE"""),"অনুযোগ")</f>
        <v>অনুযোগ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tr">
        <f>IFERROR(__xludf.DUMMYFUNCTION("""COMPUTED_VALUE"""),"proceed")</f>
        <v>proceed</v>
      </c>
      <c r="B16" s="2" t="str">
        <f>IFERROR(__xludf.DUMMYFUNCTION("""COMPUTED_VALUE"""),"Proceed")</f>
        <v>Proceed</v>
      </c>
      <c r="C16" s="2">
        <f>IFERROR(__xludf.DUMMYFUNCTION("""COMPUTED_VALUE"""),0.1)</f>
        <v>0.1</v>
      </c>
      <c r="D16" s="2" t="str">
        <f>IFERROR(__xludf.DUMMYFUNCTION("""COMPUTED_VALUE"""),"অগ্রসর")</f>
        <v>অগ্রসর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tr">
        <f>IFERROR(__xludf.DUMMYFUNCTION("""COMPUTED_VALUE"""),"filters")</f>
        <v>filters</v>
      </c>
      <c r="B17" s="2" t="str">
        <f>IFERROR(__xludf.DUMMYFUNCTION("""COMPUTED_VALUE"""),"Filters")</f>
        <v>Filters</v>
      </c>
      <c r="C17" s="2">
        <f>IFERROR(__xludf.DUMMYFUNCTION("""COMPUTED_VALUE"""),0.2)</f>
        <v>0.2</v>
      </c>
      <c r="D17" s="2" t="str">
        <f>IFERROR(__xludf.DUMMYFUNCTION("""COMPUTED_VALUE"""),"ফিল্টার")</f>
        <v>ফিল্টার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tr">
        <f>IFERROR(__xludf.DUMMYFUNCTION("""COMPUTED_VALUE"""),"sortBy")</f>
        <v>sortBy</v>
      </c>
      <c r="B18" s="2" t="str">
        <f>IFERROR(__xludf.DUMMYFUNCTION("""COMPUTED_VALUE"""),"Sort By")</f>
        <v>Sort By</v>
      </c>
      <c r="C18" s="2">
        <f>IFERROR(__xludf.DUMMYFUNCTION("""COMPUTED_VALUE"""),0.2)</f>
        <v>0.2</v>
      </c>
      <c r="D18" s="2" t="str">
        <f>IFERROR(__xludf.DUMMYFUNCTION("""COMPUTED_VALUE"""),"ক্রমানুসার")</f>
        <v>ক্রমানুসার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tr">
        <f>IFERROR(__xludf.DUMMYFUNCTION("""COMPUTED_VALUE"""),"expiresin")</f>
        <v>expiresin</v>
      </c>
      <c r="B19" s="2" t="str">
        <f>IFERROR(__xludf.DUMMYFUNCTION("""COMPUTED_VALUE"""),"Expires in")</f>
        <v>Expires in</v>
      </c>
      <c r="C19" s="2">
        <f>IFERROR(__xludf.DUMMYFUNCTION("""COMPUTED_VALUE"""),0.2)</f>
        <v>0.2</v>
      </c>
      <c r="D19" s="2" t="str">
        <f>IFERROR(__xludf.DUMMYFUNCTION("""COMPUTED_VALUE"""),"মেয়াদ শেষ")</f>
        <v>মেয়াদ শেষ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tr">
        <f>IFERROR(__xludf.DUMMYFUNCTION("""COMPUTED_VALUE"""),"ratings")</f>
        <v>ratings</v>
      </c>
      <c r="B20" s="2" t="str">
        <f>IFERROR(__xludf.DUMMYFUNCTION("""COMPUTED_VALUE"""),"Ratings")</f>
        <v>Ratings</v>
      </c>
      <c r="C20" s="2">
        <f>IFERROR(__xludf.DUMMYFUNCTION("""COMPUTED_VALUE"""),0.2)</f>
        <v>0.2</v>
      </c>
      <c r="D20" s="2" t="str">
        <f>IFERROR(__xludf.DUMMYFUNCTION("""COMPUTED_VALUE"""),"রেটিং")</f>
        <v>রেটিং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tr">
        <f>IFERROR(__xludf.DUMMYFUNCTION("""COMPUTED_VALUE"""),"nearYou")</f>
        <v>nearYou</v>
      </c>
      <c r="B21" s="2" t="str">
        <f>IFERROR(__xludf.DUMMYFUNCTION("""COMPUTED_VALUE"""),"Near You")</f>
        <v>Near You</v>
      </c>
      <c r="C21" s="2">
        <f>IFERROR(__xludf.DUMMYFUNCTION("""COMPUTED_VALUE"""),0.1)</f>
        <v>0.1</v>
      </c>
      <c r="D21" s="2" t="str">
        <f>IFERROR(__xludf.DUMMYFUNCTION("""COMPUTED_VALUE"""),"আপনার কাছাকাছি")</f>
        <v>আপনার কাছাকাছি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tr">
        <f>IFERROR(__xludf.DUMMYFUNCTION("""COMPUTED_VALUE"""),"mobileNumber")</f>
        <v>mobileNumber</v>
      </c>
      <c r="B22" s="2" t="str">
        <f>IFERROR(__xludf.DUMMYFUNCTION("""COMPUTED_VALUE"""),"Mobile Number")</f>
        <v>Mobile Number</v>
      </c>
      <c r="C22" s="2">
        <f>IFERROR(__xludf.DUMMYFUNCTION("""COMPUTED_VALUE"""),0.1)</f>
        <v>0.1</v>
      </c>
      <c r="D22" s="2" t="str">
        <f>IFERROR(__xludf.DUMMYFUNCTION("""COMPUTED_VALUE"""),"মোবাইল নম্বর")</f>
        <v>মোবাইল নম্বর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tr">
        <f>IFERROR(__xludf.DUMMYFUNCTION("""COMPUTED_VALUE"""),"otp")</f>
        <v>otp</v>
      </c>
      <c r="B23" s="2" t="str">
        <f>IFERROR(__xludf.DUMMYFUNCTION("""COMPUTED_VALUE"""),"OTP")</f>
        <v>OTP</v>
      </c>
      <c r="C23" s="2">
        <f>IFERROR(__xludf.DUMMYFUNCTION("""COMPUTED_VALUE"""),0.5)</f>
        <v>0.5</v>
      </c>
      <c r="D23" s="2" t="str">
        <f>IFERROR(__xludf.DUMMYFUNCTION("""COMPUTED_VALUE"""),"ওটিপি")</f>
        <v>ওটিপি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tr">
        <f>IFERROR(__xludf.DUMMYFUNCTION("""COMPUTED_VALUE"""),"uploadidentityproof")</f>
        <v>uploadidentityproof</v>
      </c>
      <c r="B24" s="2" t="str">
        <f>IFERROR(__xludf.DUMMYFUNCTION("""COMPUTED_VALUE"""),"Upload Identity Proof")</f>
        <v>Upload Identity Proof</v>
      </c>
      <c r="C24" s="2">
        <f>IFERROR(__xludf.DUMMYFUNCTION("""COMPUTED_VALUE"""),0.2)</f>
        <v>0.2</v>
      </c>
      <c r="D24" s="2" t="str">
        <f>IFERROR(__xludf.DUMMYFUNCTION("""COMPUTED_VALUE"""),"পরিচয় প্রমাণ আপলোড করুন")</f>
        <v>পরিচয় প্রমাণ আপলোড করুন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tr">
        <f>IFERROR(__xludf.DUMMYFUNCTION("""COMPUTED_VALUE"""),"call")</f>
        <v>call</v>
      </c>
      <c r="B25" s="2" t="str">
        <f>IFERROR(__xludf.DUMMYFUNCTION("""COMPUTED_VALUE"""),"Call")</f>
        <v>Call</v>
      </c>
      <c r="C25" s="2">
        <f>IFERROR(__xludf.DUMMYFUNCTION("""COMPUTED_VALUE"""),0.1)</f>
        <v>0.1</v>
      </c>
      <c r="D25" s="2" t="str">
        <f>IFERROR(__xludf.DUMMYFUNCTION("""COMPUTED_VALUE"""),"কল")</f>
        <v>কল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tr">
        <f>IFERROR(__xludf.DUMMYFUNCTION("""COMPUTED_VALUE"""),"sms")</f>
        <v>sms</v>
      </c>
      <c r="B26" s="2" t="str">
        <f>IFERROR(__xludf.DUMMYFUNCTION("""COMPUTED_VALUE"""),"SMS")</f>
        <v>SMS</v>
      </c>
      <c r="C26" s="2">
        <f>IFERROR(__xludf.DUMMYFUNCTION("""COMPUTED_VALUE"""),0.1)</f>
        <v>0.1</v>
      </c>
      <c r="D26" s="2" t="str">
        <f>IFERROR(__xludf.DUMMYFUNCTION("""COMPUTED_VALUE"""),"খুদেবার্তা")</f>
        <v>খুদেবার্তা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tr">
        <f>IFERROR(__xludf.DUMMYFUNCTION("""COMPUTED_VALUE"""),"whatsApp")</f>
        <v>whatsApp</v>
      </c>
      <c r="B27" s="2" t="str">
        <f>IFERROR(__xludf.DUMMYFUNCTION("""COMPUTED_VALUE"""),"WhatsApp")</f>
        <v>WhatsApp</v>
      </c>
      <c r="C27" s="2"/>
      <c r="D27" s="2" t="str">
        <f>IFERROR(__xludf.DUMMYFUNCTION("""COMPUTED_VALUE"""),"হোয়াটসঅ্যাপ")</f>
        <v>হোয়াটসঅ্যাপ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tr">
        <f>IFERROR(__xludf.DUMMYFUNCTION("""COMPUTED_VALUE"""),"orderAgain")</f>
        <v>orderAgain</v>
      </c>
      <c r="B28" s="2" t="str">
        <f>IFERROR(__xludf.DUMMYFUNCTION("""COMPUTED_VALUE"""),"Order Again")</f>
        <v>Order Again</v>
      </c>
      <c r="C28" s="2"/>
      <c r="D28" s="2" t="str">
        <f>IFERROR(__xludf.DUMMYFUNCTION("""COMPUTED_VALUE"""),"আবার অর্ডার")</f>
        <v>আবার অর্ডার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tr">
        <f>IFERROR(__xludf.DUMMYFUNCTION("""COMPUTED_VALUE"""),"currentLocation")</f>
        <v>currentLocation</v>
      </c>
      <c r="B29" s="2" t="str">
        <f>IFERROR(__xludf.DUMMYFUNCTION("""COMPUTED_VALUE"""),"Current Location")</f>
        <v>Current Location</v>
      </c>
      <c r="C29" s="2"/>
      <c r="D29" s="2" t="str">
        <f>IFERROR(__xludf.DUMMYFUNCTION("""COMPUTED_VALUE"""),"এখন যেখানে আছ")</f>
        <v>এখন যেখানে আছ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tr">
        <f>IFERROR(__xludf.DUMMYFUNCTION("""COMPUTED_VALUE"""),"usingGps")</f>
        <v>usingGps</v>
      </c>
      <c r="B30" s="2" t="str">
        <f>IFERROR(__xludf.DUMMYFUNCTION("""COMPUTED_VALUE"""),"Using GPS")</f>
        <v>Using GPS</v>
      </c>
      <c r="C30" s="2">
        <f>IFERROR(__xludf.DUMMYFUNCTION("""COMPUTED_VALUE"""),0.2)</f>
        <v>0.2</v>
      </c>
      <c r="D30" s="2" t="str">
        <f>IFERROR(__xludf.DUMMYFUNCTION("""COMPUTED_VALUE"""),"জিপিএস ব্যবহার করে")</f>
        <v>জিপিএস ব্যবহার করে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tr">
        <f>IFERROR(__xludf.DUMMYFUNCTION("""COMPUTED_VALUE"""),"frequentlyUsed")</f>
        <v>frequentlyUsed</v>
      </c>
      <c r="B31" s="2" t="str">
        <f>IFERROR(__xludf.DUMMYFUNCTION("""COMPUTED_VALUE"""),"Frequently Used")</f>
        <v>Frequently Used</v>
      </c>
      <c r="C31" s="2">
        <f>IFERROR(__xludf.DUMMYFUNCTION("""COMPUTED_VALUE"""),0.2)</f>
        <v>0.2</v>
      </c>
      <c r="D31" s="2" t="str">
        <f>IFERROR(__xludf.DUMMYFUNCTION("""COMPUTED_VALUE"""),"ঘন ঘন ব্যবহৃত")</f>
        <v>ঘন ঘন ব্যবহৃত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tr">
        <f>IFERROR(__xludf.DUMMYFUNCTION("""COMPUTED_VALUE"""),"other")</f>
        <v>other</v>
      </c>
      <c r="B32" s="2" t="str">
        <f>IFERROR(__xludf.DUMMYFUNCTION("""COMPUTED_VALUE"""),"Other ")</f>
        <v>Other </v>
      </c>
      <c r="C32" s="2">
        <f>IFERROR(__xludf.DUMMYFUNCTION("""COMPUTED_VALUE"""),0.3)</f>
        <v>0.3</v>
      </c>
      <c r="D32" s="2" t="str">
        <f>IFERROR(__xludf.DUMMYFUNCTION("""COMPUTED_VALUE"""),"অন্য")</f>
        <v>অন্য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tr">
        <f>IFERROR(__xludf.DUMMYFUNCTION("""COMPUTED_VALUE"""),"work")</f>
        <v>work</v>
      </c>
      <c r="B33" s="2" t="str">
        <f>IFERROR(__xludf.DUMMYFUNCTION("""COMPUTED_VALUE"""),"Work ")</f>
        <v>Work </v>
      </c>
      <c r="C33" s="2">
        <f>IFERROR(__xludf.DUMMYFUNCTION("""COMPUTED_VALUE"""),0.2)</f>
        <v>0.2</v>
      </c>
      <c r="D33" s="2" t="str">
        <f>IFERROR(__xludf.DUMMYFUNCTION("""COMPUTED_VALUE"""),"কাজ")</f>
        <v>কাজ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tr">
        <f>IFERROR(__xludf.DUMMYFUNCTION("""COMPUTED_VALUE"""),"home")</f>
        <v>home</v>
      </c>
      <c r="B34" s="2" t="str">
        <f>IFERROR(__xludf.DUMMYFUNCTION("""COMPUTED_VALUE"""),"Home ")</f>
        <v>Home </v>
      </c>
      <c r="C34" s="2">
        <f>IFERROR(__xludf.DUMMYFUNCTION("""COMPUTED_VALUE"""),0.1)</f>
        <v>0.1</v>
      </c>
      <c r="D34" s="2" t="str">
        <f>IFERROR(__xludf.DUMMYFUNCTION("""COMPUTED_VALUE"""),"বাড়ি")</f>
        <v>বাড়ি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tr">
        <f>IFERROR(__xludf.DUMMYFUNCTION("""COMPUTED_VALUE"""),"recentSearch")</f>
        <v>recentSearch</v>
      </c>
      <c r="B35" s="2" t="str">
        <f>IFERROR(__xludf.DUMMYFUNCTION("""COMPUTED_VALUE"""),"Recent Search ")</f>
        <v>Recent Search </v>
      </c>
      <c r="C35" s="2">
        <f>IFERROR(__xludf.DUMMYFUNCTION("""COMPUTED_VALUE"""),0.2)</f>
        <v>0.2</v>
      </c>
      <c r="D35" s="2" t="str">
        <f>IFERROR(__xludf.DUMMYFUNCTION("""COMPUTED_VALUE"""),"সাম্প্রতিক অনুসন্ধান")</f>
        <v>সাম্প্রতিক অনুসন্ধান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tr">
        <f>IFERROR(__xludf.DUMMYFUNCTION("""COMPUTED_VALUE"""),"selectLocation")</f>
        <v>selectLocation</v>
      </c>
      <c r="B36" s="2" t="str">
        <f>IFERROR(__xludf.DUMMYFUNCTION("""COMPUTED_VALUE"""),"Select Location")</f>
        <v>Select Location</v>
      </c>
      <c r="C36" s="2">
        <f>IFERROR(__xludf.DUMMYFUNCTION("""COMPUTED_VALUE"""),0.2)</f>
        <v>0.2</v>
      </c>
      <c r="D36" s="2" t="str">
        <f>IFERROR(__xludf.DUMMYFUNCTION("""COMPUTED_VALUE"""),"স্থান নির্বাচন করুন")</f>
        <v>স্থান নির্বাচন করুন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tr">
        <f>IFERROR(__xludf.DUMMYFUNCTION("""COMPUTED_VALUE"""),"change")</f>
        <v>change</v>
      </c>
      <c r="B37" s="2" t="str">
        <f>IFERROR(__xludf.DUMMYFUNCTION("""COMPUTED_VALUE"""),"Change")</f>
        <v>Change</v>
      </c>
      <c r="C37" s="2">
        <f>IFERROR(__xludf.DUMMYFUNCTION("""COMPUTED_VALUE"""),0.1)</f>
        <v>0.1</v>
      </c>
      <c r="D37" s="2" t="str">
        <f>IFERROR(__xludf.DUMMYFUNCTION("""COMPUTED_VALUE"""),"পরিবর্তন")</f>
        <v>পরিবর্তন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tr">
        <f>IFERROR(__xludf.DUMMYFUNCTION("""COMPUTED_VALUE"""),"confirmLocation")</f>
        <v>confirmLocation</v>
      </c>
      <c r="B38" s="2" t="str">
        <f>IFERROR(__xludf.DUMMYFUNCTION("""COMPUTED_VALUE"""),"Confirm Location")</f>
        <v>Confirm Location</v>
      </c>
      <c r="C38" s="2">
        <f>IFERROR(__xludf.DUMMYFUNCTION("""COMPUTED_VALUE"""),0.2)</f>
        <v>0.2</v>
      </c>
      <c r="D38" s="2" t="str">
        <f>IFERROR(__xludf.DUMMYFUNCTION("""COMPUTED_VALUE"""),"অবস্থান নিশ্চিত করুন")</f>
        <v>অবস্থান নিশ্চিত করুন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tr">
        <f>IFERROR(__xludf.DUMMYFUNCTION("""COMPUTED_VALUE"""),"distanceLessThan")</f>
        <v>distanceLessThan</v>
      </c>
      <c r="B39" s="2" t="str">
        <f>IFERROR(__xludf.DUMMYFUNCTION("""COMPUTED_VALUE"""),"Distance less than ")</f>
        <v>Distance less than </v>
      </c>
      <c r="C39" s="2"/>
      <c r="D39" s="2" t="str">
        <f>IFERROR(__xludf.DUMMYFUNCTION("""COMPUTED_VALUE"""),"দূরত্বের চেয়ে কম")</f>
        <v>দূরত্বের চেয়ে কম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tr">
        <f>IFERROR(__xludf.DUMMYFUNCTION("""COMPUTED_VALUE"""),"km")</f>
        <v>km</v>
      </c>
      <c r="B40" s="2" t="str">
        <f>IFERROR(__xludf.DUMMYFUNCTION("""COMPUTED_VALUE"""),"KM")</f>
        <v>KM</v>
      </c>
      <c r="C40" s="2"/>
      <c r="D40" s="2" t="str">
        <f>IFERROR(__xludf.DUMMYFUNCTION("""COMPUTED_VALUE"""),"কিমি")</f>
        <v>কিমি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tr">
        <f>IFERROR(__xludf.DUMMYFUNCTION("""COMPUTED_VALUE"""),"moreThan")</f>
        <v>moreThan</v>
      </c>
      <c r="B41" s="2" t="str">
        <f>IFERROR(__xludf.DUMMYFUNCTION("""COMPUTED_VALUE"""),"More than")</f>
        <v>More than</v>
      </c>
      <c r="C41" s="2"/>
      <c r="D41" s="2" t="str">
        <f>IFERROR(__xludf.DUMMYFUNCTION("""COMPUTED_VALUE"""),"অধিক")</f>
        <v>অধিক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tr">
        <f>IFERROR(__xludf.DUMMYFUNCTION("""COMPUTED_VALUE"""),"all")</f>
        <v>all</v>
      </c>
      <c r="B42" s="2" t="str">
        <f>IFERROR(__xludf.DUMMYFUNCTION("""COMPUTED_VALUE"""),"All")</f>
        <v>All</v>
      </c>
      <c r="C42" s="2">
        <f>IFERROR(__xludf.DUMMYFUNCTION("""COMPUTED_VALUE"""),0.1)</f>
        <v>0.1</v>
      </c>
      <c r="D42" s="2" t="str">
        <f>IFERROR(__xludf.DUMMYFUNCTION("""COMPUTED_VALUE"""),"সব")</f>
        <v>সব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tr">
        <f>IFERROR(__xludf.DUMMYFUNCTION("""COMPUTED_VALUE"""),"delivery")</f>
        <v>delivery</v>
      </c>
      <c r="B43" s="2" t="str">
        <f>IFERROR(__xludf.DUMMYFUNCTION("""COMPUTED_VALUE"""),"Delivery ")</f>
        <v>Delivery </v>
      </c>
      <c r="C43" s="2">
        <f>IFERROR(__xludf.DUMMYFUNCTION("""COMPUTED_VALUE"""),0.5)</f>
        <v>0.5</v>
      </c>
      <c r="D43" s="2" t="str">
        <f>IFERROR(__xludf.DUMMYFUNCTION("""COMPUTED_VALUE"""),"বিতরণ")</f>
        <v>বিতরণ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tr">
        <f>IFERROR(__xludf.DUMMYFUNCTION("""COMPUTED_VALUE"""),"pickUp")</f>
        <v>pickUp</v>
      </c>
      <c r="B44" s="2" t="str">
        <f>IFERROR(__xludf.DUMMYFUNCTION("""COMPUTED_VALUE"""),"Pickup")</f>
        <v>Pickup</v>
      </c>
      <c r="C44" s="2">
        <f>IFERROR(__xludf.DUMMYFUNCTION("""COMPUTED_VALUE"""),0.4)</f>
        <v>0.4</v>
      </c>
      <c r="D44" s="2" t="str">
        <f>IFERROR(__xludf.DUMMYFUNCTION("""COMPUTED_VALUE"""),"পিকআপ")</f>
        <v>পিকআপ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tr">
        <f>IFERROR(__xludf.DUMMYFUNCTION("""COMPUTED_VALUE"""),"previousOrder")</f>
        <v>previousOrder</v>
      </c>
      <c r="B45" s="2" t="str">
        <f>IFERROR(__xludf.DUMMYFUNCTION("""COMPUTED_VALUE"""),"Previous Order")</f>
        <v>Previous Order</v>
      </c>
      <c r="C45" s="2"/>
      <c r="D45" s="2" t="str">
        <f>IFERROR(__xludf.DUMMYFUNCTION("""COMPUTED_VALUE"""),"পূর্ববর্তী আদেশ")</f>
        <v>পূর্ববর্তী আদেশ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tr">
        <f>IFERROR(__xludf.DUMMYFUNCTION("""COMPUTED_VALUE"""),"frequentlyBought")</f>
        <v>frequentlyBought</v>
      </c>
      <c r="B46" s="2" t="str">
        <f>IFERROR(__xludf.DUMMYFUNCTION("""COMPUTED_VALUE"""),"Frequently Bought")</f>
        <v>Frequently Bought</v>
      </c>
      <c r="C46" s="2"/>
      <c r="D46" s="2" t="str">
        <f>IFERROR(__xludf.DUMMYFUNCTION("""COMPUTED_VALUE"""),"প্রায়শই কেনা")</f>
        <v>প্রায়শই কেনা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tr">
        <f>IFERROR(__xludf.DUMMYFUNCTION("""COMPUTED_VALUE"""),"recommended")</f>
        <v>recommended</v>
      </c>
      <c r="B47" s="2" t="str">
        <f>IFERROR(__xludf.DUMMYFUNCTION("""COMPUTED_VALUE"""),"Recommended")</f>
        <v>Recommended</v>
      </c>
      <c r="C47" s="2"/>
      <c r="D47" s="2" t="str">
        <f>IFERROR(__xludf.DUMMYFUNCTION("""COMPUTED_VALUE"""),"প্রস্তাবিত")</f>
        <v>প্রস্তাবিত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tr">
        <f>IFERROR(__xludf.DUMMYFUNCTION("""COMPUTED_VALUE"""),"aboutSeller")</f>
        <v>aboutSeller</v>
      </c>
      <c r="B48" s="2" t="str">
        <f>IFERROR(__xludf.DUMMYFUNCTION("""COMPUTED_VALUE"""),"About Seller ")</f>
        <v>About Seller </v>
      </c>
      <c r="C48" s="2"/>
      <c r="D48" s="2" t="str">
        <f>IFERROR(__xludf.DUMMYFUNCTION("""COMPUTED_VALUE"""),"বিক্রেতা সম্পর্কে")</f>
        <v>বিক্রেতা সম্পর্কে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tr">
        <f>IFERROR(__xludf.DUMMYFUNCTION("""COMPUTED_VALUE"""),"sellingItems")</f>
        <v>sellingItems</v>
      </c>
      <c r="B49" s="2" t="str">
        <f>IFERROR(__xludf.DUMMYFUNCTION("""COMPUTED_VALUE"""),"Selling Items")</f>
        <v>Selling Items</v>
      </c>
      <c r="C49" s="2"/>
      <c r="D49" s="2" t="str">
        <f>IFERROR(__xludf.DUMMYFUNCTION("""COMPUTED_VALUE"""),"আইটেম বিক্রি")</f>
        <v>আইটেম বিক্রি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tr">
        <f>IFERROR(__xludf.DUMMYFUNCTION("""COMPUTED_VALUE"""),"menu")</f>
        <v>menu</v>
      </c>
      <c r="B50" s="2" t="str">
        <f>IFERROR(__xludf.DUMMYFUNCTION("""COMPUTED_VALUE"""),"Menu ")</f>
        <v>Menu </v>
      </c>
      <c r="C50" s="2"/>
      <c r="D50" s="2" t="str">
        <f>IFERROR(__xludf.DUMMYFUNCTION("""COMPUTED_VALUE"""),"তালিকা")</f>
        <v>তালিকা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tr">
        <f>IFERROR(__xludf.DUMMYFUNCTION("""COMPUTED_VALUE"""),"addToFavourites")</f>
        <v>addToFavourites</v>
      </c>
      <c r="B51" s="2" t="str">
        <f>IFERROR(__xludf.DUMMYFUNCTION("""COMPUTED_VALUE"""),"Add to favourites")</f>
        <v>Add to favourites</v>
      </c>
      <c r="C51" s="2"/>
      <c r="D51" s="2" t="str">
        <f>IFERROR(__xludf.DUMMYFUNCTION("""COMPUTED_VALUE"""),"ফেভারিটে যোগ করুন")</f>
        <v>ফেভারিটে যোগ করুন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tr">
        <f>IFERROR(__xludf.DUMMYFUNCTION("""COMPUTED_VALUE"""),"share")</f>
        <v>share</v>
      </c>
      <c r="B52" s="2" t="str">
        <f>IFERROR(__xludf.DUMMYFUNCTION("""COMPUTED_VALUE"""),"Share ")</f>
        <v>Share </v>
      </c>
      <c r="C52" s="2"/>
      <c r="D52" s="2" t="str">
        <f>IFERROR(__xludf.DUMMYFUNCTION("""COMPUTED_VALUE"""),"ভাগ")</f>
        <v>ভাগ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tr">
        <f>IFERROR(__xludf.DUMMYFUNCTION("""COMPUTED_VALUE"""),"shopInformation")</f>
        <v>shopInformation</v>
      </c>
      <c r="B53" s="2" t="str">
        <f>IFERROR(__xludf.DUMMYFUNCTION("""COMPUTED_VALUE"""),"Shop Information")</f>
        <v>Shop Information</v>
      </c>
      <c r="C53" s="2"/>
      <c r="D53" s="2" t="str">
        <f>IFERROR(__xludf.DUMMYFUNCTION("""COMPUTED_VALUE"""),"কেনাকাটা তথ্য")</f>
        <v>কেনাকাটা তথ্য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tr">
        <f>IFERROR(__xludf.DUMMYFUNCTION("""COMPUTED_VALUE"""),"more")</f>
        <v>more</v>
      </c>
      <c r="B54" s="2" t="str">
        <f>IFERROR(__xludf.DUMMYFUNCTION("""COMPUTED_VALUE"""),"More ")</f>
        <v>More </v>
      </c>
      <c r="C54" s="2">
        <f>IFERROR(__xludf.DUMMYFUNCTION("""COMPUTED_VALUE"""),0.2)</f>
        <v>0.2</v>
      </c>
      <c r="D54" s="2" t="str">
        <f>IFERROR(__xludf.DUMMYFUNCTION("""COMPUTED_VALUE"""),"আরও")</f>
        <v>আরও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tr">
        <f>IFERROR(__xludf.DUMMYFUNCTION("""COMPUTED_VALUE"""),"no.of pieces")</f>
        <v>no.of pieces</v>
      </c>
      <c r="B55" s="2" t="str">
        <f>IFERROR(__xludf.DUMMYFUNCTION("""COMPUTED_VALUE"""),"No.of Pieces")</f>
        <v>No.of Pieces</v>
      </c>
      <c r="C55" s="2">
        <f>IFERROR(__xludf.DUMMYFUNCTION("""COMPUTED_VALUE"""),0.3)</f>
        <v>0.3</v>
      </c>
      <c r="D55" s="2" t="str">
        <f>IFERROR(__xludf.DUMMYFUNCTION("""COMPUTED_VALUE"""),"নং টুকরা")</f>
        <v>নং টুকরা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tr">
        <f>IFERROR(__xludf.DUMMYFUNCTION("""COMPUTED_VALUE"""),"vegetables")</f>
        <v>vegetables</v>
      </c>
      <c r="B56" s="2" t="str">
        <f>IFERROR(__xludf.DUMMYFUNCTION("""COMPUTED_VALUE"""),"Vegetables ")</f>
        <v>Vegetables </v>
      </c>
      <c r="C56" s="2"/>
      <c r="D56" s="2" t="str">
        <f>IFERROR(__xludf.DUMMYFUNCTION("""COMPUTED_VALUE"""),"শাকসবজি")</f>
        <v>শাকসবজি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tr">
        <f>IFERROR(__xludf.DUMMYFUNCTION("""COMPUTED_VALUE"""),"today")</f>
        <v>today</v>
      </c>
      <c r="B57" s="2" t="str">
        <f>IFERROR(__xludf.DUMMYFUNCTION("""COMPUTED_VALUE"""),"Today")</f>
        <v>Today</v>
      </c>
      <c r="C57" s="2">
        <f>IFERROR(__xludf.DUMMYFUNCTION("""COMPUTED_VALUE"""),0.4)</f>
        <v>0.4</v>
      </c>
      <c r="D57" s="2" t="str">
        <f>IFERROR(__xludf.DUMMYFUNCTION("""COMPUTED_VALUE"""),"আজ")</f>
        <v>আজ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tr">
        <f>IFERROR(__xludf.DUMMYFUNCTION("""COMPUTED_VALUE"""),"tomorrow")</f>
        <v>tomorrow</v>
      </c>
      <c r="B58" s="2" t="str">
        <f>IFERROR(__xludf.DUMMYFUNCTION("""COMPUTED_VALUE"""),"Tomorrow")</f>
        <v>Tomorrow</v>
      </c>
      <c r="C58" s="2">
        <f>IFERROR(__xludf.DUMMYFUNCTION("""COMPUTED_VALUE"""),0.4)</f>
        <v>0.4</v>
      </c>
      <c r="D58" s="2" t="str">
        <f>IFERROR(__xludf.DUMMYFUNCTION("""COMPUTED_VALUE"""),"আগামীকাল")</f>
        <v>আগামীকাল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tr">
        <f>IFERROR(__xludf.DUMMYFUNCTION("""COMPUTED_VALUE"""),"addQuantity")</f>
        <v>addQuantity</v>
      </c>
      <c r="B59" s="2" t="str">
        <f>IFERROR(__xludf.DUMMYFUNCTION("""COMPUTED_VALUE"""),"Add Quantity ")</f>
        <v>Add Quantity </v>
      </c>
      <c r="C59" s="2">
        <f>IFERROR(__xludf.DUMMYFUNCTION("""COMPUTED_VALUE"""),0.3)</f>
        <v>0.3</v>
      </c>
      <c r="D59" s="2" t="str">
        <f>IFERROR(__xludf.DUMMYFUNCTION("""COMPUTED_VALUE"""),"পরিমাণ যোগ করুন")</f>
        <v>পরিমাণ যোগ করুন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tr">
        <f>IFERROR(__xludf.DUMMYFUNCTION("""COMPUTED_VALUE"""),"pieces")</f>
        <v>pieces</v>
      </c>
      <c r="B60" s="2" t="str">
        <f>IFERROR(__xludf.DUMMYFUNCTION("""COMPUTED_VALUE"""),"Pieces")</f>
        <v>Pieces</v>
      </c>
      <c r="C60" s="2">
        <f>IFERROR(__xludf.DUMMYFUNCTION("""COMPUTED_VALUE"""),0.2)</f>
        <v>0.2</v>
      </c>
      <c r="D60" s="2" t="str">
        <f>IFERROR(__xludf.DUMMYFUNCTION("""COMPUTED_VALUE"""),"টুকরা")</f>
        <v>টুকরা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tr">
        <f>IFERROR(__xludf.DUMMYFUNCTION("""COMPUTED_VALUE"""),"numberOfpieces")</f>
        <v>numberOfpieces</v>
      </c>
      <c r="B61" s="2" t="str">
        <f>IFERROR(__xludf.DUMMYFUNCTION("""COMPUTED_VALUE"""),"Number of Pieces")</f>
        <v>Number of Pieces</v>
      </c>
      <c r="C61" s="2"/>
      <c r="D61" s="2" t="str">
        <f>IFERROR(__xludf.DUMMYFUNCTION("""COMPUTED_VALUE"""),"টুকরা সংখ্যা")</f>
        <v>টুকরা সংখ্যা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tr">
        <f>IFERROR(__xludf.DUMMYFUNCTION("""COMPUTED_VALUE"""),"amount")</f>
        <v>amount</v>
      </c>
      <c r="B62" s="2" t="str">
        <f>IFERROR(__xludf.DUMMYFUNCTION("""COMPUTED_VALUE"""),"Amount ")</f>
        <v>Amount </v>
      </c>
      <c r="C62" s="2">
        <f>IFERROR(__xludf.DUMMYFUNCTION("""COMPUTED_VALUE"""),0.2)</f>
        <v>0.2</v>
      </c>
      <c r="D62" s="2" t="str">
        <f>IFERROR(__xludf.DUMMYFUNCTION("""COMPUTED_VALUE"""),"পরিমাণ")</f>
        <v>পরিমাণ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tr">
        <f>IFERROR(__xludf.DUMMYFUNCTION("""COMPUTED_VALUE"""),"viewCart")</f>
        <v>viewCart</v>
      </c>
      <c r="B63" s="2" t="str">
        <f>IFERROR(__xludf.DUMMYFUNCTION("""COMPUTED_VALUE"""),"View Cart")</f>
        <v>View Cart</v>
      </c>
      <c r="C63" s="2">
        <f>IFERROR(__xludf.DUMMYFUNCTION("""COMPUTED_VALUE"""),0.3)</f>
        <v>0.3</v>
      </c>
      <c r="D63" s="2" t="str">
        <f>IFERROR(__xludf.DUMMYFUNCTION("""COMPUTED_VALUE"""),"কার্ট দেখুন")</f>
        <v>কার্ট দেখুন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tr">
        <f>IFERROR(__xludf.DUMMYFUNCTION("""COMPUTED_VALUE"""),"orderSummary")</f>
        <v>orderSummary</v>
      </c>
      <c r="B64" s="2" t="str">
        <f>IFERROR(__xludf.DUMMYFUNCTION("""COMPUTED_VALUE"""),"Order Summary")</f>
        <v>Order Summary</v>
      </c>
      <c r="C64" s="2">
        <f>IFERROR(__xludf.DUMMYFUNCTION("""COMPUTED_VALUE"""),0.4)</f>
        <v>0.4</v>
      </c>
      <c r="D64" s="2" t="str">
        <f>IFERROR(__xludf.DUMMYFUNCTION("""COMPUTED_VALUE"""),"অর্ডার সংক্ষিপ্তসার")</f>
        <v>অর্ডার সংক্ষিপ্তসার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tr">
        <f>IFERROR(__xludf.DUMMYFUNCTION("""COMPUTED_VALUE"""),"detailedBill")</f>
        <v>detailedBill</v>
      </c>
      <c r="B65" s="2" t="str">
        <f>IFERROR(__xludf.DUMMYFUNCTION("""COMPUTED_VALUE"""),"Detailed Bill")</f>
        <v>Detailed Bill</v>
      </c>
      <c r="C65" s="2"/>
      <c r="D65" s="2" t="str">
        <f>IFERROR(__xludf.DUMMYFUNCTION("""COMPUTED_VALUE"""),"বিস্তারিত বিল")</f>
        <v>বিস্তারিত বিল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tr">
        <f>IFERROR(__xludf.DUMMYFUNCTION("""COMPUTED_VALUE"""),"cartTotal")</f>
        <v>cartTotal</v>
      </c>
      <c r="B66" s="2" t="str">
        <f>IFERROR(__xludf.DUMMYFUNCTION("""COMPUTED_VALUE"""),"Cart Total")</f>
        <v>Cart Total</v>
      </c>
      <c r="C66" s="2"/>
      <c r="D66" s="2" t="str">
        <f>IFERROR(__xludf.DUMMYFUNCTION("""COMPUTED_VALUE"""),"কার্ট মোট")</f>
        <v>কার্ট মোট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tr">
        <f>IFERROR(__xludf.DUMMYFUNCTION("""COMPUTED_VALUE"""),"discount")</f>
        <v>discount</v>
      </c>
      <c r="B67" s="2" t="str">
        <f>IFERROR(__xludf.DUMMYFUNCTION("""COMPUTED_VALUE"""),"Discount")</f>
        <v>Discount</v>
      </c>
      <c r="C67" s="2"/>
      <c r="D67" s="2" t="str">
        <f>IFERROR(__xludf.DUMMYFUNCTION("""COMPUTED_VALUE"""),"ছাড়")</f>
        <v>ছাড়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tr">
        <f>IFERROR(__xludf.DUMMYFUNCTION("""COMPUTED_VALUE"""),"total")</f>
        <v>total</v>
      </c>
      <c r="B68" s="2" t="str">
        <f>IFERROR(__xludf.DUMMYFUNCTION("""COMPUTED_VALUE"""),"Total")</f>
        <v>Total</v>
      </c>
      <c r="C68" s="2"/>
      <c r="D68" s="2" t="str">
        <f>IFERROR(__xludf.DUMMYFUNCTION("""COMPUTED_VALUE"""),"মোট")</f>
        <v>মোট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tr">
        <f>IFERROR(__xludf.DUMMYFUNCTION("""COMPUTED_VALUE"""),"selfPickup")</f>
        <v>selfPickup</v>
      </c>
      <c r="B69" s="2" t="str">
        <f>IFERROR(__xludf.DUMMYFUNCTION("""COMPUTED_VALUE"""),"Self Pickup")</f>
        <v>Self Pickup</v>
      </c>
      <c r="C69" s="2"/>
      <c r="D69" s="2" t="str">
        <f>IFERROR(__xludf.DUMMYFUNCTION("""COMPUTED_VALUE"""),"স্ব পিকআপ")</f>
        <v>স্ব পিকআপ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tr">
        <f>IFERROR(__xludf.DUMMYFUNCTION("""COMPUTED_VALUE"""),"totalPayable")</f>
        <v>totalPayable</v>
      </c>
      <c r="B70" s="2" t="str">
        <f>IFERROR(__xludf.DUMMYFUNCTION("""COMPUTED_VALUE"""),"Total Payable")</f>
        <v>Total Payable</v>
      </c>
      <c r="C70" s="2"/>
      <c r="D70" s="2" t="str">
        <f>IFERROR(__xludf.DUMMYFUNCTION("""COMPUTED_VALUE"""),"মোট প্রদেয়")</f>
        <v>মোট প্রদেয়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tr">
        <f>IFERROR(__xludf.DUMMYFUNCTION("""COMPUTED_VALUE"""),"payAtPickup")</f>
        <v>payAtPickup</v>
      </c>
      <c r="B71" s="2" t="str">
        <f>IFERROR(__xludf.DUMMYFUNCTION("""COMPUTED_VALUE"""),"Pay at Pickup")</f>
        <v>Pay at Pickup</v>
      </c>
      <c r="C71" s="2"/>
      <c r="D71" s="2" t="str">
        <f>IFERROR(__xludf.DUMMYFUNCTION("""COMPUTED_VALUE"""),"পিকআপে প্রদান করুন")</f>
        <v>পিকআপে প্রদান করুন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tr">
        <f>IFERROR(__xludf.DUMMYFUNCTION("""COMPUTED_VALUE"""),"savedDetails")</f>
        <v>savedDetails</v>
      </c>
      <c r="B72" s="2" t="str">
        <f>IFERROR(__xludf.DUMMYFUNCTION("""COMPUTED_VALUE"""),"Saved Details")</f>
        <v>Saved Details</v>
      </c>
      <c r="C72" s="2"/>
      <c r="D72" s="2" t="str">
        <f>IFERROR(__xludf.DUMMYFUNCTION("""COMPUTED_VALUE"""),"সংরক্ষণ বিশদ")</f>
        <v>সংরক্ষণ বিশদ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tr">
        <f>IFERROR(__xludf.DUMMYFUNCTION("""COMPUTED_VALUE"""),"debitAtmCard")</f>
        <v>debitAtmCard</v>
      </c>
      <c r="B73" s="2" t="str">
        <f>IFERROR(__xludf.DUMMYFUNCTION("""COMPUTED_VALUE"""),"Debit/ATM Card")</f>
        <v>Debit/ATM Card</v>
      </c>
      <c r="C73" s="2"/>
      <c r="D73" s="2" t="str">
        <f>IFERROR(__xludf.DUMMYFUNCTION("""COMPUTED_VALUE"""),"ডেবিট/এটিএম কার্ড")</f>
        <v>ডেবিট/এটিএম কার্ড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tr">
        <f>IFERROR(__xludf.DUMMYFUNCTION("""COMPUTED_VALUE"""),"netBanking")</f>
        <v>netBanking</v>
      </c>
      <c r="B74" s="2" t="str">
        <f>IFERROR(__xludf.DUMMYFUNCTION("""COMPUTED_VALUE"""),"Net Banking")</f>
        <v>Net Banking</v>
      </c>
      <c r="C74" s="2"/>
      <c r="D74" s="2" t="str">
        <f>IFERROR(__xludf.DUMMYFUNCTION("""COMPUTED_VALUE"""),"নেট ব্যাংকিং")</f>
        <v>নেট ব্যাংকিং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tr">
        <f>IFERROR(__xludf.DUMMYFUNCTION("""COMPUTED_VALUE"""),"addDebitCreditCard")</f>
        <v>addDebitCreditCard</v>
      </c>
      <c r="B75" s="2" t="str">
        <f>IFERROR(__xludf.DUMMYFUNCTION("""COMPUTED_VALUE"""),"Add Debit/Credit Card")</f>
        <v>Add Debit/Credit Card</v>
      </c>
      <c r="C75" s="2"/>
      <c r="D75" s="2" t="str">
        <f>IFERROR(__xludf.DUMMYFUNCTION("""COMPUTED_VALUE"""),"ডেবিট/ক্রেডিট কার্ড যুক্ত করুন")</f>
        <v>ডেবিট/ক্রেডিট কার্ড যুক্ত করুন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tr">
        <f>IFERROR(__xludf.DUMMYFUNCTION("""COMPUTED_VALUE"""),"wallets&amp;Upi")</f>
        <v>wallets&amp;Upi</v>
      </c>
      <c r="B76" s="2" t="str">
        <f>IFERROR(__xludf.DUMMYFUNCTION("""COMPUTED_VALUE"""),"Wallets &amp; UPI")</f>
        <v>Wallets &amp; UPI</v>
      </c>
      <c r="C76" s="2"/>
      <c r="D76" s="2" t="str">
        <f>IFERROR(__xludf.DUMMYFUNCTION("""COMPUTED_VALUE"""),"ওয়ালেট এবং আপি")</f>
        <v>ওয়ালেট এবং আপি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tr">
        <f>IFERROR(__xludf.DUMMYFUNCTION("""COMPUTED_VALUE"""),"phonepe")</f>
        <v>phonepe</v>
      </c>
      <c r="B77" s="2" t="str">
        <f>IFERROR(__xludf.DUMMYFUNCTION("""COMPUTED_VALUE"""),"PhonePe")</f>
        <v>PhonePe</v>
      </c>
      <c r="C77" s="2"/>
      <c r="D77" s="2" t="str">
        <f>IFERROR(__xludf.DUMMYFUNCTION("""COMPUTED_VALUE"""),"ফোনপ")</f>
        <v>ফোনপ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tr">
        <f>IFERROR(__xludf.DUMMYFUNCTION("""COMPUTED_VALUE"""),"paytm")</f>
        <v>paytm</v>
      </c>
      <c r="B78" s="2" t="str">
        <f>IFERROR(__xludf.DUMMYFUNCTION("""COMPUTED_VALUE"""),"Paytm")</f>
        <v>Paytm</v>
      </c>
      <c r="C78" s="2"/>
      <c r="D78" s="2" t="str">
        <f>IFERROR(__xludf.DUMMYFUNCTION("""COMPUTED_VALUE"""),"পেটিএম")</f>
        <v>পেটিএম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tr">
        <f>IFERROR(__xludf.DUMMYFUNCTION("""COMPUTED_VALUE"""),"otherUpi")</f>
        <v>otherUpi</v>
      </c>
      <c r="B79" s="2" t="str">
        <f>IFERROR(__xludf.DUMMYFUNCTION("""COMPUTED_VALUE"""),"Other UPI")</f>
        <v>Other UPI</v>
      </c>
      <c r="C79" s="2"/>
      <c r="D79" s="2" t="str">
        <f>IFERROR(__xludf.DUMMYFUNCTION("""COMPUTED_VALUE"""),"অন্যান্য আপি")</f>
        <v>অন্যান্য আপি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tr">
        <f>IFERROR(__xludf.DUMMYFUNCTION("""COMPUTED_VALUE"""),"payNow")</f>
        <v>payNow</v>
      </c>
      <c r="B80" s="2" t="str">
        <f>IFERROR(__xludf.DUMMYFUNCTION("""COMPUTED_VALUE"""),"Pay Now")</f>
        <v>Pay Now</v>
      </c>
      <c r="C80" s="2"/>
      <c r="D80" s="2" t="str">
        <f>IFERROR(__xludf.DUMMYFUNCTION("""COMPUTED_VALUE"""),"এখন পরিশোধ করুন")</f>
        <v>এখন পরিশোধ করুন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tr">
        <f>IFERROR(__xludf.DUMMYFUNCTION("""COMPUTED_VALUE"""),"deliverAt")</f>
        <v>deliverAt</v>
      </c>
      <c r="B81" s="2" t="str">
        <f>IFERROR(__xludf.DUMMYFUNCTION("""COMPUTED_VALUE"""),"Deliver at")</f>
        <v>Deliver at</v>
      </c>
      <c r="C81" s="2"/>
      <c r="D81" s="2" t="str">
        <f>IFERROR(__xludf.DUMMYFUNCTION("""COMPUTED_VALUE"""),"বিতরণ")</f>
        <v>বিতরণ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tr">
        <f>IFERROR(__xludf.DUMMYFUNCTION("""COMPUTED_VALUE"""),"noContact")</f>
        <v>noContact</v>
      </c>
      <c r="B82" s="2" t="str">
        <f>IFERROR(__xludf.DUMMYFUNCTION("""COMPUTED_VALUE"""),"No Contact")</f>
        <v>No Contact</v>
      </c>
      <c r="C82" s="2"/>
      <c r="D82" s="2" t="str">
        <f>IFERROR(__xludf.DUMMYFUNCTION("""COMPUTED_VALUE"""),"কোনো যোগাযোগ নেই")</f>
        <v>কোনো যোগাযোগ নেই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tr">
        <f>IFERROR(__xludf.DUMMYFUNCTION("""COMPUTED_VALUE"""),"scheduleDelivery")</f>
        <v>scheduleDelivery</v>
      </c>
      <c r="B83" s="2" t="str">
        <f>IFERROR(__xludf.DUMMYFUNCTION("""COMPUTED_VALUE"""),"Schedule Delivery")</f>
        <v>Schedule Delivery</v>
      </c>
      <c r="C83" s="2">
        <f>IFERROR(__xludf.DUMMYFUNCTION("""COMPUTED_VALUE"""),0.3)</f>
        <v>0.3</v>
      </c>
      <c r="D83" s="2" t="str">
        <f>IFERROR(__xludf.DUMMYFUNCTION("""COMPUTED_VALUE"""),"সময়সূচী বিতরণ")</f>
        <v>সময়সূচী বিতরণ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tr">
        <f>IFERROR(__xludf.DUMMYFUNCTION("""COMPUTED_VALUE"""),"am")</f>
        <v>am</v>
      </c>
      <c r="B84" s="2" t="str">
        <f>IFERROR(__xludf.DUMMYFUNCTION("""COMPUTED_VALUE"""),"AM")</f>
        <v>AM</v>
      </c>
      <c r="C84" s="2"/>
      <c r="D84" s="2" t="str">
        <f>IFERROR(__xludf.DUMMYFUNCTION("""COMPUTED_VALUE"""),"আমি")</f>
        <v>আমি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tr">
        <f>IFERROR(__xludf.DUMMYFUNCTION("""COMPUTED_VALUE"""),"pm")</f>
        <v>pm</v>
      </c>
      <c r="B85" s="2" t="str">
        <f>IFERROR(__xludf.DUMMYFUNCTION("""COMPUTED_VALUE"""),"PM")</f>
        <v>PM</v>
      </c>
      <c r="C85" s="2"/>
      <c r="D85" s="2" t="str">
        <f>IFERROR(__xludf.DUMMYFUNCTION("""COMPUTED_VALUE"""),"প্রধানমন্ত্রী")</f>
        <v>প্রধানমন্ত্রী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tr">
        <f>IFERROR(__xludf.DUMMYFUNCTION("""COMPUTED_VALUE"""),"hour")</f>
        <v>hour</v>
      </c>
      <c r="B86" s="2" t="str">
        <f>IFERROR(__xludf.DUMMYFUNCTION("""COMPUTED_VALUE"""),"Hour")</f>
        <v>Hour</v>
      </c>
      <c r="C86" s="2"/>
      <c r="D86" s="2" t="str">
        <f>IFERROR(__xludf.DUMMYFUNCTION("""COMPUTED_VALUE"""),"ঘন্টা")</f>
        <v>ঘন্টা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tr">
        <f>IFERROR(__xludf.DUMMYFUNCTION("""COMPUTED_VALUE"""),"freeDelivery")</f>
        <v>freeDelivery</v>
      </c>
      <c r="B87" s="2" t="str">
        <f>IFERROR(__xludf.DUMMYFUNCTION("""COMPUTED_VALUE"""),"Free Delivery")</f>
        <v>Free Delivery</v>
      </c>
      <c r="C87" s="2"/>
      <c r="D87" s="2" t="str">
        <f>IFERROR(__xludf.DUMMYFUNCTION("""COMPUTED_VALUE"""),"বিনামূল্যে বিতরণ")</f>
        <v>বিনামূল্যে বিতরণ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tr">
        <f>IFERROR(__xludf.DUMMYFUNCTION("""COMPUTED_VALUE"""),"enterCvv")</f>
        <v>enterCvv</v>
      </c>
      <c r="B88" s="2" t="str">
        <f>IFERROR(__xludf.DUMMYFUNCTION("""COMPUTED_VALUE"""),"Enter CVV")</f>
        <v>Enter CVV</v>
      </c>
      <c r="C88" s="2"/>
      <c r="D88" s="2" t="str">
        <f>IFERROR(__xludf.DUMMYFUNCTION("""COMPUTED_VALUE"""),"সিভিভি লিখুন")</f>
        <v>সিভিভি লিখুন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tr">
        <f>IFERROR(__xludf.DUMMYFUNCTION("""COMPUTED_VALUE"""),"cardNumber")</f>
        <v>cardNumber</v>
      </c>
      <c r="B89" s="2" t="str">
        <f>IFERROR(__xludf.DUMMYFUNCTION("""COMPUTED_VALUE"""),"Card Number")</f>
        <v>Card Number</v>
      </c>
      <c r="C89" s="2"/>
      <c r="D89" s="2" t="str">
        <f>IFERROR(__xludf.DUMMYFUNCTION("""COMPUTED_VALUE"""),"কার্ড নম্বর")</f>
        <v>কার্ড নম্বর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tr">
        <f>IFERROR(__xludf.DUMMYFUNCTION("""COMPUTED_VALUE"""),"expiry")</f>
        <v>expiry</v>
      </c>
      <c r="B90" s="2" t="str">
        <f>IFERROR(__xludf.DUMMYFUNCTION("""COMPUTED_VALUE"""),"Expiry")</f>
        <v>Expiry</v>
      </c>
      <c r="C90" s="2"/>
      <c r="D90" s="2" t="str">
        <f>IFERROR(__xludf.DUMMYFUNCTION("""COMPUTED_VALUE"""),"মেয়াদোত্তীর্ণ")</f>
        <v>মেয়াদোত্তীর্ণ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tr">
        <f>IFERROR(__xludf.DUMMYFUNCTION("""COMPUTED_VALUE"""),"nameOnCard")</f>
        <v>nameOnCard</v>
      </c>
      <c r="B91" s="2" t="str">
        <f>IFERROR(__xludf.DUMMYFUNCTION("""COMPUTED_VALUE"""),"Name on Card")</f>
        <v>Name on Card</v>
      </c>
      <c r="C91" s="2"/>
      <c r="D91" s="2" t="str">
        <f>IFERROR(__xludf.DUMMYFUNCTION("""COMPUTED_VALUE"""),"কার্ডের ওপর নাম")</f>
        <v>কার্ডের ওপর নাম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tr">
        <f>IFERROR(__xludf.DUMMYFUNCTION("""COMPUTED_VALUE"""),"saveCardDetails")</f>
        <v>saveCardDetails</v>
      </c>
      <c r="B92" s="2" t="str">
        <f>IFERROR(__xludf.DUMMYFUNCTION("""COMPUTED_VALUE"""),"Save Card Details")</f>
        <v>Save Card Details</v>
      </c>
      <c r="C92" s="2"/>
      <c r="D92" s="2" t="str">
        <f>IFERROR(__xludf.DUMMYFUNCTION("""COMPUTED_VALUE"""),"কার্ডের বিশদ সংরক্ষণ করুন")</f>
        <v>কার্ডের বিশদ সংরক্ষণ করুন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tr">
        <f>IFERROR(__xludf.DUMMYFUNCTION("""COMPUTED_VALUE"""),"icici")</f>
        <v>icici</v>
      </c>
      <c r="B93" s="2" t="str">
        <f>IFERROR(__xludf.DUMMYFUNCTION("""COMPUTED_VALUE"""),"ICICI")</f>
        <v>ICICI</v>
      </c>
      <c r="C93" s="2"/>
      <c r="D93" s="2" t="str">
        <f>IFERROR(__xludf.DUMMYFUNCTION("""COMPUTED_VALUE"""),"আইসিআইসিআই")</f>
        <v>আইসিআইসিআই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tr">
        <f>IFERROR(__xludf.DUMMYFUNCTION("""COMPUTED_VALUE"""),"sbi")</f>
        <v>sbi</v>
      </c>
      <c r="B94" s="2" t="str">
        <f>IFERROR(__xludf.DUMMYFUNCTION("""COMPUTED_VALUE"""),"SBI")</f>
        <v>SBI</v>
      </c>
      <c r="C94" s="2"/>
      <c r="D94" s="2" t="str">
        <f>IFERROR(__xludf.DUMMYFUNCTION("""COMPUTED_VALUE"""),"এসবিআই")</f>
        <v>এসবিআই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tr">
        <f>IFERROR(__xludf.DUMMYFUNCTION("""COMPUTED_VALUE"""),"hdfc")</f>
        <v>hdfc</v>
      </c>
      <c r="B95" s="2" t="str">
        <f>IFERROR(__xludf.DUMMYFUNCTION("""COMPUTED_VALUE"""),"HDFC")</f>
        <v>HDFC</v>
      </c>
      <c r="C95" s="2"/>
      <c r="D95" s="2" t="str">
        <f>IFERROR(__xludf.DUMMYFUNCTION("""COMPUTED_VALUE"""),"এইচডিএফসি")</f>
        <v>এইচডিএফসি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tr">
        <f>IFERROR(__xludf.DUMMYFUNCTION("""COMPUTED_VALUE"""),"moreBanks")</f>
        <v>moreBanks</v>
      </c>
      <c r="B96" s="2" t="str">
        <f>IFERROR(__xludf.DUMMYFUNCTION("""COMPUTED_VALUE"""),"More Banks")</f>
        <v>More Banks</v>
      </c>
      <c r="C96" s="2"/>
      <c r="D96" s="2" t="str">
        <f>IFERROR(__xludf.DUMMYFUNCTION("""COMPUTED_VALUE"""),"আরও ব্যাংক")</f>
        <v>আরও ব্যাংক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tr">
        <f>IFERROR(__xludf.DUMMYFUNCTION("""COMPUTED_VALUE"""),"orderConfirmed")</f>
        <v>orderConfirmed</v>
      </c>
      <c r="B97" s="2" t="str">
        <f>IFERROR(__xludf.DUMMYFUNCTION("""COMPUTED_VALUE"""),"Order Confirmed")</f>
        <v>Order Confirmed</v>
      </c>
      <c r="C97" s="2"/>
      <c r="D97" s="2" t="str">
        <f>IFERROR(__xludf.DUMMYFUNCTION("""COMPUTED_VALUE"""),"আদেশ সমর্থন করা হলো")</f>
        <v>আদেশ সমর্থন করা হলো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tr">
        <f>IFERROR(__xludf.DUMMYFUNCTION("""COMPUTED_VALUE"""),"orderNumber")</f>
        <v>orderNumber</v>
      </c>
      <c r="B98" s="2" t="str">
        <f>IFERROR(__xludf.DUMMYFUNCTION("""COMPUTED_VALUE"""),"Order Number")</f>
        <v>Order Number</v>
      </c>
      <c r="C98" s="2"/>
      <c r="D98" s="2" t="str">
        <f>IFERROR(__xludf.DUMMYFUNCTION("""COMPUTED_VALUE"""),"অর্ডার নম্বর")</f>
        <v>অর্ডার নম্বর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tr">
        <f>IFERROR(__xludf.DUMMYFUNCTION("""COMPUTED_VALUE"""),"payment")</f>
        <v>payment</v>
      </c>
      <c r="B99" s="2" t="str">
        <f>IFERROR(__xludf.DUMMYFUNCTION("""COMPUTED_VALUE"""),"Payment ")</f>
        <v>Payment </v>
      </c>
      <c r="C99" s="2"/>
      <c r="D99" s="2" t="str">
        <f>IFERROR(__xludf.DUMMYFUNCTION("""COMPUTED_VALUE"""),"অর্থ প্রদান")</f>
        <v>অর্থ প্রদান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tr">
        <f>IFERROR(__xludf.DUMMYFUNCTION("""COMPUTED_VALUE"""),"dateOfOrder")</f>
        <v>dateOfOrder</v>
      </c>
      <c r="B100" s="2" t="str">
        <f>IFERROR(__xludf.DUMMYFUNCTION("""COMPUTED_VALUE"""),"Date of Order")</f>
        <v>Date of Order</v>
      </c>
      <c r="C100" s="2"/>
      <c r="D100" s="2" t="str">
        <f>IFERROR(__xludf.DUMMYFUNCTION("""COMPUTED_VALUE"""),"আদেশের তারিখ")</f>
        <v>আদেশের তারিখ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tr">
        <f>IFERROR(__xludf.DUMMYFUNCTION("""COMPUTED_VALUE"""),"terms&amp;conditionsandprivacypolicy")</f>
        <v>terms&amp;conditionsandprivacypolicy</v>
      </c>
      <c r="B101" s="2" t="str">
        <f>IFERROR(__xludf.DUMMYFUNCTION("""COMPUTED_VALUE"""),"Terms &amp; Conditions and Privacy Policy")</f>
        <v>Terms &amp; Conditions and Privacy Policy</v>
      </c>
      <c r="C101" s="2">
        <f>IFERROR(__xludf.DUMMYFUNCTION("""COMPUTED_VALUE"""),0.2)</f>
        <v>0.2</v>
      </c>
      <c r="D101" s="2" t="str">
        <f>IFERROR(__xludf.DUMMYFUNCTION("""COMPUTED_VALUE"""),"শর্তাদি এবং শর্তাদি এবং গোপনীয়তা নীতি")</f>
        <v>শর্তাদি এবং শর্তাদি এবং গোপনীয়তা নীতি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tr">
        <f>IFERROR(__xludf.DUMMYFUNCTION("""COMPUTED_VALUE"""),"trackOrder")</f>
        <v>trackOrder</v>
      </c>
      <c r="B102" s="2" t="str">
        <f>IFERROR(__xludf.DUMMYFUNCTION("""COMPUTED_VALUE"""),"Track Order")</f>
        <v>Track Order</v>
      </c>
      <c r="C102" s="2">
        <f>IFERROR(__xludf.DUMMYFUNCTION("""COMPUTED_VALUE"""),0.2)</f>
        <v>0.2</v>
      </c>
      <c r="D102" s="2" t="str">
        <f>IFERROR(__xludf.DUMMYFUNCTION("""COMPUTED_VALUE"""),"ট্র্যাক আদেশ")</f>
        <v>ট্র্যাক আদেশ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tr">
        <f>IFERROR(__xludf.DUMMYFUNCTION("""COMPUTED_VALUE"""),"activeOrders")</f>
        <v>activeOrders</v>
      </c>
      <c r="B103" s="2" t="str">
        <f>IFERROR(__xludf.DUMMYFUNCTION("""COMPUTED_VALUE"""),"Active Orders")</f>
        <v>Active Orders</v>
      </c>
      <c r="C103" s="2"/>
      <c r="D103" s="2" t="str">
        <f>IFERROR(__xludf.DUMMYFUNCTION("""COMPUTED_VALUE"""),"সক্রিয় আদেশ")</f>
        <v>সক্রিয় আদেশ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tr">
        <f>IFERROR(__xludf.DUMMYFUNCTION("""COMPUTED_VALUE"""),"view")</f>
        <v>view</v>
      </c>
      <c r="B104" s="2" t="str">
        <f>IFERROR(__xludf.DUMMYFUNCTION("""COMPUTED_VALUE"""),"View")</f>
        <v>View</v>
      </c>
      <c r="C104" s="2"/>
      <c r="D104" s="2" t="str">
        <f>IFERROR(__xludf.DUMMYFUNCTION("""COMPUTED_VALUE"""),"দেখুন")</f>
        <v>দেখুন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tr">
        <f>IFERROR(__xludf.DUMMYFUNCTION("""COMPUTED_VALUE"""),"chat")</f>
        <v>chat</v>
      </c>
      <c r="B105" s="2" t="str">
        <f>IFERROR(__xludf.DUMMYFUNCTION("""COMPUTED_VALUE"""),"Chat")</f>
        <v>Chat</v>
      </c>
      <c r="C105" s="2"/>
      <c r="D105" s="2" t="str">
        <f>IFERROR(__xludf.DUMMYFUNCTION("""COMPUTED_VALUE"""),"চ্যাট")</f>
        <v>চ্যাট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tr">
        <f>IFERROR(__xludf.DUMMYFUNCTION("""COMPUTED_VALUE"""),"orderDetails")</f>
        <v>orderDetails</v>
      </c>
      <c r="B106" s="2" t="str">
        <f>IFERROR(__xludf.DUMMYFUNCTION("""COMPUTED_VALUE"""),"Order Details")</f>
        <v>Order Details</v>
      </c>
      <c r="C106" s="2"/>
      <c r="D106" s="2" t="str">
        <f>IFERROR(__xludf.DUMMYFUNCTION("""COMPUTED_VALUE"""),"আদেশ বিবরণী")</f>
        <v>আদেশ বিবরণী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tr">
        <f>IFERROR(__xludf.DUMMYFUNCTION("""COMPUTED_VALUE"""),"cancel")</f>
        <v>cancel</v>
      </c>
      <c r="B107" s="2" t="str">
        <f>IFERROR(__xludf.DUMMYFUNCTION("""COMPUTED_VALUE"""),"Cancel ")</f>
        <v>Cancel </v>
      </c>
      <c r="C107" s="2">
        <f>IFERROR(__xludf.DUMMYFUNCTION("""COMPUTED_VALUE"""),0.4)</f>
        <v>0.4</v>
      </c>
      <c r="D107" s="2" t="str">
        <f>IFERROR(__xludf.DUMMYFUNCTION("""COMPUTED_VALUE"""),"বাতিল")</f>
        <v>বাতিল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tr">
        <f>IFERROR(__xludf.DUMMYFUNCTION("""COMPUTED_VALUE"""),"PaymentPending")</f>
        <v>PaymentPending</v>
      </c>
      <c r="B108" s="2" t="str">
        <f>IFERROR(__xludf.DUMMYFUNCTION("""COMPUTED_VALUE"""),"Payment Pending")</f>
        <v>Payment Pending</v>
      </c>
      <c r="C108" s="2">
        <f>IFERROR(__xludf.DUMMYFUNCTION("""COMPUTED_VALUE"""),0.3)</f>
        <v>0.3</v>
      </c>
      <c r="D108" s="2" t="str">
        <f>IFERROR(__xludf.DUMMYFUNCTION("""COMPUTED_VALUE"""),"পেমেন্ট মুলতুবি")</f>
        <v>পেমেন্ট মুলতুবি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tr">
        <f>IFERROR(__xludf.DUMMYFUNCTION("""COMPUTED_VALUE"""),"support")</f>
        <v>support</v>
      </c>
      <c r="B109" s="2" t="str">
        <f>IFERROR(__xludf.DUMMYFUNCTION("""COMPUTED_VALUE"""),"Support")</f>
        <v>Support</v>
      </c>
      <c r="C109" s="2"/>
      <c r="D109" s="2" t="str">
        <f>IFERROR(__xludf.DUMMYFUNCTION("""COMPUTED_VALUE"""),"সমর্থন")</f>
        <v>সমর্থন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tr">
        <f>IFERROR(__xludf.DUMMYFUNCTION("""COMPUTED_VALUE"""),"payment")</f>
        <v>payment</v>
      </c>
      <c r="B110" s="2" t="str">
        <f>IFERROR(__xludf.DUMMYFUNCTION("""COMPUTED_VALUE"""),"Payment")</f>
        <v>Payment</v>
      </c>
      <c r="C110" s="2"/>
      <c r="D110" s="2" t="str">
        <f>IFERROR(__xludf.DUMMYFUNCTION("""COMPUTED_VALUE"""),"অর্থ প্রদান")</f>
        <v>অর্থ প্রদান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tr">
        <f>IFERROR(__xludf.DUMMYFUNCTION("""COMPUTED_VALUE"""),"orderTotal")</f>
        <v>orderTotal</v>
      </c>
      <c r="B111" s="2" t="str">
        <f>IFERROR(__xludf.DUMMYFUNCTION("""COMPUTED_VALUE"""),"Order Total")</f>
        <v>Order Total</v>
      </c>
      <c r="C111" s="2">
        <f>IFERROR(__xludf.DUMMYFUNCTION("""COMPUTED_VALUE"""),0.5)</f>
        <v>0.5</v>
      </c>
      <c r="D111" s="2" t="str">
        <f>IFERROR(__xludf.DUMMYFUNCTION("""COMPUTED_VALUE"""),"আদেশ মোট")</f>
        <v>আদেশ মোট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tr">
        <f>IFERROR(__xludf.DUMMYFUNCTION("""COMPUTED_VALUE"""),"orderPlaced")</f>
        <v>orderPlaced</v>
      </c>
      <c r="B112" s="2" t="str">
        <f>IFERROR(__xludf.DUMMYFUNCTION("""COMPUTED_VALUE"""),"Order Placed")</f>
        <v>Order Placed</v>
      </c>
      <c r="C112" s="2"/>
      <c r="D112" s="2" t="str">
        <f>IFERROR(__xludf.DUMMYFUNCTION("""COMPUTED_VALUE"""),"আদেশ স্থাপন")</f>
        <v>আদেশ স্থাপন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tr">
        <f>IFERROR(__xludf.DUMMYFUNCTION("""COMPUTED_VALUE"""),"orderAccepted")</f>
        <v>orderAccepted</v>
      </c>
      <c r="B113" s="2" t="str">
        <f>IFERROR(__xludf.DUMMYFUNCTION("""COMPUTED_VALUE"""),"Order Accepted")</f>
        <v>Order Accepted</v>
      </c>
      <c r="C113" s="2"/>
      <c r="D113" s="2" t="str">
        <f>IFERROR(__xludf.DUMMYFUNCTION("""COMPUTED_VALUE"""),"অর্ডার গৃহীত")</f>
        <v>অর্ডার গৃহীত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tr">
        <f>IFERROR(__xludf.DUMMYFUNCTION("""COMPUTED_VALUE"""),"processing")</f>
        <v>processing</v>
      </c>
      <c r="B114" s="2" t="str">
        <f>IFERROR(__xludf.DUMMYFUNCTION("""COMPUTED_VALUE"""),"Processing")</f>
        <v>Processing</v>
      </c>
      <c r="C114" s="2">
        <f>IFERROR(__xludf.DUMMYFUNCTION("""COMPUTED_VALUE"""),0.4)</f>
        <v>0.4</v>
      </c>
      <c r="D114" s="2" t="str">
        <f>IFERROR(__xludf.DUMMYFUNCTION("""COMPUTED_VALUE"""),"প্রক্রিয়াজাতকরণ")</f>
        <v>প্রক্রিয়াজাতকরণ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tr">
        <f>IFERROR(__xludf.DUMMYFUNCTION("""COMPUTED_VALUE"""),"ready")</f>
        <v>ready</v>
      </c>
      <c r="B115" s="2" t="str">
        <f>IFERROR(__xludf.DUMMYFUNCTION("""COMPUTED_VALUE"""),"Ready")</f>
        <v>Ready</v>
      </c>
      <c r="C115" s="2">
        <f>IFERROR(__xludf.DUMMYFUNCTION("""COMPUTED_VALUE"""),0.4)</f>
        <v>0.4</v>
      </c>
      <c r="D115" s="2" t="str">
        <f>IFERROR(__xludf.DUMMYFUNCTION("""COMPUTED_VALUE"""),"প্রস্তুত")</f>
        <v>প্রস্তুত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tr">
        <f>IFERROR(__xludf.DUMMYFUNCTION("""COMPUTED_VALUE"""),"dispatched")</f>
        <v>dispatched</v>
      </c>
      <c r="B116" s="2" t="str">
        <f>IFERROR(__xludf.DUMMYFUNCTION("""COMPUTED_VALUE"""),"Dispatched")</f>
        <v>Dispatched</v>
      </c>
      <c r="C116" s="2"/>
      <c r="D116" s="2" t="str">
        <f>IFERROR(__xludf.DUMMYFUNCTION("""COMPUTED_VALUE"""),"প্রেরণ")</f>
        <v>প্রেরণ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tr">
        <f>IFERROR(__xludf.DUMMYFUNCTION("""COMPUTED_VALUE"""),"contactSeller")</f>
        <v>contactSeller</v>
      </c>
      <c r="B117" s="2" t="str">
        <f>IFERROR(__xludf.DUMMYFUNCTION("""COMPUTED_VALUE"""),"Contact Seller")</f>
        <v>Contact Seller</v>
      </c>
      <c r="C117" s="2" t="str">
        <f>IFERROR(__xludf.DUMMYFUNCTION("""COMPUTED_VALUE"""),"0.4.1")</f>
        <v>0.4.1</v>
      </c>
      <c r="D117" s="2" t="str">
        <f>IFERROR(__xludf.DUMMYFUNCTION("""COMPUTED_VALUE"""),"বিক্রেতার সাথে যোগাযোগ করুন")</f>
        <v>বিক্রেতার সাথে যোগাযোগ করুন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tr">
        <f>IFERROR(__xludf.DUMMYFUNCTION("""COMPUTED_VALUE"""),"viewOrderSummary")</f>
        <v>viewOrderSummary</v>
      </c>
      <c r="B118" s="2" t="str">
        <f>IFERROR(__xludf.DUMMYFUNCTION("""COMPUTED_VALUE"""),"View Order Summary")</f>
        <v>View Order Summary</v>
      </c>
      <c r="C118" s="2"/>
      <c r="D118" s="2" t="str">
        <f>IFERROR(__xludf.DUMMYFUNCTION("""COMPUTED_VALUE"""),"অর্ডার সংক্ষিপ্তসার দেখুন")</f>
        <v>অর্ডার সংক্ষিপ্তসার দেখুন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tr">
        <f>IFERROR(__xludf.DUMMYFUNCTION("""COMPUTED_VALUE"""),"addInstructions")</f>
        <v>addInstructions</v>
      </c>
      <c r="B119" s="2" t="str">
        <f>IFERROR(__xludf.DUMMYFUNCTION("""COMPUTED_VALUE"""),"Add Instructions")</f>
        <v>Add Instructions</v>
      </c>
      <c r="C119" s="2"/>
      <c r="D119" s="2" t="str">
        <f>IFERROR(__xludf.DUMMYFUNCTION("""COMPUTED_VALUE"""),"নির্দেশাবলী যুক্ত করুন")</f>
        <v>নির্দেশাবলী যুক্ত করুন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tr">
        <f>IFERROR(__xludf.DUMMYFUNCTION("""COMPUTED_VALUE"""),"myAccount")</f>
        <v>myAccount</v>
      </c>
      <c r="B120" s="2" t="str">
        <f>IFERROR(__xludf.DUMMYFUNCTION("""COMPUTED_VALUE"""),"My Account ")</f>
        <v>My Account </v>
      </c>
      <c r="C120" s="2">
        <f>IFERROR(__xludf.DUMMYFUNCTION("""COMPUTED_VALUE"""),0.1)</f>
        <v>0.1</v>
      </c>
      <c r="D120" s="2" t="str">
        <f>IFERROR(__xludf.DUMMYFUNCTION("""COMPUTED_VALUE"""),"আমার অ্যাকাউন্ট")</f>
        <v>আমার অ্যাকাউন্ট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tr">
        <f>IFERROR(__xludf.DUMMYFUNCTION("""COMPUTED_VALUE"""),"favourite")</f>
        <v>favourite</v>
      </c>
      <c r="B121" s="2" t="str">
        <f>IFERROR(__xludf.DUMMYFUNCTION("""COMPUTED_VALUE"""),"Favourite")</f>
        <v>Favourite</v>
      </c>
      <c r="C121" s="2">
        <f>IFERROR(__xludf.DUMMYFUNCTION("""COMPUTED_VALUE"""),0.1)</f>
        <v>0.1</v>
      </c>
      <c r="D121" s="2" t="str">
        <f>IFERROR(__xludf.DUMMYFUNCTION("""COMPUTED_VALUE"""),"প্রিয়")</f>
        <v>প্রিয়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tr">
        <f>IFERROR(__xludf.DUMMYFUNCTION("""COMPUTED_VALUE"""),"settings")</f>
        <v>settings</v>
      </c>
      <c r="B122" s="2" t="str">
        <f>IFERROR(__xludf.DUMMYFUNCTION("""COMPUTED_VALUE"""),"Settings")</f>
        <v>Settings</v>
      </c>
      <c r="C122" s="2">
        <f>IFERROR(__xludf.DUMMYFUNCTION("""COMPUTED_VALUE"""),0.1)</f>
        <v>0.1</v>
      </c>
      <c r="D122" s="2" t="str">
        <f>IFERROR(__xludf.DUMMYFUNCTION("""COMPUTED_VALUE"""),"সেটিংস")</f>
        <v>সেটিংস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tr">
        <f>IFERROR(__xludf.DUMMYFUNCTION("""COMPUTED_VALUE"""),"myAddress")</f>
        <v>myAddress</v>
      </c>
      <c r="B123" s="2" t="str">
        <f>IFERROR(__xludf.DUMMYFUNCTION("""COMPUTED_VALUE"""),"My Address")</f>
        <v>My Address</v>
      </c>
      <c r="C123" s="2">
        <f>IFERROR(__xludf.DUMMYFUNCTION("""COMPUTED_VALUE"""),0.1)</f>
        <v>0.1</v>
      </c>
      <c r="D123" s="2" t="str">
        <f>IFERROR(__xludf.DUMMYFUNCTION("""COMPUTED_VALUE"""),"আমার ঠিকানা")</f>
        <v>আমার ঠিকানা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tr">
        <f>IFERROR(__xludf.DUMMYFUNCTION("""COMPUTED_VALUE"""),"myFamily")</f>
        <v>myFamily</v>
      </c>
      <c r="B124" s="2" t="str">
        <f>IFERROR(__xludf.DUMMYFUNCTION("""COMPUTED_VALUE"""),"My Family")</f>
        <v>My Family</v>
      </c>
      <c r="C124" s="2">
        <f>IFERROR(__xludf.DUMMYFUNCTION("""COMPUTED_VALUE"""),0.5)</f>
        <v>0.5</v>
      </c>
      <c r="D124" s="2" t="str">
        <f>IFERROR(__xludf.DUMMYFUNCTION("""COMPUTED_VALUE"""),"আমার পরিবার")</f>
        <v>আমার পরিবার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tr">
        <f>IFERROR(__xludf.DUMMYFUNCTION("""COMPUTED_VALUE"""),"refer")</f>
        <v>refer</v>
      </c>
      <c r="B125" s="2" t="str">
        <f>IFERROR(__xludf.DUMMYFUNCTION("""COMPUTED_VALUE"""),"Refer")</f>
        <v>Refer</v>
      </c>
      <c r="C125" s="2">
        <f>IFERROR(__xludf.DUMMYFUNCTION("""COMPUTED_VALUE"""),0.1)</f>
        <v>0.1</v>
      </c>
      <c r="D125" s="2" t="str">
        <f>IFERROR(__xludf.DUMMYFUNCTION("""COMPUTED_VALUE"""),"উল্লেখ করুন")</f>
        <v>উল্লেখ করুন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tr">
        <f>IFERROR(__xludf.DUMMYFUNCTION("""COMPUTED_VALUE"""),"consumer")</f>
        <v>consumer</v>
      </c>
      <c r="B126" s="2" t="str">
        <f>IFERROR(__xludf.DUMMYFUNCTION("""COMPUTED_VALUE"""),"Consumer")</f>
        <v>Consumer</v>
      </c>
      <c r="C126" s="2">
        <f>IFERROR(__xludf.DUMMYFUNCTION("""COMPUTED_VALUE"""),0.1)</f>
        <v>0.1</v>
      </c>
      <c r="D126" s="2" t="str">
        <f>IFERROR(__xludf.DUMMYFUNCTION("""COMPUTED_VALUE"""),"গ্রাহক")</f>
        <v>গ্রাহক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tr">
        <f>IFERROR(__xludf.DUMMYFUNCTION("""COMPUTED_VALUE"""),"business")</f>
        <v>business</v>
      </c>
      <c r="B127" s="2" t="str">
        <f>IFERROR(__xludf.DUMMYFUNCTION("""COMPUTED_VALUE"""),"Business")</f>
        <v>Business</v>
      </c>
      <c r="C127" s="2">
        <f>IFERROR(__xludf.DUMMYFUNCTION("""COMPUTED_VALUE"""),0.5)</f>
        <v>0.5</v>
      </c>
      <c r="D127" s="2" t="str">
        <f>IFERROR(__xludf.DUMMYFUNCTION("""COMPUTED_VALUE"""),"ব্যবসা")</f>
        <v>ব্যবসা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tr">
        <f>IFERROR(__xludf.DUMMYFUNCTION("""COMPUTED_VALUE"""),"postOrder")</f>
        <v>postOrder</v>
      </c>
      <c r="B128" s="2" t="str">
        <f>IFERROR(__xludf.DUMMYFUNCTION("""COMPUTED_VALUE"""),"Post Order")</f>
        <v>Post Order</v>
      </c>
      <c r="C128" s="2"/>
      <c r="D128" s="2" t="str">
        <f>IFERROR(__xludf.DUMMYFUNCTION("""COMPUTED_VALUE"""),"পোস্ট অর্ডার")</f>
        <v>পোস্ট অর্ডার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tr">
        <f>IFERROR(__xludf.DUMMYFUNCTION("""COMPUTED_VALUE"""),"logout")</f>
        <v>logout</v>
      </c>
      <c r="B129" s="2" t="str">
        <f>IFERROR(__xludf.DUMMYFUNCTION("""COMPUTED_VALUE"""),"Log Out")</f>
        <v>Log Out</v>
      </c>
      <c r="C129" s="2">
        <f>IFERROR(__xludf.DUMMYFUNCTION("""COMPUTED_VALUE"""),0.1)</f>
        <v>0.1</v>
      </c>
      <c r="D129" s="2" t="str">
        <f>IFERROR(__xludf.DUMMYFUNCTION("""COMPUTED_VALUE"""),"প্রস্থান")</f>
        <v>প্রস্থান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tr">
        <f>IFERROR(__xludf.DUMMYFUNCTION("""COMPUTED_VALUE"""),"me")</f>
        <v>me</v>
      </c>
      <c r="B130" s="2" t="str">
        <f>IFERROR(__xludf.DUMMYFUNCTION("""COMPUTED_VALUE"""),"Me")</f>
        <v>Me</v>
      </c>
      <c r="C130" s="2">
        <f>IFERROR(__xludf.DUMMYFUNCTION("""COMPUTED_VALUE"""),0.5)</f>
        <v>0.5</v>
      </c>
      <c r="D130" s="2" t="str">
        <f>IFERROR(__xludf.DUMMYFUNCTION("""COMPUTED_VALUE"""),"আমাকে")</f>
        <v>আমাকে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tr">
        <f>IFERROR(__xludf.DUMMYFUNCTION("""COMPUTED_VALUE"""),"contactNumber")</f>
        <v>contactNumber</v>
      </c>
      <c r="B131" s="2" t="str">
        <f>IFERROR(__xludf.DUMMYFUNCTION("""COMPUTED_VALUE"""),"Contact Number")</f>
        <v>Contact Number</v>
      </c>
      <c r="C131" s="2"/>
      <c r="D131" s="2" t="str">
        <f>IFERROR(__xludf.DUMMYFUNCTION("""COMPUTED_VALUE"""),"যোগাযোগের নম্বর")</f>
        <v>যোগাযোগের নম্বর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tr">
        <f>IFERROR(__xludf.DUMMYFUNCTION("""COMPUTED_VALUE"""),"relation")</f>
        <v>relation</v>
      </c>
      <c r="B132" s="2" t="str">
        <f>IFERROR(__xludf.DUMMYFUNCTION("""COMPUTED_VALUE"""),"Relation")</f>
        <v>Relation</v>
      </c>
      <c r="C132" s="2">
        <f>IFERROR(__xludf.DUMMYFUNCTION("""COMPUTED_VALUE"""),0.5)</f>
        <v>0.5</v>
      </c>
      <c r="D132" s="2" t="str">
        <f>IFERROR(__xludf.DUMMYFUNCTION("""COMPUTED_VALUE"""),"সম্পর্ক")</f>
        <v>সম্পর্ক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tr">
        <f>IFERROR(__xludf.DUMMYFUNCTION("""COMPUTED_VALUE"""),"getOtp")</f>
        <v>getOtp</v>
      </c>
      <c r="B133" s="2" t="str">
        <f>IFERROR(__xludf.DUMMYFUNCTION("""COMPUTED_VALUE"""),"Get OTP")</f>
        <v>Get OTP</v>
      </c>
      <c r="C133" s="2">
        <f>IFERROR(__xludf.DUMMYFUNCTION("""COMPUTED_VALUE"""),0.1)</f>
        <v>0.1</v>
      </c>
      <c r="D133" s="2" t="str">
        <f>IFERROR(__xludf.DUMMYFUNCTION("""COMPUTED_VALUE"""),"ওটিপি পান")</f>
        <v>ওটিপি পান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tr">
        <f>IFERROR(__xludf.DUMMYFUNCTION("""COMPUTED_VALUE"""),"enterOtp")</f>
        <v>enterOtp</v>
      </c>
      <c r="B134" s="2" t="str">
        <f>IFERROR(__xludf.DUMMYFUNCTION("""COMPUTED_VALUE"""),"Enter OTP")</f>
        <v>Enter OTP</v>
      </c>
      <c r="C134" s="2">
        <f>IFERROR(__xludf.DUMMYFUNCTION("""COMPUTED_VALUE"""),0.1)</f>
        <v>0.1</v>
      </c>
      <c r="D134" s="2" t="str">
        <f>IFERROR(__xludf.DUMMYFUNCTION("""COMPUTED_VALUE"""),"ওটিপি প্রবেশ করান")</f>
        <v>ওটিপি প্রবেশ করান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tr">
        <f>IFERROR(__xludf.DUMMYFUNCTION("""COMPUTED_VALUE"""),"mail")</f>
        <v>mail</v>
      </c>
      <c r="B135" s="2" t="str">
        <f>IFERROR(__xludf.DUMMYFUNCTION("""COMPUTED_VALUE"""),"Mail")</f>
        <v>Mail</v>
      </c>
      <c r="C135" s="2"/>
      <c r="D135" s="2" t="str">
        <f>IFERROR(__xludf.DUMMYFUNCTION("""COMPUTED_VALUE"""),"মেল")</f>
        <v>মেল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tr">
        <f>IFERROR(__xludf.DUMMYFUNCTION("""COMPUTED_VALUE"""),"facebook")</f>
        <v>facebook</v>
      </c>
      <c r="B136" s="2" t="str">
        <f>IFERROR(__xludf.DUMMYFUNCTION("""COMPUTED_VALUE"""),"Facebook")</f>
        <v>Facebook</v>
      </c>
      <c r="C136" s="2"/>
      <c r="D136" s="2" t="str">
        <f>IFERROR(__xludf.DUMMYFUNCTION("""COMPUTED_VALUE"""),"ফেসবুক")</f>
        <v>ফেসবুক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tr">
        <f>IFERROR(__xludf.DUMMYFUNCTION("""COMPUTED_VALUE"""),"newaddress")</f>
        <v>newaddress</v>
      </c>
      <c r="B137" s="2" t="str">
        <f>IFERROR(__xludf.DUMMYFUNCTION("""COMPUTED_VALUE"""),"New Address")</f>
        <v>New Address</v>
      </c>
      <c r="C137" s="2">
        <f>IFERROR(__xludf.DUMMYFUNCTION("""COMPUTED_VALUE"""),0.3)</f>
        <v>0.3</v>
      </c>
      <c r="D137" s="2" t="str">
        <f>IFERROR(__xludf.DUMMYFUNCTION("""COMPUTED_VALUE"""),"নতুন ঠিকানা")</f>
        <v>নতুন ঠিকানা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tr">
        <f>IFERROR(__xludf.DUMMYFUNCTION("""COMPUTED_VALUE"""),"reorder ")</f>
        <v>reorder </v>
      </c>
      <c r="B138" s="2" t="str">
        <f>IFERROR(__xludf.DUMMYFUNCTION("""COMPUTED_VALUE"""),"Reorder")</f>
        <v>Reorder</v>
      </c>
      <c r="C138" s="2">
        <f>IFERROR(__xludf.DUMMYFUNCTION("""COMPUTED_VALUE"""),0.5)</f>
        <v>0.5</v>
      </c>
      <c r="D138" s="2" t="str">
        <f>IFERROR(__xludf.DUMMYFUNCTION("""COMPUTED_VALUE"""),"পুনরায় অর্ডার")</f>
        <v>পুনরায় অর্ডার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tr">
        <f>IFERROR(__xludf.DUMMYFUNCTION("""COMPUTED_VALUE"""),"contact")</f>
        <v>contact</v>
      </c>
      <c r="B139" s="2" t="str">
        <f>IFERROR(__xludf.DUMMYFUNCTION("""COMPUTED_VALUE"""),"Contact ")</f>
        <v>Contact </v>
      </c>
      <c r="C139" s="2"/>
      <c r="D139" s="2" t="str">
        <f>IFERROR(__xludf.DUMMYFUNCTION("""COMPUTED_VALUE"""),"যোগাযোগ")</f>
        <v>যোগাযোগ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tr">
        <f>IFERROR(__xludf.DUMMYFUNCTION("""COMPUTED_VALUE"""),"update")</f>
        <v>update</v>
      </c>
      <c r="B140" s="2" t="str">
        <f>IFERROR(__xludf.DUMMYFUNCTION("""COMPUTED_VALUE"""),"Update ")</f>
        <v>Update </v>
      </c>
      <c r="C140" s="2">
        <f>IFERROR(__xludf.DUMMYFUNCTION("""COMPUTED_VALUE"""),0.2)</f>
        <v>0.2</v>
      </c>
      <c r="D140" s="2" t="str">
        <f>IFERROR(__xludf.DUMMYFUNCTION("""COMPUTED_VALUE"""),"হালনাগাদ")</f>
        <v>হালনাগাদ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tr">
        <f>IFERROR(__xludf.DUMMYFUNCTION("""COMPUTED_VALUE"""),"OrderNotification")</f>
        <v>OrderNotification</v>
      </c>
      <c r="B141" s="2" t="str">
        <f>IFERROR(__xludf.DUMMYFUNCTION("""COMPUTED_VALUE"""),"Order Notification")</f>
        <v>Order Notification</v>
      </c>
      <c r="C141" s="2">
        <f>IFERROR(__xludf.DUMMYFUNCTION("""COMPUTED_VALUE"""),0.3)</f>
        <v>0.3</v>
      </c>
      <c r="D141" s="2" t="str">
        <f>IFERROR(__xludf.DUMMYFUNCTION("""COMPUTED_VALUE"""),"এই আদেশ বিতরণ করা হয়েছিল")</f>
        <v>এই আদেশ বিতরণ করা হয়েছিল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tr">
        <f>IFERROR(__xludf.DUMMYFUNCTION("""COMPUTED_VALUE"""),"items")</f>
        <v>items</v>
      </c>
      <c r="B142" s="2" t="str">
        <f>IFERROR(__xludf.DUMMYFUNCTION("""COMPUTED_VALUE"""),"Items")</f>
        <v>Items</v>
      </c>
      <c r="C142" s="2"/>
      <c r="D142" s="2" t="str">
        <f>IFERROR(__xludf.DUMMYFUNCTION("""COMPUTED_VALUE"""),"আইটেম")</f>
        <v>আইটেম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tr">
        <f>IFERROR(__xludf.DUMMYFUNCTION("""COMPUTED_VALUE"""),"shops")</f>
        <v>shops</v>
      </c>
      <c r="B143" s="2" t="str">
        <f>IFERROR(__xludf.DUMMYFUNCTION("""COMPUTED_VALUE"""),"Shops")</f>
        <v>Shops</v>
      </c>
      <c r="C143" s="2"/>
      <c r="D143" s="2" t="str">
        <f>IFERROR(__xludf.DUMMYFUNCTION("""COMPUTED_VALUE"""),"দোকান")</f>
        <v>দোকান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tr">
        <f>IFERROR(__xludf.DUMMYFUNCTION("""COMPUTED_VALUE"""),"allowLocation")</f>
        <v>allowLocation</v>
      </c>
      <c r="B144" s="2" t="str">
        <f>IFERROR(__xludf.DUMMYFUNCTION("""COMPUTED_VALUE"""),"Allow Location")</f>
        <v>Allow Location</v>
      </c>
      <c r="C144" s="2"/>
      <c r="D144" s="2" t="str">
        <f>IFERROR(__xludf.DUMMYFUNCTION("""COMPUTED_VALUE"""),"অবস্থান অনুমতি দিন")</f>
        <v>অবস্থান অনুমতি দিন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tr">
        <f>IFERROR(__xludf.DUMMYFUNCTION("""COMPUTED_VALUE"""),"allowNotification")</f>
        <v>allowNotification</v>
      </c>
      <c r="B145" s="2" t="str">
        <f>IFERROR(__xludf.DUMMYFUNCTION("""COMPUTED_VALUE"""),"Allow Notification")</f>
        <v>Allow Notification</v>
      </c>
      <c r="C145" s="2"/>
      <c r="D145" s="2" t="str">
        <f>IFERROR(__xludf.DUMMYFUNCTION("""COMPUTED_VALUE"""),"বিজ্ঞপ্তি অনুমতি দিন")</f>
        <v>বিজ্ঞপ্তি অনুমতি দিন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tr">
        <f>IFERROR(__xludf.DUMMYFUNCTION("""COMPUTED_VALUE"""),"History")</f>
        <v>History</v>
      </c>
      <c r="B146" s="2" t="str">
        <f>IFERROR(__xludf.DUMMYFUNCTION("""COMPUTED_VALUE"""),"History")</f>
        <v>History</v>
      </c>
      <c r="C146" s="2">
        <f>IFERROR(__xludf.DUMMYFUNCTION("""COMPUTED_VALUE"""),0.3)</f>
        <v>0.3</v>
      </c>
      <c r="D146" s="2" t="str">
        <f>IFERROR(__xludf.DUMMYFUNCTION("""COMPUTED_VALUE"""),"ফল নির্বাচন করুন")</f>
        <v>ফল নির্বাচন করুন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tr">
        <f>IFERROR(__xludf.DUMMYFUNCTION("""COMPUTED_VALUE"""),"homeWork")</f>
        <v>homeWork</v>
      </c>
      <c r="B147" s="2" t="str">
        <f>IFERROR(__xludf.DUMMYFUNCTION("""COMPUTED_VALUE"""),"Home Work")</f>
        <v>Home Work</v>
      </c>
      <c r="C147" s="2"/>
      <c r="D147" s="2" t="str">
        <f>IFERROR(__xludf.DUMMYFUNCTION("""COMPUTED_VALUE"""),"বাড়ির কাজ")</f>
        <v>বাড়ির কাজ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 t="str">
        <f>IFERROR(__xludf.DUMMYFUNCTION("""COMPUTED_VALUE"""),"addNewAddress")</f>
        <v>addNewAddress</v>
      </c>
      <c r="B148" s="2" t="str">
        <f>IFERROR(__xludf.DUMMYFUNCTION("""COMPUTED_VALUE"""),"Add New Address")</f>
        <v>Add New Address</v>
      </c>
      <c r="C148" s="2">
        <f>IFERROR(__xludf.DUMMYFUNCTION("""COMPUTED_VALUE"""),0.5)</f>
        <v>0.5</v>
      </c>
      <c r="D148" s="2" t="str">
        <f>IFERROR(__xludf.DUMMYFUNCTION("""COMPUTED_VALUE"""),"নতুন ঠিকানা যোগ করুন")</f>
        <v>নতুন ঠিকানা যোগ করুন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tr">
        <f>IFERROR(__xludf.DUMMYFUNCTION("""COMPUTED_VALUE"""),"landMark")</f>
        <v>landMark</v>
      </c>
      <c r="B149" s="2" t="str">
        <f>IFERROR(__xludf.DUMMYFUNCTION("""COMPUTED_VALUE"""),"Landmark")</f>
        <v>Landmark</v>
      </c>
      <c r="C149" s="2"/>
      <c r="D149" s="2" t="str">
        <f>IFERROR(__xludf.DUMMYFUNCTION("""COMPUTED_VALUE"""),"ল্যান্ডমার্ক")</f>
        <v>ল্যান্ডমার্ক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tr">
        <f>IFERROR(__xludf.DUMMYFUNCTION("""COMPUTED_VALUE"""),"saveAndProceed")</f>
        <v>saveAndProceed</v>
      </c>
      <c r="B150" s="2" t="str">
        <f>IFERROR(__xludf.DUMMYFUNCTION("""COMPUTED_VALUE"""),"Save and Proceed")</f>
        <v>Save and Proceed</v>
      </c>
      <c r="C150" s="2">
        <f>IFERROR(__xludf.DUMMYFUNCTION("""COMPUTED_VALUE"""),0.3)</f>
        <v>0.3</v>
      </c>
      <c r="D150" s="2" t="str">
        <f>IFERROR(__xludf.DUMMYFUNCTION("""COMPUTED_VALUE"""),"সংরক্ষণ এবং এগিয়ে যান")</f>
        <v>সংরক্ষণ এবং এগিয়ে যান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tr">
        <f>IFERROR(__xludf.DUMMYFUNCTION("""COMPUTED_VALUE"""),"termsAndConditions")</f>
        <v>termsAndConditions</v>
      </c>
      <c r="B151" s="2" t="str">
        <f>IFERROR(__xludf.DUMMYFUNCTION("""COMPUTED_VALUE"""),"Terms and Conditions ")</f>
        <v>Terms and Conditions </v>
      </c>
      <c r="C151" s="2">
        <f>IFERROR(__xludf.DUMMYFUNCTION("""COMPUTED_VALUE"""),0.3)</f>
        <v>0.3</v>
      </c>
      <c r="D151" s="2" t="str">
        <f>IFERROR(__xludf.DUMMYFUNCTION("""COMPUTED_VALUE"""),"শর্তাবলী")</f>
        <v>শর্তাবলী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 t="str">
        <f>IFERROR(__xludf.DUMMYFUNCTION("""COMPUTED_VALUE"""),"faqs")</f>
        <v>faqs</v>
      </c>
      <c r="B152" s="2" t="str">
        <f>IFERROR(__xludf.DUMMYFUNCTION("""COMPUTED_VALUE"""),"FAQs")</f>
        <v>FAQs</v>
      </c>
      <c r="C152" s="2">
        <f>IFERROR(__xludf.DUMMYFUNCTION("""COMPUTED_VALUE"""),0.2)</f>
        <v>0.2</v>
      </c>
      <c r="D152" s="2" t="str">
        <f>IFERROR(__xludf.DUMMYFUNCTION("""COMPUTED_VALUE"""),"FAQS")</f>
        <v>FAQS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 t="str">
        <f>IFERROR(__xludf.DUMMYFUNCTION("""COMPUTED_VALUE"""),"privacyPolicy")</f>
        <v>privacyPolicy</v>
      </c>
      <c r="B153" s="2" t="str">
        <f>IFERROR(__xludf.DUMMYFUNCTION("""COMPUTED_VALUE"""),"Privacy Policy ")</f>
        <v>Privacy Policy </v>
      </c>
      <c r="C153" s="2">
        <f>IFERROR(__xludf.DUMMYFUNCTION("""COMPUTED_VALUE"""),0.3)</f>
        <v>0.3</v>
      </c>
      <c r="D153" s="2" t="str">
        <f>IFERROR(__xludf.DUMMYFUNCTION("""COMPUTED_VALUE"""),"গোপনীয়তা নীতি")</f>
        <v>গোপনীয়তা নীতি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tr">
        <f>IFERROR(__xludf.DUMMYFUNCTION("""COMPUTED_VALUE"""),"contactUs")</f>
        <v>contactUs</v>
      </c>
      <c r="B154" s="2" t="str">
        <f>IFERROR(__xludf.DUMMYFUNCTION("""COMPUTED_VALUE"""),"Contact Us")</f>
        <v>Contact Us</v>
      </c>
      <c r="C154" s="2"/>
      <c r="D154" s="2" t="str">
        <f>IFERROR(__xludf.DUMMYFUNCTION("""COMPUTED_VALUE"""),"যোগাযোগ করুন")</f>
        <v>যোগাযোগ করুন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 t="str">
        <f>IFERROR(__xludf.DUMMYFUNCTION("""COMPUTED_VALUE"""),"customerCare")</f>
        <v>customerCare</v>
      </c>
      <c r="B155" s="2" t="str">
        <f>IFERROR(__xludf.DUMMYFUNCTION("""COMPUTED_VALUE"""),"Customer Care")</f>
        <v>Customer Care</v>
      </c>
      <c r="C155" s="2"/>
      <c r="D155" s="2" t="str">
        <f>IFERROR(__xludf.DUMMYFUNCTION("""COMPUTED_VALUE"""),"গ্রাহক সেবা")</f>
        <v>গ্রাহক সেবা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 t="str">
        <f>IFERROR(__xludf.DUMMYFUNCTION("""COMPUTED_VALUE"""),"customerCareNumber")</f>
        <v>customerCareNumber</v>
      </c>
      <c r="B156" s="2" t="str">
        <f>IFERROR(__xludf.DUMMYFUNCTION("""COMPUTED_VALUE"""),"Customer Care Number ")</f>
        <v>Customer Care Number </v>
      </c>
      <c r="C156" s="2"/>
      <c r="D156" s="2" t="str">
        <f>IFERROR(__xludf.DUMMYFUNCTION("""COMPUTED_VALUE"""),"গ্রাহক যত্ন নম্বর")</f>
        <v>গ্রাহক যত্ন নম্বর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 t="str">
        <f>IFERROR(__xludf.DUMMYFUNCTION("""COMPUTED_VALUE"""),"yes")</f>
        <v>yes</v>
      </c>
      <c r="B157" s="2" t="str">
        <f>IFERROR(__xludf.DUMMYFUNCTION("""COMPUTED_VALUE"""),"Yes")</f>
        <v>Yes</v>
      </c>
      <c r="C157" s="2">
        <f>IFERROR(__xludf.DUMMYFUNCTION("""COMPUTED_VALUE"""),0.5)</f>
        <v>0.5</v>
      </c>
      <c r="D157" s="2" t="str">
        <f>IFERROR(__xludf.DUMMYFUNCTION("""COMPUTED_VALUE"""),"হ্যাঁ")</f>
        <v>হ্যাঁ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 t="str">
        <f>IFERROR(__xludf.DUMMYFUNCTION("""COMPUTED_VALUE"""),"no")</f>
        <v>no</v>
      </c>
      <c r="B158" s="2" t="str">
        <f>IFERROR(__xludf.DUMMYFUNCTION("""COMPUTED_VALUE"""),"No ")</f>
        <v>No </v>
      </c>
      <c r="C158" s="2">
        <f>IFERROR(__xludf.DUMMYFUNCTION("""COMPUTED_VALUE"""),0.1)</f>
        <v>0.1</v>
      </c>
      <c r="D158" s="2" t="str">
        <f>IFERROR(__xludf.DUMMYFUNCTION("""COMPUTED_VALUE"""),"না")</f>
        <v>না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 t="str">
        <f>IFERROR(__xludf.DUMMYFUNCTION("""COMPUTED_VALUE"""),"validateAgain")</f>
        <v>validateAgain</v>
      </c>
      <c r="B159" s="2" t="str">
        <f>IFERROR(__xludf.DUMMYFUNCTION("""COMPUTED_VALUE"""),"Validate Again")</f>
        <v>Validate Again</v>
      </c>
      <c r="C159" s="2"/>
      <c r="D159" s="2" t="str">
        <f>IFERROR(__xludf.DUMMYFUNCTION("""COMPUTED_VALUE"""),"আবার বৈধতা")</f>
        <v>আবার বৈধতা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 t="str">
        <f>IFERROR(__xludf.DUMMYFUNCTION("""COMPUTED_VALUE"""),"employee")</f>
        <v>employee</v>
      </c>
      <c r="B160" s="2" t="str">
        <f>IFERROR(__xludf.DUMMYFUNCTION("""COMPUTED_VALUE"""),"Employee ")</f>
        <v>Employee </v>
      </c>
      <c r="C160" s="2">
        <f>IFERROR(__xludf.DUMMYFUNCTION("""COMPUTED_VALUE"""),0.2)</f>
        <v>0.2</v>
      </c>
      <c r="D160" s="2" t="str">
        <f>IFERROR(__xludf.DUMMYFUNCTION("""COMPUTED_VALUE"""),"কর্মচারী")</f>
        <v>কর্মচারী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 t="str">
        <f>IFERROR(__xludf.DUMMYFUNCTION("""COMPUTED_VALUE"""),"ConfirmPayment")</f>
        <v>ConfirmPayment</v>
      </c>
      <c r="B161" s="2" t="str">
        <f>IFERROR(__xludf.DUMMYFUNCTION("""COMPUTED_VALUE"""),"Confirm Payment")</f>
        <v>Confirm Payment</v>
      </c>
      <c r="C161" s="2">
        <f>IFERROR(__xludf.DUMMYFUNCTION("""COMPUTED_VALUE"""),0.3)</f>
        <v>0.3</v>
      </c>
      <c r="D161" s="2" t="str">
        <f>IFERROR(__xludf.DUMMYFUNCTION("""COMPUTED_VALUE"""),"পেমেন্ট নিশ্চিত করুন")</f>
        <v>পেমেন্ট নিশ্চিত করুন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 t="str">
        <f>IFERROR(__xludf.DUMMYFUNCTION("""COMPUTED_VALUE"""),"rateorder")</f>
        <v>rateorder</v>
      </c>
      <c r="B162" s="2" t="str">
        <f>IFERROR(__xludf.DUMMYFUNCTION("""COMPUTED_VALUE"""),"Rate Order")</f>
        <v>Rate Order</v>
      </c>
      <c r="C162" s="2">
        <f>IFERROR(__xludf.DUMMYFUNCTION("""COMPUTED_VALUE"""),0.5)</f>
        <v>0.5</v>
      </c>
      <c r="D162" s="2" t="str">
        <f>IFERROR(__xludf.DUMMYFUNCTION("""COMPUTED_VALUE"""),"রেট অর্ডার")</f>
        <v>রেট অর্ডার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 t="str">
        <f>IFERROR(__xludf.DUMMYFUNCTION("""COMPUTED_VALUE"""),"onboard")</f>
        <v>onboard</v>
      </c>
      <c r="B163" s="2" t="str">
        <f>IFERROR(__xludf.DUMMYFUNCTION("""COMPUTED_VALUE"""),"Onboard ")</f>
        <v>Onboard </v>
      </c>
      <c r="C163" s="2">
        <f>IFERROR(__xludf.DUMMYFUNCTION("""COMPUTED_VALUE"""),0.5)</f>
        <v>0.5</v>
      </c>
      <c r="D163" s="2" t="str">
        <f>IFERROR(__xludf.DUMMYFUNCTION("""COMPUTED_VALUE"""),"বোর্ডে")</f>
        <v>বোর্ডে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 t="str">
        <f>IFERROR(__xludf.DUMMYFUNCTION("""COMPUTED_VALUE"""),"selfOnBoard")</f>
        <v>selfOnBoard</v>
      </c>
      <c r="B164" s="2" t="str">
        <f>IFERROR(__xludf.DUMMYFUNCTION("""COMPUTED_VALUE"""),"Self Onboard ")</f>
        <v>Self Onboard </v>
      </c>
      <c r="C164" s="2"/>
      <c r="D164" s="2" t="str">
        <f>IFERROR(__xludf.DUMMYFUNCTION("""COMPUTED_VALUE"""),"অনবোর্ড স্ব")</f>
        <v>অনবোর্ড স্ব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 t="str">
        <f>IFERROR(__xludf.DUMMYFUNCTION("""COMPUTED_VALUE"""),"onboardByBusiness")</f>
        <v>onboardByBusiness</v>
      </c>
      <c r="B165" s="2" t="str">
        <f>IFERROR(__xludf.DUMMYFUNCTION("""COMPUTED_VALUE"""),"Onboard by Business")</f>
        <v>Onboard by Business</v>
      </c>
      <c r="C165" s="2"/>
      <c r="D165" s="2" t="str">
        <f>IFERROR(__xludf.DUMMYFUNCTION("""COMPUTED_VALUE"""),"ব্যবসায়ের দ্বারা জাহাজে")</f>
        <v>ব্যবসায়ের দ্বারা জাহাজে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 t="str">
        <f>IFERROR(__xludf.DUMMYFUNCTION("""COMPUTED_VALUE"""),"retailer")</f>
        <v>retailer</v>
      </c>
      <c r="B166" s="2" t="str">
        <f>IFERROR(__xludf.DUMMYFUNCTION("""COMPUTED_VALUE"""),"Retailer")</f>
        <v>Retailer</v>
      </c>
      <c r="C166" s="2">
        <f>IFERROR(__xludf.DUMMYFUNCTION("""COMPUTED_VALUE"""),0.1)</f>
        <v>0.1</v>
      </c>
      <c r="D166" s="2" t="str">
        <f>IFERROR(__xludf.DUMMYFUNCTION("""COMPUTED_VALUE"""),"খুচরা বিক্রেতা")</f>
        <v>খুচরা বিক্রেতা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 t="str">
        <f>IFERROR(__xludf.DUMMYFUNCTION("""COMPUTED_VALUE"""),"middleMan")</f>
        <v>middleMan</v>
      </c>
      <c r="B167" s="2" t="str">
        <f>IFERROR(__xludf.DUMMYFUNCTION("""COMPUTED_VALUE"""),"Middleman")</f>
        <v>Middleman</v>
      </c>
      <c r="C167" s="2">
        <f>IFERROR(__xludf.DUMMYFUNCTION("""COMPUTED_VALUE"""),0.5)</f>
        <v>0.5</v>
      </c>
      <c r="D167" s="2" t="str">
        <f>IFERROR(__xludf.DUMMYFUNCTION("""COMPUTED_VALUE"""),"মধ্যস্থতাকারী")</f>
        <v>মধ্যস্থতাকারী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 t="str">
        <f>IFERROR(__xludf.DUMMYFUNCTION("""COMPUTED_VALUE"""),"farmer")</f>
        <v>farmer</v>
      </c>
      <c r="B168" s="2" t="str">
        <f>IFERROR(__xludf.DUMMYFUNCTION("""COMPUTED_VALUE"""),"Farmer")</f>
        <v>Farmer</v>
      </c>
      <c r="C168" s="2">
        <f>IFERROR(__xludf.DUMMYFUNCTION("""COMPUTED_VALUE"""),0.1)</f>
        <v>0.1</v>
      </c>
      <c r="D168" s="2" t="str">
        <f>IFERROR(__xludf.DUMMYFUNCTION("""COMPUTED_VALUE"""),"কৃষক")</f>
        <v>কৃষক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 t="str">
        <f>IFERROR(__xludf.DUMMYFUNCTION("""COMPUTED_VALUE"""),"phoneNumber")</f>
        <v>phoneNumber</v>
      </c>
      <c r="B169" s="2" t="str">
        <f>IFERROR(__xludf.DUMMYFUNCTION("""COMPUTED_VALUE"""),"Phone Number ")</f>
        <v>Phone Number </v>
      </c>
      <c r="C169" s="2">
        <f>IFERROR(__xludf.DUMMYFUNCTION("""COMPUTED_VALUE"""),0.5)</f>
        <v>0.5</v>
      </c>
      <c r="D169" s="2" t="str">
        <f>IFERROR(__xludf.DUMMYFUNCTION("""COMPUTED_VALUE"""),"ফোন নম্বর")</f>
        <v>ফোন নম্বর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 t="str">
        <f>IFERROR(__xludf.DUMMYFUNCTION("""COMPUTED_VALUE"""),"houseNo")</f>
        <v>houseNo</v>
      </c>
      <c r="B170" s="2" t="str">
        <f>IFERROR(__xludf.DUMMYFUNCTION("""COMPUTED_VALUE"""),"House No")</f>
        <v>House No</v>
      </c>
      <c r="C170" s="2">
        <f>IFERROR(__xludf.DUMMYFUNCTION("""COMPUTED_VALUE"""),0.5)</f>
        <v>0.5</v>
      </c>
      <c r="D170" s="2" t="str">
        <f>IFERROR(__xludf.DUMMYFUNCTION("""COMPUTED_VALUE"""),"বাসা নং")</f>
        <v>বাসা নং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 t="str">
        <f>IFERROR(__xludf.DUMMYFUNCTION("""COMPUTED_VALUE"""),"building")</f>
        <v>building</v>
      </c>
      <c r="B171" s="2" t="str">
        <f>IFERROR(__xludf.DUMMYFUNCTION("""COMPUTED_VALUE"""),"Building ")</f>
        <v>Building </v>
      </c>
      <c r="C171" s="2">
        <f>IFERROR(__xludf.DUMMYFUNCTION("""COMPUTED_VALUE"""),0.5)</f>
        <v>0.5</v>
      </c>
      <c r="D171" s="2" t="str">
        <f>IFERROR(__xludf.DUMMYFUNCTION("""COMPUTED_VALUE"""),"বিল্ডিং")</f>
        <v>বিল্ডিং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 t="str">
        <f>IFERROR(__xludf.DUMMYFUNCTION("""COMPUTED_VALUE"""),"streetno")</f>
        <v>streetno</v>
      </c>
      <c r="B172" s="2" t="str">
        <f>IFERROR(__xludf.DUMMYFUNCTION("""COMPUTED_VALUE"""),"Street no ")</f>
        <v>Street no </v>
      </c>
      <c r="C172" s="2">
        <f>IFERROR(__xludf.DUMMYFUNCTION("""COMPUTED_VALUE"""),0.1)</f>
        <v>0.1</v>
      </c>
      <c r="D172" s="2" t="str">
        <f>IFERROR(__xludf.DUMMYFUNCTION("""COMPUTED_VALUE"""),"রাস্তা নম্বর")</f>
        <v>রাস্তা নম্বর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 t="str">
        <f>IFERROR(__xludf.DUMMYFUNCTION("""COMPUTED_VALUE"""),"upi")</f>
        <v>upi</v>
      </c>
      <c r="B173" s="2" t="str">
        <f>IFERROR(__xludf.DUMMYFUNCTION("""COMPUTED_VALUE"""),"UPI")</f>
        <v>UPI</v>
      </c>
      <c r="C173" s="2">
        <f>IFERROR(__xludf.DUMMYFUNCTION("""COMPUTED_VALUE"""),0.3)</f>
        <v>0.3</v>
      </c>
      <c r="D173" s="2" t="str">
        <f>IFERROR(__xludf.DUMMYFUNCTION("""COMPUTED_VALUE"""),"আপি")</f>
        <v>আপি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 t="str">
        <f>IFERROR(__xludf.DUMMYFUNCTION("""COMPUTED_VALUE"""),"state")</f>
        <v>state</v>
      </c>
      <c r="B174" s="2" t="str">
        <f>IFERROR(__xludf.DUMMYFUNCTION("""COMPUTED_VALUE"""),"State")</f>
        <v>State</v>
      </c>
      <c r="C174" s="2">
        <f>IFERROR(__xludf.DUMMYFUNCTION("""COMPUTED_VALUE"""),0.1)</f>
        <v>0.1</v>
      </c>
      <c r="D174" s="2" t="str">
        <f>IFERROR(__xludf.DUMMYFUNCTION("""COMPUTED_VALUE"""),"অবস্থা")</f>
        <v>অবস্থা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 t="str">
        <f>IFERROR(__xludf.DUMMYFUNCTION("""COMPUTED_VALUE"""),"city")</f>
        <v>city</v>
      </c>
      <c r="B175" s="2" t="str">
        <f>IFERROR(__xludf.DUMMYFUNCTION("""COMPUTED_VALUE"""),"City ")</f>
        <v>City </v>
      </c>
      <c r="C175" s="2">
        <f>IFERROR(__xludf.DUMMYFUNCTION("""COMPUTED_VALUE"""),0.1)</f>
        <v>0.1</v>
      </c>
      <c r="D175" s="2" t="str">
        <f>IFERROR(__xludf.DUMMYFUNCTION("""COMPUTED_VALUE"""),"শহর")</f>
        <v>শহর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 t="str">
        <f>IFERROR(__xludf.DUMMYFUNCTION("""COMPUTED_VALUE"""),"pincode")</f>
        <v>pincode</v>
      </c>
      <c r="B176" s="2" t="str">
        <f>IFERROR(__xludf.DUMMYFUNCTION("""COMPUTED_VALUE"""),"Pin Code ")</f>
        <v>Pin Code </v>
      </c>
      <c r="C176" s="2"/>
      <c r="D176" s="2" t="str">
        <f>IFERROR(__xludf.DUMMYFUNCTION("""COMPUTED_VALUE"""),"পিনকোড")</f>
        <v>পিনকোড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 t="str">
        <f>IFERROR(__xludf.DUMMYFUNCTION("""COMPUTED_VALUE"""),"location")</f>
        <v>location</v>
      </c>
      <c r="B177" s="2" t="str">
        <f>IFERROR(__xludf.DUMMYFUNCTION("""COMPUTED_VALUE"""),"Location ")</f>
        <v>Location </v>
      </c>
      <c r="C177" s="2">
        <f>IFERROR(__xludf.DUMMYFUNCTION("""COMPUTED_VALUE"""),0.2)</f>
        <v>0.2</v>
      </c>
      <c r="D177" s="2" t="str">
        <f>IFERROR(__xludf.DUMMYFUNCTION("""COMPUTED_VALUE"""),"অবস্থান")</f>
        <v>অবস্থান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 t="str">
        <f>IFERROR(__xludf.DUMMYFUNCTION("""COMPUTED_VALUE"""),"submit")</f>
        <v>submit</v>
      </c>
      <c r="B178" s="2" t="str">
        <f>IFERROR(__xludf.DUMMYFUNCTION("""COMPUTED_VALUE"""),"Submit ")</f>
        <v>Submit </v>
      </c>
      <c r="C178" s="2">
        <f>IFERROR(__xludf.DUMMYFUNCTION("""COMPUTED_VALUE"""),0.3)</f>
        <v>0.3</v>
      </c>
      <c r="D178" s="2" t="str">
        <f>IFERROR(__xludf.DUMMYFUNCTION("""COMPUTED_VALUE"""),"জমা দিন")</f>
        <v>জমা দিন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 t="str">
        <f>IFERROR(__xludf.DUMMYFUNCTION("""COMPUTED_VALUE"""),"editAddress")</f>
        <v>editAddress</v>
      </c>
      <c r="B179" s="2" t="str">
        <f>IFERROR(__xludf.DUMMYFUNCTION("""COMPUTED_VALUE"""),"Edit Address")</f>
        <v>Edit Address</v>
      </c>
      <c r="C179" s="2">
        <f>IFERROR(__xludf.DUMMYFUNCTION("""COMPUTED_VALUE"""),0.3)</f>
        <v>0.3</v>
      </c>
      <c r="D179" s="2" t="str">
        <f>IFERROR(__xludf.DUMMYFUNCTION("""COMPUTED_VALUE"""),"ঠিকানা সম্পাদনা")</f>
        <v>ঠিকানা সম্পাদনা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 t="str">
        <f>IFERROR(__xludf.DUMMYFUNCTION("""COMPUTED_VALUE"""),"addMember")</f>
        <v>addMember</v>
      </c>
      <c r="B180" s="2" t="str">
        <f>IFERROR(__xludf.DUMMYFUNCTION("""COMPUTED_VALUE"""),"Add Member")</f>
        <v>Add Member</v>
      </c>
      <c r="C180" s="2">
        <f>IFERROR(__xludf.DUMMYFUNCTION("""COMPUTED_VALUE"""),0.5)</f>
        <v>0.5</v>
      </c>
      <c r="D180" s="2" t="str">
        <f>IFERROR(__xludf.DUMMYFUNCTION("""COMPUTED_VALUE"""),"সদস্য যুক্ত করুন")</f>
        <v>সদস্য যুক্ত করুন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 t="str">
        <f>IFERROR(__xludf.DUMMYFUNCTION("""COMPUTED_VALUE"""),"deliveryWithin")</f>
        <v>deliveryWithin</v>
      </c>
      <c r="B181" s="2" t="str">
        <f>IFERROR(__xludf.DUMMYFUNCTION("""COMPUTED_VALUE"""),"Delivery within")</f>
        <v>Delivery within</v>
      </c>
      <c r="C181" s="2"/>
      <c r="D181" s="2" t="str">
        <f>IFERROR(__xludf.DUMMYFUNCTION("""COMPUTED_VALUE"""),"মধ্যে বিতরণ")</f>
        <v>মধ্যে বিতরণ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 t="str">
        <f>IFERROR(__xludf.DUMMYFUNCTION("""COMPUTED_VALUE"""),"home")</f>
        <v>home</v>
      </c>
      <c r="B182" s="2" t="str">
        <f>IFERROR(__xludf.DUMMYFUNCTION("""COMPUTED_VALUE"""),"Home")</f>
        <v>Home</v>
      </c>
      <c r="C182" s="2">
        <f>IFERROR(__xludf.DUMMYFUNCTION("""COMPUTED_VALUE"""),0.1)</f>
        <v>0.1</v>
      </c>
      <c r="D182" s="2" t="str">
        <f>IFERROR(__xludf.DUMMYFUNCTION("""COMPUTED_VALUE"""),"বাড়ি")</f>
        <v>বাড়ি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 t="str">
        <f>IFERROR(__xludf.DUMMYFUNCTION("""COMPUTED_VALUE"""),"notification")</f>
        <v>notification</v>
      </c>
      <c r="B183" s="2" t="str">
        <f>IFERROR(__xludf.DUMMYFUNCTION("""COMPUTED_VALUE"""),"Notification")</f>
        <v>Notification</v>
      </c>
      <c r="C183" s="2"/>
      <c r="D183" s="2" t="str">
        <f>IFERROR(__xludf.DUMMYFUNCTION("""COMPUTED_VALUE"""),"বিজ্ঞপ্তি")</f>
        <v>বিজ্ঞপ্তি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 t="str">
        <f>IFERROR(__xludf.DUMMYFUNCTION("""COMPUTED_VALUE"""),"voice")</f>
        <v>voice</v>
      </c>
      <c r="B184" s="2" t="str">
        <f>IFERROR(__xludf.DUMMYFUNCTION("""COMPUTED_VALUE"""),"Voice")</f>
        <v>Voice</v>
      </c>
      <c r="C184" s="2"/>
      <c r="D184" s="2" t="str">
        <f>IFERROR(__xludf.DUMMYFUNCTION("""COMPUTED_VALUE"""),"ভয়েস")</f>
        <v>ভয়েস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 t="str">
        <f>IFERROR(__xludf.DUMMYFUNCTION("""COMPUTED_VALUE"""),"anotphasbeensentatyourregisteredmobilenumber")</f>
        <v>anotphasbeensentatyourregisteredmobilenumber</v>
      </c>
      <c r="B185" s="2" t="str">
        <f>IFERROR(__xludf.DUMMYFUNCTION("""COMPUTED_VALUE"""),"An OTP has been sent at your registered mobile number")</f>
        <v>An OTP has been sent at your registered mobile number</v>
      </c>
      <c r="C185" s="2">
        <f>IFERROR(__xludf.DUMMYFUNCTION("""COMPUTED_VALUE"""),0.5)</f>
        <v>0.5</v>
      </c>
      <c r="D185" s="2" t="str">
        <f>IFERROR(__xludf.DUMMYFUNCTION("""COMPUTED_VALUE"""),"আপনার নিবন্ধিত মোবাইল নম্বরটিতে একটি ওটিপি প্রেরণ করা হয়েছে")</f>
        <v>আপনার নিবন্ধিত মোবাইল নম্বরটিতে একটি ওটিপি প্রেরণ করা হয়েছে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 t="str">
        <f>IFERROR(__xludf.DUMMYFUNCTION("""COMPUTED_VALUE"""),"delivering")</f>
        <v>delivering</v>
      </c>
      <c r="B186" s="2" t="str">
        <f>IFERROR(__xludf.DUMMYFUNCTION("""COMPUTED_VALUE"""),"Delivering ")</f>
        <v>Delivering </v>
      </c>
      <c r="C186" s="2">
        <f>IFERROR(__xludf.DUMMYFUNCTION("""COMPUTED_VALUE"""),0.1)</f>
        <v>0.1</v>
      </c>
      <c r="D186" s="2" t="str">
        <f>IFERROR(__xludf.DUMMYFUNCTION("""COMPUTED_VALUE"""),"বিতরণ")</f>
        <v>বিতরণ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 t="str">
        <f>IFERROR(__xludf.DUMMYFUNCTION("""COMPUTED_VALUE"""),"notDelivering")</f>
        <v>notDelivering</v>
      </c>
      <c r="B187" s="2" t="str">
        <f>IFERROR(__xludf.DUMMYFUNCTION("""COMPUTED_VALUE"""),"Not delivering")</f>
        <v>Not delivering</v>
      </c>
      <c r="C187" s="2"/>
      <c r="D187" s="2" t="str">
        <f>IFERROR(__xludf.DUMMYFUNCTION("""COMPUTED_VALUE"""),"বিতরণ না")</f>
        <v>বিতরণ না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 t="str">
        <f>IFERROR(__xludf.DUMMYFUNCTION("""COMPUTED_VALUE"""),"sellerProfile")</f>
        <v>sellerProfile</v>
      </c>
      <c r="B188" s="2" t="str">
        <f>IFERROR(__xludf.DUMMYFUNCTION("""COMPUTED_VALUE"""),"Seller profile")</f>
        <v>Seller profile</v>
      </c>
      <c r="C188" s="2"/>
      <c r="D188" s="2" t="str">
        <f>IFERROR(__xludf.DUMMYFUNCTION("""COMPUTED_VALUE"""),"বিক্রেতা প্রোফাইল")</f>
        <v>বিক্রেতা প্রোফাইল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 t="str">
        <f>IFERROR(__xludf.DUMMYFUNCTION("""COMPUTED_VALUE"""),"fabulous")</f>
        <v>fabulous</v>
      </c>
      <c r="B189" s="2" t="str">
        <f>IFERROR(__xludf.DUMMYFUNCTION("""COMPUTED_VALUE"""),"Fabulous")</f>
        <v>Fabulous</v>
      </c>
      <c r="C189" s="2"/>
      <c r="D189" s="2" t="str">
        <f>IFERROR(__xludf.DUMMYFUNCTION("""COMPUTED_VALUE"""),"কল্পিত")</f>
        <v>কল্পিত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 t="str">
        <f>IFERROR(__xludf.DUMMYFUNCTION("""COMPUTED_VALUE"""),"customerRated")</f>
        <v>customerRated</v>
      </c>
      <c r="B190" s="2" t="str">
        <f>IFERROR(__xludf.DUMMYFUNCTION("""COMPUTED_VALUE"""),"Customer Rated")</f>
        <v>Customer Rated</v>
      </c>
      <c r="C190" s="2"/>
      <c r="D190" s="2" t="str">
        <f>IFERROR(__xludf.DUMMYFUNCTION("""COMPUTED_VALUE"""),"গ্রাহক রেট")</f>
        <v>গ্রাহক রেট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 t="str">
        <f>IFERROR(__xludf.DUMMYFUNCTION("""COMPUTED_VALUE"""),"searchlocation")</f>
        <v>searchlocation</v>
      </c>
      <c r="B191" s="2" t="str">
        <f>IFERROR(__xludf.DUMMYFUNCTION("""COMPUTED_VALUE"""),"Search Location")</f>
        <v>Search Location</v>
      </c>
      <c r="C191" s="2">
        <f>IFERROR(__xludf.DUMMYFUNCTION("""COMPUTED_VALUE"""),0.5)</f>
        <v>0.5</v>
      </c>
      <c r="D191" s="2" t="str">
        <f>IFERROR(__xludf.DUMMYFUNCTION("""COMPUTED_VALUE"""),"সন্ধান অবস্থান")</f>
        <v>সন্ধান অবস্থান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 t="str">
        <f>IFERROR(__xludf.DUMMYFUNCTION("""COMPUTED_VALUE"""),"shopByCategories")</f>
        <v>shopByCategories</v>
      </c>
      <c r="B192" s="2" t="str">
        <f>IFERROR(__xludf.DUMMYFUNCTION("""COMPUTED_VALUE"""),"Shop by Categories")</f>
        <v>Shop by Categories</v>
      </c>
      <c r="C192" s="2"/>
      <c r="D192" s="2" t="str">
        <f>IFERROR(__xludf.DUMMYFUNCTION("""COMPUTED_VALUE"""),"বিভাগ দ্বারা কেনাকাটা")</f>
        <v>বিভাগ দ্বারা কেনাকাটা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 t="str">
        <f>IFERROR(__xludf.DUMMYFUNCTION("""COMPUTED_VALUE"""),"next")</f>
        <v>next</v>
      </c>
      <c r="B193" s="2" t="str">
        <f>IFERROR(__xludf.DUMMYFUNCTION("""COMPUTED_VALUE"""),"Next")</f>
        <v>Next</v>
      </c>
      <c r="C193" s="2">
        <f>IFERROR(__xludf.DUMMYFUNCTION("""COMPUTED_VALUE"""),0.5)</f>
        <v>0.5</v>
      </c>
      <c r="D193" s="2" t="str">
        <f>IFERROR(__xludf.DUMMYFUNCTION("""COMPUTED_VALUE"""),"পরবর্তী")</f>
        <v>পরবর্তী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 t="str">
        <f>IFERROR(__xludf.DUMMYFUNCTION("""COMPUTED_VALUE"""),"taptorecordclosingnote")</f>
        <v>taptorecordclosingnote</v>
      </c>
      <c r="B194" s="2" t="str">
        <f>IFERROR(__xludf.DUMMYFUNCTION("""COMPUTED_VALUE"""),"Tap to record closing note")</f>
        <v>Tap to record closing note</v>
      </c>
      <c r="C194" s="2">
        <f>IFERROR(__xludf.DUMMYFUNCTION("""COMPUTED_VALUE"""),0.3)</f>
        <v>0.3</v>
      </c>
      <c r="D194" s="2" t="str">
        <f>IFERROR(__xludf.DUMMYFUNCTION("""COMPUTED_VALUE"""),"ক্লোজিং নোট রেকর্ড করতে আলতো চাপুন")</f>
        <v>ক্লোজিং নোট রেকর্ড করতে আলতো চাপুন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 t="str">
        <f>IFERROR(__xludf.DUMMYFUNCTION("""COMPUTED_VALUE"""),"shopInfo")</f>
        <v>shopInfo</v>
      </c>
      <c r="B195" s="2" t="str">
        <f>IFERROR(__xludf.DUMMYFUNCTION("""COMPUTED_VALUE"""),"Shop Info")</f>
        <v>Shop Info</v>
      </c>
      <c r="C195" s="2"/>
      <c r="D195" s="2" t="str">
        <f>IFERROR(__xludf.DUMMYFUNCTION("""COMPUTED_VALUE"""),"শপ তথ্য")</f>
        <v>শপ তথ্য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 t="str">
        <f>IFERROR(__xludf.DUMMYFUNCTION("""COMPUTED_VALUE"""),"enablelocation")</f>
        <v>enablelocation</v>
      </c>
      <c r="B196" s="2" t="str">
        <f>IFERROR(__xludf.DUMMYFUNCTION("""COMPUTED_VALUE"""),"Enable Location")</f>
        <v>Enable Location</v>
      </c>
      <c r="C196" s="2">
        <f>IFERROR(__xludf.DUMMYFUNCTION("""COMPUTED_VALUE"""),0.5)</f>
        <v>0.5</v>
      </c>
      <c r="D196" s="2" t="str">
        <f>IFERROR(__xludf.DUMMYFUNCTION("""COMPUTED_VALUE"""),"অবস্থান সক্ষম করুন")</f>
        <v>অবস্থান সক্ষম করুন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 t="str">
        <f>IFERROR(__xludf.DUMMYFUNCTION("""COMPUTED_VALUE"""),"vegatables")</f>
        <v>vegatables</v>
      </c>
      <c r="B197" s="2" t="str">
        <f>IFERROR(__xludf.DUMMYFUNCTION("""COMPUTED_VALUE"""),"Vegetables")</f>
        <v>Vegetables</v>
      </c>
      <c r="C197" s="2"/>
      <c r="D197" s="2" t="str">
        <f>IFERROR(__xludf.DUMMYFUNCTION("""COMPUTED_VALUE"""),"শাকসবজি")</f>
        <v>শাকসবজি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 t="str">
        <f>IFERROR(__xludf.DUMMYFUNCTION("""COMPUTED_VALUE"""),"enablenotification")</f>
        <v>enablenotification</v>
      </c>
      <c r="B198" s="2" t="str">
        <f>IFERROR(__xludf.DUMMYFUNCTION("""COMPUTED_VALUE"""),"Enable Notification")</f>
        <v>Enable Notification</v>
      </c>
      <c r="C198" s="2">
        <f>IFERROR(__xludf.DUMMYFUNCTION("""COMPUTED_VALUE"""),0.5)</f>
        <v>0.5</v>
      </c>
      <c r="D198" s="2" t="str">
        <f>IFERROR(__xludf.DUMMYFUNCTION("""COMPUTED_VALUE"""),"বিজ্ঞপ্তি সক্রিয়")</f>
        <v>বিজ্ঞপ্তি সক্রিয়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 t="str">
        <f>IFERROR(__xludf.DUMMYFUNCTION("""COMPUTED_VALUE"""),"changelanguage")</f>
        <v>changelanguage</v>
      </c>
      <c r="B199" s="2" t="str">
        <f>IFERROR(__xludf.DUMMYFUNCTION("""COMPUTED_VALUE"""),"Change Language")</f>
        <v>Change Language</v>
      </c>
      <c r="C199" s="2">
        <f>IFERROR(__xludf.DUMMYFUNCTION("""COMPUTED_VALUE"""),0.5)</f>
        <v>0.5</v>
      </c>
      <c r="D199" s="2" t="str">
        <f>IFERROR(__xludf.DUMMYFUNCTION("""COMPUTED_VALUE"""),"ভাষা পরিবর্তন করুন")</f>
        <v>ভাষা পরিবর্তন করুন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 t="str">
        <f>IFERROR(__xludf.DUMMYFUNCTION("""COMPUTED_VALUE"""),"confirm")</f>
        <v>confirm</v>
      </c>
      <c r="B200" s="2" t="str">
        <f>IFERROR(__xludf.DUMMYFUNCTION("""COMPUTED_VALUE"""),"Confirm")</f>
        <v>Confirm</v>
      </c>
      <c r="C200" s="2">
        <f>IFERROR(__xludf.DUMMYFUNCTION("""COMPUTED_VALUE"""),0.3)</f>
        <v>0.3</v>
      </c>
      <c r="D200" s="2" t="str">
        <f>IFERROR(__xludf.DUMMYFUNCTION("""COMPUTED_VALUE"""),"নিশ্চিত করুন")</f>
        <v>নিশ্চিত করুন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 t="str">
        <f>IFERROR(__xludf.DUMMYFUNCTION("""COMPUTED_VALUE"""),"byallowingthelocationyouwillgetallyournearbyrestaurants")</f>
        <v>byallowingthelocationyouwillgetallyournearbyrestaurants</v>
      </c>
      <c r="B201" s="2" t="str">
        <f>IFERROR(__xludf.DUMMYFUNCTION("""COMPUTED_VALUE"""),"By allowing the location you will get all your nearby restaurants")</f>
        <v>By allowing the location you will get all your nearby restaurants</v>
      </c>
      <c r="C201" s="2">
        <f>IFERROR(__xludf.DUMMYFUNCTION("""COMPUTED_VALUE"""),0.5)</f>
        <v>0.5</v>
      </c>
      <c r="D201" s="2" t="str">
        <f>IFERROR(__xludf.DUMMYFUNCTION("""COMPUTED_VALUE"""),"অবস্থানটি অনুমতি দিয়ে আপনি আপনার কাছের সমস্ত রেস্তোঁরা পাবেন")</f>
        <v>অবস্থানটি অনুমতি দিয়ে আপনি আপনার কাছের সমস্ত রেস্তোঁরা পাবেন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 t="str">
        <f>IFERROR(__xludf.DUMMYFUNCTION("""COMPUTED_VALUE"""),"byallowingthenotificationyouwillgetnotifiedbyyourfavouriterestaurants")</f>
        <v>byallowingthenotificationyouwillgetnotifiedbyyourfavouriterestaurants</v>
      </c>
      <c r="B202" s="2" t="str">
        <f>IFERROR(__xludf.DUMMYFUNCTION("""COMPUTED_VALUE"""),"By allowing the notification you will get notified by your favourite restaurants")</f>
        <v>By allowing the notification you will get notified by your favourite restaurants</v>
      </c>
      <c r="C202" s="2">
        <f>IFERROR(__xludf.DUMMYFUNCTION("""COMPUTED_VALUE"""),0.5)</f>
        <v>0.5</v>
      </c>
      <c r="D202" s="2" t="str">
        <f>IFERROR(__xludf.DUMMYFUNCTION("""COMPUTED_VALUE"""),"বিজ্ঞপ্তির অনুমতি দিয়ে আপনি আপনার প্রিয় রেস্তোঁরাগুলি দ্বারা অবহিত হবেন")</f>
        <v>বিজ্ঞপ্তির অনুমতি দিয়ে আপনি আপনার প্রিয় রেস্তোঁরাগুলি দ্বারা অবহিত হবেন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 t="str">
        <f>IFERROR(__xludf.DUMMYFUNCTION("""COMPUTED_VALUE"""),"nowyoucanchooseyoursuitablelanguage")</f>
        <v>nowyoucanchooseyoursuitablelanguage</v>
      </c>
      <c r="B203" s="2" t="str">
        <f>IFERROR(__xludf.DUMMYFUNCTION("""COMPUTED_VALUE"""),"Now you can choose your suitable language ")</f>
        <v>Now you can choose your suitable language </v>
      </c>
      <c r="C203" s="2">
        <f>IFERROR(__xludf.DUMMYFUNCTION("""COMPUTED_VALUE"""),0.5)</f>
        <v>0.5</v>
      </c>
      <c r="D203" s="2" t="str">
        <f>IFERROR(__xludf.DUMMYFUNCTION("""COMPUTED_VALUE"""),"এখন আপনি আপনার উপযুক্ত ভাষা চয়ন করতে পারেন")</f>
        <v>এখন আপনি আপনার উপযুক্ত ভাষা চয়ন করতে পারেন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 t="str">
        <f>IFERROR(__xludf.DUMMYFUNCTION("""COMPUTED_VALUE"""),"savethisaddressas")</f>
        <v>savethisaddressas</v>
      </c>
      <c r="B204" s="2" t="str">
        <f>IFERROR(__xludf.DUMMYFUNCTION("""COMPUTED_VALUE"""),"Save this address as")</f>
        <v>Save this address as</v>
      </c>
      <c r="C204" s="2">
        <f>IFERROR(__xludf.DUMMYFUNCTION("""COMPUTED_VALUE"""),0.5)</f>
        <v>0.5</v>
      </c>
      <c r="D204" s="2" t="str">
        <f>IFERROR(__xludf.DUMMYFUNCTION("""COMPUTED_VALUE"""),"এই ঠিকানা হিসাবে সংরক্ষণ করুন")</f>
        <v>এই ঠিকানা হিসাবে সংরক্ষণ করুন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 t="str">
        <f>IFERROR(__xludf.DUMMYFUNCTION("""COMPUTED_VALUE"""),"yourlocation")</f>
        <v>yourlocation</v>
      </c>
      <c r="B205" s="2" t="str">
        <f>IFERROR(__xludf.DUMMYFUNCTION("""COMPUTED_VALUE"""),"Your Location")</f>
        <v>Your Location</v>
      </c>
      <c r="C205" s="2">
        <f>IFERROR(__xludf.DUMMYFUNCTION("""COMPUTED_VALUE"""),0.5)</f>
        <v>0.5</v>
      </c>
      <c r="D205" s="2" t="str">
        <f>IFERROR(__xludf.DUMMYFUNCTION("""COMPUTED_VALUE"""),"তোমার অবস্থান")</f>
        <v>তোমার অবস্থান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 t="str">
        <f>IFERROR(__xludf.DUMMYFUNCTION("""COMPUTED_VALUE"""),"help")</f>
        <v>help</v>
      </c>
      <c r="B206" s="2" t="str">
        <f>IFERROR(__xludf.DUMMYFUNCTION("""COMPUTED_VALUE"""),"Help")</f>
        <v>Help</v>
      </c>
      <c r="C206" s="2">
        <f>IFERROR(__xludf.DUMMYFUNCTION("""COMPUTED_VALUE"""),0.2)</f>
        <v>0.2</v>
      </c>
      <c r="D206" s="2" t="str">
        <f>IFERROR(__xludf.DUMMYFUNCTION("""COMPUTED_VALUE"""),"সাহায্য")</f>
        <v>সাহায্য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 t="str">
        <f>IFERROR(__xludf.DUMMYFUNCTION("""COMPUTED_VALUE"""),"areyousureyouwanttologout")</f>
        <v>areyousureyouwanttologout</v>
      </c>
      <c r="B207" s="2" t="str">
        <f>IFERROR(__xludf.DUMMYFUNCTION("""COMPUTED_VALUE"""),"Are you sure you want to log out?")</f>
        <v>Are you sure you want to log out?</v>
      </c>
      <c r="C207" s="2">
        <f>IFERROR(__xludf.DUMMYFUNCTION("""COMPUTED_VALUE"""),0.5)</f>
        <v>0.5</v>
      </c>
      <c r="D207" s="2" t="str">
        <f>IFERROR(__xludf.DUMMYFUNCTION("""COMPUTED_VALUE"""),"আপনি লগ আউট করতে চান?")</f>
        <v>আপনি লগ আউট করতে চান?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 t="str">
        <f>IFERROR(__xludf.DUMMYFUNCTION("""COMPUTED_VALUE"""),"son")</f>
        <v>son</v>
      </c>
      <c r="B208" s="2" t="str">
        <f>IFERROR(__xludf.DUMMYFUNCTION("""COMPUTED_VALUE"""),"Son")</f>
        <v>Son</v>
      </c>
      <c r="C208" s="2">
        <f>IFERROR(__xludf.DUMMYFUNCTION("""COMPUTED_VALUE"""),0.5)</f>
        <v>0.5</v>
      </c>
      <c r="D208" s="2" t="str">
        <f>IFERROR(__xludf.DUMMYFUNCTION("""COMPUTED_VALUE"""),"পুত্র")</f>
        <v>পুত্র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 t="str">
        <f>IFERROR(__xludf.DUMMYFUNCTION("""COMPUTED_VALUE"""),"onboardbysales")</f>
        <v>onboardbysales</v>
      </c>
      <c r="B209" s="2" t="str">
        <f>IFERROR(__xludf.DUMMYFUNCTION("""COMPUTED_VALUE"""),"Onboard by Sales")</f>
        <v>Onboard by Sales</v>
      </c>
      <c r="C209" s="2">
        <f>IFERROR(__xludf.DUMMYFUNCTION("""COMPUTED_VALUE"""),0.5)</f>
        <v>0.5</v>
      </c>
      <c r="D209" s="2" t="str">
        <f>IFERROR(__xludf.DUMMYFUNCTION("""COMPUTED_VALUE"""),"বিক্রয় দ্বারা জাহাজে")</f>
        <v>বিক্রয় দ্বারা জাহাজে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 t="str">
        <f>IFERROR(__xludf.DUMMYFUNCTION("""COMPUTED_VALUE"""),"ratings")</f>
        <v>ratings</v>
      </c>
      <c r="B210" s="2" t="str">
        <f>IFERROR(__xludf.DUMMYFUNCTION("""COMPUTED_VALUE"""),"Ratings")</f>
        <v>Ratings</v>
      </c>
      <c r="C210" s="2">
        <f>IFERROR(__xludf.DUMMYFUNCTION("""COMPUTED_VALUE"""),0.5)</f>
        <v>0.5</v>
      </c>
      <c r="D210" s="2" t="str">
        <f>IFERROR(__xludf.DUMMYFUNCTION("""COMPUTED_VALUE"""),"রেটিং")</f>
        <v>রেটিং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 t="str">
        <f>IFERROR(__xludf.DUMMYFUNCTION("""COMPUTED_VALUE"""),"cancelOrder")</f>
        <v>cancelOrder</v>
      </c>
      <c r="B211" s="2" t="str">
        <f>IFERROR(__xludf.DUMMYFUNCTION("""COMPUTED_VALUE"""),"Cancel Order")</f>
        <v>Cancel Order</v>
      </c>
      <c r="C211" s="2"/>
      <c r="D211" s="2" t="str">
        <f>IFERROR(__xludf.DUMMYFUNCTION("""COMPUTED_VALUE"""),"আদেশ বাতিল")</f>
        <v>আদেশ বাতিল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 t="str">
        <f>IFERROR(__xludf.DUMMYFUNCTION("""COMPUTED_VALUE"""),"recommendedforyou")</f>
        <v>recommendedforyou</v>
      </c>
      <c r="B212" s="2" t="str">
        <f>IFERROR(__xludf.DUMMYFUNCTION("""COMPUTED_VALUE"""),"Recommended for You ")</f>
        <v>Recommended for You </v>
      </c>
      <c r="C212" s="2">
        <f>IFERROR(__xludf.DUMMYFUNCTION("""COMPUTED_VALUE"""),0.5)</f>
        <v>0.5</v>
      </c>
      <c r="D212" s="2" t="str">
        <f>IFERROR(__xludf.DUMMYFUNCTION("""COMPUTED_VALUE"""),"আপনার জন্য প্রস্তাবিত")</f>
        <v>আপনার জন্য প্রস্তাবিত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 t="str">
        <f>IFERROR(__xludf.DUMMYFUNCTION("""COMPUTED_VALUE"""),"remove")</f>
        <v>remove</v>
      </c>
      <c r="B213" s="2" t="str">
        <f>IFERROR(__xludf.DUMMYFUNCTION("""COMPUTED_VALUE"""),"Remove")</f>
        <v>Remove</v>
      </c>
      <c r="C213" s="2">
        <f>IFERROR(__xludf.DUMMYFUNCTION("""COMPUTED_VALUE"""),0.5)</f>
        <v>0.5</v>
      </c>
      <c r="D213" s="2" t="str">
        <f>IFERROR(__xludf.DUMMYFUNCTION("""COMPUTED_VALUE"""),"অপসারণ")</f>
        <v>অপসারণ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 t="str">
        <f>IFERROR(__xludf.DUMMYFUNCTION("""COMPUTED_VALUE"""),"adddetails")</f>
        <v>adddetails</v>
      </c>
      <c r="B214" s="2" t="str">
        <f>IFERROR(__xludf.DUMMYFUNCTION("""COMPUTED_VALUE"""),"Add Details")</f>
        <v>Add Details</v>
      </c>
      <c r="C214" s="2">
        <f>IFERROR(__xludf.DUMMYFUNCTION("""COMPUTED_VALUE"""),0.5)</f>
        <v>0.5</v>
      </c>
      <c r="D214" s="2" t="str">
        <f>IFERROR(__xludf.DUMMYFUNCTION("""COMPUTED_VALUE"""),"বিশদ যুক্ত করুন")</f>
        <v>বিশদ যুক্ত করুন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 t="str">
        <f>IFERROR(__xludf.DUMMYFUNCTION("""COMPUTED_VALUE"""),"updateuser")</f>
        <v>updateuser</v>
      </c>
      <c r="B215" s="2" t="str">
        <f>IFERROR(__xludf.DUMMYFUNCTION("""COMPUTED_VALUE"""),"Update User")</f>
        <v>Update User</v>
      </c>
      <c r="C215" s="2">
        <f>IFERROR(__xludf.DUMMYFUNCTION("""COMPUTED_VALUE"""),0.5)</f>
        <v>0.5</v>
      </c>
      <c r="D215" s="2" t="str">
        <f>IFERROR(__xludf.DUMMYFUNCTION("""COMPUTED_VALUE"""),"আপডেট ব্যবহারকারী")</f>
        <v>আপডেট ব্যবহারকারী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 t="str">
        <f>IFERROR(__xludf.DUMMYFUNCTION("""COMPUTED_VALUE"""),"nouserscreatedyet")</f>
        <v>nouserscreatedyet</v>
      </c>
      <c r="B216" s="2" t="str">
        <f>IFERROR(__xludf.DUMMYFUNCTION("""COMPUTED_VALUE"""),"No Users Created Yet")</f>
        <v>No Users Created Yet</v>
      </c>
      <c r="C216" s="2">
        <f>IFERROR(__xludf.DUMMYFUNCTION("""COMPUTED_VALUE"""),0.5)</f>
        <v>0.5</v>
      </c>
      <c r="D216" s="2" t="str">
        <f>IFERROR(__xludf.DUMMYFUNCTION("""COMPUTED_VALUE"""),"কোনও ব্যবহারকারী এখনও তৈরি করেন নি")</f>
        <v>কোনও ব্যবহারকারী এখনও তৈরি করেন নি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 t="str">
        <f>IFERROR(__xludf.DUMMYFUNCTION("""COMPUTED_VALUE"""),"advance")</f>
        <v>advance</v>
      </c>
      <c r="B217" s="2" t="str">
        <f>IFERROR(__xludf.DUMMYFUNCTION("""COMPUTED_VALUE"""),"Advance")</f>
        <v>Advance</v>
      </c>
      <c r="C217" s="2">
        <f>IFERROR(__xludf.DUMMYFUNCTION("""COMPUTED_VALUE"""),0.5)</f>
        <v>0.5</v>
      </c>
      <c r="D217" s="2" t="str">
        <f>IFERROR(__xludf.DUMMYFUNCTION("""COMPUTED_VALUE"""),"অগ্রিম")</f>
        <v>অগ্রিম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 t="str">
        <f>IFERROR(__xludf.DUMMYFUNCTION("""COMPUTED_VALUE"""),"pastOrders")</f>
        <v>pastOrders</v>
      </c>
      <c r="B218" s="2" t="str">
        <f>IFERROR(__xludf.DUMMYFUNCTION("""COMPUTED_VALUE"""),"Past Orders")</f>
        <v>Past Orders</v>
      </c>
      <c r="C218" s="2">
        <f>IFERROR(__xludf.DUMMYFUNCTION("""COMPUTED_VALUE"""),0.5)</f>
        <v>0.5</v>
      </c>
      <c r="D218" s="2" t="str">
        <f>IFERROR(__xludf.DUMMYFUNCTION("""COMPUTED_VALUE"""),"অতীত আদেশ")</f>
        <v>অতীত আদেশ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 t="str">
        <f>IFERROR(__xludf.DUMMYFUNCTION("""COMPUTED_VALUE"""),"viewMoreOrders")</f>
        <v>viewMoreOrders</v>
      </c>
      <c r="B219" s="2" t="str">
        <f>IFERROR(__xludf.DUMMYFUNCTION("""COMPUTED_VALUE"""),"View More Orders")</f>
        <v>View More Orders</v>
      </c>
      <c r="C219" s="2">
        <f>IFERROR(__xludf.DUMMYFUNCTION("""COMPUTED_VALUE"""),0.5)</f>
        <v>0.5</v>
      </c>
      <c r="D219" s="2" t="str">
        <f>IFERROR(__xludf.DUMMYFUNCTION("""COMPUTED_VALUE"""),"আরও আদেশ দেখুন")</f>
        <v>আরও আদেশ দেখুন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 t="str">
        <f>IFERROR(__xludf.DUMMYFUNCTION("""COMPUTED_VALUE"""),"ordermanger")</f>
        <v>ordermanger</v>
      </c>
      <c r="B220" s="2" t="str">
        <f>IFERROR(__xludf.DUMMYFUNCTION("""COMPUTED_VALUE"""),"Order Manager")</f>
        <v>Order Manager</v>
      </c>
      <c r="C220" s="2">
        <f>IFERROR(__xludf.DUMMYFUNCTION("""COMPUTED_VALUE"""),0.5)</f>
        <v>0.5</v>
      </c>
      <c r="D220" s="2" t="str">
        <f>IFERROR(__xludf.DUMMYFUNCTION("""COMPUTED_VALUE"""),"অর্ডার ম্যানেজার")</f>
        <v>অর্ডার ম্যানেজার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 t="str">
        <f>IFERROR(__xludf.DUMMYFUNCTION("""COMPUTED_VALUE"""),"name")</f>
        <v>name</v>
      </c>
      <c r="B221" s="2" t="str">
        <f>IFERROR(__xludf.DUMMYFUNCTION("""COMPUTED_VALUE"""),"Name")</f>
        <v>Name</v>
      </c>
      <c r="C221" s="2">
        <f>IFERROR(__xludf.DUMMYFUNCTION("""COMPUTED_VALUE"""),0.1)</f>
        <v>0.1</v>
      </c>
      <c r="D221" s="2" t="str">
        <f>IFERROR(__xludf.DUMMYFUNCTION("""COMPUTED_VALUE"""),"নাম")</f>
        <v>নাম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 t="str">
        <f>IFERROR(__xludf.DUMMYFUNCTION("""COMPUTED_VALUE"""),"mycomplaints")</f>
        <v>mycomplaints</v>
      </c>
      <c r="B222" s="2" t="str">
        <f>IFERROR(__xludf.DUMMYFUNCTION("""COMPUTED_VALUE"""),"My Complaints")</f>
        <v>My Complaints</v>
      </c>
      <c r="C222" s="2">
        <f>IFERROR(__xludf.DUMMYFUNCTION("""COMPUTED_VALUE"""),0.3)</f>
        <v>0.3</v>
      </c>
      <c r="D222" s="2" t="str">
        <f>IFERROR(__xludf.DUMMYFUNCTION("""COMPUTED_VALUE"""),"আমার অভিযোগ")</f>
        <v>আমার অভিযোগ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 t="str">
        <f>IFERROR(__xludf.DUMMYFUNCTION("""COMPUTED_VALUE"""),"complainid")</f>
        <v>complainid</v>
      </c>
      <c r="B223" s="2" t="str">
        <f>IFERROR(__xludf.DUMMYFUNCTION("""COMPUTED_VALUE"""),"Complain ID")</f>
        <v>Complain ID</v>
      </c>
      <c r="C223" s="2">
        <f>IFERROR(__xludf.DUMMYFUNCTION("""COMPUTED_VALUE"""),0.3)</f>
        <v>0.3</v>
      </c>
      <c r="D223" s="2" t="str">
        <f>IFERROR(__xludf.DUMMYFUNCTION("""COMPUTED_VALUE"""),"অভিযোগ আইডি")</f>
        <v>অভিযোগ আইডি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 t="str">
        <f>IFERROR(__xludf.DUMMYFUNCTION("""COMPUTED_VALUE"""),"assignedtoaccountmanager")</f>
        <v>assignedtoaccountmanager</v>
      </c>
      <c r="B224" s="2" t="str">
        <f>IFERROR(__xludf.DUMMYFUNCTION("""COMPUTED_VALUE"""),"Assigned to Account Manager")</f>
        <v>Assigned to Account Manager</v>
      </c>
      <c r="C224" s="2">
        <f>IFERROR(__xludf.DUMMYFUNCTION("""COMPUTED_VALUE"""),0.3)</f>
        <v>0.3</v>
      </c>
      <c r="D224" s="2" t="str">
        <f>IFERROR(__xludf.DUMMYFUNCTION("""COMPUTED_VALUE"""),"অ্যাকাউন্ট ম্যানেজারকে বরাদ্দ করা হয়েছে")</f>
        <v>অ্যাকাউন্ট ম্যানেজারকে বরাদ্দ করা হয়েছে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 t="str">
        <f>IFERROR(__xludf.DUMMYFUNCTION("""COMPUTED_VALUE"""),"complainraised")</f>
        <v>complainraised</v>
      </c>
      <c r="B225" s="2" t="str">
        <f>IFERROR(__xludf.DUMMYFUNCTION("""COMPUTED_VALUE"""),"Complaint Raised")</f>
        <v>Complaint Raised</v>
      </c>
      <c r="C225" s="2">
        <f>IFERROR(__xludf.DUMMYFUNCTION("""COMPUTED_VALUE"""),0.3)</f>
        <v>0.3</v>
      </c>
      <c r="D225" s="2" t="str">
        <f>IFERROR(__xludf.DUMMYFUNCTION("""COMPUTED_VALUE"""),"অভিযোগ উত্থাপিত")</f>
        <v>অভিযোগ উত্থাপিত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 t="str">
        <f>IFERROR(__xludf.DUMMYFUNCTION("""COMPUTED_VALUE"""),"verify")</f>
        <v>verify</v>
      </c>
      <c r="B226" s="2" t="str">
        <f>IFERROR(__xludf.DUMMYFUNCTION("""COMPUTED_VALUE"""),"Verify")</f>
        <v>Verify</v>
      </c>
      <c r="C226" s="2">
        <f>IFERROR(__xludf.DUMMYFUNCTION("""COMPUTED_VALUE"""),0.3)</f>
        <v>0.3</v>
      </c>
      <c r="D226" s="2" t="str">
        <f>IFERROR(__xludf.DUMMYFUNCTION("""COMPUTED_VALUE"""),"যাচাই করুন")</f>
        <v>যাচাই করুন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 t="str">
        <f>IFERROR(__xludf.DUMMYFUNCTION("""COMPUTED_VALUE"""),"yesterday")</f>
        <v>yesterday</v>
      </c>
      <c r="B227" s="2" t="str">
        <f>IFERROR(__xludf.DUMMYFUNCTION("""COMPUTED_VALUE"""),"Yesterday")</f>
        <v>Yesterday</v>
      </c>
      <c r="C227" s="2">
        <f>IFERROR(__xludf.DUMMYFUNCTION("""COMPUTED_VALUE"""),0.3)</f>
        <v>0.3</v>
      </c>
      <c r="D227" s="2" t="str">
        <f>IFERROR(__xludf.DUMMYFUNCTION("""COMPUTED_VALUE"""),"গতকাল")</f>
        <v>গতকাল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 t="str">
        <f>IFERROR(__xludf.DUMMYFUNCTION("""COMPUTED_VALUE"""),"referBy")</f>
        <v>referBy</v>
      </c>
      <c r="B228" s="2" t="str">
        <f>IFERROR(__xludf.DUMMYFUNCTION("""COMPUTED_VALUE"""),"Refer by")</f>
        <v>Refer by</v>
      </c>
      <c r="C228" s="2"/>
      <c r="D228" s="2" t="str">
        <f>IFERROR(__xludf.DUMMYFUNCTION("""COMPUTED_VALUE"""),"উল্লেখ করুন")</f>
        <v>উল্লেখ করুন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 t="str">
        <f>IFERROR(__xludf.DUMMYFUNCTION("""COMPUTED_VALUE"""),"email")</f>
        <v>email</v>
      </c>
      <c r="B229" s="2" t="str">
        <f>IFERROR(__xludf.DUMMYFUNCTION("""COMPUTED_VALUE"""),"Email")</f>
        <v>Email</v>
      </c>
      <c r="C229" s="2">
        <f>IFERROR(__xludf.DUMMYFUNCTION("""COMPUTED_VALUE"""),0.2)</f>
        <v>0.2</v>
      </c>
      <c r="D229" s="2" t="str">
        <f>IFERROR(__xludf.DUMMYFUNCTION("""COMPUTED_VALUE"""),"ইমেল")</f>
        <v>ইমেল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 t="str">
        <f>IFERROR(__xludf.DUMMYFUNCTION("""COMPUTED_VALUE"""),"escalatedtostatehead")</f>
        <v>escalatedtostatehead</v>
      </c>
      <c r="B230" s="2" t="str">
        <f>IFERROR(__xludf.DUMMYFUNCTION("""COMPUTED_VALUE"""),"Escalated to State Head")</f>
        <v>Escalated to State Head</v>
      </c>
      <c r="C230" s="2">
        <f>IFERROR(__xludf.DUMMYFUNCTION("""COMPUTED_VALUE"""),0.3)</f>
        <v>0.3</v>
      </c>
      <c r="D230" s="2" t="str">
        <f>IFERROR(__xludf.DUMMYFUNCTION("""COMPUTED_VALUE"""),"রাষ্ট্রের মাথায় বেড়ে ওঠা")</f>
        <v>রাষ্ট্রের মাথায় বেড়ে ওঠা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 t="str">
        <f>IFERROR(__xludf.DUMMYFUNCTION("""COMPUTED_VALUE"""),"escalated to city officer")</f>
        <v>escalated to city officer</v>
      </c>
      <c r="B231" s="2" t="str">
        <f>IFERROR(__xludf.DUMMYFUNCTION("""COMPUTED_VALUE"""),"Escalated to City Officer")</f>
        <v>Escalated to City Officer</v>
      </c>
      <c r="C231" s="2">
        <f>IFERROR(__xludf.DUMMYFUNCTION("""COMPUTED_VALUE"""),0.3)</f>
        <v>0.3</v>
      </c>
      <c r="D231" s="2" t="str">
        <f>IFERROR(__xludf.DUMMYFUNCTION("""COMPUTED_VALUE"""),"সিটি অফিসারকে বাড়িয়ে")</f>
        <v>সিটি অফিসারকে বাড়িয়ে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 t="str">
        <f>IFERROR(__xludf.DUMMYFUNCTION("""COMPUTED_VALUE"""),"message")</f>
        <v>message</v>
      </c>
      <c r="B232" s="2" t="str">
        <f>IFERROR(__xludf.DUMMYFUNCTION("""COMPUTED_VALUE"""),"Message")</f>
        <v>Message</v>
      </c>
      <c r="C232" s="2"/>
      <c r="D232" s="2" t="str">
        <f>IFERROR(__xludf.DUMMYFUNCTION("""COMPUTED_VALUE"""),"বার্তা")</f>
        <v>বার্তা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 t="str">
        <f>IFERROR(__xludf.DUMMYFUNCTION("""COMPUTED_VALUE"""),"editProfile")</f>
        <v>editProfile</v>
      </c>
      <c r="B233" s="2" t="str">
        <f>IFERROR(__xludf.DUMMYFUNCTION("""COMPUTED_VALUE"""),"Edit Profile")</f>
        <v>Edit Profile</v>
      </c>
      <c r="C233" s="2">
        <f>IFERROR(__xludf.DUMMYFUNCTION("""COMPUTED_VALUE"""),0.3)</f>
        <v>0.3</v>
      </c>
      <c r="D233" s="2" t="str">
        <f>IFERROR(__xludf.DUMMYFUNCTION("""COMPUTED_VALUE"""),"জীবন বৃত্তান্ত সম্পাদনা")</f>
        <v>জীবন বৃত্তান্ত সম্পাদনা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 t="str">
        <f>IFERROR(__xludf.DUMMYFUNCTION("""COMPUTED_VALUE"""),"orderdelivered")</f>
        <v>orderdelivered</v>
      </c>
      <c r="B234" s="2" t="str">
        <f>IFERROR(__xludf.DUMMYFUNCTION("""COMPUTED_VALUE"""),"Order Delivered")</f>
        <v>Order Delivered</v>
      </c>
      <c r="C234" s="2">
        <f>IFERROR(__xludf.DUMMYFUNCTION("""COMPUTED_VALUE"""),0.5)</f>
        <v>0.5</v>
      </c>
      <c r="D234" s="2" t="str">
        <f>IFERROR(__xludf.DUMMYFUNCTION("""COMPUTED_VALUE"""),"অর্ডার বিতরণ")</f>
        <v>অর্ডার বিতরণ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 t="str">
        <f>IFERROR(__xludf.DUMMYFUNCTION("""COMPUTED_VALUE"""),"favoruites")</f>
        <v>favoruites</v>
      </c>
      <c r="B235" s="2" t="str">
        <f>IFERROR(__xludf.DUMMYFUNCTION("""COMPUTED_VALUE"""),"Favourites")</f>
        <v>Favourites</v>
      </c>
      <c r="C235" s="2">
        <f>IFERROR(__xludf.DUMMYFUNCTION("""COMPUTED_VALUE"""),0.2)</f>
        <v>0.2</v>
      </c>
      <c r="D235" s="2" t="str">
        <f>IFERROR(__xludf.DUMMYFUNCTION("""COMPUTED_VALUE"""),"প্রিয়")</f>
        <v>প্রিয়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 t="str">
        <f>IFERROR(__xludf.DUMMYFUNCTION("""COMPUTED_VALUE"""),"shops")</f>
        <v>shops</v>
      </c>
      <c r="B236" s="2" t="str">
        <f>IFERROR(__xludf.DUMMYFUNCTION("""COMPUTED_VALUE"""),"Shops")</f>
        <v>Shops</v>
      </c>
      <c r="C236" s="2">
        <f>IFERROR(__xludf.DUMMYFUNCTION("""COMPUTED_VALUE"""),0.2)</f>
        <v>0.2</v>
      </c>
      <c r="D236" s="2" t="str">
        <f>IFERROR(__xludf.DUMMYFUNCTION("""COMPUTED_VALUE"""),"দোকান")</f>
        <v>দোকান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 t="str">
        <f>IFERROR(__xludf.DUMMYFUNCTION("""COMPUTED_VALUE"""),"savedAddress")</f>
        <v>savedAddress</v>
      </c>
      <c r="B237" s="2" t="str">
        <f>IFERROR(__xludf.DUMMYFUNCTION("""COMPUTED_VALUE"""),"Saved Address")</f>
        <v>Saved Address</v>
      </c>
      <c r="C237" s="2">
        <f>IFERROR(__xludf.DUMMYFUNCTION("""COMPUTED_VALUE"""),0.3)</f>
        <v>0.3</v>
      </c>
      <c r="D237" s="2" t="str">
        <f>IFERROR(__xludf.DUMMYFUNCTION("""COMPUTED_VALUE"""),"সংরক্ষণ ঠিকানা")</f>
        <v>সংরক্ষণ ঠিকানা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 t="str">
        <f>IFERROR(__xludf.DUMMYFUNCTION("""COMPUTED_VALUE"""),"yourorderhasbeendeliveredsuccessully")</f>
        <v>yourorderhasbeendeliveredsuccessully</v>
      </c>
      <c r="B238" s="2" t="str">
        <f>IFERROR(__xludf.DUMMYFUNCTION("""COMPUTED_VALUE"""),"Your order has been Delivered Successfully ")</f>
        <v>Your order has been Delivered Successfully </v>
      </c>
      <c r="C238" s="2">
        <f>IFERROR(__xludf.DUMMYFUNCTION("""COMPUTED_VALUE"""),0.5)</f>
        <v>0.5</v>
      </c>
      <c r="D238" s="2" t="str">
        <f>IFERROR(__xludf.DUMMYFUNCTION("""COMPUTED_VALUE"""),"আপনার অর্ডার সফলভাবে বিতরণ করা হয়েছে")</f>
        <v>আপনার অর্ডার সফলভাবে বিতরণ করা হয়েছে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 t="str">
        <f>IFERROR(__xludf.DUMMYFUNCTION("""COMPUTED_VALUE"""),"makepayment")</f>
        <v>makepayment</v>
      </c>
      <c r="B239" s="2" t="str">
        <f>IFERROR(__xludf.DUMMYFUNCTION("""COMPUTED_VALUE"""),"Make Payment")</f>
        <v>Make Payment</v>
      </c>
      <c r="C239" s="2">
        <f>IFERROR(__xludf.DUMMYFUNCTION("""COMPUTED_VALUE"""),0.5)</f>
        <v>0.5</v>
      </c>
      <c r="D239" s="2" t="str">
        <f>IFERROR(__xludf.DUMMYFUNCTION("""COMPUTED_VALUE"""),"অর্থ প্রদান করুন")</f>
        <v>অর্থ প্রদান করুন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 t="str">
        <f>IFERROR(__xludf.DUMMYFUNCTION("""COMPUTED_VALUE"""),"privacyPolicies")</f>
        <v>privacyPolicies</v>
      </c>
      <c r="B240" s="2" t="str">
        <f>IFERROR(__xludf.DUMMYFUNCTION("""COMPUTED_VALUE"""),"Privacy policies")</f>
        <v>Privacy policies</v>
      </c>
      <c r="C240" s="2">
        <f>IFERROR(__xludf.DUMMYFUNCTION("""COMPUTED_VALUE"""),0.2)</f>
        <v>0.2</v>
      </c>
      <c r="D240" s="2" t="str">
        <f>IFERROR(__xludf.DUMMYFUNCTION("""COMPUTED_VALUE"""),"গোপনীয়তা নীতি")</f>
        <v>গোপনীয়তা নীতি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 t="str">
        <f>IFERROR(__xludf.DUMMYFUNCTION("""COMPUTED_VALUE"""),"doyouwanttodelete")</f>
        <v>doyouwanttodelete</v>
      </c>
      <c r="B241" s="2" t="str">
        <f>IFERROR(__xludf.DUMMYFUNCTION("""COMPUTED_VALUE"""),"Do you want to delete?")</f>
        <v>Do you want to delete?</v>
      </c>
      <c r="C241" s="2">
        <f>IFERROR(__xludf.DUMMYFUNCTION("""COMPUTED_VALUE"""),0.5)</f>
        <v>0.5</v>
      </c>
      <c r="D241" s="2" t="str">
        <f>IFERROR(__xludf.DUMMYFUNCTION("""COMPUTED_VALUE"""),"আপনি মুছে ফেলতে চান?")</f>
        <v>আপনি মুছে ফেলতে চান?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 t="str">
        <f>IFERROR(__xludf.DUMMYFUNCTION("""COMPUTED_VALUE"""),"iddetails")</f>
        <v>iddetails</v>
      </c>
      <c r="B242" s="2" t="str">
        <f>IFERROR(__xludf.DUMMYFUNCTION("""COMPUTED_VALUE"""),"ID Details")</f>
        <v>ID Details</v>
      </c>
      <c r="C242" s="2">
        <f>IFERROR(__xludf.DUMMYFUNCTION("""COMPUTED_VALUE"""),0.3)</f>
        <v>0.3</v>
      </c>
      <c r="D242" s="2" t="str">
        <f>IFERROR(__xludf.DUMMYFUNCTION("""COMPUTED_VALUE"""),"আইডি বিশদ")</f>
        <v>আইডি বিশদ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 t="str">
        <f>IFERROR(__xludf.DUMMYFUNCTION("""COMPUTED_VALUE"""),"byClickingIaccepttheterms&amp;conditionsandprivacypolicy")</f>
        <v>byClickingIaccepttheterms&amp;conditionsandprivacypolicy</v>
      </c>
      <c r="B243" s="2" t="str">
        <f>IFERROR(__xludf.DUMMYFUNCTION("""COMPUTED_VALUE"""),"By clicking, I accept the Terms &amp; conditions and Privacy Policy")</f>
        <v>By clicking, I accept the Terms &amp; conditions and Privacy Policy</v>
      </c>
      <c r="C243" s="2">
        <f>IFERROR(__xludf.DUMMYFUNCTION("""COMPUTED_VALUE"""),0.1)</f>
        <v>0.1</v>
      </c>
      <c r="D243" s="2" t="str">
        <f>IFERROR(__xludf.DUMMYFUNCTION("""COMPUTED_VALUE"""),"ক্লিক করে, আমি শর্তাদি এবং শর্তাদি এবং গোপনীয়তা নীতি গ্রহণ করি")</f>
        <v>ক্লিক করে, আমি শর্তাদি এবং শর্তাদি এবং গোপনীয়তা নীতি গ্রহণ করি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 t="str">
        <f>IFERROR(__xludf.DUMMYFUNCTION("""COMPUTED_VALUE"""),"building/locality")</f>
        <v>building/locality</v>
      </c>
      <c r="B244" s="2" t="str">
        <f>IFERROR(__xludf.DUMMYFUNCTION("""COMPUTED_VALUE"""),"Building/Locality")</f>
        <v>Building/Locality</v>
      </c>
      <c r="C244" s="2">
        <f>IFERROR(__xludf.DUMMYFUNCTION("""COMPUTED_VALUE"""),0.2)</f>
        <v>0.2</v>
      </c>
      <c r="D244" s="2" t="str">
        <f>IFERROR(__xludf.DUMMYFUNCTION("""COMPUTED_VALUE"""),"বিল্ডিং/লোকেশন")</f>
        <v>বিল্ডিং/লোকেশন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 t="str">
        <f>IFERROR(__xludf.DUMMYFUNCTION("""COMPUTED_VALUE"""),"restaurant")</f>
        <v>restaurant</v>
      </c>
      <c r="B245" s="2" t="str">
        <f>IFERROR(__xludf.DUMMYFUNCTION("""COMPUTED_VALUE"""),"Restaurant")</f>
        <v>Restaurant</v>
      </c>
      <c r="C245" s="2">
        <f>IFERROR(__xludf.DUMMYFUNCTION("""COMPUTED_VALUE"""),0.3)</f>
        <v>0.3</v>
      </c>
      <c r="D245" s="2" t="str">
        <f>IFERROR(__xludf.DUMMYFUNCTION("""COMPUTED_VALUE"""),"রেঁস্তোরা")</f>
        <v>রেঁস্তোরা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 t="str">
        <f>IFERROR(__xludf.DUMMYFUNCTION("""COMPUTED_VALUE"""),"re-upload")</f>
        <v>re-upload</v>
      </c>
      <c r="B246" s="2" t="str">
        <f>IFERROR(__xludf.DUMMYFUNCTION("""COMPUTED_VALUE"""),"Re-upload ")</f>
        <v>Re-upload </v>
      </c>
      <c r="C246" s="2">
        <f>IFERROR(__xludf.DUMMYFUNCTION("""COMPUTED_VALUE"""),0.1)</f>
        <v>0.1</v>
      </c>
      <c r="D246" s="2" t="str">
        <f>IFERROR(__xludf.DUMMYFUNCTION("""COMPUTED_VALUE"""),"পুনরায় আপলোড")</f>
        <v>পুনরায় আপলোড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 t="str">
        <f>IFERROR(__xludf.DUMMYFUNCTION("""COMPUTED_VALUE"""),"individual")</f>
        <v>individual</v>
      </c>
      <c r="B247" s="2" t="str">
        <f>IFERROR(__xludf.DUMMYFUNCTION("""COMPUTED_VALUE"""),"Individual")</f>
        <v>Individual</v>
      </c>
      <c r="C247" s="2">
        <f>IFERROR(__xludf.DUMMYFUNCTION("""COMPUTED_VALUE"""),0.1)</f>
        <v>0.1</v>
      </c>
      <c r="D247" s="2" t="str">
        <f>IFERROR(__xludf.DUMMYFUNCTION("""COMPUTED_VALUE"""),"স্বতন্ত্র")</f>
        <v>স্বতন্ত্র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 t="str">
        <f>IFERROR(__xludf.DUMMYFUNCTION("""COMPUTED_VALUE"""),"didntReceivetheOTP")</f>
        <v>didntReceivetheOTP</v>
      </c>
      <c r="B248" s="2" t="str">
        <f>IFERROR(__xludf.DUMMYFUNCTION("""COMPUTED_VALUE"""),"Didnt receive the OTP?")</f>
        <v>Didnt receive the OTP?</v>
      </c>
      <c r="C248" s="2">
        <f>IFERROR(__xludf.DUMMYFUNCTION("""COMPUTED_VALUE"""),0.1)</f>
        <v>0.1</v>
      </c>
      <c r="D248" s="2" t="str">
        <f>IFERROR(__xludf.DUMMYFUNCTION("""COMPUTED_VALUE"""),"ওটিপি পাননি?")</f>
        <v>ওটিপি পাননি?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 t="str">
        <f>IFERROR(__xludf.DUMMYFUNCTION("""COMPUTED_VALUE"""),"verifyVia")</f>
        <v>verifyVia</v>
      </c>
      <c r="B249" s="2" t="str">
        <f>IFERROR(__xludf.DUMMYFUNCTION("""COMPUTED_VALUE"""),"Verify Via")</f>
        <v>Verify Via</v>
      </c>
      <c r="C249" s="2"/>
      <c r="D249" s="2" t="str">
        <f>IFERROR(__xludf.DUMMYFUNCTION("""COMPUTED_VALUE"""),"মাধ্যমে যাচাই করুন")</f>
        <v>মাধ্যমে যাচাই করুন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 t="str">
        <f>IFERROR(__xludf.DUMMYFUNCTION("""COMPUTED_VALUE"""),"howdoyoufeel")</f>
        <v>howdoyoufeel</v>
      </c>
      <c r="B250" s="2" t="str">
        <f>IFERROR(__xludf.DUMMYFUNCTION("""COMPUTED_VALUE"""),"How Do You Feel?")</f>
        <v>How Do You Feel?</v>
      </c>
      <c r="C250" s="2">
        <f>IFERROR(__xludf.DUMMYFUNCTION("""COMPUTED_VALUE"""),0.5)</f>
        <v>0.5</v>
      </c>
      <c r="D250" s="2" t="str">
        <f>IFERROR(__xludf.DUMMYFUNCTION("""COMPUTED_VALUE"""),"তুমি কেমন বোধ করছো?")</f>
        <v>তুমি কেমন বোধ করছো?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 t="str">
        <f>IFERROR(__xludf.DUMMYFUNCTION("""COMPUTED_VALUE"""),"uploadvoterid")</f>
        <v>uploadvoterid</v>
      </c>
      <c r="B251" s="2" t="str">
        <f>IFERROR(__xludf.DUMMYFUNCTION("""COMPUTED_VALUE"""),"Upload Voter ID")</f>
        <v>Upload Voter ID</v>
      </c>
      <c r="C251" s="2">
        <f>IFERROR(__xludf.DUMMYFUNCTION("""COMPUTED_VALUE"""),0.1)</f>
        <v>0.1</v>
      </c>
      <c r="D251" s="2" t="str">
        <f>IFERROR(__xludf.DUMMYFUNCTION("""COMPUTED_VALUE"""),"ভোটার আইডি আপলোড করুন")</f>
        <v>ভোটার আইডি আপলোড করুন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 t="str">
        <f>IFERROR(__xludf.DUMMYFUNCTION("""COMPUTED_VALUE"""),"pickupWithin")</f>
        <v>pickupWithin</v>
      </c>
      <c r="B252" s="2" t="str">
        <f>IFERROR(__xludf.DUMMYFUNCTION("""COMPUTED_VALUE"""),"Pickup within")</f>
        <v>Pickup within</v>
      </c>
      <c r="C252" s="2"/>
      <c r="D252" s="2" t="str">
        <f>IFERROR(__xludf.DUMMYFUNCTION("""COMPUTED_VALUE"""),"মধ্যে পিকআপ")</f>
        <v>মধ্যে পিকআপ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 t="str">
        <f>IFERROR(__xludf.DUMMYFUNCTION("""COMPUTED_VALUE"""),"addDebit")</f>
        <v>addDebit</v>
      </c>
      <c r="B253" s="2" t="str">
        <f>IFERROR(__xludf.DUMMYFUNCTION("""COMPUTED_VALUE"""),"Add Debit")</f>
        <v>Add Debit</v>
      </c>
      <c r="C253" s="2"/>
      <c r="D253" s="2" t="str">
        <f>IFERROR(__xludf.DUMMYFUNCTION("""COMPUTED_VALUE"""),"ডেবিট যোগ করুন")</f>
        <v>ডেবিট যোগ করুন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 t="str">
        <f>IFERROR(__xludf.DUMMYFUNCTION("""COMPUTED_VALUE"""),"creditCard")</f>
        <v>creditCard</v>
      </c>
      <c r="B254" s="2" t="str">
        <f>IFERROR(__xludf.DUMMYFUNCTION("""COMPUTED_VALUE"""),"Credit Card")</f>
        <v>Credit Card</v>
      </c>
      <c r="C254" s="2"/>
      <c r="D254" s="2" t="str">
        <f>IFERROR(__xludf.DUMMYFUNCTION("""COMPUTED_VALUE"""),"ক্রেডিট কার্ড")</f>
        <v>ক্রেডিট কার্ড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 t="str">
        <f>IFERROR(__xludf.DUMMYFUNCTION("""COMPUTED_VALUE"""),"yourOrder")</f>
        <v>yourOrder</v>
      </c>
      <c r="B255" s="2" t="str">
        <f>IFERROR(__xludf.DUMMYFUNCTION("""COMPUTED_VALUE"""),"Your Order")</f>
        <v>Your Order</v>
      </c>
      <c r="C255" s="2"/>
      <c r="D255" s="2" t="str">
        <f>IFERROR(__xludf.DUMMYFUNCTION("""COMPUTED_VALUE"""),"তোমার আদেশ")</f>
        <v>তোমার আদেশ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 t="str">
        <f>IFERROR(__xludf.DUMMYFUNCTION("""COMPUTED_VALUE"""),"willBe")</f>
        <v>willBe</v>
      </c>
      <c r="B256" s="2" t="str">
        <f>IFERROR(__xludf.DUMMYFUNCTION("""COMPUTED_VALUE"""),"Will Be")</f>
        <v>Will Be</v>
      </c>
      <c r="C256" s="2"/>
      <c r="D256" s="2" t="str">
        <f>IFERROR(__xludf.DUMMYFUNCTION("""COMPUTED_VALUE"""),"হবে")</f>
        <v>হবে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 t="str">
        <f>IFERROR(__xludf.DUMMYFUNCTION("""COMPUTED_VALUE"""),"15digitalphanumericnumber")</f>
        <v>15digitalphanumericnumber</v>
      </c>
      <c r="B257" s="2" t="str">
        <f>IFERROR(__xludf.DUMMYFUNCTION("""COMPUTED_VALUE"""),"15-digit Alpha Numeric Number")</f>
        <v>15-digit Alpha Numeric Number</v>
      </c>
      <c r="C257" s="2">
        <f>IFERROR(__xludf.DUMMYFUNCTION("""COMPUTED_VALUE"""),0.1)</f>
        <v>0.1</v>
      </c>
      <c r="D257" s="2" t="str">
        <f>IFERROR(__xludf.DUMMYFUNCTION("""COMPUTED_VALUE"""),"15-অঙ্কের আলফা সংখ্যা সংখ্যা")</f>
        <v>15-অঙ্কের আলফা সংখ্যা সংখ্যা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 t="str">
        <f>IFERROR(__xludf.DUMMYFUNCTION("""COMPUTED_VALUE"""),"deliver")</f>
        <v>deliver</v>
      </c>
      <c r="B258" s="2" t="str">
        <f>IFERROR(__xludf.DUMMYFUNCTION("""COMPUTED_VALUE"""),"Deliver")</f>
        <v>Deliver</v>
      </c>
      <c r="C258" s="2">
        <f>IFERROR(__xludf.DUMMYFUNCTION("""COMPUTED_VALUE"""),0.4)</f>
        <v>0.4</v>
      </c>
      <c r="D258" s="2" t="str">
        <f>IFERROR(__xludf.DUMMYFUNCTION("""COMPUTED_VALUE"""),"বিতরণ")</f>
        <v>বিতরণ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 t="str">
        <f>IFERROR(__xludf.DUMMYFUNCTION("""COMPUTED_VALUE"""),"pickupNoShow")</f>
        <v>pickupNoShow</v>
      </c>
      <c r="B259" s="2" t="str">
        <f>IFERROR(__xludf.DUMMYFUNCTION("""COMPUTED_VALUE"""),"Pickup No Show")</f>
        <v>Pickup No Show</v>
      </c>
      <c r="C259" s="2"/>
      <c r="D259" s="2" t="str">
        <f>IFERROR(__xludf.DUMMYFUNCTION("""COMPUTED_VALUE"""),"পিকআপ কোন শো")</f>
        <v>পিকআপ কোন শো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 t="str">
        <f>IFERROR(__xludf.DUMMYFUNCTION("""COMPUTED_VALUE"""),"house")</f>
        <v>house</v>
      </c>
      <c r="B260" s="2" t="str">
        <f>IFERROR(__xludf.DUMMYFUNCTION("""COMPUTED_VALUE"""),"House")</f>
        <v>House</v>
      </c>
      <c r="C260" s="2"/>
      <c r="D260" s="2" t="str">
        <f>IFERROR(__xludf.DUMMYFUNCTION("""COMPUTED_VALUE"""),"গৃহ")</f>
        <v>গৃহ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 t="str">
        <f>IFERROR(__xludf.DUMMYFUNCTION("""COMPUTED_VALUE"""),"flat")</f>
        <v>flat</v>
      </c>
      <c r="B261" s="2" t="str">
        <f>IFERROR(__xludf.DUMMYFUNCTION("""COMPUTED_VALUE"""),"Flat")</f>
        <v>Flat</v>
      </c>
      <c r="C261" s="2"/>
      <c r="D261" s="2" t="str">
        <f>IFERROR(__xludf.DUMMYFUNCTION("""COMPUTED_VALUE"""),"সমান")</f>
        <v>সমান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 t="str">
        <f>IFERROR(__xludf.DUMMYFUNCTION("""COMPUTED_VALUE"""),"block")</f>
        <v>block</v>
      </c>
      <c r="B262" s="2" t="str">
        <f>IFERROR(__xludf.DUMMYFUNCTION("""COMPUTED_VALUE"""),"Block")</f>
        <v>Block</v>
      </c>
      <c r="C262" s="2"/>
      <c r="D262" s="2" t="str">
        <f>IFERROR(__xludf.DUMMYFUNCTION("""COMPUTED_VALUE"""),"ব্লক")</f>
        <v>ব্লক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 t="str">
        <f>IFERROR(__xludf.DUMMYFUNCTION("""COMPUTED_VALUE"""),"blockNumber")</f>
        <v>blockNumber</v>
      </c>
      <c r="B263" s="2" t="str">
        <f>IFERROR(__xludf.DUMMYFUNCTION("""COMPUTED_VALUE"""),"Block Number")</f>
        <v>Block Number</v>
      </c>
      <c r="C263" s="2"/>
      <c r="D263" s="2" t="str">
        <f>IFERROR(__xludf.DUMMYFUNCTION("""COMPUTED_VALUE"""),"ব্লক নম্বর")</f>
        <v>ব্লক নম্বর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 t="str">
        <f>IFERROR(__xludf.DUMMYFUNCTION("""COMPUTED_VALUE"""),"appartment")</f>
        <v>appartment</v>
      </c>
      <c r="B264" s="2" t="str">
        <f>IFERROR(__xludf.DUMMYFUNCTION("""COMPUTED_VALUE"""),"Apartment")</f>
        <v>Apartment</v>
      </c>
      <c r="C264" s="2"/>
      <c r="D264" s="2" t="str">
        <f>IFERROR(__xludf.DUMMYFUNCTION("""COMPUTED_VALUE"""),"অ্যাপার্টমেন্ট")</f>
        <v>অ্যাপার্টমেন্ট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 t="str">
        <f>IFERROR(__xludf.DUMMYFUNCTION("""COMPUTED_VALUE"""),"road")</f>
        <v>road</v>
      </c>
      <c r="B265" s="2" t="str">
        <f>IFERROR(__xludf.DUMMYFUNCTION("""COMPUTED_VALUE"""),"Road")</f>
        <v>Road</v>
      </c>
      <c r="C265" s="2"/>
      <c r="D265" s="2" t="str">
        <f>IFERROR(__xludf.DUMMYFUNCTION("""COMPUTED_VALUE"""),"রাস্তা")</f>
        <v>রাস্তা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 t="str">
        <f>IFERROR(__xludf.DUMMYFUNCTION("""COMPUTED_VALUE"""),"area")</f>
        <v>area</v>
      </c>
      <c r="B266" s="2" t="str">
        <f>IFERROR(__xludf.DUMMYFUNCTION("""COMPUTED_VALUE"""),"Area")</f>
        <v>Area</v>
      </c>
      <c r="C266" s="2"/>
      <c r="D266" s="2" t="str">
        <f>IFERROR(__xludf.DUMMYFUNCTION("""COMPUTED_VALUE"""),"অঞ্চল")</f>
        <v>অঞ্চল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 t="str">
        <f>IFERROR(__xludf.DUMMYFUNCTION("""COMPUTED_VALUE"""),"saveThis")</f>
        <v>saveThis</v>
      </c>
      <c r="B267" s="2" t="str">
        <f>IFERROR(__xludf.DUMMYFUNCTION("""COMPUTED_VALUE"""),"Save this ")</f>
        <v>Save this </v>
      </c>
      <c r="C267" s="2"/>
      <c r="D267" s="2" t="str">
        <f>IFERROR(__xludf.DUMMYFUNCTION("""COMPUTED_VALUE"""),"এটা সংরক্ষন কর")</f>
        <v>এটা সংরক্ষন কর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 t="str">
        <f>IFERROR(__xludf.DUMMYFUNCTION("""COMPUTED_VALUE"""),"addressAs")</f>
        <v>addressAs</v>
      </c>
      <c r="B268" s="2" t="str">
        <f>IFERROR(__xludf.DUMMYFUNCTION("""COMPUTED_VALUE"""),"Address as")</f>
        <v>Address as</v>
      </c>
      <c r="C268" s="2"/>
      <c r="D268" s="2" t="str">
        <f>IFERROR(__xludf.DUMMYFUNCTION("""COMPUTED_VALUE"""),"ঠিকানা হিসাবে")</f>
        <v>ঠিকানা হিসাবে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 t="str">
        <f>IFERROR(__xludf.DUMMYFUNCTION("""COMPUTED_VALUE"""),"areYou")</f>
        <v>areYou</v>
      </c>
      <c r="B269" s="2" t="str">
        <f>IFERROR(__xludf.DUMMYFUNCTION("""COMPUTED_VALUE"""),"Are you")</f>
        <v>Are you</v>
      </c>
      <c r="C269" s="2"/>
      <c r="D269" s="2" t="str">
        <f>IFERROR(__xludf.DUMMYFUNCTION("""COMPUTED_VALUE"""),"আপনি")</f>
        <v>আপনি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 t="str">
        <f>IFERROR(__xludf.DUMMYFUNCTION("""COMPUTED_VALUE"""),"sureYou")</f>
        <v>sureYou</v>
      </c>
      <c r="B270" s="2" t="str">
        <f>IFERROR(__xludf.DUMMYFUNCTION("""COMPUTED_VALUE"""),"sure you ")</f>
        <v>sure you </v>
      </c>
      <c r="C270" s="2"/>
      <c r="D270" s="2" t="str">
        <f>IFERROR(__xludf.DUMMYFUNCTION("""COMPUTED_VALUE"""),"নিশ্চিত তুমি")</f>
        <v>নিশ্চিত তুমি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 t="str">
        <f>IFERROR(__xludf.DUMMYFUNCTION("""COMPUTED_VALUE"""),"wantTo")</f>
        <v>wantTo</v>
      </c>
      <c r="B271" s="2" t="str">
        <f>IFERROR(__xludf.DUMMYFUNCTION("""COMPUTED_VALUE"""),"want to")</f>
        <v>want to</v>
      </c>
      <c r="C271" s="2"/>
      <c r="D271" s="2" t="str">
        <f>IFERROR(__xludf.DUMMYFUNCTION("""COMPUTED_VALUE"""),"চাই")</f>
        <v>চাই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 t="str">
        <f>IFERROR(__xludf.DUMMYFUNCTION("""COMPUTED_VALUE"""),"logOut")</f>
        <v>logOut</v>
      </c>
      <c r="B272" s="2" t="str">
        <f>IFERROR(__xludf.DUMMYFUNCTION("""COMPUTED_VALUE"""),"LOGOUT")</f>
        <v>LOGOUT</v>
      </c>
      <c r="C272" s="2">
        <f>IFERROR(__xludf.DUMMYFUNCTION("""COMPUTED_VALUE"""),0.5)</f>
        <v>0.5</v>
      </c>
      <c r="D272" s="2" t="str">
        <f>IFERROR(__xludf.DUMMYFUNCTION("""COMPUTED_VALUE"""),"প্রস্থান")</f>
        <v>প্রস্থান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 t="str">
        <f>IFERROR(__xludf.DUMMYFUNCTION("""COMPUTED_VALUE"""),"smsSent")</f>
        <v>smsSent</v>
      </c>
      <c r="B273" s="2" t="str">
        <f>IFERROR(__xludf.DUMMYFUNCTION("""COMPUTED_VALUE"""),"SMS sent")</f>
        <v>SMS sent</v>
      </c>
      <c r="C273" s="2"/>
      <c r="D273" s="2" t="str">
        <f>IFERROR(__xludf.DUMMYFUNCTION("""COMPUTED_VALUE"""),"এসএমএস প্রেরণ")</f>
        <v>এসএমএস প্রেরণ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 t="str">
        <f>IFERROR(__xludf.DUMMYFUNCTION("""COMPUTED_VALUE"""),"successfully")</f>
        <v>successfully</v>
      </c>
      <c r="B274" s="2" t="str">
        <f>IFERROR(__xludf.DUMMYFUNCTION("""COMPUTED_VALUE"""),"Successfully")</f>
        <v>Successfully</v>
      </c>
      <c r="C274" s="2"/>
      <c r="D274" s="2" t="str">
        <f>IFERROR(__xludf.DUMMYFUNCTION("""COMPUTED_VALUE"""),"সফলভাবে")</f>
        <v>সফলভাবে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 t="str">
        <f>IFERROR(__xludf.DUMMYFUNCTION("""COMPUTED_VALUE"""),"deliverymanager")</f>
        <v>deliverymanager</v>
      </c>
      <c r="B275" s="2" t="str">
        <f>IFERROR(__xludf.DUMMYFUNCTION("""COMPUTED_VALUE"""),"Delivery Manager")</f>
        <v>Delivery Manager</v>
      </c>
      <c r="C275" s="2">
        <f>IFERROR(__xludf.DUMMYFUNCTION("""COMPUTED_VALUE"""),0.5)</f>
        <v>0.5</v>
      </c>
      <c r="D275" s="2" t="str">
        <f>IFERROR(__xludf.DUMMYFUNCTION("""COMPUTED_VALUE"""),"ডেলিভারি ম্যানেজার")</f>
        <v>ডেলিভারি ম্যানেজার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 t="str">
        <f>IFERROR(__xludf.DUMMYFUNCTION("""COMPUTED_VALUE"""),"hasBeen")</f>
        <v>hasBeen</v>
      </c>
      <c r="B276" s="2" t="str">
        <f>IFERROR(__xludf.DUMMYFUNCTION("""COMPUTED_VALUE"""),"has been")</f>
        <v>has been</v>
      </c>
      <c r="C276" s="2"/>
      <c r="D276" s="2" t="str">
        <f>IFERROR(__xludf.DUMMYFUNCTION("""COMPUTED_VALUE"""),"হয়েছে")</f>
        <v>হয়েছে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 t="str">
        <f>IFERROR(__xludf.DUMMYFUNCTION("""COMPUTED_VALUE"""),"sentAt")</f>
        <v>sentAt</v>
      </c>
      <c r="B277" s="2" t="str">
        <f>IFERROR(__xludf.DUMMYFUNCTION("""COMPUTED_VALUE"""),"sent at")</f>
        <v>sent at</v>
      </c>
      <c r="C277" s="2"/>
      <c r="D277" s="2" t="str">
        <f>IFERROR(__xludf.DUMMYFUNCTION("""COMPUTED_VALUE"""),"পাঠানো")</f>
        <v>পাঠানো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 t="str">
        <f>IFERROR(__xludf.DUMMYFUNCTION("""COMPUTED_VALUE"""),"yourRegistered")</f>
        <v>yourRegistered</v>
      </c>
      <c r="B278" s="2" t="str">
        <f>IFERROR(__xludf.DUMMYFUNCTION("""COMPUTED_VALUE"""),"your registered")</f>
        <v>your registered</v>
      </c>
      <c r="C278" s="2"/>
      <c r="D278" s="2" t="str">
        <f>IFERROR(__xludf.DUMMYFUNCTION("""COMPUTED_VALUE"""),"আপনার নিবন্ধিত")</f>
        <v>আপনার নিবন্ধিত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 t="str">
        <f>IFERROR(__xludf.DUMMYFUNCTION("""COMPUTED_VALUE"""),"House/Flat/Blockno.")</f>
        <v>House/Flat/Blockno.</v>
      </c>
      <c r="B279" s="2" t="str">
        <f>IFERROR(__xludf.DUMMYFUNCTION("""COMPUTED_VALUE"""),"House/Flat/Block no.")</f>
        <v>House/Flat/Block no.</v>
      </c>
      <c r="C279" s="2">
        <f>IFERROR(__xludf.DUMMYFUNCTION("""COMPUTED_VALUE"""),0.3)</f>
        <v>0.3</v>
      </c>
      <c r="D279" s="2" t="str">
        <f>IFERROR(__xludf.DUMMYFUNCTION("""COMPUTED_VALUE"""),"বাড়ি/ফ্ল্যাট/ব্লক নং।")</f>
        <v>বাড়ি/ফ্ল্যাট/ব্লক নং।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 t="str">
        <f>IFERROR(__xludf.DUMMYFUNCTION("""COMPUTED_VALUE"""),"Apartment/Road/Area")</f>
        <v>Apartment/Road/Area</v>
      </c>
      <c r="B280" s="2" t="str">
        <f>IFERROR(__xludf.DUMMYFUNCTION("""COMPUTED_VALUE"""),"Apartment/Road/Area")</f>
        <v>Apartment/Road/Area</v>
      </c>
      <c r="C280" s="2">
        <f>IFERROR(__xludf.DUMMYFUNCTION("""COMPUTED_VALUE"""),0.3)</f>
        <v>0.3</v>
      </c>
      <c r="D280" s="2" t="str">
        <f>IFERROR(__xludf.DUMMYFUNCTION("""COMPUTED_VALUE"""),"অ্যাপার্টমেন্ট/রাস্তা/অঞ্চল")</f>
        <v>অ্যাপার্টমেন্ট/রাস্তা/অঞ্চল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 t="str">
        <f>IFERROR(__xludf.DUMMYFUNCTION("""COMPUTED_VALUE"""),"OrderSubmitted")</f>
        <v>OrderSubmitted</v>
      </c>
      <c r="B281" s="2" t="str">
        <f>IFERROR(__xludf.DUMMYFUNCTION("""COMPUTED_VALUE"""),"Order Submitted")</f>
        <v>Order Submitted</v>
      </c>
      <c r="C281" s="2">
        <f>IFERROR(__xludf.DUMMYFUNCTION("""COMPUTED_VALUE"""),0.3)</f>
        <v>0.3</v>
      </c>
      <c r="D281" s="2" t="str">
        <f>IFERROR(__xludf.DUMMYFUNCTION("""COMPUTED_VALUE"""),"অর্ডার জমা দেওয়া")</f>
        <v>অর্ডার জমা দেওয়া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 t="str">
        <f>IFERROR(__xludf.DUMMYFUNCTION("""COMPUTED_VALUE"""),"saveas")</f>
        <v>saveas</v>
      </c>
      <c r="B282" s="2" t="str">
        <f>IFERROR(__xludf.DUMMYFUNCTION("""COMPUTED_VALUE"""),"Save as")</f>
        <v>Save as</v>
      </c>
      <c r="C282" s="2">
        <f>IFERROR(__xludf.DUMMYFUNCTION("""COMPUTED_VALUE"""),0.3)</f>
        <v>0.3</v>
      </c>
      <c r="D282" s="2" t="str">
        <f>IFERROR(__xludf.DUMMYFUNCTION("""COMPUTED_VALUE"""),"সংরক্ষণ করুন")</f>
        <v>সংরক্ষণ করুন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 t="str">
        <f>IFERROR(__xludf.DUMMYFUNCTION("""COMPUTED_VALUE"""),"sendTo")</f>
        <v>sendTo</v>
      </c>
      <c r="B283" s="2" t="str">
        <f>IFERROR(__xludf.DUMMYFUNCTION("""COMPUTED_VALUE"""),"Send To")</f>
        <v>Send To</v>
      </c>
      <c r="C283" s="2">
        <f>IFERROR(__xludf.DUMMYFUNCTION("""COMPUTED_VALUE"""),0.1)</f>
        <v>0.1</v>
      </c>
      <c r="D283" s="2" t="str">
        <f>IFERROR(__xludf.DUMMYFUNCTION("""COMPUTED_VALUE"""),"পাঠানো")</f>
        <v>পাঠানো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 t="str">
        <f>IFERROR(__xludf.DUMMYFUNCTION("""COMPUTED_VALUE"""),"managereferral")</f>
        <v>managereferral</v>
      </c>
      <c r="B284" s="2" t="str">
        <f>IFERROR(__xludf.DUMMYFUNCTION("""COMPUTED_VALUE"""),"Manage Referral")</f>
        <v>Manage Referral</v>
      </c>
      <c r="C284" s="2">
        <f>IFERROR(__xludf.DUMMYFUNCTION("""COMPUTED_VALUE"""),0.1)</f>
        <v>0.1</v>
      </c>
      <c r="D284" s="2" t="str">
        <f>IFERROR(__xludf.DUMMYFUNCTION("""COMPUTED_VALUE"""),"রেফারেল পরিচালনা করুন")</f>
        <v>রেফারেল পরিচালনা করুন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 t="str">
        <f>IFERROR(__xludf.DUMMYFUNCTION("""COMPUTED_VALUE"""),"in00.30Secs")</f>
        <v>in00.30Secs</v>
      </c>
      <c r="B285" s="2" t="str">
        <f>IFERROR(__xludf.DUMMYFUNCTION("""COMPUTED_VALUE"""),"in 00.30 secs")</f>
        <v>in 00.30 secs</v>
      </c>
      <c r="C285" s="2"/>
      <c r="D285" s="2" t="str">
        <f>IFERROR(__xludf.DUMMYFUNCTION("""COMPUTED_VALUE"""),"00.30 সেকেন্ডে")</f>
        <v>00.30 সেকেন্ডে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 t="str">
        <f>IFERROR(__xludf.DUMMYFUNCTION("""COMPUTED_VALUE"""),"fristOrder")</f>
        <v>fristOrder</v>
      </c>
      <c r="B286" s="2" t="str">
        <f>IFERROR(__xludf.DUMMYFUNCTION("""COMPUTED_VALUE"""),"First Order")</f>
        <v>First Order</v>
      </c>
      <c r="C286" s="2">
        <f>IFERROR(__xludf.DUMMYFUNCTION("""COMPUTED_VALUE"""),0.1)</f>
        <v>0.1</v>
      </c>
      <c r="D286" s="2" t="str">
        <f>IFERROR(__xludf.DUMMYFUNCTION("""COMPUTED_VALUE"""),"প্রথম আদেশ")</f>
        <v>প্রথম আদেশ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 t="str">
        <f>IFERROR(__xludf.DUMMYFUNCTION("""COMPUTED_VALUE"""),"entermobilenumberforotpverification")</f>
        <v>entermobilenumberforotpverification</v>
      </c>
      <c r="B287" s="2" t="str">
        <f>IFERROR(__xludf.DUMMYFUNCTION("""COMPUTED_VALUE"""),"Enter Mobile number for OTP Verification")</f>
        <v>Enter Mobile number for OTP Verification</v>
      </c>
      <c r="C287" s="2">
        <f>IFERROR(__xludf.DUMMYFUNCTION("""COMPUTED_VALUE"""),0.2)</f>
        <v>0.2</v>
      </c>
      <c r="D287" s="2" t="str">
        <f>IFERROR(__xludf.DUMMYFUNCTION("""COMPUTED_VALUE"""),"ওটিপি যাচাইকরণের জন্য মোবাইল নম্বর লিখুন")</f>
        <v>ওটিপি যাচাইকরণের জন্য মোবাইল নম্বর লিখুন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 t="str">
        <f>IFERROR(__xludf.DUMMYFUNCTION("""COMPUTED_VALUE"""),"welcome")</f>
        <v>welcome</v>
      </c>
      <c r="B288" s="2" t="str">
        <f>IFERROR(__xludf.DUMMYFUNCTION("""COMPUTED_VALUE"""),"Welcome ")</f>
        <v>Welcome </v>
      </c>
      <c r="C288" s="2">
        <f>IFERROR(__xludf.DUMMYFUNCTION("""COMPUTED_VALUE"""),0.1)</f>
        <v>0.1</v>
      </c>
      <c r="D288" s="2" t="str">
        <f>IFERROR(__xludf.DUMMYFUNCTION("""COMPUTED_VALUE"""),"স্বাগত")</f>
        <v>স্বাগত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 t="str">
        <f>IFERROR(__xludf.DUMMYFUNCTION("""COMPUTED_VALUE"""),"toSarvmai")</f>
        <v>toSarvmai</v>
      </c>
      <c r="B289" s="2" t="str">
        <f>IFERROR(__xludf.DUMMYFUNCTION("""COMPUTED_VALUE"""),"to SarVM.ai")</f>
        <v>to SarVM.ai</v>
      </c>
      <c r="C289" s="2">
        <f>IFERROR(__xludf.DUMMYFUNCTION("""COMPUTED_VALUE"""),0.1)</f>
        <v>0.1</v>
      </c>
      <c r="D289" s="2" t="str">
        <f>IFERROR(__xludf.DUMMYFUNCTION("""COMPUTED_VALUE"""),"সরভ.ই")</f>
        <v>সরভ.ই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 t="str">
        <f>IFERROR(__xludf.DUMMYFUNCTION("""COMPUTED_VALUE"""),"selectYourLanguage")</f>
        <v>selectYourLanguage</v>
      </c>
      <c r="B290" s="2" t="str">
        <f>IFERROR(__xludf.DUMMYFUNCTION("""COMPUTED_VALUE"""),"Select Your Language")</f>
        <v>Select Your Language</v>
      </c>
      <c r="C290" s="2">
        <f>IFERROR(__xludf.DUMMYFUNCTION("""COMPUTED_VALUE"""),0.1)</f>
        <v>0.1</v>
      </c>
      <c r="D290" s="2" t="str">
        <f>IFERROR(__xludf.DUMMYFUNCTION("""COMPUTED_VALUE"""),"আপনার ভাষা নির্বাচন করুন")</f>
        <v>আপনার ভাষা নির্বাচন করুন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 t="str">
        <f>IFERROR(__xludf.DUMMYFUNCTION("""COMPUTED_VALUE"""),"gstincluded")</f>
        <v>gstincluded</v>
      </c>
      <c r="B291" s="2" t="str">
        <f>IFERROR(__xludf.DUMMYFUNCTION("""COMPUTED_VALUE"""),"GST included")</f>
        <v>GST included</v>
      </c>
      <c r="C291" s="2">
        <f>IFERROR(__xludf.DUMMYFUNCTION("""COMPUTED_VALUE"""),0.2)</f>
        <v>0.2</v>
      </c>
      <c r="D291" s="2" t="str">
        <f>IFERROR(__xludf.DUMMYFUNCTION("""COMPUTED_VALUE"""),"জিএসটি অন্তর্ভুক্ত")</f>
        <v>জিএসটি অন্তর্ভুক্ত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 t="str">
        <f>IFERROR(__xludf.DUMMYFUNCTION("""COMPUTED_VALUE"""),"limitedoffer")</f>
        <v>limitedoffer</v>
      </c>
      <c r="B292" s="2" t="str">
        <f>IFERROR(__xludf.DUMMYFUNCTION("""COMPUTED_VALUE"""),"Limited Offer")</f>
        <v>Limited Offer</v>
      </c>
      <c r="C292" s="2">
        <f>IFERROR(__xludf.DUMMYFUNCTION("""COMPUTED_VALUE"""),0.2)</f>
        <v>0.2</v>
      </c>
      <c r="D292" s="2" t="str">
        <f>IFERROR(__xludf.DUMMYFUNCTION("""COMPUTED_VALUE"""),"সীমিত সুযোগ")</f>
        <v>সীমিত সুযোগ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 t="str">
        <f>IFERROR(__xludf.DUMMYFUNCTION("""COMPUTED_VALUE"""),"entityname")</f>
        <v>entityname</v>
      </c>
      <c r="B293" s="2" t="str">
        <f>IFERROR(__xludf.DUMMYFUNCTION("""COMPUTED_VALUE"""),"Entity Name")</f>
        <v>Entity Name</v>
      </c>
      <c r="C293" s="2">
        <f>IFERROR(__xludf.DUMMYFUNCTION("""COMPUTED_VALUE"""),0.2)</f>
        <v>0.2</v>
      </c>
      <c r="D293" s="2" t="str">
        <f>IFERROR(__xludf.DUMMYFUNCTION("""COMPUTED_VALUE"""),"সত্তার নাম")</f>
        <v>সত্তার নাম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 t="str">
        <f>IFERROR(__xludf.DUMMYFUNCTION("""COMPUTED_VALUE"""),"verificationCode")</f>
        <v>verificationCode</v>
      </c>
      <c r="B294" s="2" t="str">
        <f>IFERROR(__xludf.DUMMYFUNCTION("""COMPUTED_VALUE"""),"Verification Code")</f>
        <v>Verification Code</v>
      </c>
      <c r="C294" s="2">
        <f>IFERROR(__xludf.DUMMYFUNCTION("""COMPUTED_VALUE"""),0.1)</f>
        <v>0.1</v>
      </c>
      <c r="D294" s="2" t="str">
        <f>IFERROR(__xludf.DUMMYFUNCTION("""COMPUTED_VALUE"""),"যাচাইকরণ কোড")</f>
        <v>যাচাইকরণ কোড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 t="str">
        <f>IFERROR(__xludf.DUMMYFUNCTION("""COMPUTED_VALUE"""),"back")</f>
        <v>back</v>
      </c>
      <c r="B295" s="2" t="str">
        <f>IFERROR(__xludf.DUMMYFUNCTION("""COMPUTED_VALUE"""),"Back")</f>
        <v>Back</v>
      </c>
      <c r="C295" s="2">
        <f>IFERROR(__xludf.DUMMYFUNCTION("""COMPUTED_VALUE"""),0.2)</f>
        <v>0.2</v>
      </c>
      <c r="D295" s="2" t="str">
        <f>IFERROR(__xludf.DUMMYFUNCTION("""COMPUTED_VALUE"""),"পেছনে")</f>
        <v>পেছনে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 t="str">
        <f>IFERROR(__xludf.DUMMYFUNCTION("""COMPUTED_VALUE"""),"resendOtp")</f>
        <v>resendOtp</v>
      </c>
      <c r="B296" s="2" t="str">
        <f>IFERROR(__xludf.DUMMYFUNCTION("""COMPUTED_VALUE"""),"Resend OTP")</f>
        <v>Resend OTP</v>
      </c>
      <c r="C296" s="2">
        <f>IFERROR(__xludf.DUMMYFUNCTION("""COMPUTED_VALUE"""),0.1)</f>
        <v>0.1</v>
      </c>
      <c r="D296" s="2" t="str">
        <f>IFERROR(__xludf.DUMMYFUNCTION("""COMPUTED_VALUE"""),"ওটিপি পুনরায় প্রেরণ করুন")</f>
        <v>ওটিপি পুনরায় প্রেরণ করুন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 t="str">
        <f>IFERROR(__xludf.DUMMYFUNCTION("""COMPUTED_VALUE"""),"reorder ")</f>
        <v>reorder </v>
      </c>
      <c r="B297" s="2" t="str">
        <f>IFERROR(__xludf.DUMMYFUNCTION("""COMPUTED_VALUE"""),"Re Order")</f>
        <v>Re Order</v>
      </c>
      <c r="C297" s="2" t="str">
        <f>IFERROR(__xludf.DUMMYFUNCTION("""COMPUTED_VALUE"""),"0.4.1")</f>
        <v>0.4.1</v>
      </c>
      <c r="D297" s="2" t="str">
        <f>IFERROR(__xludf.DUMMYFUNCTION("""COMPUTED_VALUE"""),"পুনরায় আদেশ")</f>
        <v>পুনরায় আদেশ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 t="str">
        <f>IFERROR(__xludf.DUMMYFUNCTION("""COMPUTED_VALUE"""),"shopAddress")</f>
        <v>shopAddress</v>
      </c>
      <c r="B298" s="2" t="str">
        <f>IFERROR(__xludf.DUMMYFUNCTION("""COMPUTED_VALUE"""),"Shop Address")</f>
        <v>Shop Address</v>
      </c>
      <c r="C298" s="2">
        <f>IFERROR(__xludf.DUMMYFUNCTION("""COMPUTED_VALUE"""),0.1)</f>
        <v>0.1</v>
      </c>
      <c r="D298" s="2" t="str">
        <f>IFERROR(__xludf.DUMMYFUNCTION("""COMPUTED_VALUE"""),"দোকান ঠিকানা")</f>
        <v>দোকান ঠিকানা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 t="str">
        <f>IFERROR(__xludf.DUMMYFUNCTION("""COMPUTED_VALUE"""),"searchYourAddress")</f>
        <v>searchYourAddress</v>
      </c>
      <c r="B299" s="2" t="str">
        <f>IFERROR(__xludf.DUMMYFUNCTION("""COMPUTED_VALUE"""),"Search your Address")</f>
        <v>Search your Address</v>
      </c>
      <c r="C299" s="2">
        <f>IFERROR(__xludf.DUMMYFUNCTION("""COMPUTED_VALUE"""),0.1)</f>
        <v>0.1</v>
      </c>
      <c r="D299" s="2" t="str">
        <f>IFERROR(__xludf.DUMMYFUNCTION("""COMPUTED_VALUE"""),"আপনার ঠিকানা অনুসন্ধান করুন")</f>
        <v>আপনার ঠিকানা অনুসন্ধান করুন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 t="str">
        <f>IFERROR(__xludf.DUMMYFUNCTION("""COMPUTED_VALUE"""),"enterDetails")</f>
        <v>enterDetails</v>
      </c>
      <c r="B300" s="2" t="str">
        <f>IFERROR(__xludf.DUMMYFUNCTION("""COMPUTED_VALUE"""),"Enter Details   ")</f>
        <v>Enter Details   </v>
      </c>
      <c r="C300" s="2">
        <f>IFERROR(__xludf.DUMMYFUNCTION("""COMPUTED_VALUE"""),0.1)</f>
        <v>0.1</v>
      </c>
      <c r="D300" s="2" t="str">
        <f>IFERROR(__xludf.DUMMYFUNCTION("""COMPUTED_VALUE"""),"বিশদ লিখুন")</f>
        <v>বিশদ লিখুন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 t="str">
        <f>IFERROR(__xludf.DUMMYFUNCTION("""COMPUTED_VALUE"""),"businessName")</f>
        <v>businessName</v>
      </c>
      <c r="B301" s="2" t="str">
        <f>IFERROR(__xludf.DUMMYFUNCTION("""COMPUTED_VALUE"""),"Business Name")</f>
        <v>Business Name</v>
      </c>
      <c r="C301" s="2">
        <f>IFERROR(__xludf.DUMMYFUNCTION("""COMPUTED_VALUE"""),0.1)</f>
        <v>0.1</v>
      </c>
      <c r="D301" s="2" t="str">
        <f>IFERROR(__xludf.DUMMYFUNCTION("""COMPUTED_VALUE"""),"প্রাতিষ্ঠানিক নাম")</f>
        <v>প্রাতিষ্ঠানিক নাম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 t="str">
        <f>IFERROR(__xludf.DUMMYFUNCTION("""COMPUTED_VALUE"""),"shopno./building")</f>
        <v>shopno./building</v>
      </c>
      <c r="B302" s="2" t="str">
        <f>IFERROR(__xludf.DUMMYFUNCTION("""COMPUTED_VALUE"""),"Shop no./Building ")</f>
        <v>Shop no./Building </v>
      </c>
      <c r="C302" s="2">
        <f>IFERROR(__xludf.DUMMYFUNCTION("""COMPUTED_VALUE"""),0.1)</f>
        <v>0.1</v>
      </c>
      <c r="D302" s="2" t="str">
        <f>IFERROR(__xludf.DUMMYFUNCTION("""COMPUTED_VALUE"""),"শপ নং/বিল্ডিং")</f>
        <v>শপ নং/বিল্ডিং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 t="str">
        <f>IFERROR(__xludf.DUMMYFUNCTION("""COMPUTED_VALUE"""),"locality/area")</f>
        <v>locality/area</v>
      </c>
      <c r="B303" s="2" t="str">
        <f>IFERROR(__xludf.DUMMYFUNCTION("""COMPUTED_VALUE"""),"Locality/Area")</f>
        <v>Locality/Area</v>
      </c>
      <c r="C303" s="2">
        <f>IFERROR(__xludf.DUMMYFUNCTION("""COMPUTED_VALUE"""),0.1)</f>
        <v>0.1</v>
      </c>
      <c r="D303" s="2" t="str">
        <f>IFERROR(__xludf.DUMMYFUNCTION("""COMPUTED_VALUE"""),"লোকেশন/অঞ্চল")</f>
        <v>লোকেশন/অঞ্চল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 t="str">
        <f>IFERROR(__xludf.DUMMYFUNCTION("""COMPUTED_VALUE"""),"once+9101234xxxxxorder")</f>
        <v>once+9101234xxxxxorder</v>
      </c>
      <c r="B304" s="2" t="str">
        <f>IFERROR(__xludf.DUMMYFUNCTION("""COMPUTED_VALUE"""),"Once +91 01234xxxxx Order")</f>
        <v>Once +91 01234xxxxx Order</v>
      </c>
      <c r="C304" s="2">
        <f>IFERROR(__xludf.DUMMYFUNCTION("""COMPUTED_VALUE"""),0.1)</f>
        <v>0.1</v>
      </c>
      <c r="D304" s="2" t="str">
        <f>IFERROR(__xludf.DUMMYFUNCTION("""COMPUTED_VALUE"""),"একবার +91 01234xxxxx অর্ডার")</f>
        <v>একবার +91 01234xxxxx অর্ডার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 t="str">
        <f>IFERROR(__xludf.DUMMYFUNCTION("""COMPUTED_VALUE"""),"GST Number")</f>
        <v>GST Number</v>
      </c>
      <c r="B305" s="2" t="str">
        <f>IFERROR(__xludf.DUMMYFUNCTION("""COMPUTED_VALUE"""),"GST Number")</f>
        <v>GST Number</v>
      </c>
      <c r="C305" s="2">
        <f>IFERROR(__xludf.DUMMYFUNCTION("""COMPUTED_VALUE"""),0.3)</f>
        <v>0.3</v>
      </c>
      <c r="D305" s="2" t="str">
        <f>IFERROR(__xludf.DUMMYFUNCTION("""COMPUTED_VALUE"""),"জিএসটি নম্বর")</f>
        <v>জিএসটি নম্বর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 t="str">
        <f>IFERROR(__xludf.DUMMYFUNCTION("""COMPUTED_VALUE"""),"city/state")</f>
        <v>city/state</v>
      </c>
      <c r="B306" s="2" t="str">
        <f>IFERROR(__xludf.DUMMYFUNCTION("""COMPUTED_VALUE"""),"City/state")</f>
        <v>City/state</v>
      </c>
      <c r="C306" s="2">
        <f>IFERROR(__xludf.DUMMYFUNCTION("""COMPUTED_VALUE"""),0.1)</f>
        <v>0.1</v>
      </c>
      <c r="D306" s="2" t="str">
        <f>IFERROR(__xludf.DUMMYFUNCTION("""COMPUTED_VALUE"""),"শহর/রাজ্য")</f>
        <v>শহর/রাজ্য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 t="str">
        <f>IFERROR(__xludf.DUMMYFUNCTION("""COMPUTED_VALUE"""),"pincode")</f>
        <v>pincode</v>
      </c>
      <c r="B307" s="2" t="str">
        <f>IFERROR(__xludf.DUMMYFUNCTION("""COMPUTED_VALUE"""),"Pincode")</f>
        <v>Pincode</v>
      </c>
      <c r="C307" s="2">
        <f>IFERROR(__xludf.DUMMYFUNCTION("""COMPUTED_VALUE"""),0.1)</f>
        <v>0.1</v>
      </c>
      <c r="D307" s="2" t="str">
        <f>IFERROR(__xludf.DUMMYFUNCTION("""COMPUTED_VALUE"""),"পিনকোড")</f>
        <v>পিনকোড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 t="str">
        <f>IFERROR(__xludf.DUMMYFUNCTION("""COMPUTED_VALUE"""),"saveAndContinue")</f>
        <v>saveAndContinue</v>
      </c>
      <c r="B308" s="2" t="str">
        <f>IFERROR(__xludf.DUMMYFUNCTION("""COMPUTED_VALUE"""),"Save and Continue")</f>
        <v>Save and Continue</v>
      </c>
      <c r="C308" s="2">
        <f>IFERROR(__xludf.DUMMYFUNCTION("""COMPUTED_VALUE"""),0.2)</f>
        <v>0.2</v>
      </c>
      <c r="D308" s="2" t="str">
        <f>IFERROR(__xludf.DUMMYFUNCTION("""COMPUTED_VALUE"""),"সংরক্ষণ করুন এবং অবিরত থাকুন")</f>
        <v>সংরক্ষণ করুন এবং অবিরত থাকুন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 t="str">
        <f>IFERROR(__xludf.DUMMYFUNCTION("""COMPUTED_VALUE"""),"specifyWorkingTime")</f>
        <v>specifyWorkingTime</v>
      </c>
      <c r="B309" s="2" t="str">
        <f>IFERROR(__xludf.DUMMYFUNCTION("""COMPUTED_VALUE"""),"Specify Working Time")</f>
        <v>Specify Working Time</v>
      </c>
      <c r="C309" s="2"/>
      <c r="D309" s="2" t="str">
        <f>IFERROR(__xludf.DUMMYFUNCTION("""COMPUTED_VALUE"""),"কাজের সময় নির্দিষ্ট করুন")</f>
        <v>কাজের সময় নির্দিষ্ট করুন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 t="str">
        <f>IFERROR(__xludf.DUMMYFUNCTION("""COMPUTED_VALUE"""),"sameForEveryDay")</f>
        <v>sameForEveryDay</v>
      </c>
      <c r="B310" s="2" t="str">
        <f>IFERROR(__xludf.DUMMYFUNCTION("""COMPUTED_VALUE"""),"Same for Every Day")</f>
        <v>Same for Every Day</v>
      </c>
      <c r="C310" s="2"/>
      <c r="D310" s="2" t="str">
        <f>IFERROR(__xludf.DUMMYFUNCTION("""COMPUTED_VALUE"""),"প্রতিদিনের জন্য একই")</f>
        <v>প্রতিদিনের জন্য একই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 t="str">
        <f>IFERROR(__xludf.DUMMYFUNCTION("""COMPUTED_VALUE"""),"skip")</f>
        <v>skip</v>
      </c>
      <c r="B311" s="2" t="str">
        <f>IFERROR(__xludf.DUMMYFUNCTION("""COMPUTED_VALUE"""),"Skip")</f>
        <v>Skip</v>
      </c>
      <c r="C311" s="2">
        <f>IFERROR(__xludf.DUMMYFUNCTION("""COMPUTED_VALUE"""),0.1)</f>
        <v>0.1</v>
      </c>
      <c r="D311" s="2" t="str">
        <f>IFERROR(__xludf.DUMMYFUNCTION("""COMPUTED_VALUE"""),"এড়িয়ে যান")</f>
        <v>এড়িয়ে যান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 t="str">
        <f>IFERROR(__xludf.DUMMYFUNCTION("""COMPUTED_VALUE"""),"save&amp;Continue")</f>
        <v>save&amp;Continue</v>
      </c>
      <c r="B312" s="2" t="str">
        <f>IFERROR(__xludf.DUMMYFUNCTION("""COMPUTED_VALUE"""),"Save &amp; Continue")</f>
        <v>Save &amp; Continue</v>
      </c>
      <c r="C312" s="2">
        <f>IFERROR(__xludf.DUMMYFUNCTION("""COMPUTED_VALUE"""),0.1)</f>
        <v>0.1</v>
      </c>
      <c r="D312" s="2" t="str">
        <f>IFERROR(__xludf.DUMMYFUNCTION("""COMPUTED_VALUE"""),"সংরক্ষণ করুন এবং চালিয়ে যান")</f>
        <v>সংরক্ষণ করুন এবং চালিয়ে যান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 t="str">
        <f>IFERROR(__xludf.DUMMYFUNCTION("""COMPUTED_VALUE"""),"sendreferralinvite")</f>
        <v>sendreferralinvite</v>
      </c>
      <c r="B313" s="2" t="str">
        <f>IFERROR(__xludf.DUMMYFUNCTION("""COMPUTED_VALUE"""),"Send Referral Invite")</f>
        <v>Send Referral Invite</v>
      </c>
      <c r="C313" s="2">
        <f>IFERROR(__xludf.DUMMYFUNCTION("""COMPUTED_VALUE"""),0.2)</f>
        <v>0.2</v>
      </c>
      <c r="D313" s="2" t="str">
        <f>IFERROR(__xludf.DUMMYFUNCTION("""COMPUTED_VALUE"""),"রেফারাল আমন্ত্রণ প্রেরণ করুন")</f>
        <v>রেফারাল আমন্ত্রণ প্রেরণ করুন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 t="str">
        <f>IFERROR(__xludf.DUMMYFUNCTION("""COMPUTED_VALUE"""),"track")</f>
        <v>track</v>
      </c>
      <c r="B314" s="2" t="str">
        <f>IFERROR(__xludf.DUMMYFUNCTION("""COMPUTED_VALUE"""),"Track")</f>
        <v>Track</v>
      </c>
      <c r="C314" s="2" t="str">
        <f>IFERROR(__xludf.DUMMYFUNCTION("""COMPUTED_VALUE"""),"0.4.1")</f>
        <v>0.4.1</v>
      </c>
      <c r="D314" s="2" t="str">
        <f>IFERROR(__xludf.DUMMYFUNCTION("""COMPUTED_VALUE"""),"ট্র্যাক")</f>
        <v>ট্র্যাক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 t="str">
        <f>IFERROR(__xludf.DUMMYFUNCTION("""COMPUTED_VALUE"""),"done")</f>
        <v>done</v>
      </c>
      <c r="B315" s="2" t="str">
        <f>IFERROR(__xludf.DUMMYFUNCTION("""COMPUTED_VALUE"""),"Done")</f>
        <v>Done</v>
      </c>
      <c r="C315" s="2">
        <f>IFERROR(__xludf.DUMMYFUNCTION("""COMPUTED_VALUE"""),0.2)</f>
        <v>0.2</v>
      </c>
      <c r="D315" s="2" t="str">
        <f>IFERROR(__xludf.DUMMYFUNCTION("""COMPUTED_VALUE"""),"সম্পন্ন")</f>
        <v>সম্পন্ন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 t="str">
        <f>IFERROR(__xludf.DUMMYFUNCTION("""COMPUTED_VALUE"""),"Kyc")</f>
        <v>Kyc</v>
      </c>
      <c r="B316" s="2" t="str">
        <f>IFERROR(__xludf.DUMMYFUNCTION("""COMPUTED_VALUE"""),"KYC")</f>
        <v>KYC</v>
      </c>
      <c r="C316" s="2">
        <f>IFERROR(__xludf.DUMMYFUNCTION("""COMPUTED_VALUE"""),0.1)</f>
        <v>0.1</v>
      </c>
      <c r="D316" s="2" t="str">
        <f>IFERROR(__xludf.DUMMYFUNCTION("""COMPUTED_VALUE"""),"কেওয়াইসি")</f>
        <v>কেওয়াইসি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 t="str">
        <f>IFERROR(__xludf.DUMMYFUNCTION("""COMPUTED_VALUE"""),"fathersName")</f>
        <v>fathersName</v>
      </c>
      <c r="B317" s="2" t="str">
        <f>IFERROR(__xludf.DUMMYFUNCTION("""COMPUTED_VALUE"""),"Father’s Name")</f>
        <v>Father’s Name</v>
      </c>
      <c r="C317" s="2">
        <f>IFERROR(__xludf.DUMMYFUNCTION("""COMPUTED_VALUE"""),0.1)</f>
        <v>0.1</v>
      </c>
      <c r="D317" s="2" t="str">
        <f>IFERROR(__xludf.DUMMYFUNCTION("""COMPUTED_VALUE"""),"বাবার নাম")</f>
        <v>বাবার নাম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 t="str">
        <f>IFERROR(__xludf.DUMMYFUNCTION("""COMPUTED_VALUE"""),"dob")</f>
        <v>dob</v>
      </c>
      <c r="B318" s="2" t="str">
        <f>IFERROR(__xludf.DUMMYFUNCTION("""COMPUTED_VALUE"""),"DOB")</f>
        <v>DOB</v>
      </c>
      <c r="C318" s="2">
        <f>IFERROR(__xludf.DUMMYFUNCTION("""COMPUTED_VALUE"""),0.1)</f>
        <v>0.1</v>
      </c>
      <c r="D318" s="2" t="str">
        <f>IFERROR(__xludf.DUMMYFUNCTION("""COMPUTED_VALUE"""),"ডিওবি")</f>
        <v>ডিওবি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 t="str">
        <f>IFERROR(__xludf.DUMMYFUNCTION("""COMPUTED_VALUE"""),"uploadProofIdentity")</f>
        <v>uploadProofIdentity</v>
      </c>
      <c r="B319" s="2" t="str">
        <f>IFERROR(__xludf.DUMMYFUNCTION("""COMPUTED_VALUE"""),"Upload Proof identity")</f>
        <v>Upload Proof identity</v>
      </c>
      <c r="C319" s="2">
        <f>IFERROR(__xludf.DUMMYFUNCTION("""COMPUTED_VALUE"""),0.1)</f>
        <v>0.1</v>
      </c>
      <c r="D319" s="2" t="str">
        <f>IFERROR(__xludf.DUMMYFUNCTION("""COMPUTED_VALUE"""),"প্রমাণ পরিচয় আপলোড করুন")</f>
        <v>প্রমাণ পরিচয় আপলোড করুন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 t="str">
        <f>IFERROR(__xludf.DUMMYFUNCTION("""COMPUTED_VALUE"""),"AadharCard")</f>
        <v>AadharCard</v>
      </c>
      <c r="B320" s="2" t="str">
        <f>IFERROR(__xludf.DUMMYFUNCTION("""COMPUTED_VALUE"""),"Aadhar Card")</f>
        <v>Aadhar Card</v>
      </c>
      <c r="C320" s="2">
        <f>IFERROR(__xludf.DUMMYFUNCTION("""COMPUTED_VALUE"""),0.1)</f>
        <v>0.1</v>
      </c>
      <c r="D320" s="2" t="str">
        <f>IFERROR(__xludf.DUMMYFUNCTION("""COMPUTED_VALUE"""),"আধার কার্ড")</f>
        <v>আধার কার্ড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 t="str">
        <f>IFERROR(__xludf.DUMMYFUNCTION("""COMPUTED_VALUE"""),"idCardNo.")</f>
        <v>idCardNo.</v>
      </c>
      <c r="B321" s="2" t="str">
        <f>IFERROR(__xludf.DUMMYFUNCTION("""COMPUTED_VALUE"""),"ID Card No.")</f>
        <v>ID Card No.</v>
      </c>
      <c r="C321" s="2">
        <f>IFERROR(__xludf.DUMMYFUNCTION("""COMPUTED_VALUE"""),0.1)</f>
        <v>0.1</v>
      </c>
      <c r="D321" s="2" t="str">
        <f>IFERROR(__xludf.DUMMYFUNCTION("""COMPUTED_VALUE"""),"আইডি কার্ড নম্বর.")</f>
        <v>আইডি কার্ড নম্বর.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 t="str">
        <f>IFERROR(__xludf.DUMMYFUNCTION("""COMPUTED_VALUE"""),"uploadPanCard")</f>
        <v>uploadPanCard</v>
      </c>
      <c r="B322" s="2" t="str">
        <f>IFERROR(__xludf.DUMMYFUNCTION("""COMPUTED_VALUE"""),"Upload PAN Card")</f>
        <v>Upload PAN Card</v>
      </c>
      <c r="C322" s="2">
        <f>IFERROR(__xludf.DUMMYFUNCTION("""COMPUTED_VALUE"""),0.1)</f>
        <v>0.1</v>
      </c>
      <c r="D322" s="2" t="str">
        <f>IFERROR(__xludf.DUMMYFUNCTION("""COMPUTED_VALUE"""),"প্যান কার্ড আপলোড করুন")</f>
        <v>প্যান কার্ড আপলোড করুন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 t="str">
        <f>IFERROR(__xludf.DUMMYFUNCTION("""COMPUTED_VALUE"""),"panCardNo")</f>
        <v>panCardNo</v>
      </c>
      <c r="B323" s="2" t="str">
        <f>IFERROR(__xludf.DUMMYFUNCTION("""COMPUTED_VALUE"""),"PAN Card No.")</f>
        <v>PAN Card No.</v>
      </c>
      <c r="C323" s="2">
        <f>IFERROR(__xludf.DUMMYFUNCTION("""COMPUTED_VALUE"""),0.1)</f>
        <v>0.1</v>
      </c>
      <c r="D323" s="2" t="str">
        <f>IFERROR(__xludf.DUMMYFUNCTION("""COMPUTED_VALUE"""),"প্যান কার্ড নং")</f>
        <v>প্যান কার্ড নং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 t="str">
        <f>IFERROR(__xludf.DUMMYFUNCTION("""COMPUTED_VALUE"""),"uploadFileForm")</f>
        <v>uploadFileForm</v>
      </c>
      <c r="B324" s="2" t="str">
        <f>IFERROR(__xludf.DUMMYFUNCTION("""COMPUTED_VALUE"""),"Upload file from")</f>
        <v>Upload file from</v>
      </c>
      <c r="C324" s="2">
        <f>IFERROR(__xludf.DUMMYFUNCTION("""COMPUTED_VALUE"""),0.1)</f>
        <v>0.1</v>
      </c>
      <c r="D324" s="2" t="str">
        <f>IFERROR(__xludf.DUMMYFUNCTION("""COMPUTED_VALUE"""),"থেকে ফাইল আপলোড করুন")</f>
        <v>থেকে ফাইল আপলোড করুন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 t="str">
        <f>IFERROR(__xludf.DUMMYFUNCTION("""COMPUTED_VALUE"""),"bankDetails")</f>
        <v>bankDetails</v>
      </c>
      <c r="B325" s="2" t="str">
        <f>IFERROR(__xludf.DUMMYFUNCTION("""COMPUTED_VALUE"""),"Bank Details")</f>
        <v>Bank Details</v>
      </c>
      <c r="C325" s="2">
        <f>IFERROR(__xludf.DUMMYFUNCTION("""COMPUTED_VALUE"""),0.1)</f>
        <v>0.1</v>
      </c>
      <c r="D325" s="2" t="str">
        <f>IFERROR(__xludf.DUMMYFUNCTION("""COMPUTED_VALUE"""),"ব্যাংক বিবরণ")</f>
        <v>ব্যাংক বিবরণ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 t="str">
        <f>IFERROR(__xludf.DUMMYFUNCTION("""COMPUTED_VALUE"""),"BeneficiaryName")</f>
        <v>BeneficiaryName</v>
      </c>
      <c r="B326" s="2" t="str">
        <f>IFERROR(__xludf.DUMMYFUNCTION("""COMPUTED_VALUE"""),"Beneficiary Name")</f>
        <v>Beneficiary Name</v>
      </c>
      <c r="C326" s="2">
        <f>IFERROR(__xludf.DUMMYFUNCTION("""COMPUTED_VALUE"""),0.2)</f>
        <v>0.2</v>
      </c>
      <c r="D326" s="2" t="str">
        <f>IFERROR(__xludf.DUMMYFUNCTION("""COMPUTED_VALUE"""),"সুবিধা প্রাপ্ত নাম")</f>
        <v>সুবিধা প্রাপ্ত নাম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 t="str">
        <f>IFERROR(__xludf.DUMMYFUNCTION("""COMPUTED_VALUE"""),"bankName")</f>
        <v>bankName</v>
      </c>
      <c r="B327" s="2" t="str">
        <f>IFERROR(__xludf.DUMMYFUNCTION("""COMPUTED_VALUE"""),"Bank Name")</f>
        <v>Bank Name</v>
      </c>
      <c r="C327" s="2">
        <f>IFERROR(__xludf.DUMMYFUNCTION("""COMPUTED_VALUE"""),0.2)</f>
        <v>0.2</v>
      </c>
      <c r="D327" s="2" t="str">
        <f>IFERROR(__xludf.DUMMYFUNCTION("""COMPUTED_VALUE"""),"ব্যাংকের নাম")</f>
        <v>ব্যাংকের নাম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 t="str">
        <f>IFERROR(__xludf.DUMMYFUNCTION("""COMPUTED_VALUE"""),"accountNo")</f>
        <v>accountNo</v>
      </c>
      <c r="B328" s="2" t="str">
        <f>IFERROR(__xludf.DUMMYFUNCTION("""COMPUTED_VALUE"""),"Account No.")</f>
        <v>Account No.</v>
      </c>
      <c r="C328" s="2"/>
      <c r="D328" s="2" t="str">
        <f>IFERROR(__xludf.DUMMYFUNCTION("""COMPUTED_VALUE"""),"হিসাব নাম্বার.")</f>
        <v>হিসাব নাম্বার.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 t="str">
        <f>IFERROR(__xludf.DUMMYFUNCTION("""COMPUTED_VALUE"""),"ifsc")</f>
        <v>ifsc</v>
      </c>
      <c r="B329" s="2" t="str">
        <f>IFERROR(__xludf.DUMMYFUNCTION("""COMPUTED_VALUE"""),"IFSC")</f>
        <v>IFSC</v>
      </c>
      <c r="C329" s="2"/>
      <c r="D329" s="2" t="str">
        <f>IFERROR(__xludf.DUMMYFUNCTION("""COMPUTED_VALUE"""),"আইএফএসসি")</f>
        <v>আইএফএসসি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 t="str">
        <f>IFERROR(__xludf.DUMMYFUNCTION("""COMPUTED_VALUE"""),"uploadPassbookPhoto")</f>
        <v>uploadPassbookPhoto</v>
      </c>
      <c r="B330" s="2" t="str">
        <f>IFERROR(__xludf.DUMMYFUNCTION("""COMPUTED_VALUE"""),"Upload Passbook photo")</f>
        <v>Upload Passbook photo</v>
      </c>
      <c r="C330" s="2"/>
      <c r="D330" s="2" t="str">
        <f>IFERROR(__xludf.DUMMYFUNCTION("""COMPUTED_VALUE"""),"পাসবুক ফটো আপলোড করুন")</f>
        <v>পাসবুক ফটো আপলোড করুন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 t="str">
        <f>IFERROR(__xludf.DUMMYFUNCTION("""COMPUTED_VALUE"""),"passbookphoto")</f>
        <v>passbookphoto</v>
      </c>
      <c r="B331" s="2" t="str">
        <f>IFERROR(__xludf.DUMMYFUNCTION("""COMPUTED_VALUE"""),"Passbook Photo")</f>
        <v>Passbook Photo</v>
      </c>
      <c r="C331" s="2">
        <f>IFERROR(__xludf.DUMMYFUNCTION("""COMPUTED_VALUE"""),0.2)</f>
        <v>0.2</v>
      </c>
      <c r="D331" s="2" t="str">
        <f>IFERROR(__xludf.DUMMYFUNCTION("""COMPUTED_VALUE"""),"পাসবুক ফটো")</f>
        <v>পাসবুক ফটো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 t="str">
        <f>IFERROR(__xludf.DUMMYFUNCTION("""COMPUTED_VALUE"""),"pendingOrders")</f>
        <v>pendingOrders</v>
      </c>
      <c r="B332" s="2" t="str">
        <f>IFERROR(__xludf.DUMMYFUNCTION("""COMPUTED_VALUE"""),"Pending Orders")</f>
        <v>Pending Orders</v>
      </c>
      <c r="C332" s="2"/>
      <c r="D332" s="2" t="str">
        <f>IFERROR(__xludf.DUMMYFUNCTION("""COMPUTED_VALUE"""),"মুলতুবি আদেশ")</f>
        <v>মুলতুবি আদেশ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 t="str">
        <f>IFERROR(__xludf.DUMMYFUNCTION("""COMPUTED_VALUE"""),"details")</f>
        <v>details</v>
      </c>
      <c r="B333" s="2" t="str">
        <f>IFERROR(__xludf.DUMMYFUNCTION("""COMPUTED_VALUE"""),"Details")</f>
        <v>Details</v>
      </c>
      <c r="C333" s="2">
        <f>IFERROR(__xludf.DUMMYFUNCTION("""COMPUTED_VALUE"""),0.1)</f>
        <v>0.1</v>
      </c>
      <c r="D333" s="2" t="str">
        <f>IFERROR(__xludf.DUMMYFUNCTION("""COMPUTED_VALUE"""),"বিশদ")</f>
        <v>বিশদ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 t="str">
        <f>IFERROR(__xludf.DUMMYFUNCTION("""COMPUTED_VALUE"""),"reEnterAccountNo")</f>
        <v>reEnterAccountNo</v>
      </c>
      <c r="B334" s="2" t="str">
        <f>IFERROR(__xludf.DUMMYFUNCTION("""COMPUTED_VALUE"""),"Re-enter Account No.")</f>
        <v>Re-enter Account No.</v>
      </c>
      <c r="C334" s="2">
        <f>IFERROR(__xludf.DUMMYFUNCTION("""COMPUTED_VALUE"""),0.2)</f>
        <v>0.2</v>
      </c>
      <c r="D334" s="2" t="str">
        <f>IFERROR(__xludf.DUMMYFUNCTION("""COMPUTED_VALUE"""),"পুনরায় প্রবেশের অ্যাকাউন্ট নং")</f>
        <v>পুনরায় প্রবেশের অ্যাকাউন্ট নং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 t="str">
        <f>IFERROR(__xludf.DUMMYFUNCTION("""COMPUTED_VALUE"""),"reenteraccountnumber")</f>
        <v>reenteraccountnumber</v>
      </c>
      <c r="B335" s="2" t="str">
        <f>IFERROR(__xludf.DUMMYFUNCTION("""COMPUTED_VALUE"""),"Re-enter Account Number ")</f>
        <v>Re-enter Account Number </v>
      </c>
      <c r="C335" s="2">
        <f>IFERROR(__xludf.DUMMYFUNCTION("""COMPUTED_VALUE"""),0.2)</f>
        <v>0.2</v>
      </c>
      <c r="D335" s="2" t="str">
        <f>IFERROR(__xludf.DUMMYFUNCTION("""COMPUTED_VALUE"""),"হিসাব নং আবার প্রবেশ করান")</f>
        <v>হিসাব নং আবার প্রবেশ করান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 t="str">
        <f>IFERROR(__xludf.DUMMYFUNCTION("""COMPUTED_VALUE"""),"accountNumber")</f>
        <v>accountNumber</v>
      </c>
      <c r="B336" s="2" t="str">
        <f>IFERROR(__xludf.DUMMYFUNCTION("""COMPUTED_VALUE"""),"Account Number")</f>
        <v>Account Number</v>
      </c>
      <c r="C336" s="2">
        <f>IFERROR(__xludf.DUMMYFUNCTION("""COMPUTED_VALUE"""),0.2)</f>
        <v>0.2</v>
      </c>
      <c r="D336" s="2" t="str">
        <f>IFERROR(__xludf.DUMMYFUNCTION("""COMPUTED_VALUE"""),"হিসাব নাম্বার")</f>
        <v>হিসাব নাম্বার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 t="str">
        <f>IFERROR(__xludf.DUMMYFUNCTION("""COMPUTED_VALUE"""),"ifsccode")</f>
        <v>ifsccode</v>
      </c>
      <c r="B337" s="2" t="str">
        <f>IFERROR(__xludf.DUMMYFUNCTION("""COMPUTED_VALUE"""),"IFSC Code")</f>
        <v>IFSC Code</v>
      </c>
      <c r="C337" s="2">
        <f>IFERROR(__xludf.DUMMYFUNCTION("""COMPUTED_VALUE"""),0.2)</f>
        <v>0.2</v>
      </c>
      <c r="D337" s="2" t="str">
        <f>IFERROR(__xludf.DUMMYFUNCTION("""COMPUTED_VALUE"""),"আইএফএসসি কোড")</f>
        <v>আইএফএসসি কোড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 t="str">
        <f>IFERROR(__xludf.DUMMYFUNCTION("""COMPUTED_VALUE"""),"pannumber")</f>
        <v>pannumber</v>
      </c>
      <c r="B338" s="2" t="str">
        <f>IFERROR(__xludf.DUMMYFUNCTION("""COMPUTED_VALUE"""),"PAN Number ")</f>
        <v>PAN Number </v>
      </c>
      <c r="C338" s="2">
        <f>IFERROR(__xludf.DUMMYFUNCTION("""COMPUTED_VALUE"""),0.2)</f>
        <v>0.2</v>
      </c>
      <c r="D338" s="2" t="str">
        <f>IFERROR(__xludf.DUMMYFUNCTION("""COMPUTED_VALUE"""),"প্যান নম্বর")</f>
        <v>প্যান নম্বর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 t="str">
        <f>IFERROR(__xludf.DUMMYFUNCTION("""COMPUTED_VALUE"""),"selling")</f>
        <v>selling</v>
      </c>
      <c r="B339" s="2" t="str">
        <f>IFERROR(__xludf.DUMMYFUNCTION("""COMPUTED_VALUE"""),"Selling")</f>
        <v>Selling</v>
      </c>
      <c r="C339" s="2">
        <f>IFERROR(__xludf.DUMMYFUNCTION("""COMPUTED_VALUE"""),0.2)</f>
        <v>0.2</v>
      </c>
      <c r="D339" s="2" t="str">
        <f>IFERROR(__xludf.DUMMYFUNCTION("""COMPUTED_VALUE"""),"বিক্রয়")</f>
        <v>বিক্রয়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 t="str">
        <f>IFERROR(__xludf.DUMMYFUNCTION("""COMPUTED_VALUE"""),"areyoysure?youwanttosendreferralinvitetothisnumber?")</f>
        <v>areyoysure?youwanttosendreferralinvitetothisnumber?</v>
      </c>
      <c r="B340" s="2" t="str">
        <f>IFERROR(__xludf.DUMMYFUNCTION("""COMPUTED_VALUE"""),"Are you sure? You want to send referral invite to this number?")</f>
        <v>Are you sure? You want to send referral invite to this number?</v>
      </c>
      <c r="C340" s="2">
        <f>IFERROR(__xludf.DUMMYFUNCTION("""COMPUTED_VALUE"""),0.2)</f>
        <v>0.2</v>
      </c>
      <c r="D340" s="2" t="str">
        <f>IFERROR(__xludf.DUMMYFUNCTION("""COMPUTED_VALUE"""),"তুমি কি নিশ্চিত? আপনি এই নম্বরটিতে রেফারেল আমন্ত্রণ পাঠাতে চান?")</f>
        <v>তুমি কি নিশ্চিত? আপনি এই নম্বরটিতে রেফারেল আমন্ত্রণ পাঠাতে চান?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 t="str">
        <f>IFERROR(__xludf.DUMMYFUNCTION("""COMPUTED_VALUE"""),"addproductdetails")</f>
        <v>addproductdetails</v>
      </c>
      <c r="B341" s="2" t="str">
        <f>IFERROR(__xludf.DUMMYFUNCTION("""COMPUTED_VALUE"""),"Add Product Details")</f>
        <v>Add Product Details</v>
      </c>
      <c r="C341" s="2">
        <f>IFERROR(__xludf.DUMMYFUNCTION("""COMPUTED_VALUE"""),0.3)</f>
        <v>0.3</v>
      </c>
      <c r="D341" s="2" t="str">
        <f>IFERROR(__xludf.DUMMYFUNCTION("""COMPUTED_VALUE"""),"পণ্যের বিশদ যুক্ত করুন")</f>
        <v>পণ্যের বিশদ যুক্ত করুন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 t="str">
        <f>IFERROR(__xludf.DUMMYFUNCTION("""COMPUTED_VALUE"""),"expenses")</f>
        <v>expenses</v>
      </c>
      <c r="B342" s="2" t="str">
        <f>IFERROR(__xludf.DUMMYFUNCTION("""COMPUTED_VALUE"""),"Expenses")</f>
        <v>Expenses</v>
      </c>
      <c r="C342" s="2">
        <f>IFERROR(__xludf.DUMMYFUNCTION("""COMPUTED_VALUE"""),0.1)</f>
        <v>0.1</v>
      </c>
      <c r="D342" s="2" t="str">
        <f>IFERROR(__xludf.DUMMYFUNCTION("""COMPUTED_VALUE"""),"ব্যয়")</f>
        <v>ব্যয়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 t="str">
        <f>IFERROR(__xludf.DUMMYFUNCTION("""COMPUTED_VALUE"""),"orderhistory")</f>
        <v>orderhistory</v>
      </c>
      <c r="B343" s="2" t="str">
        <f>IFERROR(__xludf.DUMMYFUNCTION("""COMPUTED_VALUE"""),"Order History")</f>
        <v>Order History</v>
      </c>
      <c r="C343" s="2">
        <f>IFERROR(__xludf.DUMMYFUNCTION("""COMPUTED_VALUE"""),0.4)</f>
        <v>0.4</v>
      </c>
      <c r="D343" s="2" t="str">
        <f>IFERROR(__xludf.DUMMYFUNCTION("""COMPUTED_VALUE"""),"অর্ডার ইতিহাস")</f>
        <v>অর্ডার ইতিহাস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 t="str">
        <f>IFERROR(__xludf.DUMMYFUNCTION("""COMPUTED_VALUE"""),"crm")</f>
        <v>crm</v>
      </c>
      <c r="B344" s="2" t="str">
        <f>IFERROR(__xludf.DUMMYFUNCTION("""COMPUTED_VALUE"""),"CRM")</f>
        <v>CRM</v>
      </c>
      <c r="C344" s="2">
        <f>IFERROR(__xludf.DUMMYFUNCTION("""COMPUTED_VALUE"""),0.1)</f>
        <v>0.1</v>
      </c>
      <c r="D344" s="2" t="str">
        <f>IFERROR(__xludf.DUMMYFUNCTION("""COMPUTED_VALUE"""),"সিআরএম")</f>
        <v>সিআরএম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 t="str">
        <f>IFERROR(__xludf.DUMMYFUNCTION("""COMPUTED_VALUE"""),"customer")</f>
        <v>customer</v>
      </c>
      <c r="B345" s="2" t="str">
        <f>IFERROR(__xludf.DUMMYFUNCTION("""COMPUTED_VALUE"""),"Customer")</f>
        <v>Customer</v>
      </c>
      <c r="C345" s="2">
        <f>IFERROR(__xludf.DUMMYFUNCTION("""COMPUTED_VALUE"""),0.1)</f>
        <v>0.1</v>
      </c>
      <c r="D345" s="2" t="str">
        <f>IFERROR(__xludf.DUMMYFUNCTION("""COMPUTED_VALUE"""),"ক্রেতা")</f>
        <v>ক্রেতা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 t="str">
        <f>IFERROR(__xludf.DUMMYFUNCTION("""COMPUTED_VALUE"""),"service")</f>
        <v>service</v>
      </c>
      <c r="B346" s="2" t="str">
        <f>IFERROR(__xludf.DUMMYFUNCTION("""COMPUTED_VALUE"""),"Service")</f>
        <v>Service</v>
      </c>
      <c r="C346" s="2">
        <f>IFERROR(__xludf.DUMMYFUNCTION("""COMPUTED_VALUE"""),0.1)</f>
        <v>0.1</v>
      </c>
      <c r="D346" s="2" t="str">
        <f>IFERROR(__xludf.DUMMYFUNCTION("""COMPUTED_VALUE"""),"পরিষেবা")</f>
        <v>পরিষেবা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 t="str">
        <f>IFERROR(__xludf.DUMMYFUNCTION("""COMPUTED_VALUE"""),"b2bBuy")</f>
        <v>b2bBuy</v>
      </c>
      <c r="B347" s="2" t="str">
        <f>IFERROR(__xludf.DUMMYFUNCTION("""COMPUTED_VALUE"""),"B2B Buy")</f>
        <v>B2B Buy</v>
      </c>
      <c r="C347" s="2">
        <f>IFERROR(__xludf.DUMMYFUNCTION("""COMPUTED_VALUE"""),0.1)</f>
        <v>0.1</v>
      </c>
      <c r="D347" s="2" t="str">
        <f>IFERROR(__xludf.DUMMYFUNCTION("""COMPUTED_VALUE"""),"বি 2 বি কিনুন")</f>
        <v>বি 2 বি কিনুন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 t="str">
        <f>IFERROR(__xludf.DUMMYFUNCTION("""COMPUTED_VALUE"""),"promote")</f>
        <v>promote</v>
      </c>
      <c r="B348" s="2" t="str">
        <f>IFERROR(__xludf.DUMMYFUNCTION("""COMPUTED_VALUE"""),"Promote")</f>
        <v>Promote</v>
      </c>
      <c r="C348" s="2">
        <f>IFERROR(__xludf.DUMMYFUNCTION("""COMPUTED_VALUE"""),0.1)</f>
        <v>0.1</v>
      </c>
      <c r="D348" s="2" t="str">
        <f>IFERROR(__xludf.DUMMYFUNCTION("""COMPUTED_VALUE"""),"প্রচার")</f>
        <v>প্রচার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 t="str">
        <f>IFERROR(__xludf.DUMMYFUNCTION("""COMPUTED_VALUE"""),"usermanagement")</f>
        <v>usermanagement</v>
      </c>
      <c r="B349" s="2" t="str">
        <f>IFERROR(__xludf.DUMMYFUNCTION("""COMPUTED_VALUE"""),"User Management ")</f>
        <v>User Management </v>
      </c>
      <c r="C349" s="2">
        <f>IFERROR(__xludf.DUMMYFUNCTION("""COMPUTED_VALUE"""),0.1)</f>
        <v>0.1</v>
      </c>
      <c r="D349" s="2" t="str">
        <f>IFERROR(__xludf.DUMMYFUNCTION("""COMPUTED_VALUE"""),"ইউজার ম্যানেজমেন্ট")</f>
        <v>ইউজার ম্যানেজমেন্ট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 t="str">
        <f>IFERROR(__xludf.DUMMYFUNCTION("""COMPUTED_VALUE"""),"referralmanagement")</f>
        <v>referralmanagement</v>
      </c>
      <c r="B350" s="2" t="str">
        <f>IFERROR(__xludf.DUMMYFUNCTION("""COMPUTED_VALUE"""),"Referral Management")</f>
        <v>Referral Management</v>
      </c>
      <c r="C350" s="2">
        <f>IFERROR(__xludf.DUMMYFUNCTION("""COMPUTED_VALUE"""),0.1)</f>
        <v>0.1</v>
      </c>
      <c r="D350" s="2" t="str">
        <f>IFERROR(__xludf.DUMMYFUNCTION("""COMPUTED_VALUE"""),"রেফারাল ম্যানেজমেন্ট")</f>
        <v>রেফারাল ম্যানেজমেন্ট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 t="str">
        <f>IFERROR(__xludf.DUMMYFUNCTION("""COMPUTED_VALUE"""),"P&amp;L")</f>
        <v>P&amp;L</v>
      </c>
      <c r="B351" s="2" t="str">
        <f>IFERROR(__xludf.DUMMYFUNCTION("""COMPUTED_VALUE"""),"P &amp; L")</f>
        <v>P &amp; L</v>
      </c>
      <c r="C351" s="2">
        <f>IFERROR(__xludf.DUMMYFUNCTION("""COMPUTED_VALUE"""),0.1)</f>
        <v>0.1</v>
      </c>
      <c r="D351" s="2" t="str">
        <f>IFERROR(__xludf.DUMMYFUNCTION("""COMPUTED_VALUE"""),"পি ও এল")</f>
        <v>পি ও এল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 t="str">
        <f>IFERROR(__xludf.DUMMYFUNCTION("""COMPUTED_VALUE"""),"subscription")</f>
        <v>subscription</v>
      </c>
      <c r="B352" s="2" t="str">
        <f>IFERROR(__xludf.DUMMYFUNCTION("""COMPUTED_VALUE"""),"Subscription")</f>
        <v>Subscription</v>
      </c>
      <c r="C352" s="2">
        <f>IFERROR(__xludf.DUMMYFUNCTION("""COMPUTED_VALUE"""),0.1)</f>
        <v>0.1</v>
      </c>
      <c r="D352" s="2" t="str">
        <f>IFERROR(__xludf.DUMMYFUNCTION("""COMPUTED_VALUE"""),"সাবস্ক্রিপশন")</f>
        <v>সাবস্ক্রিপশন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 t="str">
        <f>IFERROR(__xludf.DUMMYFUNCTION("""COMPUTED_VALUE"""),"catalog")</f>
        <v>catalog</v>
      </c>
      <c r="B353" s="2" t="str">
        <f>IFERROR(__xludf.DUMMYFUNCTION("""COMPUTED_VALUE"""),"Catalog")</f>
        <v>Catalog</v>
      </c>
      <c r="C353" s="2">
        <f>IFERROR(__xludf.DUMMYFUNCTION("""COMPUTED_VALUE"""),0.1)</f>
        <v>0.1</v>
      </c>
      <c r="D353" s="2" t="str">
        <f>IFERROR(__xludf.DUMMYFUNCTION("""COMPUTED_VALUE"""),"ক্যাটালগ")</f>
        <v>ক্যাটালগ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 t="str">
        <f>IFERROR(__xludf.DUMMYFUNCTION("""COMPUTED_VALUE"""),"financemanager")</f>
        <v>financemanager</v>
      </c>
      <c r="B354" s="2" t="str">
        <f>IFERROR(__xludf.DUMMYFUNCTION("""COMPUTED_VALUE"""),"Finance Manager")</f>
        <v>Finance Manager</v>
      </c>
      <c r="C354" s="2">
        <f>IFERROR(__xludf.DUMMYFUNCTION("""COMPUTED_VALUE"""),0.5)</f>
        <v>0.5</v>
      </c>
      <c r="D354" s="2" t="str">
        <f>IFERROR(__xludf.DUMMYFUNCTION("""COMPUTED_VALUE"""),"অর্থ ব্যবস্থাপক")</f>
        <v>অর্থ ব্যবস্থাপক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 t="str">
        <f>IFERROR(__xludf.DUMMYFUNCTION("""COMPUTED_VALUE"""),"posexecutive")</f>
        <v>posexecutive</v>
      </c>
      <c r="B355" s="2" t="str">
        <f>IFERROR(__xludf.DUMMYFUNCTION("""COMPUTED_VALUE"""),"PoS Executive")</f>
        <v>PoS Executive</v>
      </c>
      <c r="C355" s="2">
        <f>IFERROR(__xludf.DUMMYFUNCTION("""COMPUTED_VALUE"""),0.5)</f>
        <v>0.5</v>
      </c>
      <c r="D355" s="2" t="str">
        <f>IFERROR(__xludf.DUMMYFUNCTION("""COMPUTED_VALUE"""),"পস এক্সিকিউটিভ")</f>
        <v>পস এক্সিকিউটিভ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 t="str">
        <f>IFERROR(__xludf.DUMMYFUNCTION("""COMPUTED_VALUE"""),"add")</f>
        <v>add</v>
      </c>
      <c r="B356" s="2" t="str">
        <f>IFERROR(__xludf.DUMMYFUNCTION("""COMPUTED_VALUE"""),"Add")</f>
        <v>Add</v>
      </c>
      <c r="C356" s="2">
        <f>IFERROR(__xludf.DUMMYFUNCTION("""COMPUTED_VALUE"""),0.5)</f>
        <v>0.5</v>
      </c>
      <c r="D356" s="2" t="str">
        <f>IFERROR(__xludf.DUMMYFUNCTION("""COMPUTED_VALUE"""),"যোগ করুন")</f>
        <v>যোগ করুন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 t="str">
        <f>IFERROR(__xludf.DUMMYFUNCTION("""COMPUTED_VALUE"""),"storemanager")</f>
        <v>storemanager</v>
      </c>
      <c r="B357" s="2" t="str">
        <f>IFERROR(__xludf.DUMMYFUNCTION("""COMPUTED_VALUE"""),"Store Manager")</f>
        <v>Store Manager</v>
      </c>
      <c r="C357" s="2">
        <f>IFERROR(__xludf.DUMMYFUNCTION("""COMPUTED_VALUE"""),0.5)</f>
        <v>0.5</v>
      </c>
      <c r="D357" s="2" t="str">
        <f>IFERROR(__xludf.DUMMYFUNCTION("""COMPUTED_VALUE"""),"দোকান ব্যবস্থাপক")</f>
        <v>দোকান ব্যবস্থাপক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 t="str">
        <f>IFERROR(__xludf.DUMMYFUNCTION("""COMPUTED_VALUE"""),"order")</f>
        <v>order</v>
      </c>
      <c r="B358" s="2" t="str">
        <f>IFERROR(__xludf.DUMMYFUNCTION("""COMPUTED_VALUE"""),"Order")</f>
        <v>Order</v>
      </c>
      <c r="C358" s="2">
        <f>IFERROR(__xludf.DUMMYFUNCTION("""COMPUTED_VALUE"""),0.1)</f>
        <v>0.1</v>
      </c>
      <c r="D358" s="2" t="str">
        <f>IFERROR(__xludf.DUMMYFUNCTION("""COMPUTED_VALUE"""),"অর্ডার")</f>
        <v>অর্ডার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 t="str">
        <f>IFERROR(__xludf.DUMMYFUNCTION("""COMPUTED_VALUE"""),"dispatchedintransit")</f>
        <v>dispatchedintransit</v>
      </c>
      <c r="B359" s="2" t="str">
        <f>IFERROR(__xludf.DUMMYFUNCTION("""COMPUTED_VALUE"""),"Dispatched(In Transit)")</f>
        <v>Dispatched(In Transit)</v>
      </c>
      <c r="C359" s="2" t="str">
        <f>IFERROR(__xludf.DUMMYFUNCTION("""COMPUTED_VALUE"""),"0.4.1")</f>
        <v>0.4.1</v>
      </c>
      <c r="D359" s="2" t="str">
        <f>IFERROR(__xludf.DUMMYFUNCTION("""COMPUTED_VALUE"""),"প্রেরণ (ট্রানজিটে)")</f>
        <v>প্রেরণ (ট্রানজিটে)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 t="str">
        <f>IFERROR(__xludf.DUMMYFUNCTION("""COMPUTED_VALUE"""),"YourOrderWillBeDelivered")</f>
        <v>YourOrderWillBeDelivered</v>
      </c>
      <c r="B360" s="2" t="str">
        <f>IFERROR(__xludf.DUMMYFUNCTION("""COMPUTED_VALUE"""),"Your Order Will Be Delivered")</f>
        <v>Your Order Will Be Delivered</v>
      </c>
      <c r="C360" s="2"/>
      <c r="D360" s="2" t="str">
        <f>IFERROR(__xludf.DUMMYFUNCTION("""COMPUTED_VALUE"""),"আপনার অর্ডার বিতরণ করা হবে")</f>
        <v>আপনার অর্ডার বিতরণ করা হবে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 t="str">
        <f>IFERROR(__xludf.DUMMYFUNCTION("""COMPUTED_VALUE"""),"search")</f>
        <v>search</v>
      </c>
      <c r="B361" s="2" t="str">
        <f>IFERROR(__xludf.DUMMYFUNCTION("""COMPUTED_VALUE"""),"Search")</f>
        <v>Search</v>
      </c>
      <c r="C361" s="2">
        <f>IFERROR(__xludf.DUMMYFUNCTION("""COMPUTED_VALUE"""),0.2)</f>
        <v>0.2</v>
      </c>
      <c r="D361" s="2" t="str">
        <f>IFERROR(__xludf.DUMMYFUNCTION("""COMPUTED_VALUE"""),"অনুসন্ধান")</f>
        <v>অনুসন্ধান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 t="str">
        <f>IFERROR(__xludf.DUMMYFUNCTION("""COMPUTED_VALUE"""),"addUser")</f>
        <v>addUser</v>
      </c>
      <c r="B362" s="2" t="str">
        <f>IFERROR(__xludf.DUMMYFUNCTION("""COMPUTED_VALUE"""),"Add User")</f>
        <v>Add User</v>
      </c>
      <c r="C362" s="2"/>
      <c r="D362" s="2" t="str">
        <f>IFERROR(__xludf.DUMMYFUNCTION("""COMPUTED_VALUE"""),"ব্যবহারকারী যুক্ত করুন")</f>
        <v>ব্যবহারকারী যুক্ত করুন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 t="str">
        <f>IFERROR(__xludf.DUMMYFUNCTION("""COMPUTED_VALUE"""),"reset")</f>
        <v>reset</v>
      </c>
      <c r="B363" s="2" t="str">
        <f>IFERROR(__xludf.DUMMYFUNCTION("""COMPUTED_VALUE"""),"Reset ")</f>
        <v>Reset </v>
      </c>
      <c r="C363" s="2">
        <f>IFERROR(__xludf.DUMMYFUNCTION("""COMPUTED_VALUE"""),0.2)</f>
        <v>0.2</v>
      </c>
      <c r="D363" s="2" t="str">
        <f>IFERROR(__xludf.DUMMYFUNCTION("""COMPUTED_VALUE"""),"রিসেট")</f>
        <v>রিসেট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 t="str">
        <f>IFERROR(__xludf.DUMMYFUNCTION("""COMPUTED_VALUE"""),"personal")</f>
        <v>personal</v>
      </c>
      <c r="B364" s="2" t="str">
        <f>IFERROR(__xludf.DUMMYFUNCTION("""COMPUTED_VALUE"""),"Personal")</f>
        <v>Personal</v>
      </c>
      <c r="C364" s="2"/>
      <c r="D364" s="2" t="str">
        <f>IFERROR(__xludf.DUMMYFUNCTION("""COMPUTED_VALUE"""),"ব্যক্তিগত")</f>
        <v>ব্যক্তিগত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 t="str">
        <f>IFERROR(__xludf.DUMMYFUNCTION("""COMPUTED_VALUE"""),"identity")</f>
        <v>identity</v>
      </c>
      <c r="B365" s="2" t="str">
        <f>IFERROR(__xludf.DUMMYFUNCTION("""COMPUTED_VALUE"""),"Identity")</f>
        <v>Identity</v>
      </c>
      <c r="C365" s="2"/>
      <c r="D365" s="2" t="str">
        <f>IFERROR(__xludf.DUMMYFUNCTION("""COMPUTED_VALUE"""),"পরিচয়")</f>
        <v>পরিচয়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 t="str">
        <f>IFERROR(__xludf.DUMMYFUNCTION("""COMPUTED_VALUE"""),"description")</f>
        <v>description</v>
      </c>
      <c r="B366" s="2" t="str">
        <f>IFERROR(__xludf.DUMMYFUNCTION("""COMPUTED_VALUE"""),"Description")</f>
        <v>Description</v>
      </c>
      <c r="C366" s="2">
        <f>IFERROR(__xludf.DUMMYFUNCTION("""COMPUTED_VALUE"""),0.3)</f>
        <v>0.3</v>
      </c>
      <c r="D366" s="2" t="str">
        <f>IFERROR(__xludf.DUMMYFUNCTION("""COMPUTED_VALUE"""),"বর্ণনা")</f>
        <v>বর্ণনা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 t="str">
        <f>IFERROR(__xludf.DUMMYFUNCTION("""COMPUTED_VALUE"""),"employeeId")</f>
        <v>employeeId</v>
      </c>
      <c r="B367" s="2" t="str">
        <f>IFERROR(__xludf.DUMMYFUNCTION("""COMPUTED_VALUE"""),"Employee ID")</f>
        <v>Employee ID</v>
      </c>
      <c r="C367" s="2">
        <f>IFERROR(__xludf.DUMMYFUNCTION("""COMPUTED_VALUE"""),0.2)</f>
        <v>0.2</v>
      </c>
      <c r="D367" s="2" t="str">
        <f>IFERROR(__xludf.DUMMYFUNCTION("""COMPUTED_VALUE"""),"কর্মচারী আইডি")</f>
        <v>কর্মচারী আইডি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 t="str">
        <f>IFERROR(__xludf.DUMMYFUNCTION("""COMPUTED_VALUE"""),"fullName")</f>
        <v>fullName</v>
      </c>
      <c r="B368" s="2" t="str">
        <f>IFERROR(__xludf.DUMMYFUNCTION("""COMPUTED_VALUE"""),"Full Name")</f>
        <v>Full Name</v>
      </c>
      <c r="C368" s="2">
        <f>IFERROR(__xludf.DUMMYFUNCTION("""COMPUTED_VALUE"""),0.2)</f>
        <v>0.2</v>
      </c>
      <c r="D368" s="2" t="str">
        <f>IFERROR(__xludf.DUMMYFUNCTION("""COMPUTED_VALUE"""),"পুরো নাম")</f>
        <v>পুরো নাম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 t="str">
        <f>IFERROR(__xludf.DUMMYFUNCTION("""COMPUTED_VALUE"""),"assignRoles")</f>
        <v>assignRoles</v>
      </c>
      <c r="B369" s="2" t="str">
        <f>IFERROR(__xludf.DUMMYFUNCTION("""COMPUTED_VALUE"""),"Assign Roles")</f>
        <v>Assign Roles</v>
      </c>
      <c r="C369" s="2">
        <f>IFERROR(__xludf.DUMMYFUNCTION("""COMPUTED_VALUE"""),0.2)</f>
        <v>0.2</v>
      </c>
      <c r="D369" s="2" t="str">
        <f>IFERROR(__xludf.DUMMYFUNCTION("""COMPUTED_VALUE"""),"ভূমিকা অর্পণ")</f>
        <v>ভূমিকা অর্পণ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 t="str">
        <f>IFERROR(__xludf.DUMMYFUNCTION("""COMPUTED_VALUE"""),"emailAddress*")</f>
        <v>emailAddress*</v>
      </c>
      <c r="B370" s="2" t="str">
        <f>IFERROR(__xludf.DUMMYFUNCTION("""COMPUTED_VALUE"""),"Email Address")</f>
        <v>Email Address</v>
      </c>
      <c r="C370" s="2">
        <f>IFERROR(__xludf.DUMMYFUNCTION("""COMPUTED_VALUE"""),0.5)</f>
        <v>0.5</v>
      </c>
      <c r="D370" s="2" t="str">
        <f>IFERROR(__xludf.DUMMYFUNCTION("""COMPUTED_VALUE"""),"ইমেল ঠিকানা")</f>
        <v>ইমেল ঠিকানা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 t="str">
        <f>IFERROR(__xludf.DUMMYFUNCTION("""COMPUTED_VALUE"""),"drupefruit10")</f>
        <v>drupefruit10</v>
      </c>
      <c r="B371" s="2" t="str">
        <f>IFERROR(__xludf.DUMMYFUNCTION("""COMPUTED_VALUE"""),"Drupe Fruit (10)")</f>
        <v>Drupe Fruit (10)</v>
      </c>
      <c r="C371" s="2">
        <f>IFERROR(__xludf.DUMMYFUNCTION("""COMPUTED_VALUE"""),0.3)</f>
        <v>0.3</v>
      </c>
      <c r="D371" s="2" t="str">
        <f>IFERROR(__xludf.DUMMYFUNCTION("""COMPUTED_VALUE"""),"ড্রুপ ফল (10)")</f>
        <v>ড্রুপ ফল (10)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 t="str">
        <f>IFERROR(__xludf.DUMMYFUNCTION("""COMPUTED_VALUE"""),"education")</f>
        <v>education</v>
      </c>
      <c r="B372" s="2" t="str">
        <f>IFERROR(__xludf.DUMMYFUNCTION("""COMPUTED_VALUE"""),"Education")</f>
        <v>Education</v>
      </c>
      <c r="C372" s="2">
        <f>IFERROR(__xludf.DUMMYFUNCTION("""COMPUTED_VALUE"""),0.5)</f>
        <v>0.5</v>
      </c>
      <c r="D372" s="2" t="str">
        <f>IFERROR(__xludf.DUMMYFUNCTION("""COMPUTED_VALUE"""),"শিক্ষা")</f>
        <v>শিক্ষা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 t="str">
        <f>IFERROR(__xludf.DUMMYFUNCTION("""COMPUTED_VALUE"""),"AddressLine")</f>
        <v>AddressLine</v>
      </c>
      <c r="B373" s="2" t="str">
        <f>IFERROR(__xludf.DUMMYFUNCTION("""COMPUTED_VALUE"""),"Address line ")</f>
        <v>Address line </v>
      </c>
      <c r="C373" s="2">
        <f>IFERROR(__xludf.DUMMYFUNCTION("""COMPUTED_VALUE"""),0.5)</f>
        <v>0.5</v>
      </c>
      <c r="D373" s="2" t="str">
        <f>IFERROR(__xludf.DUMMYFUNCTION("""COMPUTED_VALUE"""),"ঠিকানা লাইন")</f>
        <v>ঠিকানা লাইন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 t="str">
        <f>IFERROR(__xludf.DUMMYFUNCTION("""COMPUTED_VALUE"""),"initiatepayment")</f>
        <v>initiatepayment</v>
      </c>
      <c r="B374" s="2" t="str">
        <f>IFERROR(__xludf.DUMMYFUNCTION("""COMPUTED_VALUE"""),"Initiate Payment")</f>
        <v>Initiate Payment</v>
      </c>
      <c r="C374" s="2">
        <f>IFERROR(__xludf.DUMMYFUNCTION("""COMPUTED_VALUE"""),0.4)</f>
        <v>0.4</v>
      </c>
      <c r="D374" s="2" t="str">
        <f>IFERROR(__xludf.DUMMYFUNCTION("""COMPUTED_VALUE"""),"অর্থ প্রদান শুরু করুন")</f>
        <v>অর্থ প্রদান শুরু করুন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 t="str">
        <f>IFERROR(__xludf.DUMMYFUNCTION("""COMPUTED_VALUE"""),"roles")</f>
        <v>roles</v>
      </c>
      <c r="B375" s="2" t="str">
        <f>IFERROR(__xludf.DUMMYFUNCTION("""COMPUTED_VALUE"""),"Roles")</f>
        <v>Roles</v>
      </c>
      <c r="C375" s="2">
        <f>IFERROR(__xludf.DUMMYFUNCTION("""COMPUTED_VALUE"""),0.1)</f>
        <v>0.1</v>
      </c>
      <c r="D375" s="2" t="str">
        <f>IFERROR(__xludf.DUMMYFUNCTION("""COMPUTED_VALUE"""),"ভূমিকা")</f>
        <v>ভূমিকা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 t="str">
        <f>IFERROR(__xludf.DUMMYFUNCTION("""COMPUTED_VALUE"""),"distancekm")</f>
        <v>distancekm</v>
      </c>
      <c r="B376" s="2" t="str">
        <f>IFERROR(__xludf.DUMMYFUNCTION("""COMPUTED_VALUE"""),"Distance(km)")</f>
        <v>Distance(km)</v>
      </c>
      <c r="C376" s="2">
        <f>IFERROR(__xludf.DUMMYFUNCTION("""COMPUTED_VALUE"""),0.3)</f>
        <v>0.3</v>
      </c>
      <c r="D376" s="2" t="str">
        <f>IFERROR(__xludf.DUMMYFUNCTION("""COMPUTED_VALUE"""),"দূরত্ব (কিমি)")</f>
        <v>দূরত্ব (কিমি)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 t="str">
        <f>IFERROR(__xludf.DUMMYFUNCTION("""COMPUTED_VALUE"""),"mandatoryitem")</f>
        <v>mandatoryitem</v>
      </c>
      <c r="B377" s="2" t="str">
        <f>IFERROR(__xludf.DUMMYFUNCTION("""COMPUTED_VALUE"""),"Mandatory Item")</f>
        <v>Mandatory Item</v>
      </c>
      <c r="C377" s="2">
        <f>IFERROR(__xludf.DUMMYFUNCTION("""COMPUTED_VALUE"""),0.4)</f>
        <v>0.4</v>
      </c>
      <c r="D377" s="2" t="str">
        <f>IFERROR(__xludf.DUMMYFUNCTION("""COMPUTED_VALUE"""),"বাধ্যতামূলক আইটেম")</f>
        <v>বাধ্যতামূলক আইটেম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 t="str">
        <f>IFERROR(__xludf.DUMMYFUNCTION("""COMPUTED_VALUE"""),"emergencyContact")</f>
        <v>emergencyContact</v>
      </c>
      <c r="B378" s="2" t="str">
        <f>IFERROR(__xludf.DUMMYFUNCTION("""COMPUTED_VALUE"""),"Emergency Contact")</f>
        <v>Emergency Contact</v>
      </c>
      <c r="C378" s="2"/>
      <c r="D378" s="2" t="str">
        <f>IFERROR(__xludf.DUMMYFUNCTION("""COMPUTED_VALUE"""),"জরুরী যোগাযোগ")</f>
        <v>জরুরী যোগাযোগ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 t="str">
        <f>IFERROR(__xludf.DUMMYFUNCTION("""COMPUTED_VALUE"""),"uploadAdhaarCard")</f>
        <v>uploadAdhaarCard</v>
      </c>
      <c r="B379" s="2" t="str">
        <f>IFERROR(__xludf.DUMMYFUNCTION("""COMPUTED_VALUE"""),"Upload Adhaar Card")</f>
        <v>Upload Adhaar Card</v>
      </c>
      <c r="C379" s="2">
        <f>IFERROR(__xludf.DUMMYFUNCTION("""COMPUTED_VALUE"""),0.1)</f>
        <v>0.1</v>
      </c>
      <c r="D379" s="2" t="str">
        <f>IFERROR(__xludf.DUMMYFUNCTION("""COMPUTED_VALUE"""),"আধার কার্ড আপলোড করুন")</f>
        <v>আধার কার্ড আপলোড করুন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 t="str">
        <f>IFERROR(__xludf.DUMMYFUNCTION("""COMPUTED_VALUE"""),"PayOnDelivery")</f>
        <v>PayOnDelivery</v>
      </c>
      <c r="B380" s="2" t="str">
        <f>IFERROR(__xludf.DUMMYFUNCTION("""COMPUTED_VALUE"""),"Pay On Delivery")</f>
        <v>Pay On Delivery</v>
      </c>
      <c r="C380" s="2" t="str">
        <f>IFERROR(__xludf.DUMMYFUNCTION("""COMPUTED_VALUE"""),"0.4.1")</f>
        <v>0.4.1</v>
      </c>
      <c r="D380" s="2" t="str">
        <f>IFERROR(__xludf.DUMMYFUNCTION("""COMPUTED_VALUE"""),"ডেলিভারি প্রদান")</f>
        <v>ডেলিভারি প্রদান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 t="str">
        <f>IFERROR(__xludf.DUMMYFUNCTION("""COMPUTED_VALUE"""),"profilePhoto")</f>
        <v>profilePhoto</v>
      </c>
      <c r="B381" s="2" t="str">
        <f>IFERROR(__xludf.DUMMYFUNCTION("""COMPUTED_VALUE"""),"Profile Photo")</f>
        <v>Profile Photo</v>
      </c>
      <c r="C381" s="2">
        <f>IFERROR(__xludf.DUMMYFUNCTION("""COMPUTED_VALUE"""),0.3)</f>
        <v>0.3</v>
      </c>
      <c r="D381" s="2" t="str">
        <f>IFERROR(__xludf.DUMMYFUNCTION("""COMPUTED_VALUE"""),"প্রোফাইল ছবি")</f>
        <v>প্রোফাইল ছবি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 t="str">
        <f>IFERROR(__xludf.DUMMYFUNCTION("""COMPUTED_VALUE"""),"DeliveryPickup Within")</f>
        <v>DeliveryPickup Within</v>
      </c>
      <c r="B382" s="2" t="str">
        <f>IFERROR(__xludf.DUMMYFUNCTION("""COMPUTED_VALUE"""),"Delivery/Pickup Within")</f>
        <v>Delivery/Pickup Within</v>
      </c>
      <c r="C382" s="2">
        <f>IFERROR(__xludf.DUMMYFUNCTION("""COMPUTED_VALUE"""),0.3)</f>
        <v>0.3</v>
      </c>
      <c r="D382" s="2" t="str">
        <f>IFERROR(__xludf.DUMMYFUNCTION("""COMPUTED_VALUE"""),"বিতরণ/পিকআপ মধ্যে")</f>
        <v>বিতরণ/পিকআপ মধ্যে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 t="str">
        <f>IFERROR(__xludf.DUMMYFUNCTION("""COMPUTED_VALUE"""),"previous")</f>
        <v>previous</v>
      </c>
      <c r="B383" s="2" t="str">
        <f>IFERROR(__xludf.DUMMYFUNCTION("""COMPUTED_VALUE"""),"Previous")</f>
        <v>Previous</v>
      </c>
      <c r="C383" s="2">
        <f>IFERROR(__xludf.DUMMYFUNCTION("""COMPUTED_VALUE"""),0.5)</f>
        <v>0.5</v>
      </c>
      <c r="D383" s="2" t="str">
        <f>IFERROR(__xludf.DUMMYFUNCTION("""COMPUTED_VALUE"""),"আগে")</f>
        <v>আগে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 t="str">
        <f>IFERROR(__xludf.DUMMYFUNCTION("""COMPUTED_VALUE"""),"EmergencyContactNumber*")</f>
        <v>EmergencyContactNumber*</v>
      </c>
      <c r="B384" s="2" t="str">
        <f>IFERROR(__xludf.DUMMYFUNCTION("""COMPUTED_VALUE"""),"Emergency Contact Number *")</f>
        <v>Emergency Contact Number *</v>
      </c>
      <c r="C384" s="2">
        <f>IFERROR(__xludf.DUMMYFUNCTION("""COMPUTED_VALUE"""),0.5)</f>
        <v>0.5</v>
      </c>
      <c r="D384" s="2" t="str">
        <f>IFERROR(__xludf.DUMMYFUNCTION("""COMPUTED_VALUE"""),"জরুরী যোগাযোগের নম্বর *")</f>
        <v>জরুরী যোগাযোগের নম্বর *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 t="str">
        <f>IFERROR(__xludf.DUMMYFUNCTION("""COMPUTED_VALUE"""),"contactName*")</f>
        <v>contactName*</v>
      </c>
      <c r="B385" s="2" t="str">
        <f>IFERROR(__xludf.DUMMYFUNCTION("""COMPUTED_VALUE"""),"Contact Name *")</f>
        <v>Contact Name *</v>
      </c>
      <c r="C385" s="2">
        <f>IFERROR(__xludf.DUMMYFUNCTION("""COMPUTED_VALUE"""),0.5)</f>
        <v>0.5</v>
      </c>
      <c r="D385" s="2" t="str">
        <f>IFERROR(__xludf.DUMMYFUNCTION("""COMPUTED_VALUE"""),"যোগাযোগের নাম *")</f>
        <v>যোগাযোগের নাম *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 t="str">
        <f>IFERROR(__xludf.DUMMYFUNCTION("""COMPUTED_VALUE"""),"relationship")</f>
        <v>relationship</v>
      </c>
      <c r="B386" s="2" t="str">
        <f>IFERROR(__xludf.DUMMYFUNCTION("""COMPUTED_VALUE"""),"Relationship")</f>
        <v>Relationship</v>
      </c>
      <c r="C386" s="2">
        <f>IFERROR(__xludf.DUMMYFUNCTION("""COMPUTED_VALUE"""),0.5)</f>
        <v>0.5</v>
      </c>
      <c r="D386" s="2" t="str">
        <f>IFERROR(__xludf.DUMMYFUNCTION("""COMPUTED_VALUE"""),"সম্পর্ক")</f>
        <v>সম্পর্ক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 t="str">
        <f>IFERROR(__xludf.DUMMYFUNCTION("""COMPUTED_VALUE"""),"userCreatedSuccessfullyyay!")</f>
        <v>userCreatedSuccessfullyyay!</v>
      </c>
      <c r="B387" s="2" t="str">
        <f>IFERROR(__xludf.DUMMYFUNCTION("""COMPUTED_VALUE"""),"User Created Successfully  Yay!")</f>
        <v>User Created Successfully  Yay!</v>
      </c>
      <c r="C387" s="2">
        <f>IFERROR(__xludf.DUMMYFUNCTION("""COMPUTED_VALUE"""),0.5)</f>
        <v>0.5</v>
      </c>
      <c r="D387" s="2" t="str">
        <f>IFERROR(__xludf.DUMMYFUNCTION("""COMPUTED_VALUE"""),"ব্যবহারকারী সফলভাবে তৈরি করেছেন হ্যাঁ!")</f>
        <v>ব্যবহারকারী সফলভাবে তৈরি করেছেন হ্যাঁ!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 t="str">
        <f>IFERROR(__xludf.DUMMYFUNCTION("""COMPUTED_VALUE"""),"yay!")</f>
        <v>yay!</v>
      </c>
      <c r="B388" s="2" t="str">
        <f>IFERROR(__xludf.DUMMYFUNCTION("""COMPUTED_VALUE"""),"YAY!")</f>
        <v>YAY!</v>
      </c>
      <c r="C388" s="2">
        <f>IFERROR(__xludf.DUMMYFUNCTION("""COMPUTED_VALUE"""),0.2)</f>
        <v>0.2</v>
      </c>
      <c r="D388" s="2" t="str">
        <f>IFERROR(__xludf.DUMMYFUNCTION("""COMPUTED_VALUE"""),"হ্যাঁ!")</f>
        <v>হ্যাঁ!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 t="str">
        <f>IFERROR(__xludf.DUMMYFUNCTION("""COMPUTED_VALUE"""),"DateofJoining ")</f>
        <v>DateofJoining </v>
      </c>
      <c r="B389" s="2" t="str">
        <f>IFERROR(__xludf.DUMMYFUNCTION("""COMPUTED_VALUE"""),"Date of Joining ")</f>
        <v>Date of Joining </v>
      </c>
      <c r="C389" s="2">
        <f>IFERROR(__xludf.DUMMYFUNCTION("""COMPUTED_VALUE"""),0.5)</f>
        <v>0.5</v>
      </c>
      <c r="D389" s="2" t="str">
        <f>IFERROR(__xludf.DUMMYFUNCTION("""COMPUTED_VALUE"""),"যোগদানের তারিখ")</f>
        <v>যোগদানের তারিখ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 t="str">
        <f>IFERROR(__xludf.DUMMYFUNCTION("""COMPUTED_VALUE"""),"selecteditems")</f>
        <v>selecteditems</v>
      </c>
      <c r="B390" s="2" t="str">
        <f>IFERROR(__xludf.DUMMYFUNCTION("""COMPUTED_VALUE"""),"Selected Items")</f>
        <v>Selected Items</v>
      </c>
      <c r="C390" s="2">
        <f>IFERROR(__xludf.DUMMYFUNCTION("""COMPUTED_VALUE"""),0.3)</f>
        <v>0.3</v>
      </c>
      <c r="D390" s="2" t="str">
        <f>IFERROR(__xludf.DUMMYFUNCTION("""COMPUTED_VALUE"""),"নির্বাচিত উপাদানসমুহ")</f>
        <v>নির্বাচিত উপাদানসমুহ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 t="str">
        <f>IFERROR(__xludf.DUMMYFUNCTION("""COMPUTED_VALUE"""),"inventoryManager")</f>
        <v>inventoryManager</v>
      </c>
      <c r="B391" s="2" t="str">
        <f>IFERROR(__xludf.DUMMYFUNCTION("""COMPUTED_VALUE"""),"Inventory Manager")</f>
        <v>Inventory Manager</v>
      </c>
      <c r="C391" s="2">
        <f>IFERROR(__xludf.DUMMYFUNCTION("""COMPUTED_VALUE"""),0.5)</f>
        <v>0.5</v>
      </c>
      <c r="D391" s="2" t="str">
        <f>IFERROR(__xludf.DUMMYFUNCTION("""COMPUTED_VALUE"""),"ইনভেন্টরি ম্যানেজার")</f>
        <v>ইনভেন্টরি ম্যানেজার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 t="str">
        <f>IFERROR(__xludf.DUMMYFUNCTION("""COMPUTED_VALUE"""),"empId")</f>
        <v>empId</v>
      </c>
      <c r="B392" s="2" t="str">
        <f>IFERROR(__xludf.DUMMYFUNCTION("""COMPUTED_VALUE"""),"Emp ID ")</f>
        <v>Emp ID </v>
      </c>
      <c r="C392" s="2">
        <f>IFERROR(__xludf.DUMMYFUNCTION("""COMPUTED_VALUE"""),0.2)</f>
        <v>0.2</v>
      </c>
      <c r="D392" s="2" t="str">
        <f>IFERROR(__xludf.DUMMYFUNCTION("""COMPUTED_VALUE"""),"ইএমপি আইডি")</f>
        <v>ইএমপি আইডি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 t="str">
        <f>IFERROR(__xludf.DUMMYFUNCTION("""COMPUTED_VALUE"""),"activate")</f>
        <v>activate</v>
      </c>
      <c r="B393" s="2" t="str">
        <f>IFERROR(__xludf.DUMMYFUNCTION("""COMPUTED_VALUE"""),"Activate")</f>
        <v>Activate</v>
      </c>
      <c r="C393" s="2">
        <f>IFERROR(__xludf.DUMMYFUNCTION("""COMPUTED_VALUE"""),0.2)</f>
        <v>0.2</v>
      </c>
      <c r="D393" s="2" t="str">
        <f>IFERROR(__xludf.DUMMYFUNCTION("""COMPUTED_VALUE"""),"সক্রিয়")</f>
        <v>সক্রিয়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 t="str">
        <f>IFERROR(__xludf.DUMMYFUNCTION("""COMPUTED_VALUE"""),"deactivate")</f>
        <v>deactivate</v>
      </c>
      <c r="B394" s="2" t="str">
        <f>IFERROR(__xludf.DUMMYFUNCTION("""COMPUTED_VALUE"""),"Deactivate")</f>
        <v>Deactivate</v>
      </c>
      <c r="C394" s="2">
        <f>IFERROR(__xludf.DUMMYFUNCTION("""COMPUTED_VALUE"""),0.2)</f>
        <v>0.2</v>
      </c>
      <c r="D394" s="2" t="str">
        <f>IFERROR(__xludf.DUMMYFUNCTION("""COMPUTED_VALUE"""),"নিষ্ক্রিয়")</f>
        <v>নিষ্ক্রিয়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 t="str">
        <f>IFERROR(__xludf.DUMMYFUNCTION("""COMPUTED_VALUE"""),"phone")</f>
        <v>phone</v>
      </c>
      <c r="B395" s="2" t="str">
        <f>IFERROR(__xludf.DUMMYFUNCTION("""COMPUTED_VALUE"""),"Phone")</f>
        <v>Phone</v>
      </c>
      <c r="C395" s="2">
        <f>IFERROR(__xludf.DUMMYFUNCTION("""COMPUTED_VALUE"""),0.2)</f>
        <v>0.2</v>
      </c>
      <c r="D395" s="2" t="str">
        <f>IFERROR(__xludf.DUMMYFUNCTION("""COMPUTED_VALUE"""),"ফোন")</f>
        <v>ফোন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 t="str">
        <f>IFERROR(__xludf.DUMMYFUNCTION("""COMPUTED_VALUE"""),"published")</f>
        <v>published</v>
      </c>
      <c r="B396" s="2" t="str">
        <f>IFERROR(__xludf.DUMMYFUNCTION("""COMPUTED_VALUE"""),"Published")</f>
        <v>Published</v>
      </c>
      <c r="C396" s="2">
        <f>IFERROR(__xludf.DUMMYFUNCTION("""COMPUTED_VALUE"""),0.3)</f>
        <v>0.3</v>
      </c>
      <c r="D396" s="2" t="str">
        <f>IFERROR(__xludf.DUMMYFUNCTION("""COMPUTED_VALUE"""),"প্রকাশিত")</f>
        <v>প্রকাশিত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 t="str">
        <f>IFERROR(__xludf.DUMMYFUNCTION("""COMPUTED_VALUE"""),"aadharcard/voterid/bplid/drivinglicense")</f>
        <v>aadharcard/voterid/bplid/drivinglicense</v>
      </c>
      <c r="B397" s="2" t="str">
        <f>IFERROR(__xludf.DUMMYFUNCTION("""COMPUTED_VALUE"""),"Aadhar Card/ Voter ID/BPL ID/Driving License")</f>
        <v>Aadhar Card/ Voter ID/BPL ID/Driving License</v>
      </c>
      <c r="C397" s="2">
        <f>IFERROR(__xludf.DUMMYFUNCTION("""COMPUTED_VALUE"""),0.2)</f>
        <v>0.2</v>
      </c>
      <c r="D397" s="2" t="str">
        <f>IFERROR(__xludf.DUMMYFUNCTION("""COMPUTED_VALUE"""),"আধার কার্ড/ভোটার আইডি/বিপিএল আইডি/ড্রাইভিং লাইসেন্স")</f>
        <v>আধার কার্ড/ভোটার আইডি/বিপিএল আইডি/ড্রাইভিং লাইসেন্স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 t="str">
        <f>IFERROR(__xludf.DUMMYFUNCTION("""COMPUTED_VALUE"""),"voterId")</f>
        <v>voterId</v>
      </c>
      <c r="B398" s="2" t="str">
        <f>IFERROR(__xludf.DUMMYFUNCTION("""COMPUTED_VALUE"""),"Voter ID")</f>
        <v>Voter ID</v>
      </c>
      <c r="C398" s="2"/>
      <c r="D398" s="2" t="str">
        <f>IFERROR(__xludf.DUMMYFUNCTION("""COMPUTED_VALUE"""),"ভোটার আইডি")</f>
        <v>ভোটার আইডি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 t="str">
        <f>IFERROR(__xludf.DUMMYFUNCTION("""COMPUTED_VALUE"""),"drivingLicense")</f>
        <v>drivingLicense</v>
      </c>
      <c r="B399" s="2" t="str">
        <f>IFERROR(__xludf.DUMMYFUNCTION("""COMPUTED_VALUE"""),"Driving License")</f>
        <v>Driving License</v>
      </c>
      <c r="C399" s="2"/>
      <c r="D399" s="2" t="str">
        <f>IFERROR(__xludf.DUMMYFUNCTION("""COMPUTED_VALUE"""),"ড্রাইভিং লাইসেন্স")</f>
        <v>ড্রাইভিং লাইসেন্স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 t="str">
        <f>IFERROR(__xludf.DUMMYFUNCTION("""COMPUTED_VALUE"""),"updateChanges")</f>
        <v>updateChanges</v>
      </c>
      <c r="B400" s="2" t="str">
        <f>IFERROR(__xludf.DUMMYFUNCTION("""COMPUTED_VALUE"""),"Update Changes")</f>
        <v>Update Changes</v>
      </c>
      <c r="C400" s="2">
        <f>IFERROR(__xludf.DUMMYFUNCTION("""COMPUTED_VALUE"""),0.5)</f>
        <v>0.5</v>
      </c>
      <c r="D400" s="2" t="str">
        <f>IFERROR(__xludf.DUMMYFUNCTION("""COMPUTED_VALUE"""),"পরিবর্তনগুলি আপডেট করুন")</f>
        <v>পরিবর্তনগুলি আপডেট করুন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 t="str">
        <f>IFERROR(__xludf.DUMMYFUNCTION("""COMPUTED_VALUE"""),"basicSalaryPerMonth")</f>
        <v>basicSalaryPerMonth</v>
      </c>
      <c r="B401" s="2" t="str">
        <f>IFERROR(__xludf.DUMMYFUNCTION("""COMPUTED_VALUE"""),"Basic Salary per month")</f>
        <v>Basic Salary per month</v>
      </c>
      <c r="C401" s="2"/>
      <c r="D401" s="2" t="str">
        <f>IFERROR(__xludf.DUMMYFUNCTION("""COMPUTED_VALUE"""),"প্রতি মাসে বেসিক বেতন")</f>
        <v>প্রতি মাসে বেসিক বেতন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 t="str">
        <f>IFERROR(__xludf.DUMMYFUNCTION("""COMPUTED_VALUE"""),"youcannotdeleteactiveuser")</f>
        <v>youcannotdeleteactiveuser</v>
      </c>
      <c r="B402" s="2" t="str">
        <f>IFERROR(__xludf.DUMMYFUNCTION("""COMPUTED_VALUE"""),"You cannot delete Active User!")</f>
        <v>You cannot delete Active User!</v>
      </c>
      <c r="C402" s="2">
        <f>IFERROR(__xludf.DUMMYFUNCTION("""COMPUTED_VALUE"""),0.5)</f>
        <v>0.5</v>
      </c>
      <c r="D402" s="2" t="str">
        <f>IFERROR(__xludf.DUMMYFUNCTION("""COMPUTED_VALUE"""),"আপনি সক্রিয় ব্যবহারকারী মুছতে পারবেন না!")</f>
        <v>আপনি সক্রিয় ব্যবহারকারী মুছতে পারবেন না!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 t="str">
        <f>IFERROR(__xludf.DUMMYFUNCTION("""COMPUTED_VALUE"""),"deactiveToDelete")</f>
        <v>deactiveToDelete</v>
      </c>
      <c r="B403" s="2" t="str">
        <f>IFERROR(__xludf.DUMMYFUNCTION("""COMPUTED_VALUE"""),"Deactive to Delete")</f>
        <v>Deactive to Delete</v>
      </c>
      <c r="C403" s="2">
        <f>IFERROR(__xludf.DUMMYFUNCTION("""COMPUTED_VALUE"""),0.5)</f>
        <v>0.5</v>
      </c>
      <c r="D403" s="2" t="str">
        <f>IFERROR(__xludf.DUMMYFUNCTION("""COMPUTED_VALUE"""),"মুছতে ডেস্টিভ")</f>
        <v>মুছতে ডেস্টিভ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 t="str">
        <f>IFERROR(__xludf.DUMMYFUNCTION("""COMPUTED_VALUE"""),"fruits")</f>
        <v>fruits</v>
      </c>
      <c r="B404" s="2" t="str">
        <f>IFERROR(__xludf.DUMMYFUNCTION("""COMPUTED_VALUE"""),"Fruits")</f>
        <v>Fruits</v>
      </c>
      <c r="C404" s="2">
        <f>IFERROR(__xludf.DUMMYFUNCTION("""COMPUTED_VALUE"""),0.1)</f>
        <v>0.1</v>
      </c>
      <c r="D404" s="2" t="str">
        <f>IFERROR(__xludf.DUMMYFUNCTION("""COMPUTED_VALUE"""),"ফল")</f>
        <v>ফল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 t="str">
        <f>IFERROR(__xludf.DUMMYFUNCTION("""COMPUTED_VALUE"""),"vegetables")</f>
        <v>vegetables</v>
      </c>
      <c r="B405" s="2" t="str">
        <f>IFERROR(__xludf.DUMMYFUNCTION("""COMPUTED_VALUE"""),"Vegetables")</f>
        <v>Vegetables</v>
      </c>
      <c r="C405" s="2">
        <f>IFERROR(__xludf.DUMMYFUNCTION("""COMPUTED_VALUE"""),0.1)</f>
        <v>0.1</v>
      </c>
      <c r="D405" s="2" t="str">
        <f>IFERROR(__xludf.DUMMYFUNCTION("""COMPUTED_VALUE"""),"শাকসবজি")</f>
        <v>শাকসবজি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 t="str">
        <f>IFERROR(__xludf.DUMMYFUNCTION("""COMPUTED_VALUE"""),"groceries")</f>
        <v>groceries</v>
      </c>
      <c r="B406" s="2" t="str">
        <f>IFERROR(__xludf.DUMMYFUNCTION("""COMPUTED_VALUE"""),"Groceries")</f>
        <v>Groceries</v>
      </c>
      <c r="C406" s="2">
        <f>IFERROR(__xludf.DUMMYFUNCTION("""COMPUTED_VALUE"""),0.1)</f>
        <v>0.1</v>
      </c>
      <c r="D406" s="2" t="str">
        <f>IFERROR(__xludf.DUMMYFUNCTION("""COMPUTED_VALUE"""),"মুদি")</f>
        <v>মুদি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 t="str">
        <f>IFERROR(__xludf.DUMMYFUNCTION("""COMPUTED_VALUE"""),"fishes")</f>
        <v>fishes</v>
      </c>
      <c r="B407" s="2" t="str">
        <f>IFERROR(__xludf.DUMMYFUNCTION("""COMPUTED_VALUE"""),"Fishes")</f>
        <v>Fishes</v>
      </c>
      <c r="C407" s="2">
        <f>IFERROR(__xludf.DUMMYFUNCTION("""COMPUTED_VALUE"""),0.1)</f>
        <v>0.1</v>
      </c>
      <c r="D407" s="2" t="str">
        <f>IFERROR(__xludf.DUMMYFUNCTION("""COMPUTED_VALUE"""),"মাছ")</f>
        <v>মাছ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 t="str">
        <f>IFERROR(__xludf.DUMMYFUNCTION("""COMPUTED_VALUE"""),"meat")</f>
        <v>meat</v>
      </c>
      <c r="B408" s="2" t="str">
        <f>IFERROR(__xludf.DUMMYFUNCTION("""COMPUTED_VALUE"""),"Meat")</f>
        <v>Meat</v>
      </c>
      <c r="C408" s="2">
        <f>IFERROR(__xludf.DUMMYFUNCTION("""COMPUTED_VALUE"""),0.1)</f>
        <v>0.1</v>
      </c>
      <c r="D408" s="2" t="str">
        <f>IFERROR(__xludf.DUMMYFUNCTION("""COMPUTED_VALUE"""),"মাংস")</f>
        <v>মাংস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 t="str">
        <f>IFERROR(__xludf.DUMMYFUNCTION("""COMPUTED_VALUE"""),"dairy")</f>
        <v>dairy</v>
      </c>
      <c r="B409" s="2" t="str">
        <f>IFERROR(__xludf.DUMMYFUNCTION("""COMPUTED_VALUE"""),"Dairy")</f>
        <v>Dairy</v>
      </c>
      <c r="C409" s="2">
        <f>IFERROR(__xludf.DUMMYFUNCTION("""COMPUTED_VALUE"""),0.1)</f>
        <v>0.1</v>
      </c>
      <c r="D409" s="2" t="str">
        <f>IFERROR(__xludf.DUMMYFUNCTION("""COMPUTED_VALUE"""),"দুগ্ধ")</f>
        <v>দুগ্ধ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 t="str">
        <f>IFERROR(__xludf.DUMMYFUNCTION("""COMPUTED_VALUE"""),"uploadBPLcard")</f>
        <v>uploadBPLcard</v>
      </c>
      <c r="B410" s="2" t="str">
        <f>IFERROR(__xludf.DUMMYFUNCTION("""COMPUTED_VALUE"""),"Upload BPL card")</f>
        <v>Upload BPL card</v>
      </c>
      <c r="C410" s="2">
        <f>IFERROR(__xludf.DUMMYFUNCTION("""COMPUTED_VALUE"""),0.1)</f>
        <v>0.1</v>
      </c>
      <c r="D410" s="2" t="str">
        <f>IFERROR(__xludf.DUMMYFUNCTION("""COMPUTED_VALUE"""),"বিপিএল কার্ড আপলোড করুন")</f>
        <v>বিপিএল কার্ড আপলোড করুন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 t="str">
        <f>IFERROR(__xludf.DUMMYFUNCTION("""COMPUTED_VALUE"""),"uploaddrivinglicence")</f>
        <v>uploaddrivinglicence</v>
      </c>
      <c r="B411" s="2" t="str">
        <f>IFERROR(__xludf.DUMMYFUNCTION("""COMPUTED_VALUE"""),"Upload Driving Licence")</f>
        <v>Upload Driving Licence</v>
      </c>
      <c r="C411" s="2">
        <f>IFERROR(__xludf.DUMMYFUNCTION("""COMPUTED_VALUE"""),0.1)</f>
        <v>0.1</v>
      </c>
      <c r="D411" s="2" t="str">
        <f>IFERROR(__xludf.DUMMYFUNCTION("""COMPUTED_VALUE"""),"ড্রাইভিং লাইসেন্স আপলোড করুন")</f>
        <v>ড্রাইভিং লাইসেন্স আপলোড করুন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 t="str">
        <f>IFERROR(__xludf.DUMMYFUNCTION("""COMPUTED_VALUE"""),"shopno")</f>
        <v>shopno</v>
      </c>
      <c r="B412" s="2" t="str">
        <f>IFERROR(__xludf.DUMMYFUNCTION("""COMPUTED_VALUE"""),"Shop no")</f>
        <v>Shop no</v>
      </c>
      <c r="C412" s="2">
        <f>IFERROR(__xludf.DUMMYFUNCTION("""COMPUTED_VALUE"""),0.2)</f>
        <v>0.2</v>
      </c>
      <c r="D412" s="2" t="str">
        <f>IFERROR(__xludf.DUMMYFUNCTION("""COMPUTED_VALUE"""),"শপ নং")</f>
        <v>শপ নং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 t="str">
        <f>IFERROR(__xludf.DUMMYFUNCTION("""COMPUTED_VALUE"""),"pleaseprovidealltherequiredvalue")</f>
        <v>pleaseprovidealltherequiredvalue</v>
      </c>
      <c r="B413" s="2" t="str">
        <f>IFERROR(__xludf.DUMMYFUNCTION("""COMPUTED_VALUE"""),"Please provide all the required value")</f>
        <v>Please provide all the required value</v>
      </c>
      <c r="C413" s="2">
        <f>IFERROR(__xludf.DUMMYFUNCTION("""COMPUTED_VALUE"""),0.2)</f>
        <v>0.2</v>
      </c>
      <c r="D413" s="2" t="str">
        <f>IFERROR(__xludf.DUMMYFUNCTION("""COMPUTED_VALUE"""),"প্রয়োজনীয় সমস্ত মান সরবরাহ করুন")</f>
        <v>প্রয়োজনীয় সমস্ত মান সরবরাহ করুন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 t="str">
        <f>IFERROR(__xludf.DUMMYFUNCTION("""COMPUTED_VALUE"""),"unpublish")</f>
        <v>unpublish</v>
      </c>
      <c r="B414" s="2" t="str">
        <f>IFERROR(__xludf.DUMMYFUNCTION("""COMPUTED_VALUE"""),"Unpublish")</f>
        <v>Unpublish</v>
      </c>
      <c r="C414" s="2">
        <f>IFERROR(__xludf.DUMMYFUNCTION("""COMPUTED_VALUE"""),0.3)</f>
        <v>0.3</v>
      </c>
      <c r="D414" s="2" t="str">
        <f>IFERROR(__xludf.DUMMYFUNCTION("""COMPUTED_VALUE"""),"অপ্রকাশিত")</f>
        <v>অপ্রকাশিত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 t="str">
        <f>IFERROR(__xludf.DUMMYFUNCTION("""COMPUTED_VALUE"""),"publish")</f>
        <v>publish</v>
      </c>
      <c r="B415" s="2" t="str">
        <f>IFERROR(__xludf.DUMMYFUNCTION("""COMPUTED_VALUE"""),"Publish")</f>
        <v>Publish</v>
      </c>
      <c r="C415" s="2">
        <f>IFERROR(__xludf.DUMMYFUNCTION("""COMPUTED_VALUE"""),0.3)</f>
        <v>0.3</v>
      </c>
      <c r="D415" s="2" t="str">
        <f>IFERROR(__xludf.DUMMYFUNCTION("""COMPUTED_VALUE"""),"প্রকাশ")</f>
        <v>প্রকাশ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 t="str">
        <f>IFERROR(__xludf.DUMMYFUNCTION("""COMPUTED_VALUE"""),"orders")</f>
        <v>orders</v>
      </c>
      <c r="B416" s="2" t="str">
        <f>IFERROR(__xludf.DUMMYFUNCTION("""COMPUTED_VALUE"""),"Orders")</f>
        <v>Orders</v>
      </c>
      <c r="C416" s="2">
        <f>IFERROR(__xludf.DUMMYFUNCTION("""COMPUTED_VALUE"""),0.4)</f>
        <v>0.4</v>
      </c>
      <c r="D416" s="2" t="str">
        <f>IFERROR(__xludf.DUMMYFUNCTION("""COMPUTED_VALUE"""),"অর্ডার")</f>
        <v>অর্ডার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 t="str">
        <f>IFERROR(__xludf.DUMMYFUNCTION("""COMPUTED_VALUE"""),"others")</f>
        <v>others</v>
      </c>
      <c r="B417" s="2" t="str">
        <f>IFERROR(__xludf.DUMMYFUNCTION("""COMPUTED_VALUE"""),"Others")</f>
        <v>Others</v>
      </c>
      <c r="C417" s="2">
        <f>IFERROR(__xludf.DUMMYFUNCTION("""COMPUTED_VALUE"""),0.1)</f>
        <v>0.1</v>
      </c>
      <c r="D417" s="2" t="str">
        <f>IFERROR(__xludf.DUMMYFUNCTION("""COMPUTED_VALUE"""),"অন্যান্য")</f>
        <v>অন্যান্য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 t="str">
        <f>IFERROR(__xludf.DUMMYFUNCTION("""COMPUTED_VALUE"""),"bakery")</f>
        <v>bakery</v>
      </c>
      <c r="B418" s="2" t="str">
        <f>IFERROR(__xludf.DUMMYFUNCTION("""COMPUTED_VALUE"""),"Bakery")</f>
        <v>Bakery</v>
      </c>
      <c r="C418" s="2">
        <f>IFERROR(__xludf.DUMMYFUNCTION("""COMPUTED_VALUE"""),0.1)</f>
        <v>0.1</v>
      </c>
      <c r="D418" s="2" t="str">
        <f>IFERROR(__xludf.DUMMYFUNCTION("""COMPUTED_VALUE"""),"বেকারি")</f>
        <v>বেকারি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 t="str">
        <f>IFERROR(__xludf.DUMMYFUNCTION("""COMPUTED_VALUE"""),"flowers")</f>
        <v>flowers</v>
      </c>
      <c r="B419" s="2" t="str">
        <f>IFERROR(__xludf.DUMMYFUNCTION("""COMPUTED_VALUE"""),"Flowers")</f>
        <v>Flowers</v>
      </c>
      <c r="C419" s="2">
        <f>IFERROR(__xludf.DUMMYFUNCTION("""COMPUTED_VALUE"""),0.2)</f>
        <v>0.2</v>
      </c>
      <c r="D419" s="2" t="str">
        <f>IFERROR(__xludf.DUMMYFUNCTION("""COMPUTED_VALUE"""),"ফুল")</f>
        <v>ফুল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 t="str">
        <f>IFERROR(__xludf.DUMMYFUNCTION("""COMPUTED_VALUE"""),"appversion:")</f>
        <v>appversion:</v>
      </c>
      <c r="B420" s="2" t="str">
        <f>IFERROR(__xludf.DUMMYFUNCTION("""COMPUTED_VALUE"""),"App Version:")</f>
        <v>App Version:</v>
      </c>
      <c r="C420" s="2">
        <f>IFERROR(__xludf.DUMMYFUNCTION("""COMPUTED_VALUE"""),0.4)</f>
        <v>0.4</v>
      </c>
      <c r="D420" s="2" t="str">
        <f>IFERROR(__xludf.DUMMYFUNCTION("""COMPUTED_VALUE"""),"অ্যাপ্লিকেশন সংস্করণ:")</f>
        <v>অ্যাপ্লিকেশন সংস্করণ: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 t="str">
        <f>IFERROR(__xludf.DUMMYFUNCTION("""COMPUTED_VALUE"""),"Deliveryat")</f>
        <v>Deliveryat</v>
      </c>
      <c r="B421" s="2" t="str">
        <f>IFERROR(__xludf.DUMMYFUNCTION("""COMPUTED_VALUE"""),"Delivery at")</f>
        <v>Delivery at</v>
      </c>
      <c r="C421" s="2">
        <f>IFERROR(__xludf.DUMMYFUNCTION("""COMPUTED_VALUE"""),0.3)</f>
        <v>0.3</v>
      </c>
      <c r="D421" s="2" t="str">
        <f>IFERROR(__xludf.DUMMYFUNCTION("""COMPUTED_VALUE"""),"ডেলিভারি এ")</f>
        <v>ডেলিভারি এ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 t="str">
        <f>IFERROR(__xludf.DUMMYFUNCTION("""COMPUTED_VALUE"""),"capsules")</f>
        <v>capsules</v>
      </c>
      <c r="B422" s="2" t="str">
        <f>IFERROR(__xludf.DUMMYFUNCTION("""COMPUTED_VALUE"""),"Capsules")</f>
        <v>Capsules</v>
      </c>
      <c r="C422" s="2"/>
      <c r="D422" s="2" t="str">
        <f>IFERROR(__xludf.DUMMYFUNCTION("""COMPUTED_VALUE"""),"ক্যাপসুলস")</f>
        <v>ক্যাপসুলস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 t="str">
        <f>IFERROR(__xludf.DUMMYFUNCTION("""COMPUTED_VALUE"""),"invalidmanagerid")</f>
        <v>invalidmanagerid</v>
      </c>
      <c r="B423" s="2" t="str">
        <f>IFERROR(__xludf.DUMMYFUNCTION("""COMPUTED_VALUE"""),"Invalid Manager id")</f>
        <v>Invalid Manager id</v>
      </c>
      <c r="C423" s="2">
        <f>IFERROR(__xludf.DUMMYFUNCTION("""COMPUTED_VALUE"""),0.4)</f>
        <v>0.4</v>
      </c>
      <c r="D423" s="2" t="str">
        <f>IFERROR(__xludf.DUMMYFUNCTION("""COMPUTED_VALUE"""),"অবৈধ পরিচালক আইডি")</f>
        <v>অবৈধ পরিচালক আইডি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 t="str">
        <f>IFERROR(__xludf.DUMMYFUNCTION("""COMPUTED_VALUE"""),"invalidmobilenumber")</f>
        <v>invalidmobilenumber</v>
      </c>
      <c r="B424" s="2" t="str">
        <f>IFERROR(__xludf.DUMMYFUNCTION("""COMPUTED_VALUE"""),"Invalid Mobile Number")</f>
        <v>Invalid Mobile Number</v>
      </c>
      <c r="C424" s="2">
        <f>IFERROR(__xludf.DUMMYFUNCTION("""COMPUTED_VALUE"""),0.4)</f>
        <v>0.4</v>
      </c>
      <c r="D424" s="2" t="str">
        <f>IFERROR(__xludf.DUMMYFUNCTION("""COMPUTED_VALUE"""),"অকার্যকর মোবাইল নম্বর")</f>
        <v>অকার্যকর মোবাইল নম্বর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 t="str">
        <f>IFERROR(__xludf.DUMMYFUNCTION("""COMPUTED_VALUE"""),"update")</f>
        <v>update</v>
      </c>
      <c r="B425" s="2" t="str">
        <f>IFERROR(__xludf.DUMMYFUNCTION("""COMPUTED_VALUE"""),"Update")</f>
        <v>Update</v>
      </c>
      <c r="C425" s="2">
        <f>IFERROR(__xludf.DUMMYFUNCTION("""COMPUTED_VALUE"""),0.1)</f>
        <v>0.1</v>
      </c>
      <c r="D425" s="2" t="str">
        <f>IFERROR(__xludf.DUMMYFUNCTION("""COMPUTED_VALUE"""),"হালনাগাদ")</f>
        <v>হালনাগাদ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 t="str">
        <f>IFERROR(__xludf.DUMMYFUNCTION("""COMPUTED_VALUE"""),"product")</f>
        <v>product</v>
      </c>
      <c r="B426" s="2" t="str">
        <f>IFERROR(__xludf.DUMMYFUNCTION("""COMPUTED_VALUE"""),"Product")</f>
        <v>Product</v>
      </c>
      <c r="C426" s="2"/>
      <c r="D426" s="2" t="str">
        <f>IFERROR(__xludf.DUMMYFUNCTION("""COMPUTED_VALUE"""),"পণ্য")</f>
        <v>পণ্য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 t="str">
        <f>IFERROR(__xludf.DUMMYFUNCTION("""COMPUTED_VALUE"""),"updateExisting")</f>
        <v>updateExisting</v>
      </c>
      <c r="B427" s="2" t="str">
        <f>IFERROR(__xludf.DUMMYFUNCTION("""COMPUTED_VALUE"""),"Update Existing")</f>
        <v>Update Existing</v>
      </c>
      <c r="C427" s="2"/>
      <c r="D427" s="2" t="str">
        <f>IFERROR(__xludf.DUMMYFUNCTION("""COMPUTED_VALUE"""),"বিদ্যমান আপডেট")</f>
        <v>বিদ্যমান আপডেট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 t="str">
        <f>IFERROR(__xludf.DUMMYFUNCTION("""COMPUTED_VALUE"""),"continue")</f>
        <v>continue</v>
      </c>
      <c r="B428" s="2" t="str">
        <f>IFERROR(__xludf.DUMMYFUNCTION("""COMPUTED_VALUE"""),"Continue")</f>
        <v>Continue</v>
      </c>
      <c r="C428" s="2">
        <f>IFERROR(__xludf.DUMMYFUNCTION("""COMPUTED_VALUE"""),0.1)</f>
        <v>0.1</v>
      </c>
      <c r="D428" s="2" t="str">
        <f>IFERROR(__xludf.DUMMYFUNCTION("""COMPUTED_VALUE"""),"চালিয়ে যান")</f>
        <v>চালিয়ে যান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 t="str">
        <f>IFERROR(__xludf.DUMMYFUNCTION("""COMPUTED_VALUE"""),"showAll")</f>
        <v>showAll</v>
      </c>
      <c r="B429" s="2" t="str">
        <f>IFERROR(__xludf.DUMMYFUNCTION("""COMPUTED_VALUE"""),"Show all")</f>
        <v>Show all</v>
      </c>
      <c r="C429" s="2"/>
      <c r="D429" s="2" t="str">
        <f>IFERROR(__xludf.DUMMYFUNCTION("""COMPUTED_VALUE"""),"সব দেখাও")</f>
        <v>সব দেখাও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 t="str">
        <f>IFERROR(__xludf.DUMMYFUNCTION("""COMPUTED_VALUE"""),"procurementmanager")</f>
        <v>procurementmanager</v>
      </c>
      <c r="B430" s="2" t="str">
        <f>IFERROR(__xludf.DUMMYFUNCTION("""COMPUTED_VALUE"""),"Procurement Manager")</f>
        <v>Procurement Manager</v>
      </c>
      <c r="C430" s="2">
        <f>IFERROR(__xludf.DUMMYFUNCTION("""COMPUTED_VALUE"""),0.5)</f>
        <v>0.5</v>
      </c>
      <c r="D430" s="2" t="str">
        <f>IFERROR(__xludf.DUMMYFUNCTION("""COMPUTED_VALUE"""),"প্রকিউরমেন্ট ম্যানেজার")</f>
        <v>প্রকিউরমেন্ট ম্যানেজার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 t="str">
        <f>IFERROR(__xludf.DUMMYFUNCTION("""COMPUTED_VALUE"""),"to")</f>
        <v>to</v>
      </c>
      <c r="B431" s="2" t="str">
        <f>IFERROR(__xludf.DUMMYFUNCTION("""COMPUTED_VALUE"""),"To")</f>
        <v>To</v>
      </c>
      <c r="C431" s="2"/>
      <c r="D431" s="2" t="str">
        <f>IFERROR(__xludf.DUMMYFUNCTION("""COMPUTED_VALUE"""),"প্রতি")</f>
        <v>প্রতি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 t="str">
        <f>IFERROR(__xludf.DUMMYFUNCTION("""COMPUTED_VALUE"""),"inr")</f>
        <v>inr</v>
      </c>
      <c r="B432" s="2" t="str">
        <f>IFERROR(__xludf.DUMMYFUNCTION("""COMPUTED_VALUE"""),"INR")</f>
        <v>INR</v>
      </c>
      <c r="C432" s="2">
        <f>IFERROR(__xludf.DUMMYFUNCTION("""COMPUTED_VALUE"""),0.3)</f>
        <v>0.3</v>
      </c>
      <c r="D432" s="2" t="str">
        <f>IFERROR(__xludf.DUMMYFUNCTION("""COMPUTED_VALUE"""),"Inr")</f>
        <v>Inr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 t="str">
        <f>IFERROR(__xludf.DUMMYFUNCTION("""COMPUTED_VALUE"""),"filter")</f>
        <v>filter</v>
      </c>
      <c r="B433" s="2" t="str">
        <f>IFERROR(__xludf.DUMMYFUNCTION("""COMPUTED_VALUE"""),"Filter")</f>
        <v>Filter</v>
      </c>
      <c r="C433" s="2">
        <f>IFERROR(__xludf.DUMMYFUNCTION("""COMPUTED_VALUE"""),0.4)</f>
        <v>0.4</v>
      </c>
      <c r="D433" s="2" t="str">
        <f>IFERROR(__xludf.DUMMYFUNCTION("""COMPUTED_VALUE"""),"ছাঁকনি")</f>
        <v>ছাঁকনি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 t="str">
        <f>IFERROR(__xludf.DUMMYFUNCTION("""COMPUTED_VALUE"""),"invalidrole")</f>
        <v>invalidrole</v>
      </c>
      <c r="B434" s="2" t="str">
        <f>IFERROR(__xludf.DUMMYFUNCTION("""COMPUTED_VALUE"""),"Invalid Role")</f>
        <v>Invalid Role</v>
      </c>
      <c r="C434" s="2">
        <f>IFERROR(__xludf.DUMMYFUNCTION("""COMPUTED_VALUE"""),0.4)</f>
        <v>0.4</v>
      </c>
      <c r="D434" s="2" t="str">
        <f>IFERROR(__xludf.DUMMYFUNCTION("""COMPUTED_VALUE"""),"অবৈধ ভূমিকা")</f>
        <v>অবৈধ ভূমিকা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 t="str">
        <f>IFERROR(__xludf.DUMMYFUNCTION("""COMPUTED_VALUE"""),"select")</f>
        <v>select</v>
      </c>
      <c r="B435" s="2" t="str">
        <f>IFERROR(__xludf.DUMMYFUNCTION("""COMPUTED_VALUE"""),"Select ")</f>
        <v>Select </v>
      </c>
      <c r="C435" s="2"/>
      <c r="D435" s="2" t="str">
        <f>IFERROR(__xludf.DUMMYFUNCTION("""COMPUTED_VALUE"""),"নির্বাচন করুন")</f>
        <v>নির্বাচন করুন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 t="str">
        <f>IFERROR(__xludf.DUMMYFUNCTION("""COMPUTED_VALUE"""),"New")</f>
        <v>New</v>
      </c>
      <c r="B436" s="2" t="str">
        <f>IFERROR(__xludf.DUMMYFUNCTION("""COMPUTED_VALUE"""),"New")</f>
        <v>New</v>
      </c>
      <c r="C436" s="2">
        <f>IFERROR(__xludf.DUMMYFUNCTION("""COMPUTED_VALUE"""),0.4)</f>
        <v>0.4</v>
      </c>
      <c r="D436" s="2" t="str">
        <f>IFERROR(__xludf.DUMMYFUNCTION("""COMPUTED_VALUE"""),"নতুন")</f>
        <v>নতুন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 t="str">
        <f>IFERROR(__xludf.DUMMYFUNCTION("""COMPUTED_VALUE"""),"accept ")</f>
        <v>accept </v>
      </c>
      <c r="B437" s="2" t="str">
        <f>IFERROR(__xludf.DUMMYFUNCTION("""COMPUTED_VALUE"""),"Accept ")</f>
        <v>Accept </v>
      </c>
      <c r="C437" s="2">
        <f>IFERROR(__xludf.DUMMYFUNCTION("""COMPUTED_VALUE"""),0.4)</f>
        <v>0.4</v>
      </c>
      <c r="D437" s="2" t="str">
        <f>IFERROR(__xludf.DUMMYFUNCTION("""COMPUTED_VALUE"""),"গ্রহণ")</f>
        <v>গ্রহণ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 t="str">
        <f>IFERROR(__xludf.DUMMYFUNCTION("""COMPUTED_VALUE"""),"Accepted ")</f>
        <v>Accepted </v>
      </c>
      <c r="B438" s="2" t="str">
        <f>IFERROR(__xludf.DUMMYFUNCTION("""COMPUTED_VALUE"""),"Accepted")</f>
        <v>Accepted</v>
      </c>
      <c r="C438" s="2">
        <f>IFERROR(__xludf.DUMMYFUNCTION("""COMPUTED_VALUE"""),0.4)</f>
        <v>0.4</v>
      </c>
      <c r="D438" s="2" t="str">
        <f>IFERROR(__xludf.DUMMYFUNCTION("""COMPUTED_VALUE"""),"গৃহীত")</f>
        <v>গৃহীত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 t="str">
        <f>IFERROR(__xludf.DUMMYFUNCTION("""COMPUTED_VALUE"""),"Dispatch")</f>
        <v>Dispatch</v>
      </c>
      <c r="B439" s="2" t="str">
        <f>IFERROR(__xludf.DUMMYFUNCTION("""COMPUTED_VALUE"""),"Dispatch")</f>
        <v>Dispatch</v>
      </c>
      <c r="C439" s="2">
        <f>IFERROR(__xludf.DUMMYFUNCTION("""COMPUTED_VALUE"""),0.4)</f>
        <v>0.4</v>
      </c>
      <c r="D439" s="2" t="str">
        <f>IFERROR(__xludf.DUMMYFUNCTION("""COMPUTED_VALUE"""),"প্রেরণ")</f>
        <v>প্রেরণ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 t="str">
        <f>IFERROR(__xludf.DUMMYFUNCTION("""COMPUTED_VALUE"""),"Reject")</f>
        <v>Reject</v>
      </c>
      <c r="B440" s="2" t="str">
        <f>IFERROR(__xludf.DUMMYFUNCTION("""COMPUTED_VALUE"""),"Reject")</f>
        <v>Reject</v>
      </c>
      <c r="C440" s="2">
        <f>IFERROR(__xludf.DUMMYFUNCTION("""COMPUTED_VALUE"""),0.4)</f>
        <v>0.4</v>
      </c>
      <c r="D440" s="2" t="str">
        <f>IFERROR(__xludf.DUMMYFUNCTION("""COMPUTED_VALUE"""),"প্রত্যাখ্যান")</f>
        <v>প্রত্যাখ্যান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 t="str">
        <f>IFERROR(__xludf.DUMMYFUNCTION("""COMPUTED_VALUE"""),"DoyouwanttoRejecttheorder")</f>
        <v>DoyouwanttoRejecttheorder</v>
      </c>
      <c r="B441" s="2" t="str">
        <f>IFERROR(__xludf.DUMMYFUNCTION("""COMPUTED_VALUE"""),"Do You Want to Reject the order")</f>
        <v>Do You Want to Reject the order</v>
      </c>
      <c r="C441" s="2">
        <f>IFERROR(__xludf.DUMMYFUNCTION("""COMPUTED_VALUE"""),0.4)</f>
        <v>0.4</v>
      </c>
      <c r="D441" s="2" t="str">
        <f>IFERROR(__xludf.DUMMYFUNCTION("""COMPUTED_VALUE"""),"আপনি কি অর্ডার প্রত্যাখ্যান করতে চান?")</f>
        <v>আপনি কি অর্ডার প্রত্যাখ্যান করতে চান?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 t="str">
        <f>IFERROR(__xludf.DUMMYFUNCTION("""COMPUTED_VALUE"""),"Neworder")</f>
        <v>Neworder</v>
      </c>
      <c r="B442" s="2" t="str">
        <f>IFERROR(__xludf.DUMMYFUNCTION("""COMPUTED_VALUE"""),"New Order")</f>
        <v>New Order</v>
      </c>
      <c r="C442" s="2">
        <f>IFERROR(__xludf.DUMMYFUNCTION("""COMPUTED_VALUE"""),0.4)</f>
        <v>0.4</v>
      </c>
      <c r="D442" s="2" t="str">
        <f>IFERROR(__xludf.DUMMYFUNCTION("""COMPUTED_VALUE"""),"নতুন আদেশ")</f>
        <v>নতুন আদেশ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 t="str">
        <f>IFERROR(__xludf.DUMMYFUNCTION("""COMPUTED_VALUE"""),"avaliable")</f>
        <v>avaliable</v>
      </c>
      <c r="B443" s="2" t="str">
        <f>IFERROR(__xludf.DUMMYFUNCTION("""COMPUTED_VALUE"""),"Available")</f>
        <v>Available</v>
      </c>
      <c r="C443" s="2">
        <f>IFERROR(__xludf.DUMMYFUNCTION("""COMPUTED_VALUE"""),0.4)</f>
        <v>0.4</v>
      </c>
      <c r="D443" s="2" t="str">
        <f>IFERROR(__xludf.DUMMYFUNCTION("""COMPUTED_VALUE"""),"উপলব্ধ")</f>
        <v>উপলব্ধ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 t="str">
        <f>IFERROR(__xludf.DUMMYFUNCTION("""COMPUTED_VALUE"""),"blockward")</f>
        <v>blockward</v>
      </c>
      <c r="B444" s="2" t="str">
        <f>IFERROR(__xludf.DUMMYFUNCTION("""COMPUTED_VALUE"""),"Block/Ward")</f>
        <v>Block/Ward</v>
      </c>
      <c r="C444" s="2">
        <f>IFERROR(__xludf.DUMMYFUNCTION("""COMPUTED_VALUE"""),0.4)</f>
        <v>0.4</v>
      </c>
      <c r="D444" s="2" t="str">
        <f>IFERROR(__xludf.DUMMYFUNCTION("""COMPUTED_VALUE"""),"ব্লক/ওয়ার্ড")</f>
        <v>ব্লক/ওয়ার্ড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 t="str">
        <f>IFERROR(__xludf.DUMMYFUNCTION("""COMPUTED_VALUE"""),"acceptorder")</f>
        <v>acceptorder</v>
      </c>
      <c r="B445" s="2" t="str">
        <f>IFERROR(__xludf.DUMMYFUNCTION("""COMPUTED_VALUE"""),"Accept Order")</f>
        <v>Accept Order</v>
      </c>
      <c r="C445" s="2">
        <f>IFERROR(__xludf.DUMMYFUNCTION("""COMPUTED_VALUE"""),0.4)</f>
        <v>0.4</v>
      </c>
      <c r="D445" s="2" t="str">
        <f>IFERROR(__xludf.DUMMYFUNCTION("""COMPUTED_VALUE"""),"আদেশ গ্রহণ")</f>
        <v>আদেশ গ্রহণ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 t="str">
        <f>IFERROR(__xludf.DUMMYFUNCTION("""COMPUTED_VALUE"""),"Process")</f>
        <v>Process</v>
      </c>
      <c r="B446" s="2" t="str">
        <f>IFERROR(__xludf.DUMMYFUNCTION("""COMPUTED_VALUE"""),"Process")</f>
        <v>Process</v>
      </c>
      <c r="C446" s="2">
        <f>IFERROR(__xludf.DUMMYFUNCTION("""COMPUTED_VALUE"""),0.4)</f>
        <v>0.4</v>
      </c>
      <c r="D446" s="2" t="str">
        <f>IFERROR(__xludf.DUMMYFUNCTION("""COMPUTED_VALUE"""),"প্রক্রিয়া")</f>
        <v>প্রক্রিয়া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 t="str">
        <f>IFERROR(__xludf.DUMMYFUNCTION("""COMPUTED_VALUE"""),"Doyouwanttocanceltheorder")</f>
        <v>Doyouwanttocanceltheorder</v>
      </c>
      <c r="B447" s="2" t="str">
        <f>IFERROR(__xludf.DUMMYFUNCTION("""COMPUTED_VALUE"""),"Do you want to Cancel the Order?")</f>
        <v>Do you want to Cancel the Order?</v>
      </c>
      <c r="C447" s="2">
        <f>IFERROR(__xludf.DUMMYFUNCTION("""COMPUTED_VALUE"""),0.4)</f>
        <v>0.4</v>
      </c>
      <c r="D447" s="2" t="str">
        <f>IFERROR(__xludf.DUMMYFUNCTION("""COMPUTED_VALUE"""),"আপনি কি অর্ডার বাতিল করতে চান?")</f>
        <v>আপনি কি অর্ডার বাতিল করতে চান?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 t="str">
        <f>IFERROR(__xludf.DUMMYFUNCTION("""COMPUTED_VALUE"""),"noshow")</f>
        <v>noshow</v>
      </c>
      <c r="B448" s="2" t="str">
        <f>IFERROR(__xludf.DUMMYFUNCTION("""COMPUTED_VALUE"""),"No Show")</f>
        <v>No Show</v>
      </c>
      <c r="C448" s="2">
        <f>IFERROR(__xludf.DUMMYFUNCTION("""COMPUTED_VALUE"""),0.4)</f>
        <v>0.4</v>
      </c>
      <c r="D448" s="2" t="str">
        <f>IFERROR(__xludf.DUMMYFUNCTION("""COMPUTED_VALUE"""),"কোন শো")</f>
        <v>কোন শো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 t="str">
        <f>IFERROR(__xludf.DUMMYFUNCTION("""COMPUTED_VALUE"""),"intransit")</f>
        <v>intransit</v>
      </c>
      <c r="B449" s="2" t="str">
        <f>IFERROR(__xludf.DUMMYFUNCTION("""COMPUTED_VALUE"""),"In Transit")</f>
        <v>In Transit</v>
      </c>
      <c r="C449" s="2">
        <f>IFERROR(__xludf.DUMMYFUNCTION("""COMPUTED_VALUE"""),0.4)</f>
        <v>0.4</v>
      </c>
      <c r="D449" s="2" t="str">
        <f>IFERROR(__xludf.DUMMYFUNCTION("""COMPUTED_VALUE"""),"ট্রানজিটে")</f>
        <v>ট্রানজিটে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 t="str">
        <f>IFERROR(__xludf.DUMMYFUNCTION("""COMPUTED_VALUE"""),"Cancelled")</f>
        <v>Cancelled</v>
      </c>
      <c r="B450" s="2" t="str">
        <f>IFERROR(__xludf.DUMMYFUNCTION("""COMPUTED_VALUE"""),"Cancelled")</f>
        <v>Cancelled</v>
      </c>
      <c r="C450" s="2">
        <f>IFERROR(__xludf.DUMMYFUNCTION("""COMPUTED_VALUE"""),0.4)</f>
        <v>0.4</v>
      </c>
      <c r="D450" s="2" t="str">
        <f>IFERROR(__xludf.DUMMYFUNCTION("""COMPUTED_VALUE"""),"বাতিল")</f>
        <v>বাতিল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 t="str">
        <f>IFERROR(__xludf.DUMMYFUNCTION("""COMPUTED_VALUE"""),"InStorePickup")</f>
        <v>InStorePickup</v>
      </c>
      <c r="B451" s="2" t="str">
        <f>IFERROR(__xludf.DUMMYFUNCTION("""COMPUTED_VALUE"""),"In Store Pickup")</f>
        <v>In Store Pickup</v>
      </c>
      <c r="C451" s="2">
        <f>IFERROR(__xludf.DUMMYFUNCTION("""COMPUTED_VALUE"""),0.4)</f>
        <v>0.4</v>
      </c>
      <c r="D451" s="2" t="str">
        <f>IFERROR(__xludf.DUMMYFUNCTION("""COMPUTED_VALUE"""),"স্টোর পিকআপে")</f>
        <v>স্টোর পিকআপে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 t="str">
        <f>IFERROR(__xludf.DUMMYFUNCTION("""COMPUTED_VALUE"""),"HomeDelivery")</f>
        <v>HomeDelivery</v>
      </c>
      <c r="B452" s="2" t="str">
        <f>IFERROR(__xludf.DUMMYFUNCTION("""COMPUTED_VALUE"""),"Home Delivery")</f>
        <v>Home Delivery</v>
      </c>
      <c r="C452" s="2">
        <f>IFERROR(__xludf.DUMMYFUNCTION("""COMPUTED_VALUE"""),0.4)</f>
        <v>0.4</v>
      </c>
      <c r="D452" s="2" t="str">
        <f>IFERROR(__xludf.DUMMYFUNCTION("""COMPUTED_VALUE"""),"হোম ডেলিভারি")</f>
        <v>হোম ডেলিভারি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 t="str">
        <f>IFERROR(__xludf.DUMMYFUNCTION("""COMPUTED_VALUE"""),"Pickedupat")</f>
        <v>Pickedupat</v>
      </c>
      <c r="B453" s="2" t="str">
        <f>IFERROR(__xludf.DUMMYFUNCTION("""COMPUTED_VALUE"""),"Picked up at")</f>
        <v>Picked up at</v>
      </c>
      <c r="C453" s="2">
        <f>IFERROR(__xludf.DUMMYFUNCTION("""COMPUTED_VALUE"""),0.4)</f>
        <v>0.4</v>
      </c>
      <c r="D453" s="2" t="str">
        <f>IFERROR(__xludf.DUMMYFUNCTION("""COMPUTED_VALUE"""),"বাছাই")</f>
        <v>বাছাই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 t="str">
        <f>IFERROR(__xludf.DUMMYFUNCTION("""COMPUTED_VALUE"""),"Deliveredat")</f>
        <v>Deliveredat</v>
      </c>
      <c r="B454" s="2" t="str">
        <f>IFERROR(__xludf.DUMMYFUNCTION("""COMPUTED_VALUE"""),"Delivered at")</f>
        <v>Delivered at</v>
      </c>
      <c r="C454" s="2">
        <f>IFERROR(__xludf.DUMMYFUNCTION("""COMPUTED_VALUE"""),0.4)</f>
        <v>0.4</v>
      </c>
      <c r="D454" s="2" t="str">
        <f>IFERROR(__xludf.DUMMYFUNCTION("""COMPUTED_VALUE"""),"বিতরণ")</f>
        <v>বিতরণ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 t="str">
        <f>IFERROR(__xludf.DUMMYFUNCTION("""COMPUTED_VALUE"""),"Rejectedat")</f>
        <v>Rejectedat</v>
      </c>
      <c r="B455" s="2" t="str">
        <f>IFERROR(__xludf.DUMMYFUNCTION("""COMPUTED_VALUE"""),"Rejected at")</f>
        <v>Rejected at</v>
      </c>
      <c r="C455" s="2">
        <f>IFERROR(__xludf.DUMMYFUNCTION("""COMPUTED_VALUE"""),0.4)</f>
        <v>0.4</v>
      </c>
      <c r="D455" s="2" t="str">
        <f>IFERROR(__xludf.DUMMYFUNCTION("""COMPUTED_VALUE"""),"প্রত্যাখ্যান")</f>
        <v>প্রত্যাখ্যান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 t="str">
        <f>IFERROR(__xludf.DUMMYFUNCTION("""COMPUTED_VALUE"""),"Timeslot ")</f>
        <v>Timeslot </v>
      </c>
      <c r="B456" s="2" t="str">
        <f>IFERROR(__xludf.DUMMYFUNCTION("""COMPUTED_VALUE"""),"Time slot ")</f>
        <v>Time slot </v>
      </c>
      <c r="C456" s="2">
        <f>IFERROR(__xludf.DUMMYFUNCTION("""COMPUTED_VALUE"""),0.4)</f>
        <v>0.4</v>
      </c>
      <c r="D456" s="2" t="str">
        <f>IFERROR(__xludf.DUMMYFUNCTION("""COMPUTED_VALUE"""),"সময় স্লট")</f>
        <v>সময় স্লট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 t="str">
        <f>IFERROR(__xludf.DUMMYFUNCTION("""COMPUTED_VALUE"""),"Notavailable")</f>
        <v>Notavailable</v>
      </c>
      <c r="B457" s="2" t="str">
        <f>IFERROR(__xludf.DUMMYFUNCTION("""COMPUTED_VALUE"""),"Not available")</f>
        <v>Not available</v>
      </c>
      <c r="C457" s="2">
        <f>IFERROR(__xludf.DUMMYFUNCTION("""COMPUTED_VALUE"""),0.4)</f>
        <v>0.4</v>
      </c>
      <c r="D457" s="2" t="str">
        <f>IFERROR(__xludf.DUMMYFUNCTION("""COMPUTED_VALUE"""),"পাওয়া যায় না")</f>
        <v>পাওয়া যায় না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 t="str">
        <f>IFERROR(__xludf.DUMMYFUNCTION("""COMPUTED_VALUE"""),"PaymentSuccessful")</f>
        <v>PaymentSuccessful</v>
      </c>
      <c r="B458" s="2" t="str">
        <f>IFERROR(__xludf.DUMMYFUNCTION("""COMPUTED_VALUE"""),"Payment Successful")</f>
        <v>Payment Successful</v>
      </c>
      <c r="C458" s="2">
        <f>IFERROR(__xludf.DUMMYFUNCTION("""COMPUTED_VALUE"""),0.4)</f>
        <v>0.4</v>
      </c>
      <c r="D458" s="2" t="str">
        <f>IFERROR(__xludf.DUMMYFUNCTION("""COMPUTED_VALUE"""),"পেমেন্ট সফল")</f>
        <v>পেমেন্ট সফল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 t="str">
        <f>IFERROR(__xludf.DUMMYFUNCTION("""COMPUTED_VALUE"""),"CashReceived")</f>
        <v>CashReceived</v>
      </c>
      <c r="B459" s="2" t="str">
        <f>IFERROR(__xludf.DUMMYFUNCTION("""COMPUTED_VALUE"""),"Cash Received")</f>
        <v>Cash Received</v>
      </c>
      <c r="C459" s="2">
        <f>IFERROR(__xludf.DUMMYFUNCTION("""COMPUTED_VALUE"""),0.4)</f>
        <v>0.4</v>
      </c>
      <c r="D459" s="2" t="str">
        <f>IFERROR(__xludf.DUMMYFUNCTION("""COMPUTED_VALUE"""),"নগদ গ্রহন")</f>
        <v>নগদ গ্রহন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 t="str">
        <f>IFERROR(__xludf.DUMMYFUNCTION("""COMPUTED_VALUE"""),"Return")</f>
        <v>Return</v>
      </c>
      <c r="B460" s="2" t="str">
        <f>IFERROR(__xludf.DUMMYFUNCTION("""COMPUTED_VALUE"""),"Return")</f>
        <v>Return</v>
      </c>
      <c r="C460" s="2">
        <f>IFERROR(__xludf.DUMMYFUNCTION("""COMPUTED_VALUE"""),0.4)</f>
        <v>0.4</v>
      </c>
      <c r="D460" s="2" t="str">
        <f>IFERROR(__xludf.DUMMYFUNCTION("""COMPUTED_VALUE"""),"প্রত্যাবর্তন")</f>
        <v>প্রত্যাবর্তন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 t="str">
        <f>IFERROR(__xludf.DUMMYFUNCTION("""COMPUTED_VALUE"""),"ItemStatus")</f>
        <v>ItemStatus</v>
      </c>
      <c r="B461" s="2" t="str">
        <f>IFERROR(__xludf.DUMMYFUNCTION("""COMPUTED_VALUE"""),"Item Status")</f>
        <v>Item Status</v>
      </c>
      <c r="C461" s="2">
        <f>IFERROR(__xludf.DUMMYFUNCTION("""COMPUTED_VALUE"""),0.4)</f>
        <v>0.4</v>
      </c>
      <c r="D461" s="2" t="str">
        <f>IFERROR(__xludf.DUMMYFUNCTION("""COMPUTED_VALUE"""),"আইটেমের স্থিতি")</f>
        <v>আইটেমের স্থিতি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 t="str">
        <f>IFERROR(__xludf.DUMMYFUNCTION("""COMPUTED_VALUE"""),"noReturn")</f>
        <v>noReturn</v>
      </c>
      <c r="B462" s="2" t="str">
        <f>IFERROR(__xludf.DUMMYFUNCTION("""COMPUTED_VALUE"""),"No Return")</f>
        <v>No Return</v>
      </c>
      <c r="C462" s="2">
        <f>IFERROR(__xludf.DUMMYFUNCTION("""COMPUTED_VALUE"""),0.3)</f>
        <v>0.3</v>
      </c>
      <c r="D462" s="2" t="str">
        <f>IFERROR(__xludf.DUMMYFUNCTION("""COMPUTED_VALUE"""),"ফেরত নেই")</f>
        <v>ফেরত নেই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 t="str">
        <f>IFERROR(__xludf.DUMMYFUNCTION("""COMPUTED_VALUE"""),"sameDay")</f>
        <v>sameDay</v>
      </c>
      <c r="B463" s="2" t="str">
        <f>IFERROR(__xludf.DUMMYFUNCTION("""COMPUTED_VALUE"""),"Same Day")</f>
        <v>Same Day</v>
      </c>
      <c r="C463" s="2">
        <f>IFERROR(__xludf.DUMMYFUNCTION("""COMPUTED_VALUE"""),0.3)</f>
        <v>0.3</v>
      </c>
      <c r="D463" s="2" t="str">
        <f>IFERROR(__xludf.DUMMYFUNCTION("""COMPUTED_VALUE"""),"একই দিন")</f>
        <v>একই দিন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 t="str">
        <f>IFERROR(__xludf.DUMMYFUNCTION("""COMPUTED_VALUE"""),"nextDay")</f>
        <v>nextDay</v>
      </c>
      <c r="B464" s="2" t="str">
        <f>IFERROR(__xludf.DUMMYFUNCTION("""COMPUTED_VALUE"""),"Next Day")</f>
        <v>Next Day</v>
      </c>
      <c r="C464" s="2">
        <f>IFERROR(__xludf.DUMMYFUNCTION("""COMPUTED_VALUE"""),0.3)</f>
        <v>0.3</v>
      </c>
      <c r="D464" s="2" t="str">
        <f>IFERROR(__xludf.DUMMYFUNCTION("""COMPUTED_VALUE"""),"পরবর্তী দিন")</f>
        <v>পরবর্তী দিন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 t="str">
        <f>IFERROR(__xludf.DUMMYFUNCTION("""COMPUTED_VALUE"""),"Delivered ")</f>
        <v>Delivered </v>
      </c>
      <c r="B465" s="2" t="str">
        <f>IFERROR(__xludf.DUMMYFUNCTION("""COMPUTED_VALUE"""),"Delivered ")</f>
        <v>Delivered </v>
      </c>
      <c r="C465" s="2">
        <f>IFERROR(__xludf.DUMMYFUNCTION("""COMPUTED_VALUE"""),0.4)</f>
        <v>0.4</v>
      </c>
      <c r="D465" s="2" t="str">
        <f>IFERROR(__xludf.DUMMYFUNCTION("""COMPUTED_VALUE"""),"বিতরণ")</f>
        <v>বিতরণ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 t="str">
        <f>IFERROR(__xludf.DUMMYFUNCTION("""COMPUTED_VALUE"""),"Hrs")</f>
        <v>Hrs</v>
      </c>
      <c r="B466" s="2" t="str">
        <f>IFERROR(__xludf.DUMMYFUNCTION("""COMPUTED_VALUE"""),"Hrs")</f>
        <v>Hrs</v>
      </c>
      <c r="C466" s="2">
        <f>IFERROR(__xludf.DUMMYFUNCTION("""COMPUTED_VALUE"""),0.3)</f>
        <v>0.3</v>
      </c>
      <c r="D466" s="2" t="str">
        <f>IFERROR(__xludf.DUMMYFUNCTION("""COMPUTED_VALUE"""),"ঘন্টা")</f>
        <v>ঘন্টা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 t="str">
        <f>IFERROR(__xludf.DUMMYFUNCTION("""COMPUTED_VALUE"""),"kg")</f>
        <v>kg</v>
      </c>
      <c r="B467" s="2" t="str">
        <f>IFERROR(__xludf.DUMMYFUNCTION("""COMPUTED_VALUE"""),"kg")</f>
        <v>kg</v>
      </c>
      <c r="C467" s="2">
        <f>IFERROR(__xludf.DUMMYFUNCTION("""COMPUTED_VALUE"""),0.3)</f>
        <v>0.3</v>
      </c>
      <c r="D467" s="2" t="str">
        <f>IFERROR(__xludf.DUMMYFUNCTION("""COMPUTED_VALUE"""),"কেজি")</f>
        <v>কেজি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 t="str">
        <f>IFERROR(__xludf.DUMMYFUNCTION("""COMPUTED_VALUE"""),"returnWithin")</f>
        <v>returnWithin</v>
      </c>
      <c r="B468" s="2" t="str">
        <f>IFERROR(__xludf.DUMMYFUNCTION("""COMPUTED_VALUE"""),"Return Within")</f>
        <v>Return Within</v>
      </c>
      <c r="C468" s="2">
        <f>IFERROR(__xludf.DUMMYFUNCTION("""COMPUTED_VALUE"""),0.3)</f>
        <v>0.3</v>
      </c>
      <c r="D468" s="2" t="str">
        <f>IFERROR(__xludf.DUMMYFUNCTION("""COMPUTED_VALUE"""),"মধ্যে ফিরে")</f>
        <v>মধ্যে ফিরে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 t="str">
        <f>IFERROR(__xludf.DUMMYFUNCTION("""COMPUTED_VALUE"""),"maxQtyPerOrder")</f>
        <v>maxQtyPerOrder</v>
      </c>
      <c r="B469" s="2" t="str">
        <f>IFERROR(__xludf.DUMMYFUNCTION("""COMPUTED_VALUE"""),"Max. qty per Order")</f>
        <v>Max. qty per Order</v>
      </c>
      <c r="C469" s="2"/>
      <c r="D469" s="2" t="str">
        <f>IFERROR(__xludf.DUMMYFUNCTION("""COMPUTED_VALUE"""),"সর্বোচ্চ অর্ডার প্রতি কিটি")</f>
        <v>সর্বোচ্চ অর্ডার প্রতি কিটি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 t="str">
        <f>IFERROR(__xludf.DUMMYFUNCTION("""COMPUTED_VALUE"""),"salarypermonth")</f>
        <v>salarypermonth</v>
      </c>
      <c r="B470" s="2" t="str">
        <f>IFERROR(__xludf.DUMMYFUNCTION("""COMPUTED_VALUE"""),"Salary Per Month")</f>
        <v>Salary Per Month</v>
      </c>
      <c r="C470" s="2">
        <f>IFERROR(__xludf.DUMMYFUNCTION("""COMPUTED_VALUE"""),0.5)</f>
        <v>0.5</v>
      </c>
      <c r="D470" s="2" t="str">
        <f>IFERROR(__xludf.DUMMYFUNCTION("""COMPUTED_VALUE"""),"প্রতি মাসে বেতন")</f>
        <v>প্রতি মাসে বেতন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 t="str">
        <f>IFERROR(__xludf.DUMMYFUNCTION("""COMPUTED_VALUE"""),"sales&amp;serviceofficer")</f>
        <v>sales&amp;serviceofficer</v>
      </c>
      <c r="B471" s="2" t="str">
        <f>IFERROR(__xludf.DUMMYFUNCTION("""COMPUTED_VALUE"""),"Sales &amp; Service Officer")</f>
        <v>Sales &amp; Service Officer</v>
      </c>
      <c r="C471" s="2">
        <f>IFERROR(__xludf.DUMMYFUNCTION("""COMPUTED_VALUE"""),0.4)</f>
        <v>0.4</v>
      </c>
      <c r="D471" s="2" t="str">
        <f>IFERROR(__xludf.DUMMYFUNCTION("""COMPUTED_VALUE"""),"বিক্রয় ও সেবা অফিসার")</f>
        <v>বিক্রয় ও সেবা অফিসার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 t="str">
        <f>IFERROR(__xludf.DUMMYFUNCTION("""COMPUTED_VALUE"""),"inStock")</f>
        <v>inStock</v>
      </c>
      <c r="B472" s="2" t="str">
        <f>IFERROR(__xludf.DUMMYFUNCTION("""COMPUTED_VALUE"""),"In Stock")</f>
        <v>In Stock</v>
      </c>
      <c r="C472" s="2">
        <f>IFERROR(__xludf.DUMMYFUNCTION("""COMPUTED_VALUE"""),0.3)</f>
        <v>0.3</v>
      </c>
      <c r="D472" s="2" t="str">
        <f>IFERROR(__xludf.DUMMYFUNCTION("""COMPUTED_VALUE"""),"স্টক")</f>
        <v>স্টক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 t="str">
        <f>IFERROR(__xludf.DUMMYFUNCTION("""COMPUTED_VALUE"""),"outOfStock")</f>
        <v>outOfStock</v>
      </c>
      <c r="B473" s="2" t="str">
        <f>IFERROR(__xludf.DUMMYFUNCTION("""COMPUTED_VALUE"""),"Out of Stock")</f>
        <v>Out of Stock</v>
      </c>
      <c r="C473" s="2">
        <f>IFERROR(__xludf.DUMMYFUNCTION("""COMPUTED_VALUE"""),0.3)</f>
        <v>0.3</v>
      </c>
      <c r="D473" s="2" t="str">
        <f>IFERROR(__xludf.DUMMYFUNCTION("""COMPUTED_VALUE"""),"স্টক বাইরে")</f>
        <v>স্টক বাইরে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 t="str">
        <f>IFERROR(__xludf.DUMMYFUNCTION("""COMPUTED_VALUE"""),"received")</f>
        <v>received</v>
      </c>
      <c r="B474" s="2" t="str">
        <f>IFERROR(__xludf.DUMMYFUNCTION("""COMPUTED_VALUE"""),"Received")</f>
        <v>Received</v>
      </c>
      <c r="C474" s="2" t="str">
        <f>IFERROR(__xludf.DUMMYFUNCTION("""COMPUTED_VALUE"""),"0.4.1")</f>
        <v>0.4.1</v>
      </c>
      <c r="D474" s="2" t="str">
        <f>IFERROR(__xludf.DUMMYFUNCTION("""COMPUTED_VALUE"""),"প্রাপ্ত")</f>
        <v>প্রাপ্ত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 t="str">
        <f>IFERROR(__xludf.DUMMYFUNCTION("""COMPUTED_VALUE"""),"selectedproductpreview")</f>
        <v>selectedproductpreview</v>
      </c>
      <c r="B475" s="2" t="str">
        <f>IFERROR(__xludf.DUMMYFUNCTION("""COMPUTED_VALUE"""),"Selected Product Preview")</f>
        <v>Selected Product Preview</v>
      </c>
      <c r="C475" s="2">
        <f>IFERROR(__xludf.DUMMYFUNCTION("""COMPUTED_VALUE"""),0.3)</f>
        <v>0.3</v>
      </c>
      <c r="D475" s="2" t="str">
        <f>IFERROR(__xludf.DUMMYFUNCTION("""COMPUTED_VALUE"""),"নির্বাচিত পণ্য পূর্বরূপ")</f>
        <v>নির্বাচিত পণ্য পূর্বরূপ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 t="str">
        <f>IFERROR(__xludf.DUMMYFUNCTION("""COMPUTED_VALUE"""),"Invaliddoj")</f>
        <v>Invaliddoj</v>
      </c>
      <c r="B476" s="2" t="str">
        <f>IFERROR(__xludf.DUMMYFUNCTION("""COMPUTED_VALUE"""),"Invalid DOJ")</f>
        <v>Invalid DOJ</v>
      </c>
      <c r="C476" s="2">
        <f>IFERROR(__xludf.DUMMYFUNCTION("""COMPUTED_VALUE"""),0.4)</f>
        <v>0.4</v>
      </c>
      <c r="D476" s="2" t="str">
        <f>IFERROR(__xludf.DUMMYFUNCTION("""COMPUTED_VALUE"""),"অবৈধ ডিওজে")</f>
        <v>অবৈধ ডিওজে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 t="str">
        <f>IFERROR(__xludf.DUMMYFUNCTION("""COMPUTED_VALUE"""),"saveProduct")</f>
        <v>saveProduct</v>
      </c>
      <c r="B477" s="2" t="str">
        <f>IFERROR(__xludf.DUMMYFUNCTION("""COMPUTED_VALUE"""),"Save Product ")</f>
        <v>Save Product </v>
      </c>
      <c r="C477" s="2"/>
      <c r="D477" s="2" t="str">
        <f>IFERROR(__xludf.DUMMYFUNCTION("""COMPUTED_VALUE"""),"পণ্য সংরক্ষণ করুন")</f>
        <v>পণ্য সংরক্ষণ করুন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 t="str">
        <f>IFERROR(__xludf.DUMMYFUNCTION("""COMPUTED_VALUE"""),"pendingpayment")</f>
        <v>pendingpayment</v>
      </c>
      <c r="B478" s="2" t="str">
        <f>IFERROR(__xludf.DUMMYFUNCTION("""COMPUTED_VALUE"""),"Pending Payment")</f>
        <v>Pending Payment</v>
      </c>
      <c r="C478" s="2">
        <f>IFERROR(__xludf.DUMMYFUNCTION("""COMPUTED_VALUE"""),0.3)</f>
        <v>0.3</v>
      </c>
      <c r="D478" s="2" t="str">
        <f>IFERROR(__xludf.DUMMYFUNCTION("""COMPUTED_VALUE"""),"অপেক্ষারত পেমেন্ট")</f>
        <v>অপেক্ষারত পেমেন্ট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 t="str">
        <f>IFERROR(__xludf.DUMMYFUNCTION("""COMPUTED_VALUE"""),"Date Of Delivery")</f>
        <v>Date Of Delivery</v>
      </c>
      <c r="B479" s="2" t="str">
        <f>IFERROR(__xludf.DUMMYFUNCTION("""COMPUTED_VALUE"""),"Date Of Delivery")</f>
        <v>Date Of Delivery</v>
      </c>
      <c r="C479" s="2">
        <f>IFERROR(__xludf.DUMMYFUNCTION("""COMPUTED_VALUE"""),0.3)</f>
        <v>0.3</v>
      </c>
      <c r="D479" s="2" t="str">
        <f>IFERROR(__xludf.DUMMYFUNCTION("""COMPUTED_VALUE"""),"প্রসবের তারিখ")</f>
        <v>প্রসবের তারিখ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 t="str">
        <f>IFERROR(__xludf.DUMMYFUNCTION("""COMPUTED_VALUE"""),"productAddedSuccessfully")</f>
        <v>productAddedSuccessfully</v>
      </c>
      <c r="B480" s="2" t="str">
        <f>IFERROR(__xludf.DUMMYFUNCTION("""COMPUTED_VALUE"""),"Product Added Successfully")</f>
        <v>Product Added Successfully</v>
      </c>
      <c r="C480" s="2"/>
      <c r="D480" s="2" t="str">
        <f>IFERROR(__xludf.DUMMYFUNCTION("""COMPUTED_VALUE"""),"পণ্য সফলভাবে যুক্ত")</f>
        <v>পণ্য সফলভাবে যুক্ত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 t="str">
        <f>IFERROR(__xludf.DUMMYFUNCTION("""COMPUTED_VALUE"""),"addPhoto")</f>
        <v>addPhoto</v>
      </c>
      <c r="B481" s="2" t="str">
        <f>IFERROR(__xludf.DUMMYFUNCTION("""COMPUTED_VALUE"""),"Add Photo")</f>
        <v>Add Photo</v>
      </c>
      <c r="C481" s="2"/>
      <c r="D481" s="2" t="str">
        <f>IFERROR(__xludf.DUMMYFUNCTION("""COMPUTED_VALUE"""),"ঘফজ")</f>
        <v>ঘফজ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 t="str">
        <f>IFERROR(__xludf.DUMMYFUNCTION("""COMPUTED_VALUE"""),"productListedSuccessfully")</f>
        <v>productListedSuccessfully</v>
      </c>
      <c r="B482" s="2" t="str">
        <f>IFERROR(__xludf.DUMMYFUNCTION("""COMPUTED_VALUE"""),"Product Listed Successfully")</f>
        <v>Product Listed Successfully</v>
      </c>
      <c r="C482" s="2"/>
      <c r="D482" s="2" t="str">
        <f>IFERROR(__xludf.DUMMYFUNCTION("""COMPUTED_VALUE"""),"পণ্য সফলভাবে তালিকাভুক্ত")</f>
        <v>পণ্য সফলভাবে তালিকাভুক্ত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 t="str">
        <f>IFERROR(__xludf.DUMMYFUNCTION("""COMPUTED_VALUE"""),"deletedSuccessfully!")</f>
        <v>deletedSuccessfully!</v>
      </c>
      <c r="B483" s="2" t="str">
        <f>IFERROR(__xludf.DUMMYFUNCTION("""COMPUTED_VALUE"""),"Deleted Successfully!")</f>
        <v>Deleted Successfully!</v>
      </c>
      <c r="C483" s="2">
        <f>IFERROR(__xludf.DUMMYFUNCTION("""COMPUTED_VALUE"""),0.5)</f>
        <v>0.5</v>
      </c>
      <c r="D483" s="2" t="str">
        <f>IFERROR(__xludf.DUMMYFUNCTION("""COMPUTED_VALUE"""),"সফলভাবে মুছে ফেলা!")</f>
        <v>সফলভাবে মুছে ফেলা!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 t="str">
        <f>IFERROR(__xludf.DUMMYFUNCTION("""COMPUTED_VALUE"""),"invalidfullname")</f>
        <v>invalidfullname</v>
      </c>
      <c r="B484" s="2" t="str">
        <f>IFERROR(__xludf.DUMMYFUNCTION("""COMPUTED_VALUE"""),"Invalid Full Name")</f>
        <v>Invalid Full Name</v>
      </c>
      <c r="C484" s="2">
        <f>IFERROR(__xludf.DUMMYFUNCTION("""COMPUTED_VALUE"""),0.4)</f>
        <v>0.4</v>
      </c>
      <c r="D484" s="2" t="str">
        <f>IFERROR(__xludf.DUMMYFUNCTION("""COMPUTED_VALUE"""),"অবৈধ পুরো নাম")</f>
        <v>অবৈধ পুরো নাম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 t="str">
        <f>IFERROR(__xludf.DUMMYFUNCTION("""COMPUTED_VALUE"""),"pendingDetails")</f>
        <v>pendingDetails</v>
      </c>
      <c r="B485" s="2" t="str">
        <f>IFERROR(__xludf.DUMMYFUNCTION("""COMPUTED_VALUE"""),"Pending Details")</f>
        <v>Pending Details</v>
      </c>
      <c r="C485" s="2">
        <f>IFERROR(__xludf.DUMMYFUNCTION("""COMPUTED_VALUE"""),0.2)</f>
        <v>0.2</v>
      </c>
      <c r="D485" s="2" t="str">
        <f>IFERROR(__xludf.DUMMYFUNCTION("""COMPUTED_VALUE"""),"মুলতুবি বিশদ")</f>
        <v>মুলতুবি বিশদ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 t="str">
        <f>IFERROR(__xludf.DUMMYFUNCTION("""COMPUTED_VALUE"""),"yourproductisunderreview")</f>
        <v>yourproductisunderreview</v>
      </c>
      <c r="B486" s="2" t="str">
        <f>IFERROR(__xludf.DUMMYFUNCTION("""COMPUTED_VALUE"""),"Your product is Under Review")</f>
        <v>Your product is Under Review</v>
      </c>
      <c r="C486" s="2">
        <f>IFERROR(__xludf.DUMMYFUNCTION("""COMPUTED_VALUE"""),0.3)</f>
        <v>0.3</v>
      </c>
      <c r="D486" s="2" t="str">
        <f>IFERROR(__xludf.DUMMYFUNCTION("""COMPUTED_VALUE"""),"আপনার পণ্য পর্যালোচনা অধীনে আছে")</f>
        <v>আপনার পণ্য পর্যালোচনা অধীনে আছে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 t="str">
        <f>IFERROR(__xludf.DUMMYFUNCTION("""COMPUTED_VALUE"""),"willupdateyousoon")</f>
        <v>willupdateyousoon</v>
      </c>
      <c r="B487" s="2" t="str">
        <f>IFERROR(__xludf.DUMMYFUNCTION("""COMPUTED_VALUE"""),"Will Update you soon ")</f>
        <v>Will Update you soon </v>
      </c>
      <c r="C487" s="2">
        <f>IFERROR(__xludf.DUMMYFUNCTION("""COMPUTED_VALUE"""),0.3)</f>
        <v>0.3</v>
      </c>
      <c r="D487" s="2" t="str">
        <f>IFERROR(__xludf.DUMMYFUNCTION("""COMPUTED_VALUE"""),"শীঘ্রই আপনাকে আপডেট করবে")</f>
        <v>শীঘ্রই আপনাকে আপডেট করবে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 t="str">
        <f>IFERROR(__xludf.DUMMYFUNCTION("""COMPUTED_VALUE"""),"ok")</f>
        <v>ok</v>
      </c>
      <c r="B488" s="2" t="str">
        <f>IFERROR(__xludf.DUMMYFUNCTION("""COMPUTED_VALUE"""),"Ok")</f>
        <v>Ok</v>
      </c>
      <c r="C488" s="2">
        <f>IFERROR(__xludf.DUMMYFUNCTION("""COMPUTED_VALUE"""),0.3)</f>
        <v>0.3</v>
      </c>
      <c r="D488" s="2" t="str">
        <f>IFERROR(__xludf.DUMMYFUNCTION("""COMPUTED_VALUE"""),"ঠিক আছে")</f>
        <v>ঠিক আছে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 t="str">
        <f>IFERROR(__xludf.DUMMYFUNCTION("""COMPUTED_VALUE"""),"gst18")</f>
        <v>gst18</v>
      </c>
      <c r="B489" s="2" t="str">
        <f>IFERROR(__xludf.DUMMYFUNCTION("""COMPUTED_VALUE"""),"GST (18%)")</f>
        <v>GST (18%)</v>
      </c>
      <c r="C489" s="2">
        <f>IFERROR(__xludf.DUMMYFUNCTION("""COMPUTED_VALUE"""),0.2)</f>
        <v>0.2</v>
      </c>
      <c r="D489" s="2" t="str">
        <f>IFERROR(__xludf.DUMMYFUNCTION("""COMPUTED_VALUE"""),"জিএসটি (18%)")</f>
        <v>জিএসটি (18%)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 t="str">
        <f>IFERROR(__xludf.DUMMYFUNCTION("""COMPUTED_VALUE"""),"pending")</f>
        <v>pending</v>
      </c>
      <c r="B490" s="2" t="str">
        <f>IFERROR(__xludf.DUMMYFUNCTION("""COMPUTED_VALUE"""),"Pending ")</f>
        <v>Pending </v>
      </c>
      <c r="C490" s="2">
        <f>IFERROR(__xludf.DUMMYFUNCTION("""COMPUTED_VALUE"""),0.3)</f>
        <v>0.3</v>
      </c>
      <c r="D490" s="2" t="str">
        <f>IFERROR(__xludf.DUMMYFUNCTION("""COMPUTED_VALUE"""),"বিচারাধীন")</f>
        <v>বিচারাধীন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 t="str">
        <f>IFERROR(__xludf.DUMMYFUNCTION("""COMPUTED_VALUE"""),"selectyourpreference ")</f>
        <v>selectyourpreference </v>
      </c>
      <c r="B491" s="2" t="str">
        <f>IFERROR(__xludf.DUMMYFUNCTION("""COMPUTED_VALUE"""),"Select Your Preference")</f>
        <v>Select Your Preference</v>
      </c>
      <c r="C491" s="2">
        <f>IFERROR(__xludf.DUMMYFUNCTION("""COMPUTED_VALUE"""),0.4)</f>
        <v>0.4</v>
      </c>
      <c r="D491" s="2" t="str">
        <f>IFERROR(__xludf.DUMMYFUNCTION("""COMPUTED_VALUE"""),"আপনার পছন্দ নির্বাচন করুন")</f>
        <v>আপনার পছন্দ নির্বাচন করুন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 t="str">
        <f>IFERROR(__xludf.DUMMYFUNCTION("""COMPUTED_VALUE"""),"pricelist")</f>
        <v>pricelist</v>
      </c>
      <c r="B492" s="2" t="str">
        <f>IFERROR(__xludf.DUMMYFUNCTION("""COMPUTED_VALUE"""),"Price List")</f>
        <v>Price List</v>
      </c>
      <c r="C492" s="2">
        <f>IFERROR(__xludf.DUMMYFUNCTION("""COMPUTED_VALUE"""),0.3)</f>
        <v>0.3</v>
      </c>
      <c r="D492" s="2" t="str">
        <f>IFERROR(__xludf.DUMMYFUNCTION("""COMPUTED_VALUE"""),"মূল্য তালিকা")</f>
        <v>মূল্য তালিকা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 t="str">
        <f>IFERROR(__xludf.DUMMYFUNCTION("""COMPUTED_VALUE"""),"viewall")</f>
        <v>viewall</v>
      </c>
      <c r="B493" s="2" t="str">
        <f>IFERROR(__xludf.DUMMYFUNCTION("""COMPUTED_VALUE"""),"View All")</f>
        <v>View All</v>
      </c>
      <c r="C493" s="2"/>
      <c r="D493" s="2" t="str">
        <f>IFERROR(__xludf.DUMMYFUNCTION("""COMPUTED_VALUE"""),"সব দেখ")</f>
        <v>সব দেখ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 t="str">
        <f>IFERROR(__xludf.DUMMYFUNCTION("""COMPUTED_VALUE"""),"youhavegotthereward")</f>
        <v>youhavegotthereward</v>
      </c>
      <c r="B494" s="2" t="str">
        <f>IFERROR(__xludf.DUMMYFUNCTION("""COMPUTED_VALUE"""),"You have got the Reward")</f>
        <v>You have got the Reward</v>
      </c>
      <c r="C494" s="2">
        <f>IFERROR(__xludf.DUMMYFUNCTION("""COMPUTED_VALUE"""),0.1)</f>
        <v>0.1</v>
      </c>
      <c r="D494" s="2" t="str">
        <f>IFERROR(__xludf.DUMMYFUNCTION("""COMPUTED_VALUE"""),"আপনি পুরষ্কার পেয়েছেন")</f>
        <v>আপনি পুরষ্কার পেয়েছেন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 t="str">
        <f>IFERROR(__xludf.DUMMYFUNCTION("""COMPUTED_VALUE"""),"addDetail")</f>
        <v>addDetail</v>
      </c>
      <c r="B495" s="2" t="str">
        <f>IFERROR(__xludf.DUMMYFUNCTION("""COMPUTED_VALUE"""),"Add Detail")</f>
        <v>Add Detail</v>
      </c>
      <c r="C495" s="2">
        <f>IFERROR(__xludf.DUMMYFUNCTION("""COMPUTED_VALUE"""),0.3)</f>
        <v>0.3</v>
      </c>
      <c r="D495" s="2" t="str">
        <f>IFERROR(__xludf.DUMMYFUNCTION("""COMPUTED_VALUE"""),"বিশদ যুক্ত করুন")</f>
        <v>বিশদ যুক্ত করুন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 t="str">
        <f>IFERROR(__xludf.DUMMYFUNCTION("""COMPUTED_VALUE"""),"Preorderdiscount")</f>
        <v>Preorderdiscount</v>
      </c>
      <c r="B496" s="2" t="str">
        <f>IFERROR(__xludf.DUMMYFUNCTION("""COMPUTED_VALUE"""),"Pre-Order Discount")</f>
        <v>Pre-Order Discount</v>
      </c>
      <c r="C496" s="2">
        <f>IFERROR(__xludf.DUMMYFUNCTION("""COMPUTED_VALUE"""),0.3)</f>
        <v>0.3</v>
      </c>
      <c r="D496" s="2" t="str">
        <f>IFERROR(__xludf.DUMMYFUNCTION("""COMPUTED_VALUE"""),"প্রাক-অর্ডার ছাড়")</f>
        <v>প্রাক-অর্ডার ছাড়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 t="str">
        <f>IFERROR(__xludf.DUMMYFUNCTION("""COMPUTED_VALUE"""),"addmore")</f>
        <v>addmore</v>
      </c>
      <c r="B497" s="2" t="str">
        <f>IFERROR(__xludf.DUMMYFUNCTION("""COMPUTED_VALUE"""),"Add More")</f>
        <v>Add More</v>
      </c>
      <c r="C497" s="2">
        <f>IFERROR(__xludf.DUMMYFUNCTION("""COMPUTED_VALUE"""),0.3)</f>
        <v>0.3</v>
      </c>
      <c r="D497" s="2" t="str">
        <f>IFERROR(__xludf.DUMMYFUNCTION("""COMPUTED_VALUE"""),"আরো যোগ করো")</f>
        <v>আরো যোগ করো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 t="str">
        <f>IFERROR(__xludf.DUMMYFUNCTION("""COMPUTED_VALUE"""),"masalas")</f>
        <v>masalas</v>
      </c>
      <c r="B498" s="2" t="str">
        <f>IFERROR(__xludf.DUMMYFUNCTION("""COMPUTED_VALUE"""),"Masalas")</f>
        <v>Masalas</v>
      </c>
      <c r="C498" s="2">
        <f>IFERROR(__xludf.DUMMYFUNCTION("""COMPUTED_VALUE"""),0.3)</f>
        <v>0.3</v>
      </c>
      <c r="D498" s="2" t="str">
        <f>IFERROR(__xludf.DUMMYFUNCTION("""COMPUTED_VALUE"""),"মশালাস")</f>
        <v>মশালাস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 t="str">
        <f>IFERROR(__xludf.DUMMYFUNCTION("""COMPUTED_VALUE"""),"oil")</f>
        <v>oil</v>
      </c>
      <c r="B499" s="2" t="str">
        <f>IFERROR(__xludf.DUMMYFUNCTION("""COMPUTED_VALUE"""),"Oil")</f>
        <v>Oil</v>
      </c>
      <c r="C499" s="2">
        <f>IFERROR(__xludf.DUMMYFUNCTION("""COMPUTED_VALUE"""),0.3)</f>
        <v>0.3</v>
      </c>
      <c r="D499" s="2" t="str">
        <f>IFERROR(__xludf.DUMMYFUNCTION("""COMPUTED_VALUE"""),"তেল")</f>
        <v>তেল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 t="str">
        <f>IFERROR(__xludf.DUMMYFUNCTION("""COMPUTED_VALUE"""),"staples ")</f>
        <v>staples </v>
      </c>
      <c r="B500" s="2" t="str">
        <f>IFERROR(__xludf.DUMMYFUNCTION("""COMPUTED_VALUE"""),"Staples")</f>
        <v>Staples</v>
      </c>
      <c r="C500" s="2">
        <f>IFERROR(__xludf.DUMMYFUNCTION("""COMPUTED_VALUE"""),0.3)</f>
        <v>0.3</v>
      </c>
      <c r="D500" s="2" t="str">
        <f>IFERROR(__xludf.DUMMYFUNCTION("""COMPUTED_VALUE"""),"স্ট্যাপলস")</f>
        <v>স্ট্যাপলস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 t="str">
        <f>IFERROR(__xludf.DUMMYFUNCTION("""COMPUTED_VALUE"""),"Drinks &amp; Beverages ")</f>
        <v>Drinks &amp; Beverages </v>
      </c>
      <c r="B501" s="2" t="str">
        <f>IFERROR(__xludf.DUMMYFUNCTION("""COMPUTED_VALUE"""),"Drinks &amp; Beverages ")</f>
        <v>Drinks &amp; Beverages </v>
      </c>
      <c r="C501" s="2">
        <f>IFERROR(__xludf.DUMMYFUNCTION("""COMPUTED_VALUE"""),0.3)</f>
        <v>0.3</v>
      </c>
      <c r="D501" s="2" t="str">
        <f>IFERROR(__xludf.DUMMYFUNCTION("""COMPUTED_VALUE"""),"পানীয় এবং পানীয়")</f>
        <v>পানীয় এবং পানীয়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 t="str">
        <f>IFERROR(__xludf.DUMMYFUNCTION("""COMPUTED_VALUE"""),"taptorecordyourcomplain")</f>
        <v>taptorecordyourcomplain</v>
      </c>
      <c r="B502" s="2" t="str">
        <f>IFERROR(__xludf.DUMMYFUNCTION("""COMPUTED_VALUE"""),"Tap to record your complain")</f>
        <v>Tap to record your complain</v>
      </c>
      <c r="C502" s="2">
        <f>IFERROR(__xludf.DUMMYFUNCTION("""COMPUTED_VALUE"""),0.3)</f>
        <v>0.3</v>
      </c>
      <c r="D502" s="2" t="str">
        <f>IFERROR(__xludf.DUMMYFUNCTION("""COMPUTED_VALUE"""),"আপনার অভিযোগ রেকর্ড করতে আলতো চাপুন")</f>
        <v>আপনার অভিযোগ রেকর্ড করতে আলতো চাপুন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 t="str">
        <f>IFERROR(__xludf.DUMMYFUNCTION("""COMPUTED_VALUE"""),"rerecord")</f>
        <v>rerecord</v>
      </c>
      <c r="B503" s="2" t="str">
        <f>IFERROR(__xludf.DUMMYFUNCTION("""COMPUTED_VALUE"""),"Re-record")</f>
        <v>Re-record</v>
      </c>
      <c r="C503" s="2">
        <f>IFERROR(__xludf.DUMMYFUNCTION("""COMPUTED_VALUE"""),0.3)</f>
        <v>0.3</v>
      </c>
      <c r="D503" s="2" t="str">
        <f>IFERROR(__xludf.DUMMYFUNCTION("""COMPUTED_VALUE"""),"পুনরায় রেকর্ড")</f>
        <v>পুনরায় রেকর্ড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 t="str">
        <f>IFERROR(__xludf.DUMMYFUNCTION("""COMPUTED_VALUE"""),"Successful")</f>
        <v>Successful</v>
      </c>
      <c r="B504" s="2" t="str">
        <f>IFERROR(__xludf.DUMMYFUNCTION("""COMPUTED_VALUE"""),"Successful")</f>
        <v>Successful</v>
      </c>
      <c r="C504" s="2">
        <f>IFERROR(__xludf.DUMMYFUNCTION("""COMPUTED_VALUE"""),0.3)</f>
        <v>0.3</v>
      </c>
      <c r="D504" s="2" t="str">
        <f>IFERROR(__xludf.DUMMYFUNCTION("""COMPUTED_VALUE"""),"সফল")</f>
        <v>সফল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 t="str">
        <f>IFERROR(__xludf.DUMMYFUNCTION("""COMPUTED_VALUE"""),"areyousure.youwanttowithdrawcomplaint")</f>
        <v>areyousure.youwanttowithdrawcomplaint</v>
      </c>
      <c r="B505" s="2" t="str">
        <f>IFERROR(__xludf.DUMMYFUNCTION("""COMPUTED_VALUE"""),"Are you sure you want to withdraw complaint?")</f>
        <v>Are you sure you want to withdraw complaint?</v>
      </c>
      <c r="C505" s="2">
        <f>IFERROR(__xludf.DUMMYFUNCTION("""COMPUTED_VALUE"""),0.3)</f>
        <v>0.3</v>
      </c>
      <c r="D505" s="2" t="str">
        <f>IFERROR(__xludf.DUMMYFUNCTION("""COMPUTED_VALUE"""),"আপনি কি অভিযোগ প্রত্যাহার করতে চান?")</f>
        <v>আপনি কি অভিযোগ প্রত্যাহার করতে চান?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 t="str">
        <f>IFERROR(__xludf.DUMMYFUNCTION("""COMPUTED_VALUE"""),"Status")</f>
        <v>Status</v>
      </c>
      <c r="B506" s="2" t="str">
        <f>IFERROR(__xludf.DUMMYFUNCTION("""COMPUTED_VALUE"""),"Status ")</f>
        <v>Status </v>
      </c>
      <c r="C506" s="2">
        <f>IFERROR(__xludf.DUMMYFUNCTION("""COMPUTED_VALUE"""),0.3)</f>
        <v>0.3</v>
      </c>
      <c r="D506" s="2" t="str">
        <f>IFERROR(__xludf.DUMMYFUNCTION("""COMPUTED_VALUE"""),"স্থিতি")</f>
        <v>স্থিতি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 t="str">
        <f>IFERROR(__xludf.DUMMYFUNCTION("""COMPUTED_VALUE"""),"reopen")</f>
        <v>reopen</v>
      </c>
      <c r="B507" s="2" t="str">
        <f>IFERROR(__xludf.DUMMYFUNCTION("""COMPUTED_VALUE"""),"Reopen")</f>
        <v>Reopen</v>
      </c>
      <c r="C507" s="2">
        <f>IFERROR(__xludf.DUMMYFUNCTION("""COMPUTED_VALUE"""),0.3)</f>
        <v>0.3</v>
      </c>
      <c r="D507" s="2" t="str">
        <f>IFERROR(__xludf.DUMMYFUNCTION("""COMPUTED_VALUE"""),"পুনরায় খুলুন")</f>
        <v>পুনরায় খুলুন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 t="str">
        <f>IFERROR(__xludf.DUMMYFUNCTION("""COMPUTED_VALUE"""),"otpsenttoregisteredmobilenumber")</f>
        <v>otpsenttoregisteredmobilenumber</v>
      </c>
      <c r="B508" s="2" t="str">
        <f>IFERROR(__xludf.DUMMYFUNCTION("""COMPUTED_VALUE"""),"OTP sent to registered mobile number")</f>
        <v>OTP sent to registered mobile number</v>
      </c>
      <c r="C508" s="2">
        <f>IFERROR(__xludf.DUMMYFUNCTION("""COMPUTED_VALUE"""),0.3)</f>
        <v>0.3</v>
      </c>
      <c r="D508" s="2" t="str">
        <f>IFERROR(__xludf.DUMMYFUNCTION("""COMPUTED_VALUE"""),"ওটিপি নিবন্ধিত মোবাইল নম্বর পাঠিয়েছে")</f>
        <v>ওটিপি নিবন্ধিত মোবাইল নম্বর পাঠিয়েছে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 t="str">
        <f>IFERROR(__xludf.DUMMYFUNCTION("""COMPUTED_VALUE"""),"doyouhaveGSTINnumber?")</f>
        <v>doyouhaveGSTINnumber?</v>
      </c>
      <c r="B509" s="2" t="str">
        <f>IFERROR(__xludf.DUMMYFUNCTION("""COMPUTED_VALUE"""),"Do You Have GSTIN Number?")</f>
        <v>Do You Have GSTIN Number?</v>
      </c>
      <c r="C509" s="2">
        <f>IFERROR(__xludf.DUMMYFUNCTION("""COMPUTED_VALUE"""),0.1)</f>
        <v>0.1</v>
      </c>
      <c r="D509" s="2" t="str">
        <f>IFERROR(__xludf.DUMMYFUNCTION("""COMPUTED_VALUE"""),"আপনার কি জিএসটিন নম্বর আছে?")</f>
        <v>আপনার কি জিএসটিন নম্বর আছে?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 t="str">
        <f>IFERROR(__xludf.DUMMYFUNCTION("""COMPUTED_VALUE"""),"PickedUp")</f>
        <v>PickedUp</v>
      </c>
      <c r="B510" s="2" t="str">
        <f>IFERROR(__xludf.DUMMYFUNCTION("""COMPUTED_VALUE"""),"Picked Up")</f>
        <v>Picked Up</v>
      </c>
      <c r="C510" s="2">
        <f>IFERROR(__xludf.DUMMYFUNCTION("""COMPUTED_VALUE"""),0.3)</f>
        <v>0.3</v>
      </c>
      <c r="D510" s="2" t="str">
        <f>IFERROR(__xludf.DUMMYFUNCTION("""COMPUTED_VALUE"""),"বাছাই")</f>
        <v>বাছাই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 t="str">
        <f>IFERROR(__xludf.DUMMYFUNCTION("""COMPUTED_VALUE"""),"mini.PricePerOrder")</f>
        <v>mini.PricePerOrder</v>
      </c>
      <c r="B511" s="2" t="str">
        <f>IFERROR(__xludf.DUMMYFUNCTION("""COMPUTED_VALUE"""),"Mini. price per order")</f>
        <v>Mini. price per order</v>
      </c>
      <c r="C511" s="2">
        <f>IFERROR(__xludf.DUMMYFUNCTION("""COMPUTED_VALUE"""),0.3)</f>
        <v>0.3</v>
      </c>
      <c r="D511" s="2" t="str">
        <f>IFERROR(__xludf.DUMMYFUNCTION("""COMPUTED_VALUE"""),"মিনি অর্ডার প্রতি মূল্য")</f>
        <v>মিনি অর্ডার প্রতি মূল্য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 t="str">
        <f>IFERROR(__xludf.DUMMYFUNCTION("""COMPUTED_VALUE"""),"passbookphotoisrequired")</f>
        <v>passbookphotoisrequired</v>
      </c>
      <c r="B512" s="2" t="str">
        <f>IFERROR(__xludf.DUMMYFUNCTION("""COMPUTED_VALUE"""),"Passbook Photo is required.")</f>
        <v>Passbook Photo is required.</v>
      </c>
      <c r="C512" s="2">
        <f>IFERROR(__xludf.DUMMYFUNCTION("""COMPUTED_VALUE"""),0.2)</f>
        <v>0.2</v>
      </c>
      <c r="D512" s="2" t="str">
        <f>IFERROR(__xludf.DUMMYFUNCTION("""COMPUTED_VALUE"""),"পাসবুক ফটো প্রয়োজন।")</f>
        <v>পাসবুক ফটো প্রয়োজন।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 t="str">
        <f>IFERROR(__xludf.DUMMYFUNCTION("""COMPUTED_VALUE"""),"beneficiarynameisrequired")</f>
        <v>beneficiarynameisrequired</v>
      </c>
      <c r="B513" s="2" t="str">
        <f>IFERROR(__xludf.DUMMYFUNCTION("""COMPUTED_VALUE"""),"Beneficiary Name is required.")</f>
        <v>Beneficiary Name is required.</v>
      </c>
      <c r="C513" s="2">
        <f>IFERROR(__xludf.DUMMYFUNCTION("""COMPUTED_VALUE"""),0.2)</f>
        <v>0.2</v>
      </c>
      <c r="D513" s="2" t="str">
        <f>IFERROR(__xludf.DUMMYFUNCTION("""COMPUTED_VALUE"""),"সুবিধাভোগীর নাম প্রয়োজন।")</f>
        <v>সুবিধাভোগীর নাম প্রয়োজন।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 t="str">
        <f>IFERROR(__xludf.DUMMYFUNCTION("""COMPUTED_VALUE"""),"banknameisrequired")</f>
        <v>banknameisrequired</v>
      </c>
      <c r="B514" s="2" t="str">
        <f>IFERROR(__xludf.DUMMYFUNCTION("""COMPUTED_VALUE"""),"Bank Name is required.")</f>
        <v>Bank Name is required.</v>
      </c>
      <c r="C514" s="2">
        <f>IFERROR(__xludf.DUMMYFUNCTION("""COMPUTED_VALUE"""),0.2)</f>
        <v>0.2</v>
      </c>
      <c r="D514" s="2" t="str">
        <f>IFERROR(__xludf.DUMMYFUNCTION("""COMPUTED_VALUE"""),"ব্যাঙ্কের নাম প্রয়োজন।")</f>
        <v>ব্যাঙ্কের নাম প্রয়োজন।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 t="str">
        <f>IFERROR(__xludf.DUMMYFUNCTION("""COMPUTED_VALUE"""),"accountnumberisrequired")</f>
        <v>accountnumberisrequired</v>
      </c>
      <c r="B515" s="2" t="str">
        <f>IFERROR(__xludf.DUMMYFUNCTION("""COMPUTED_VALUE"""),"Account Number is required.")</f>
        <v>Account Number is required.</v>
      </c>
      <c r="C515" s="2">
        <f>IFERROR(__xludf.DUMMYFUNCTION("""COMPUTED_VALUE"""),0.2)</f>
        <v>0.2</v>
      </c>
      <c r="D515" s="2" t="str">
        <f>IFERROR(__xludf.DUMMYFUNCTION("""COMPUTED_VALUE"""),"অ্যাকাউন্ট নম্বর প্রয়োজন।")</f>
        <v>অ্যাকাউন্ট নম্বর প্রয়োজন।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 t="str">
        <f>IFERROR(__xludf.DUMMYFUNCTION("""COMPUTED_VALUE"""),"re-enteraccountnumberisrequired")</f>
        <v>re-enteraccountnumberisrequired</v>
      </c>
      <c r="B516" s="2" t="str">
        <f>IFERROR(__xludf.DUMMYFUNCTION("""COMPUTED_VALUE"""),"Re-enter Account Number is required.")</f>
        <v>Re-enter Account Number is required.</v>
      </c>
      <c r="C516" s="2">
        <f>IFERROR(__xludf.DUMMYFUNCTION("""COMPUTED_VALUE"""),0.2)</f>
        <v>0.2</v>
      </c>
      <c r="D516" s="2" t="str">
        <f>IFERROR(__xludf.DUMMYFUNCTION("""COMPUTED_VALUE"""),"পুনরায় প্রবেশের অ্যাকাউন্ট নম্বর প্রয়োজন।")</f>
        <v>পুনরায় প্রবেশের অ্যাকাউন্ট নম্বর প্রয়োজন।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 t="str">
        <f>IFERROR(__xludf.DUMMYFUNCTION("""COMPUTED_VALUE"""),"accountnumberandre-accountnumberfieldsshouldmatch")</f>
        <v>accountnumberandre-accountnumberfieldsshouldmatch</v>
      </c>
      <c r="B517" s="2" t="str">
        <f>IFERROR(__xludf.DUMMYFUNCTION("""COMPUTED_VALUE"""),"Account number and Re-account number fields should match")</f>
        <v>Account number and Re-account number fields should match</v>
      </c>
      <c r="C517" s="2">
        <f>IFERROR(__xludf.DUMMYFUNCTION("""COMPUTED_VALUE"""),0.2)</f>
        <v>0.2</v>
      </c>
      <c r="D517" s="2" t="str">
        <f>IFERROR(__xludf.DUMMYFUNCTION("""COMPUTED_VALUE"""),"অ্যাকাউন্ট নম্বর এবং পুনরায় অ্যাকাউন্ট নম্বর ক্ষেত্রগুলি মেলে")</f>
        <v>অ্যাকাউন্ট নম্বর এবং পুনরায় অ্যাকাউন্ট নম্বর ক্ষেত্রগুলি মেলে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 t="str">
        <f>IFERROR(__xludf.DUMMYFUNCTION("""COMPUTED_VALUE"""),"selectimagesource")</f>
        <v>selectimagesource</v>
      </c>
      <c r="B518" s="2" t="str">
        <f>IFERROR(__xludf.DUMMYFUNCTION("""COMPUTED_VALUE"""),"Select Image Source")</f>
        <v>Select Image Source</v>
      </c>
      <c r="C518" s="2">
        <f>IFERROR(__xludf.DUMMYFUNCTION("""COMPUTED_VALUE"""),0.2)</f>
        <v>0.2</v>
      </c>
      <c r="D518" s="2" t="str">
        <f>IFERROR(__xludf.DUMMYFUNCTION("""COMPUTED_VALUE"""),"চিত্র উত্স নির্বাচন করুন")</f>
        <v>চিত্র উত্স নির্বাচন করুন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 t="str">
        <f>IFERROR(__xludf.DUMMYFUNCTION("""COMPUTED_VALUE"""),"loadfromgallery")</f>
        <v>loadfromgallery</v>
      </c>
      <c r="B519" s="2" t="str">
        <f>IFERROR(__xludf.DUMMYFUNCTION("""COMPUTED_VALUE"""),"Load From Gallery")</f>
        <v>Load From Gallery</v>
      </c>
      <c r="C519" s="2">
        <f>IFERROR(__xludf.DUMMYFUNCTION("""COMPUTED_VALUE"""),0.2)</f>
        <v>0.2</v>
      </c>
      <c r="D519" s="2" t="str">
        <f>IFERROR(__xludf.DUMMYFUNCTION("""COMPUTED_VALUE"""),"গ্যালারী থেকে লোড")</f>
        <v>গ্যালারী থেকে লোড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 t="str">
        <f>IFERROR(__xludf.DUMMYFUNCTION("""COMPUTED_VALUE"""),"usecamera")</f>
        <v>usecamera</v>
      </c>
      <c r="B520" s="2" t="str">
        <f>IFERROR(__xludf.DUMMYFUNCTION("""COMPUTED_VALUE"""),"Use Camera")</f>
        <v>Use Camera</v>
      </c>
      <c r="C520" s="2">
        <f>IFERROR(__xludf.DUMMYFUNCTION("""COMPUTED_VALUE"""),0.2)</f>
        <v>0.2</v>
      </c>
      <c r="D520" s="2" t="str">
        <f>IFERROR(__xludf.DUMMYFUNCTION("""COMPUTED_VALUE"""),"ক্যামেরা ব্যবহার করুন")</f>
        <v>ক্যামেরা ব্যবহার করুন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 t="str">
        <f>IFERROR(__xludf.DUMMYFUNCTION("""COMPUTED_VALUE"""),"ItemwillBeRemovedFromtheCart")</f>
        <v>ItemwillBeRemovedFromtheCart</v>
      </c>
      <c r="B521" s="2" t="str">
        <f>IFERROR(__xludf.DUMMYFUNCTION("""COMPUTED_VALUE"""),"Item will Be Removed From the Cart")</f>
        <v>Item will Be Removed From the Cart</v>
      </c>
      <c r="C521" s="2">
        <f>IFERROR(__xludf.DUMMYFUNCTION("""COMPUTED_VALUE"""),0.3)</f>
        <v>0.3</v>
      </c>
      <c r="D521" s="2" t="str">
        <f>IFERROR(__xludf.DUMMYFUNCTION("""COMPUTED_VALUE"""),"আইটেমটি কার্ট থেকে সরানো হবে")</f>
        <v>আইটেমটি কার্ট থেকে সরানো হবে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 t="str">
        <f>IFERROR(__xludf.DUMMYFUNCTION("""COMPUTED_VALUE"""),"rewards")</f>
        <v>rewards</v>
      </c>
      <c r="B522" s="2" t="str">
        <f>IFERROR(__xludf.DUMMYFUNCTION("""COMPUTED_VALUE"""),"Rewards")</f>
        <v>Rewards</v>
      </c>
      <c r="C522" s="2">
        <f>IFERROR(__xludf.DUMMYFUNCTION("""COMPUTED_VALUE"""),0.2)</f>
        <v>0.2</v>
      </c>
      <c r="D522" s="2" t="str">
        <f>IFERROR(__xludf.DUMMYFUNCTION("""COMPUTED_VALUE"""),"পুরস্কার")</f>
        <v>পুরস্কার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 t="str">
        <f>IFERROR(__xludf.DUMMYFUNCTION("""COMPUTED_VALUE"""),"tropicalfruit7")</f>
        <v>tropicalfruit7</v>
      </c>
      <c r="B523" s="2" t="str">
        <f>IFERROR(__xludf.DUMMYFUNCTION("""COMPUTED_VALUE"""),"Tropical Fruit (7)")</f>
        <v>Tropical Fruit (7)</v>
      </c>
      <c r="C523" s="2">
        <f>IFERROR(__xludf.DUMMYFUNCTION("""COMPUTED_VALUE"""),0.3)</f>
        <v>0.3</v>
      </c>
      <c r="D523" s="2" t="str">
        <f>IFERROR(__xludf.DUMMYFUNCTION("""COMPUTED_VALUE"""),"গ্রীষ্মমন্ডলীয় ফল (7)")</f>
        <v>গ্রীষ্মমন্ডলীয় ফল (7)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 t="str">
        <f>IFERROR(__xludf.DUMMYFUNCTION("""COMPUTED_VALUE"""),"deliverySlot")</f>
        <v>deliverySlot</v>
      </c>
      <c r="B524" s="2" t="str">
        <f>IFERROR(__xludf.DUMMYFUNCTION("""COMPUTED_VALUE"""),"Delivery Slot")</f>
        <v>Delivery Slot</v>
      </c>
      <c r="C524" s="2" t="str">
        <f>IFERROR(__xludf.DUMMYFUNCTION("""COMPUTED_VALUE"""),"0.4.1")</f>
        <v>0.4.1</v>
      </c>
      <c r="D524" s="2" t="str">
        <f>IFERROR(__xludf.DUMMYFUNCTION("""COMPUTED_VALUE"""),"বিতরণ স্লট")</f>
        <v>বিতরণ স্লট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 t="str">
        <f>IFERROR(__xludf.DUMMYFUNCTION("""COMPUTED_VALUE"""),"tropicalfruit")</f>
        <v>tropicalfruit</v>
      </c>
      <c r="B525" s="2" t="str">
        <f>IFERROR(__xludf.DUMMYFUNCTION("""COMPUTED_VALUE"""),"Tropical Fruit")</f>
        <v>Tropical Fruit</v>
      </c>
      <c r="C525" s="2">
        <f>IFERROR(__xludf.DUMMYFUNCTION("""COMPUTED_VALUE"""),0.3)</f>
        <v>0.3</v>
      </c>
      <c r="D525" s="2" t="str">
        <f>IFERROR(__xludf.DUMMYFUNCTION("""COMPUTED_VALUE"""),"গ্রীষ্মমন্ডলীয় ফল")</f>
        <v>গ্রীষ্মমন্ডলীয় ফল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 t="str">
        <f>IFERROR(__xludf.DUMMYFUNCTION("""COMPUTED_VALUE"""),"viewedit")</f>
        <v>viewedit</v>
      </c>
      <c r="B526" s="2" t="str">
        <f>IFERROR(__xludf.DUMMYFUNCTION("""COMPUTED_VALUE"""),"View/Edit")</f>
        <v>View/Edit</v>
      </c>
      <c r="C526" s="2">
        <f>IFERROR(__xludf.DUMMYFUNCTION("""COMPUTED_VALUE"""),0.3)</f>
        <v>0.3</v>
      </c>
      <c r="D526" s="2" t="str">
        <f>IFERROR(__xludf.DUMMYFUNCTION("""COMPUTED_VALUE"""),"দেখুন/সম্পাদনা করুন")</f>
        <v>দেখুন/সম্পাদনা করুন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 t="str">
        <f>IFERROR(__xludf.DUMMYFUNCTION("""COMPUTED_VALUE"""),"Km")</f>
        <v>Km</v>
      </c>
      <c r="B527" s="2" t="str">
        <f>IFERROR(__xludf.DUMMYFUNCTION("""COMPUTED_VALUE"""),"Km")</f>
        <v>Km</v>
      </c>
      <c r="C527" s="2">
        <f>IFERROR(__xludf.DUMMYFUNCTION("""COMPUTED_VALUE"""),0.3)</f>
        <v>0.3</v>
      </c>
      <c r="D527" s="2" t="str">
        <f>IFERROR(__xludf.DUMMYFUNCTION("""COMPUTED_VALUE"""),"কিমি")</f>
        <v>কিমি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 t="str">
        <f>IFERROR(__xludf.DUMMYFUNCTION("""COMPUTED_VALUE"""),"totalrewardsearned")</f>
        <v>totalrewardsearned</v>
      </c>
      <c r="B528" s="2" t="str">
        <f>IFERROR(__xludf.DUMMYFUNCTION("""COMPUTED_VALUE"""),"Total Rewards Earned")</f>
        <v>Total Rewards Earned</v>
      </c>
      <c r="C528" s="2">
        <f>IFERROR(__xludf.DUMMYFUNCTION("""COMPUTED_VALUE"""),0.4)</f>
        <v>0.4</v>
      </c>
      <c r="D528" s="2" t="str">
        <f>IFERROR(__xludf.DUMMYFUNCTION("""COMPUTED_VALUE"""),"মোট পুরষ্কার অর্জন")</f>
        <v>মোট পুরষ্কার অর্জন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 t="str">
        <f>IFERROR(__xludf.DUMMYFUNCTION("""COMPUTED_VALUE"""),"useGps")</f>
        <v>useGps</v>
      </c>
      <c r="B529" s="2" t="str">
        <f>IFERROR(__xludf.DUMMYFUNCTION("""COMPUTED_VALUE"""),"use gps")</f>
        <v>use gps</v>
      </c>
      <c r="C529" s="2">
        <f>IFERROR(__xludf.DUMMYFUNCTION("""COMPUTED_VALUE"""),0.4)</f>
        <v>0.4</v>
      </c>
      <c r="D529" s="2" t="str">
        <f>IFERROR(__xludf.DUMMYFUNCTION("""COMPUTED_VALUE"""),"জিপিএস ব্যবহার করুন")</f>
        <v>জিপিএস ব্যবহার করুন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 t="str">
        <f>IFERROR(__xludf.DUMMYFUNCTION("""COMPUTED_VALUE"""),"onOrdersMore")</f>
        <v>onOrdersMore</v>
      </c>
      <c r="B530" s="2" t="str">
        <f>IFERROR(__xludf.DUMMYFUNCTION("""COMPUTED_VALUE"""),"on Orders more")</f>
        <v>on Orders more</v>
      </c>
      <c r="C530" s="2"/>
      <c r="D530" s="2" t="str">
        <f>IFERROR(__xludf.DUMMYFUNCTION("""COMPUTED_VALUE"""),"আরও অর্ডার উপর")</f>
        <v>আরও অর্ডার উপর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 t="str">
        <f>IFERROR(__xludf.DUMMYFUNCTION("""COMPUTED_VALUE"""),"than")</f>
        <v>than</v>
      </c>
      <c r="B531" s="2" t="str">
        <f>IFERROR(__xludf.DUMMYFUNCTION("""COMPUTED_VALUE"""),"than")</f>
        <v>than</v>
      </c>
      <c r="C531" s="2"/>
      <c r="D531" s="2" t="str">
        <f>IFERROR(__xludf.DUMMYFUNCTION("""COMPUTED_VALUE"""),"এর চেয়েও")</f>
        <v>এর চেয়েও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 t="str">
        <f>IFERROR(__xludf.DUMMYFUNCTION("""COMPUTED_VALUE"""),"enableFreeShipping")</f>
        <v>enableFreeShipping</v>
      </c>
      <c r="B532" s="2" t="str">
        <f>IFERROR(__xludf.DUMMYFUNCTION("""COMPUTED_VALUE"""),"Enable free Shipping")</f>
        <v>Enable free Shipping</v>
      </c>
      <c r="C532" s="2"/>
      <c r="D532" s="2" t="str">
        <f>IFERROR(__xludf.DUMMYFUNCTION("""COMPUTED_VALUE"""),"বিনামূল্যে শিপিং সক্ষম করুন")</f>
        <v>বিনামূল্যে শিপিং সক্ষম করুন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 t="str">
        <f>IFERROR(__xludf.DUMMYFUNCTION("""COMPUTED_VALUE"""),"OTPResentSuccessful")</f>
        <v>OTPResentSuccessful</v>
      </c>
      <c r="B533" s="2" t="str">
        <f>IFERROR(__xludf.DUMMYFUNCTION("""COMPUTED_VALUE"""),"OTP Resent Successful")</f>
        <v>OTP Resent Successful</v>
      </c>
      <c r="C533" s="2">
        <f>IFERROR(__xludf.DUMMYFUNCTION("""COMPUTED_VALUE"""),0.3)</f>
        <v>0.3</v>
      </c>
      <c r="D533" s="2" t="str">
        <f>IFERROR(__xludf.DUMMYFUNCTION("""COMPUTED_VALUE"""),"ওটিপি সফল বিরক্তি")</f>
        <v>ওটিপি সফল বিরক্তি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 t="str">
        <f>IFERROR(__xludf.DUMMYFUNCTION("""COMPUTED_VALUE"""),"didyourecivethepayment")</f>
        <v>didyourecivethepayment</v>
      </c>
      <c r="B534" s="2" t="str">
        <f>IFERROR(__xludf.DUMMYFUNCTION("""COMPUTED_VALUE"""),"did you receive the payment")</f>
        <v>did you receive the payment</v>
      </c>
      <c r="C534" s="2"/>
      <c r="D534" s="2" t="str">
        <f>IFERROR(__xludf.DUMMYFUNCTION("""COMPUTED_VALUE"""),"আপনি কি পেমেন্ট পেয়েছেন?")</f>
        <v>আপনি কি পেমেন্ট পেয়েছেন?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 t="str">
        <f>IFERROR(__xludf.DUMMYFUNCTION("""COMPUTED_VALUE"""),"InvoiceNumberGSTINNumber ")</f>
        <v>InvoiceNumberGSTINNumber </v>
      </c>
      <c r="B535" s="2" t="str">
        <f>IFERROR(__xludf.DUMMYFUNCTION("""COMPUTED_VALUE"""),"Invoice Number GSTIN Number")</f>
        <v>Invoice Number GSTIN Number</v>
      </c>
      <c r="C535" s="2">
        <f>IFERROR(__xludf.DUMMYFUNCTION("""COMPUTED_VALUE"""),0.3)</f>
        <v>0.3</v>
      </c>
      <c r="D535" s="2" t="str">
        <f>IFERROR(__xludf.DUMMYFUNCTION("""COMPUTED_VALUE"""),"চালান নম্বর জিএসটিন নম্বর")</f>
        <v>চালান নম্বর জিএসটিন নম্বর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 t="str">
        <f>IFERROR(__xludf.DUMMYFUNCTION("""COMPUTED_VALUE"""),"enterMobilenumber")</f>
        <v>enterMobilenumber</v>
      </c>
      <c r="B536" s="2" t="str">
        <f>IFERROR(__xludf.DUMMYFUNCTION("""COMPUTED_VALUE"""),"Enter Mobile Number")</f>
        <v>Enter Mobile Number</v>
      </c>
      <c r="C536" s="2">
        <f>IFERROR(__xludf.DUMMYFUNCTION("""COMPUTED_VALUE"""),0.1)</f>
        <v>0.1</v>
      </c>
      <c r="D536" s="2" t="str">
        <f>IFERROR(__xludf.DUMMYFUNCTION("""COMPUTED_VALUE"""),"মোবাইল নম্বর লিখুন")</f>
        <v>মোবাইল নম্বর লিখুন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 t="str">
        <f>IFERROR(__xludf.DUMMYFUNCTION("""COMPUTED_VALUE"""),"numberFor")</f>
        <v>numberFor</v>
      </c>
      <c r="B537" s="2" t="str">
        <f>IFERROR(__xludf.DUMMYFUNCTION("""COMPUTED_VALUE"""),"Number for")</f>
        <v>Number for</v>
      </c>
      <c r="C537" s="2"/>
      <c r="D537" s="2" t="str">
        <f>IFERROR(__xludf.DUMMYFUNCTION("""COMPUTED_VALUE"""),"জন্য নম্বর")</f>
        <v>জন্য নম্বর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 t="str">
        <f>IFERROR(__xludf.DUMMYFUNCTION("""COMPUTED_VALUE"""),"otpVerification")</f>
        <v>otpVerification</v>
      </c>
      <c r="B538" s="2" t="str">
        <f>IFERROR(__xludf.DUMMYFUNCTION("""COMPUTED_VALUE"""),"OTP Verification")</f>
        <v>OTP Verification</v>
      </c>
      <c r="C538" s="2"/>
      <c r="D538" s="2" t="str">
        <f>IFERROR(__xludf.DUMMYFUNCTION("""COMPUTED_VALUE"""),"ওটিপি যাচাইকরণ")</f>
        <v>ওটিপি যাচাইকরণ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 t="str">
        <f>IFERROR(__xludf.DUMMYFUNCTION("""COMPUTED_VALUE"""),"terms&amp;Conditions")</f>
        <v>terms&amp;Conditions</v>
      </c>
      <c r="B539" s="2" t="str">
        <f>IFERROR(__xludf.DUMMYFUNCTION("""COMPUTED_VALUE"""),"Terms &amp; Conditions")</f>
        <v>Terms &amp; Conditions</v>
      </c>
      <c r="C539" s="2">
        <f>IFERROR(__xludf.DUMMYFUNCTION("""COMPUTED_VALUE"""),0.2)</f>
        <v>0.2</v>
      </c>
      <c r="D539" s="2" t="str">
        <f>IFERROR(__xludf.DUMMYFUNCTION("""COMPUTED_VALUE"""),"শর্তাবলী")</f>
        <v>শর্তাবলী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 t="str">
        <f>IFERROR(__xludf.DUMMYFUNCTION("""COMPUTED_VALUE"""),"andPrivacyPolicy")</f>
        <v>andPrivacyPolicy</v>
      </c>
      <c r="B540" s="2" t="str">
        <f>IFERROR(__xludf.DUMMYFUNCTION("""COMPUTED_VALUE"""),"and Privacy Policy")</f>
        <v>and Privacy Policy</v>
      </c>
      <c r="C540" s="2"/>
      <c r="D540" s="2" t="str">
        <f>IFERROR(__xludf.DUMMYFUNCTION("""COMPUTED_VALUE"""),"এবং গোপনীয়তা নীতি")</f>
        <v>এবং গোপনীয়তা নীতি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 t="str">
        <f>IFERROR(__xludf.DUMMYFUNCTION("""COMPUTED_VALUE"""),"pleaseEnterThe")</f>
        <v>pleaseEnterThe</v>
      </c>
      <c r="B541" s="2" t="str">
        <f>IFERROR(__xludf.DUMMYFUNCTION("""COMPUTED_VALUE"""),"Please enter the")</f>
        <v>Please enter the</v>
      </c>
      <c r="C541" s="2">
        <f>IFERROR(__xludf.DUMMYFUNCTION("""COMPUTED_VALUE"""),0.1)</f>
        <v>0.1</v>
      </c>
      <c r="D541" s="2" t="str">
        <f>IFERROR(__xludf.DUMMYFUNCTION("""COMPUTED_VALUE"""),"দয়া করে প্রবেশ করুন")</f>
        <v>দয়া করে প্রবেশ করুন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 t="str">
        <f>IFERROR(__xludf.DUMMYFUNCTION("""COMPUTED_VALUE"""),"ReadyForPickup")</f>
        <v>ReadyForPickup</v>
      </c>
      <c r="B542" s="2" t="str">
        <f>IFERROR(__xludf.DUMMYFUNCTION("""COMPUTED_VALUE"""),"Ready For Pickup")</f>
        <v>Ready For Pickup</v>
      </c>
      <c r="C542" s="2">
        <f>IFERROR(__xludf.DUMMYFUNCTION("""COMPUTED_VALUE"""),0.3)</f>
        <v>0.3</v>
      </c>
      <c r="D542" s="2" t="str">
        <f>IFERROR(__xludf.DUMMYFUNCTION("""COMPUTED_VALUE"""),"উঠানোর জন্য প্রস্তুত")</f>
        <v>উঠানোর জন্য প্রস্তুত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 t="str">
        <f>IFERROR(__xludf.DUMMYFUNCTION("""COMPUTED_VALUE"""),"otpsentto")</f>
        <v>otpsentto</v>
      </c>
      <c r="B543" s="2" t="str">
        <f>IFERROR(__xludf.DUMMYFUNCTION("""COMPUTED_VALUE"""),"OTP Sent to")</f>
        <v>OTP Sent to</v>
      </c>
      <c r="C543" s="2">
        <f>IFERROR(__xludf.DUMMYFUNCTION("""COMPUTED_VALUE"""),0.1)</f>
        <v>0.1</v>
      </c>
      <c r="D543" s="2" t="str">
        <f>IFERROR(__xludf.DUMMYFUNCTION("""COMPUTED_VALUE"""),"ওটিপি প্রেরণ")</f>
        <v>ওটিপি প্রেরণ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 t="str">
        <f>IFERROR(__xludf.DUMMYFUNCTION("""COMPUTED_VALUE"""),"didntreceivetheotp?")</f>
        <v>didntreceivetheotp?</v>
      </c>
      <c r="B544" s="2" t="str">
        <f>IFERROR(__xludf.DUMMYFUNCTION("""COMPUTED_VALUE"""),"Didnt receive the OTP?")</f>
        <v>Didnt receive the OTP?</v>
      </c>
      <c r="C544" s="2">
        <f>IFERROR(__xludf.DUMMYFUNCTION("""COMPUTED_VALUE"""),0.1)</f>
        <v>0.1</v>
      </c>
      <c r="D544" s="2" t="str">
        <f>IFERROR(__xludf.DUMMYFUNCTION("""COMPUTED_VALUE"""),"ওটিপি পাননি?")</f>
        <v>ওটিপি পাননি?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 t="str">
        <f>IFERROR(__xludf.DUMMYFUNCTION("""COMPUTED_VALUE"""),"currentaddress")</f>
        <v>currentaddress</v>
      </c>
      <c r="B545" s="2" t="str">
        <f>IFERROR(__xludf.DUMMYFUNCTION("""COMPUTED_VALUE"""),"Current Address")</f>
        <v>Current Address</v>
      </c>
      <c r="C545" s="2"/>
      <c r="D545" s="2" t="str">
        <f>IFERROR(__xludf.DUMMYFUNCTION("""COMPUTED_VALUE"""),"বর্তমান ঠিকানা")</f>
        <v>বর্তমান ঠিকানা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 t="str">
        <f>IFERROR(__xludf.DUMMYFUNCTION("""COMPUTED_VALUE"""),"yourShop")</f>
        <v>yourShop</v>
      </c>
      <c r="B546" s="2" t="str">
        <f>IFERROR(__xludf.DUMMYFUNCTION("""COMPUTED_VALUE"""),"Your Shop")</f>
        <v>Your Shop</v>
      </c>
      <c r="C546" s="2"/>
      <c r="D546" s="2" t="str">
        <f>IFERROR(__xludf.DUMMYFUNCTION("""COMPUTED_VALUE"""),"আপনার দোকান")</f>
        <v>আপনার দোকান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 t="str">
        <f>IFERROR(__xludf.DUMMYFUNCTION("""COMPUTED_VALUE"""),"workingHours")</f>
        <v>workingHours</v>
      </c>
      <c r="B547" s="2" t="str">
        <f>IFERROR(__xludf.DUMMYFUNCTION("""COMPUTED_VALUE"""),"Working hours")</f>
        <v>Working hours</v>
      </c>
      <c r="C547" s="2">
        <f>IFERROR(__xludf.DUMMYFUNCTION("""COMPUTED_VALUE"""),0.4)</f>
        <v>0.4</v>
      </c>
      <c r="D547" s="2" t="str">
        <f>IFERROR(__xludf.DUMMYFUNCTION("""COMPUTED_VALUE"""),"কর্মঘন্টা")</f>
        <v>কর্মঘন্টা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 t="str">
        <f>IFERROR(__xludf.DUMMYFUNCTION("""COMPUTED_VALUE"""),"nameAsPerPancard")</f>
        <v>nameAsPerPancard</v>
      </c>
      <c r="B548" s="2" t="str">
        <f>IFERROR(__xludf.DUMMYFUNCTION("""COMPUTED_VALUE"""),"Name as per PAN card")</f>
        <v>Name as per PAN card</v>
      </c>
      <c r="C548" s="2">
        <f>IFERROR(__xludf.DUMMYFUNCTION("""COMPUTED_VALUE"""),0.1)</f>
        <v>0.1</v>
      </c>
      <c r="D548" s="2" t="str">
        <f>IFERROR(__xludf.DUMMYFUNCTION("""COMPUTED_VALUE"""),"প্যান কার্ড অনুসারে নাম")</f>
        <v>প্যান কার্ড অনুসারে নাম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 t="str">
        <f>IFERROR(__xludf.DUMMYFUNCTION("""COMPUTED_VALUE"""),"PanCard")</f>
        <v>PanCard</v>
      </c>
      <c r="B549" s="2" t="str">
        <f>IFERROR(__xludf.DUMMYFUNCTION("""COMPUTED_VALUE"""),"PAN Card")</f>
        <v>PAN Card</v>
      </c>
      <c r="C549" s="2">
        <f>IFERROR(__xludf.DUMMYFUNCTION("""COMPUTED_VALUE"""),0.1)</f>
        <v>0.1</v>
      </c>
      <c r="D549" s="2" t="str">
        <f>IFERROR(__xludf.DUMMYFUNCTION("""COMPUTED_VALUE"""),"প্যান কার্ড")</f>
        <v>প্যান কার্ড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 t="str">
        <f>IFERROR(__xludf.DUMMYFUNCTION("""COMPUTED_VALUE"""),"re-enter")</f>
        <v>re-enter</v>
      </c>
      <c r="B550" s="2" t="str">
        <f>IFERROR(__xludf.DUMMYFUNCTION("""COMPUTED_VALUE"""),"Re-enter")</f>
        <v>Re-enter</v>
      </c>
      <c r="C550" s="2"/>
      <c r="D550" s="2" t="str">
        <f>IFERROR(__xludf.DUMMYFUNCTION("""COMPUTED_VALUE"""),"পুনরায় প্রবেশ")</f>
        <v>পুনরায় প্রবেশ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 t="str">
        <f>IFERROR(__xludf.DUMMYFUNCTION("""COMPUTED_VALUE"""),"LocationPermission")</f>
        <v>LocationPermission</v>
      </c>
      <c r="B551" s="2" t="str">
        <f>IFERROR(__xludf.DUMMYFUNCTION("""COMPUTED_VALUE"""),"Location Permission")</f>
        <v>Location Permission</v>
      </c>
      <c r="C551" s="2">
        <f>IFERROR(__xludf.DUMMYFUNCTION("""COMPUTED_VALUE"""),0.3)</f>
        <v>0.3</v>
      </c>
      <c r="D551" s="2" t="str">
        <f>IFERROR(__xludf.DUMMYFUNCTION("""COMPUTED_VALUE"""),"অবস্থান অনুমতি")</f>
        <v>অবস্থান অনুমতি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 t="str">
        <f>IFERROR(__xludf.DUMMYFUNCTION("""COMPUTED_VALUE"""),"notdelivery")</f>
        <v>notdelivery</v>
      </c>
      <c r="B552" s="2" t="str">
        <f>IFERROR(__xludf.DUMMYFUNCTION("""COMPUTED_VALUE"""),"Not Delivery ")</f>
        <v>Not Delivery </v>
      </c>
      <c r="C552" s="2">
        <f>IFERROR(__xludf.DUMMYFUNCTION("""COMPUTED_VALUE"""),0.4)</f>
        <v>0.4</v>
      </c>
      <c r="D552" s="2" t="str">
        <f>IFERROR(__xludf.DUMMYFUNCTION("""COMPUTED_VALUE"""),"বিতরণ না")</f>
        <v>বিতরণ না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 t="str">
        <f>IFERROR(__xludf.DUMMYFUNCTION("""COMPUTED_VALUE"""),"wholesaler")</f>
        <v>wholesaler</v>
      </c>
      <c r="B553" s="2" t="str">
        <f>IFERROR(__xludf.DUMMYFUNCTION("""COMPUTED_VALUE"""),"Wholesaler")</f>
        <v>Wholesaler</v>
      </c>
      <c r="C553" s="2">
        <f>IFERROR(__xludf.DUMMYFUNCTION("""COMPUTED_VALUE"""),0.4)</f>
        <v>0.4</v>
      </c>
      <c r="D553" s="2" t="str">
        <f>IFERROR(__xludf.DUMMYFUNCTION("""COMPUTED_VALUE"""),"পাইকার")</f>
        <v>পাইকার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 t="str">
        <f>IFERROR(__xludf.DUMMYFUNCTION("""COMPUTED_VALUE"""),"toDelete?")</f>
        <v>toDelete?</v>
      </c>
      <c r="B554" s="2" t="str">
        <f>IFERROR(__xludf.DUMMYFUNCTION("""COMPUTED_VALUE"""),"to delete?")</f>
        <v>to delete?</v>
      </c>
      <c r="C554" s="2"/>
      <c r="D554" s="2" t="str">
        <f>IFERROR(__xludf.DUMMYFUNCTION("""COMPUTED_VALUE"""),"বাদ?")</f>
        <v>বাদ?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 t="str">
        <f>IFERROR(__xludf.DUMMYFUNCTION("""COMPUTED_VALUE"""),"youCannotDelete")</f>
        <v>youCannotDelete</v>
      </c>
      <c r="B555" s="2" t="str">
        <f>IFERROR(__xludf.DUMMYFUNCTION("""COMPUTED_VALUE"""),"You Cannot Delete")</f>
        <v>You Cannot Delete</v>
      </c>
      <c r="C555" s="2"/>
      <c r="D555" s="2" t="str">
        <f>IFERROR(__xludf.DUMMYFUNCTION("""COMPUTED_VALUE"""),"আপনি মুছতে পারবেন না")</f>
        <v>আপনি মুছতে পারবেন না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 t="str">
        <f>IFERROR(__xludf.DUMMYFUNCTION("""COMPUTED_VALUE"""),"activeUser!")</f>
        <v>activeUser!</v>
      </c>
      <c r="B556" s="2" t="str">
        <f>IFERROR(__xludf.DUMMYFUNCTION("""COMPUTED_VALUE"""),"Active User!")</f>
        <v>Active User!</v>
      </c>
      <c r="C556" s="2"/>
      <c r="D556" s="2" t="str">
        <f>IFERROR(__xludf.DUMMYFUNCTION("""COMPUTED_VALUE"""),"সক্রিয় ব্যবহারকারী!")</f>
        <v>সক্রিয় ব্যবহারকারী!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 t="str">
        <f>IFERROR(__xludf.DUMMYFUNCTION("""COMPUTED_VALUE"""),"selectCategory")</f>
        <v>selectCategory</v>
      </c>
      <c r="B557" s="2" t="str">
        <f>IFERROR(__xludf.DUMMYFUNCTION("""COMPUTED_VALUE"""),"Select Category")</f>
        <v>Select Category</v>
      </c>
      <c r="C557" s="2"/>
      <c r="D557" s="2" t="str">
        <f>IFERROR(__xludf.DUMMYFUNCTION("""COMPUTED_VALUE"""),"বিভাগ নির্বাচন করুন")</f>
        <v>বিভাগ নির্বাচন করুন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 t="str">
        <f>IFERROR(__xludf.DUMMYFUNCTION("""COMPUTED_VALUE"""),"toAddProduct")</f>
        <v>toAddProduct</v>
      </c>
      <c r="B558" s="2" t="str">
        <f>IFERROR(__xludf.DUMMYFUNCTION("""COMPUTED_VALUE"""),"To Add Product")</f>
        <v>To Add Product</v>
      </c>
      <c r="C558" s="2"/>
      <c r="D558" s="2" t="str">
        <f>IFERROR(__xludf.DUMMYFUNCTION("""COMPUTED_VALUE"""),"পণ্য যোগ করতে")</f>
        <v>পণ্য যোগ করতে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 t="str">
        <f>IFERROR(__xludf.DUMMYFUNCTION("""COMPUTED_VALUE"""),"mini.qtyperOrder")</f>
        <v>mini.qtyperOrder</v>
      </c>
      <c r="B559" s="2" t="str">
        <f>IFERROR(__xludf.DUMMYFUNCTION("""COMPUTED_VALUE"""),"MIni. qty per Order ")</f>
        <v>MIni. qty per Order </v>
      </c>
      <c r="C559" s="2">
        <f>IFERROR(__xludf.DUMMYFUNCTION("""COMPUTED_VALUE"""),0.3)</f>
        <v>0.3</v>
      </c>
      <c r="D559" s="2" t="str">
        <f>IFERROR(__xludf.DUMMYFUNCTION("""COMPUTED_VALUE"""),"মিনি অর্ডার প্রতি কিটি")</f>
        <v>মিনি অর্ডার প্রতি কিটি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 t="str">
        <f>IFERROR(__xludf.DUMMYFUNCTION("""COMPUTED_VALUE"""),"SaveAddress")</f>
        <v>SaveAddress</v>
      </c>
      <c r="B560" s="2" t="str">
        <f>IFERROR(__xludf.DUMMYFUNCTION("""COMPUTED_VALUE"""),"Save Address")</f>
        <v>Save Address</v>
      </c>
      <c r="C560" s="2">
        <f>IFERROR(__xludf.DUMMYFUNCTION("""COMPUTED_VALUE"""),0.3)</f>
        <v>0.3</v>
      </c>
      <c r="D560" s="2" t="str">
        <f>IFERROR(__xludf.DUMMYFUNCTION("""COMPUTED_VALUE"""),"ঠিকানা সংরক্ষণ করুন")</f>
        <v>ঠিকানা সংরক্ষণ করুন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 t="str">
        <f>IFERROR(__xludf.DUMMYFUNCTION("""COMPUTED_VALUE"""),"PleaseSaveYourAddresss")</f>
        <v>PleaseSaveYourAddresss</v>
      </c>
      <c r="B561" s="2" t="str">
        <f>IFERROR(__xludf.DUMMYFUNCTION("""COMPUTED_VALUE"""),"Please Save Your Address")</f>
        <v>Please Save Your Address</v>
      </c>
      <c r="C561" s="2"/>
      <c r="D561" s="2" t="str">
        <f>IFERROR(__xludf.DUMMYFUNCTION("""COMPUTED_VALUE"""),"আপনার ঠিকানা সংরক্ষণ করুন")</f>
        <v>আপনার ঠিকানা সংরক্ষণ করুন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 t="str">
        <f>IFERROR(__xludf.DUMMYFUNCTION("""COMPUTED_VALUE"""),"yourUnsaved")</f>
        <v>yourUnsaved</v>
      </c>
      <c r="B562" s="2" t="str">
        <f>IFERROR(__xludf.DUMMYFUNCTION("""COMPUTED_VALUE"""),"Your unsaved")</f>
        <v>Your unsaved</v>
      </c>
      <c r="C562" s="2"/>
      <c r="D562" s="2" t="str">
        <f>IFERROR(__xludf.DUMMYFUNCTION("""COMPUTED_VALUE"""),"আপনার সংরক্ষিত")</f>
        <v>আপনার সংরক্ষিত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 t="str">
        <f>IFERROR(__xludf.DUMMYFUNCTION("""COMPUTED_VALUE"""),"detailsWill")</f>
        <v>detailsWill</v>
      </c>
      <c r="B563" s="2" t="str">
        <f>IFERROR(__xludf.DUMMYFUNCTION("""COMPUTED_VALUE"""),"details will")</f>
        <v>details will</v>
      </c>
      <c r="C563" s="2"/>
      <c r="D563" s="2" t="str">
        <f>IFERROR(__xludf.DUMMYFUNCTION("""COMPUTED_VALUE"""),"বিশদ হবে")</f>
        <v>বিশদ হবে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 t="str">
        <f>IFERROR(__xludf.DUMMYFUNCTION("""COMPUTED_VALUE"""),"beLost")</f>
        <v>beLost</v>
      </c>
      <c r="B564" s="2" t="str">
        <f>IFERROR(__xludf.DUMMYFUNCTION("""COMPUTED_VALUE"""),"be lost.")</f>
        <v>be lost.</v>
      </c>
      <c r="C564" s="2"/>
      <c r="D564" s="2" t="str">
        <f>IFERROR(__xludf.DUMMYFUNCTION("""COMPUTED_VALUE"""),"ঘুচা.")</f>
        <v>ঘুচা.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 t="str">
        <f>IFERROR(__xludf.DUMMYFUNCTION("""COMPUTED_VALUE"""),"saveChanges")</f>
        <v>saveChanges</v>
      </c>
      <c r="B565" s="2" t="str">
        <f>IFERROR(__xludf.DUMMYFUNCTION("""COMPUTED_VALUE"""),"Save changes")</f>
        <v>Save changes</v>
      </c>
      <c r="C565" s="2"/>
      <c r="D565" s="2" t="str">
        <f>IFERROR(__xludf.DUMMYFUNCTION("""COMPUTED_VALUE"""),"পরিবর্তনগুলোর সংরক্ষন")</f>
        <v>পরিবর্তনগুলোর সংরক্ষন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 t="str">
        <f>IFERROR(__xludf.DUMMYFUNCTION("""COMPUTED_VALUE"""),"beforeClosing")</f>
        <v>beforeClosing</v>
      </c>
      <c r="B566" s="2" t="str">
        <f>IFERROR(__xludf.DUMMYFUNCTION("""COMPUTED_VALUE"""),"before closing")</f>
        <v>before closing</v>
      </c>
      <c r="C566" s="2"/>
      <c r="D566" s="2" t="str">
        <f>IFERROR(__xludf.DUMMYFUNCTION("""COMPUTED_VALUE"""),"বন্ধ হওয়ার আগে")</f>
        <v>বন্ধ হওয়ার আগে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 t="str">
        <f>IFERROR(__xludf.DUMMYFUNCTION("""COMPUTED_VALUE"""),"wouldYouLike")</f>
        <v>wouldYouLike</v>
      </c>
      <c r="B567" s="2" t="str">
        <f>IFERROR(__xludf.DUMMYFUNCTION("""COMPUTED_VALUE"""),"Would you like")</f>
        <v>Would you like</v>
      </c>
      <c r="C567" s="2"/>
      <c r="D567" s="2" t="str">
        <f>IFERROR(__xludf.DUMMYFUNCTION("""COMPUTED_VALUE"""),"আপনি কি")</f>
        <v>আপনি কি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 t="str">
        <f>IFERROR(__xludf.DUMMYFUNCTION("""COMPUTED_VALUE"""),"toMoveTo")</f>
        <v>toMoveTo</v>
      </c>
      <c r="B568" s="2" t="str">
        <f>IFERROR(__xludf.DUMMYFUNCTION("""COMPUTED_VALUE"""),"to move to")</f>
        <v>to move to</v>
      </c>
      <c r="C568" s="2"/>
      <c r="D568" s="2" t="str">
        <f>IFERROR(__xludf.DUMMYFUNCTION("""COMPUTED_VALUE"""),"সরাতে")</f>
        <v>সরাতে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 t="str">
        <f>IFERROR(__xludf.DUMMYFUNCTION("""COMPUTED_VALUE"""),"Locationisneededfortheapptoworkproperly,kindlygotosettingsandprovidelocationpermissiontoapp.")</f>
        <v>Locationisneededfortheapptoworkproperly,kindlygotosettingsandprovidelocationpermissiontoapp.</v>
      </c>
      <c r="B569" s="2" t="str">
        <f>IFERROR(__xludf.DUMMYFUNCTION("""COMPUTED_VALUE"""),"Location is needed for the app to work properly, kindly go to settings and provide location permission to app.")</f>
        <v>Location is needed for the app to work properly, kindly go to settings and provide location permission to app.</v>
      </c>
      <c r="C569" s="2"/>
      <c r="D569" s="2" t="str">
        <f>IFERROR(__xludf.DUMMYFUNCTION("""COMPUTED_VALUE"""),"অ্যাপ্লিকেশনটি সঠিকভাবে কাজ করার জন্য অবস্থান প্রয়োজন, দয়া করে সেটিংসে যান এবং অ্যাপটিতে অবস্থানের অনুমতি সরবরাহ করুন।")</f>
        <v>অ্যাপ্লিকেশনটি সঠিকভাবে কাজ করার জন্য অবস্থান প্রয়োজন, দয়া করে সেটিংসে যান এবং অ্যাপটিতে অবস্থানের অনুমতি সরবরাহ করুন।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 t="str">
        <f>IFERROR(__xludf.DUMMYFUNCTION("""COMPUTED_VALUE"""),"areYouSure")</f>
        <v>areYouSure</v>
      </c>
      <c r="B570" s="2" t="str">
        <f>IFERROR(__xludf.DUMMYFUNCTION("""COMPUTED_VALUE"""),"Are you sure ?")</f>
        <v>Are you sure ?</v>
      </c>
      <c r="C570" s="2">
        <f>IFERROR(__xludf.DUMMYFUNCTION("""COMPUTED_VALUE"""),0.4)</f>
        <v>0.4</v>
      </c>
      <c r="D570" s="2" t="str">
        <f>IFERROR(__xludf.DUMMYFUNCTION("""COMPUTED_VALUE"""),"তুমি কি নিশ্চিত ?")</f>
        <v>তুমি কি নিশ্চিত ?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 t="str">
        <f>IFERROR(__xludf.DUMMYFUNCTION("""COMPUTED_VALUE"""),"doYouWant")</f>
        <v>doYouWant</v>
      </c>
      <c r="B571" s="2" t="str">
        <f>IFERROR(__xludf.DUMMYFUNCTION("""COMPUTED_VALUE"""),"Do you want")</f>
        <v>Do you want</v>
      </c>
      <c r="C571" s="2"/>
      <c r="D571" s="2" t="str">
        <f>IFERROR(__xludf.DUMMYFUNCTION("""COMPUTED_VALUE"""),"তুমি কি চাও")</f>
        <v>তুমি কি চাও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 t="str">
        <f>IFERROR(__xludf.DUMMYFUNCTION("""COMPUTED_VALUE"""),"max.qtyperorder")</f>
        <v>max.qtyperorder</v>
      </c>
      <c r="B572" s="2" t="str">
        <f>IFERROR(__xludf.DUMMYFUNCTION("""COMPUTED_VALUE"""),"Max. qty per Order ")</f>
        <v>Max. qty per Order </v>
      </c>
      <c r="C572" s="2">
        <f>IFERROR(__xludf.DUMMYFUNCTION("""COMPUTED_VALUE"""),0.3)</f>
        <v>0.3</v>
      </c>
      <c r="D572" s="2" t="str">
        <f>IFERROR(__xludf.DUMMYFUNCTION("""COMPUTED_VALUE"""),"সর্বোচ্চ অর্ডার প্রতি কিটি")</f>
        <v>সর্বোচ্চ অর্ডার প্রতি কিটি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 t="str">
        <f>IFERROR(__xludf.DUMMYFUNCTION("""COMPUTED_VALUE"""),"rambutanIs")</f>
        <v>rambutanIs</v>
      </c>
      <c r="B573" s="2" t="str">
        <f>IFERROR(__xludf.DUMMYFUNCTION("""COMPUTED_VALUE"""),"Rambutan is")</f>
        <v>Rambutan is</v>
      </c>
      <c r="C573" s="2"/>
      <c r="D573" s="2" t="str">
        <f>IFERROR(__xludf.DUMMYFUNCTION("""COMPUTED_VALUE"""),"রামবুটান হয়")</f>
        <v>রামবুটান হয়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 t="str">
        <f>IFERROR(__xludf.DUMMYFUNCTION("""COMPUTED_VALUE"""),"movedTo")</f>
        <v>movedTo</v>
      </c>
      <c r="B574" s="2" t="str">
        <f>IFERROR(__xludf.DUMMYFUNCTION("""COMPUTED_VALUE"""),"Moved To")</f>
        <v>Moved To</v>
      </c>
      <c r="C574" s="2"/>
      <c r="D574" s="2" t="str">
        <f>IFERROR(__xludf.DUMMYFUNCTION("""COMPUTED_VALUE"""),"সরানো")</f>
        <v>সরানো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 t="str">
        <f>IFERROR(__xludf.DUMMYFUNCTION("""COMPUTED_VALUE"""),"BPLID")</f>
        <v>BPLID</v>
      </c>
      <c r="B575" s="2" t="str">
        <f>IFERROR(__xludf.DUMMYFUNCTION("""COMPUTED_VALUE"""),"BPL ID")</f>
        <v>BPL ID</v>
      </c>
      <c r="C575" s="2"/>
      <c r="D575" s="2" t="str">
        <f>IFERROR(__xludf.DUMMYFUNCTION("""COMPUTED_VALUE"""),"বিপিএল আইডি")</f>
        <v>বিপিএল আইডি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 t="str">
        <f>IFERROR(__xludf.DUMMYFUNCTION("""COMPUTED_VALUE"""),"Searchbyfruitscategory")</f>
        <v>Searchbyfruitscategory</v>
      </c>
      <c r="B576" s="2" t="str">
        <f>IFERROR(__xludf.DUMMYFUNCTION("""COMPUTED_VALUE"""),"Search By Category ")</f>
        <v>Search By Category </v>
      </c>
      <c r="C576" s="2">
        <f>IFERROR(__xludf.DUMMYFUNCTION("""COMPUTED_VALUE"""),0.4)</f>
        <v>0.4</v>
      </c>
      <c r="D576" s="2" t="str">
        <f>IFERROR(__xludf.DUMMYFUNCTION("""COMPUTED_VALUE"""),"বিভাগ দ্বারা অনুসন্ধান")</f>
        <v>বিভাগ দ্বারা অনুসন্ধান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 t="str">
        <f>IFERROR(__xludf.DUMMYFUNCTION("""COMPUTED_VALUE"""),"TypeSomethingHere")</f>
        <v>TypeSomethingHere</v>
      </c>
      <c r="B577" s="2" t="str">
        <f>IFERROR(__xludf.DUMMYFUNCTION("""COMPUTED_VALUE"""),"Type Something Here")</f>
        <v>Type Something Here</v>
      </c>
      <c r="C577" s="2">
        <f>IFERROR(__xludf.DUMMYFUNCTION("""COMPUTED_VALUE"""),0.3)</f>
        <v>0.3</v>
      </c>
      <c r="D577" s="2" t="str">
        <f>IFERROR(__xludf.DUMMYFUNCTION("""COMPUTED_VALUE"""),"এখানে কিছু টাইপ করুন")</f>
        <v>এখানে কিছু টাইপ করুন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 t="str">
        <f>IFERROR(__xludf.DUMMYFUNCTION("""COMPUTED_VALUE"""),"imSelling")</f>
        <v>imSelling</v>
      </c>
      <c r="B578" s="2" t="str">
        <f>IFERROR(__xludf.DUMMYFUNCTION("""COMPUTED_VALUE"""),"Im Selling")</f>
        <v>Im Selling</v>
      </c>
      <c r="C578" s="2">
        <f>IFERROR(__xludf.DUMMYFUNCTION("""COMPUTED_VALUE"""),0.1)</f>
        <v>0.1</v>
      </c>
      <c r="D578" s="2" t="str">
        <f>IFERROR(__xludf.DUMMYFUNCTION("""COMPUTED_VALUE"""),"আমি বিক্রি করছি")</f>
        <v>আমি বিক্রি করছি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 t="str">
        <f>IFERROR(__xludf.DUMMYFUNCTION("""COMPUTED_VALUE"""),"searchBy")</f>
        <v>searchBy</v>
      </c>
      <c r="B579" s="2" t="str">
        <f>IFERROR(__xludf.DUMMYFUNCTION("""COMPUTED_VALUE"""),"Search By")</f>
        <v>Search By</v>
      </c>
      <c r="C579" s="2">
        <f>IFERROR(__xludf.DUMMYFUNCTION("""COMPUTED_VALUE"""),0.1)</f>
        <v>0.1</v>
      </c>
      <c r="D579" s="2" t="str">
        <f>IFERROR(__xludf.DUMMYFUNCTION("""COMPUTED_VALUE"""),"দ্বারা অনুসন্ধান")</f>
        <v>দ্বারা অনুসন্ধান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 t="str">
        <f>IFERROR(__xludf.DUMMYFUNCTION("""COMPUTED_VALUE"""),"fruitsCategory")</f>
        <v>fruitsCategory</v>
      </c>
      <c r="B580" s="2" t="str">
        <f>IFERROR(__xludf.DUMMYFUNCTION("""COMPUTED_VALUE"""),"Fruits Category")</f>
        <v>Fruits Category</v>
      </c>
      <c r="C580" s="2">
        <f>IFERROR(__xludf.DUMMYFUNCTION("""COMPUTED_VALUE"""),0.1)</f>
        <v>0.1</v>
      </c>
      <c r="D580" s="2" t="str">
        <f>IFERROR(__xludf.DUMMYFUNCTION("""COMPUTED_VALUE"""),"ফল বিভাগ")</f>
        <v>ফল বিভাগ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 t="str">
        <f>IFERROR(__xludf.DUMMYFUNCTION("""COMPUTED_VALUE"""),"thisorderwasdelivered")</f>
        <v>thisorderwasdelivered</v>
      </c>
      <c r="B581" s="2" t="str">
        <f>IFERROR(__xludf.DUMMYFUNCTION("""COMPUTED_VALUE"""),"This Order was Delivered")</f>
        <v>This Order was Delivered</v>
      </c>
      <c r="C581" s="2" t="str">
        <f>IFERROR(__xludf.DUMMYFUNCTION("""COMPUTED_VALUE"""),"0.4.1")</f>
        <v>0.4.1</v>
      </c>
      <c r="D581" s="2" t="str">
        <f>IFERROR(__xludf.DUMMYFUNCTION("""COMPUTED_VALUE"""),"এই আদেশ বিতরণ করা হয়েছিল")</f>
        <v>এই আদেশ বিতরণ করা হয়েছিল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 t="str">
        <f>IFERROR(__xludf.DUMMYFUNCTION("""COMPUTED_VALUE"""),"repeatorder")</f>
        <v>repeatorder</v>
      </c>
      <c r="B582" s="2" t="str">
        <f>IFERROR(__xludf.DUMMYFUNCTION("""COMPUTED_VALUE"""),"Repeat Order")</f>
        <v>Repeat Order</v>
      </c>
      <c r="C582" s="2" t="str">
        <f>IFERROR(__xludf.DUMMYFUNCTION("""COMPUTED_VALUE"""),"0.4.1")</f>
        <v>0.4.1</v>
      </c>
      <c r="D582" s="2" t="str">
        <f>IFERROR(__xludf.DUMMYFUNCTION("""COMPUTED_VALUE"""),"পুনরাবৃত্তি যাতে")</f>
        <v>পুনরাবৃত্তি যাতে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 t="str">
        <f>IFERROR(__xludf.DUMMYFUNCTION("""COMPUTED_VALUE"""),"DoyouwanttoAccepttheorder")</f>
        <v>DoyouwanttoAccepttheorder</v>
      </c>
      <c r="B583" s="2" t="str">
        <f>IFERROR(__xludf.DUMMYFUNCTION("""COMPUTED_VALUE"""),"Do you want to Accept the order ?")</f>
        <v>Do you want to Accept the order ?</v>
      </c>
      <c r="C583" s="2"/>
      <c r="D583" s="2" t="str">
        <f>IFERROR(__xludf.DUMMYFUNCTION("""COMPUTED_VALUE"""),"আপনি কি আদেশ গ্রহণ করতে চান?")</f>
        <v>আপনি কি আদেশ গ্রহণ করতে চান?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 t="str">
        <f>IFERROR(__xludf.DUMMYFUNCTION("""COMPUTED_VALUE"""),"DoyouwanttoReadytheorder ")</f>
        <v>DoyouwanttoReadytheorder </v>
      </c>
      <c r="B584" s="2" t="str">
        <f>IFERROR(__xludf.DUMMYFUNCTION("""COMPUTED_VALUE"""),"Do you want to Ready the order ?")</f>
        <v>Do you want to Ready the order ?</v>
      </c>
      <c r="C584" s="2"/>
      <c r="D584" s="2" t="str">
        <f>IFERROR(__xludf.DUMMYFUNCTION("""COMPUTED_VALUE"""),"আপনি কি অর্ডার প্রস্তুত করতে চান?")</f>
        <v>আপনি কি অর্ডার প্রস্তুত করতে চান?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 t="str">
        <f>IFERROR(__xludf.DUMMYFUNCTION("""COMPUTED_VALUE"""),"clear")</f>
        <v>clear</v>
      </c>
      <c r="B585" s="2" t="str">
        <f>IFERROR(__xludf.DUMMYFUNCTION("""COMPUTED_VALUE"""),"Clear")</f>
        <v>Clear</v>
      </c>
      <c r="C585" s="2">
        <f>IFERROR(__xludf.DUMMYFUNCTION("""COMPUTED_VALUE"""),0.1)</f>
        <v>0.1</v>
      </c>
      <c r="D585" s="2" t="str">
        <f>IFERROR(__xludf.DUMMYFUNCTION("""COMPUTED_VALUE"""),"পরিষ্কার")</f>
        <v>পরিষ্কার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 t="str">
        <f>IFERROR(__xludf.DUMMYFUNCTION("""COMPUTED_VALUE"""),"selectFruits")</f>
        <v>selectFruits</v>
      </c>
      <c r="B586" s="2" t="str">
        <f>IFERROR(__xludf.DUMMYFUNCTION("""COMPUTED_VALUE"""),"Select Fruits")</f>
        <v>Select Fruits</v>
      </c>
      <c r="C586" s="2"/>
      <c r="D586" s="2" t="str">
        <f>IFERROR(__xludf.DUMMYFUNCTION("""COMPUTED_VALUE"""),"ফল নির্বাচন করুন")</f>
        <v>ফল নির্বাচন করুন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 t="str">
        <f>IFERROR(__xludf.DUMMYFUNCTION("""COMPUTED_VALUE"""),"category")</f>
        <v>category</v>
      </c>
      <c r="B587" s="2" t="str">
        <f>IFERROR(__xludf.DUMMYFUNCTION("""COMPUTED_VALUE"""),"Category")</f>
        <v>Category</v>
      </c>
      <c r="C587" s="2">
        <f>IFERROR(__xludf.DUMMYFUNCTION("""COMPUTED_VALUE"""),0.4)</f>
        <v>0.4</v>
      </c>
      <c r="D587" s="2" t="str">
        <f>IFERROR(__xludf.DUMMYFUNCTION("""COMPUTED_VALUE"""),"বিভাগ")</f>
        <v>বিভাগ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 t="str">
        <f>IFERROR(__xludf.DUMMYFUNCTION("""COMPUTED_VALUE"""),"DoyouwanttoDelivertheorder ")</f>
        <v>DoyouwanttoDelivertheorder </v>
      </c>
      <c r="B588" s="2" t="str">
        <f>IFERROR(__xludf.DUMMYFUNCTION("""COMPUTED_VALUE"""),"Do you want to Deliver the order ?")</f>
        <v>Do you want to Deliver the order ?</v>
      </c>
      <c r="C588" s="2">
        <f>IFERROR(__xludf.DUMMYFUNCTION("""COMPUTED_VALUE"""),0.3)</f>
        <v>0.3</v>
      </c>
      <c r="D588" s="2" t="str">
        <f>IFERROR(__xludf.DUMMYFUNCTION("""COMPUTED_VALUE"""),"আপনি কি অর্ডার দিতে চান?")</f>
        <v>আপনি কি অর্ডার দিতে চান?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 t="str">
        <f>IFERROR(__xludf.DUMMYFUNCTION("""COMPUTED_VALUE"""),"DoyouwanttoPickuptheorder ")</f>
        <v>DoyouwanttoPickuptheorder </v>
      </c>
      <c r="B589" s="2" t="str">
        <f>IFERROR(__xludf.DUMMYFUNCTION("""COMPUTED_VALUE"""),"Do you want to Pick Up the order ?")</f>
        <v>Do you want to Pick Up the order ?</v>
      </c>
      <c r="C589" s="2"/>
      <c r="D589" s="2" t="str">
        <f>IFERROR(__xludf.DUMMYFUNCTION("""COMPUTED_VALUE"""),"আপনি কি অর্ডার নিতে চান?")</f>
        <v>আপনি কি অর্ডার নিতে চান?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 t="str">
        <f>IFERROR(__xludf.DUMMYFUNCTION("""COMPUTED_VALUE"""),"DoyouwanttoNo-Show theorder ")</f>
        <v>DoyouwanttoNo-Show theorder </v>
      </c>
      <c r="B590" s="2" t="str">
        <f>IFERROR(__xludf.DUMMYFUNCTION("""COMPUTED_VALUE"""),"Do you want to No-Show the order ?")</f>
        <v>Do you want to No-Show the order ?</v>
      </c>
      <c r="C590" s="2"/>
      <c r="D590" s="2" t="str">
        <f>IFERROR(__xludf.DUMMYFUNCTION("""COMPUTED_VALUE"""),"আপনি কি অর্ডারটি কোনও শো করতে চান না?")</f>
        <v>আপনি কি অর্ডারটি কোনও শো করতে চান না?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 t="str">
        <f>IFERROR(__xludf.DUMMYFUNCTION("""COMPUTED_VALUE"""),"berry")</f>
        <v>berry</v>
      </c>
      <c r="B591" s="2" t="str">
        <f>IFERROR(__xludf.DUMMYFUNCTION("""COMPUTED_VALUE"""),"Berry")</f>
        <v>Berry</v>
      </c>
      <c r="C591" s="2"/>
      <c r="D591" s="2" t="str">
        <f>IFERROR(__xludf.DUMMYFUNCTION("""COMPUTED_VALUE"""),"বেরি")</f>
        <v>বেরি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 t="str">
        <f>IFERROR(__xludf.DUMMYFUNCTION("""COMPUTED_VALUE"""),"productDetails")</f>
        <v>productDetails</v>
      </c>
      <c r="B592" s="2" t="str">
        <f>IFERROR(__xludf.DUMMYFUNCTION("""COMPUTED_VALUE"""),"Product Details")</f>
        <v>Product Details</v>
      </c>
      <c r="C592" s="2">
        <f>IFERROR(__xludf.DUMMYFUNCTION("""COMPUTED_VALUE"""),0.3)</f>
        <v>0.3</v>
      </c>
      <c r="D592" s="2" t="str">
        <f>IFERROR(__xludf.DUMMYFUNCTION("""COMPUTED_VALUE"""),"পণ্যের বিবরণ")</f>
        <v>পণ্যের বিবরণ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 t="str">
        <f>IFERROR(__xludf.DUMMYFUNCTION("""COMPUTED_VALUE"""),"listed")</f>
        <v>listed</v>
      </c>
      <c r="B593" s="2" t="str">
        <f>IFERROR(__xludf.DUMMYFUNCTION("""COMPUTED_VALUE"""),"Listed")</f>
        <v>Listed</v>
      </c>
      <c r="C593" s="2"/>
      <c r="D593" s="2" t="str">
        <f>IFERROR(__xludf.DUMMYFUNCTION("""COMPUTED_VALUE"""),"তালিকাভুক্ত")</f>
        <v>তালিকাভুক্ত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 t="str">
        <f>IFERROR(__xludf.DUMMYFUNCTION("""COMPUTED_VALUE"""),"unlisted")</f>
        <v>unlisted</v>
      </c>
      <c r="B594" s="2" t="str">
        <f>IFERROR(__xludf.DUMMYFUNCTION("""COMPUTED_VALUE"""),"Unlisted")</f>
        <v>Unlisted</v>
      </c>
      <c r="C594" s="2"/>
      <c r="D594" s="2" t="str">
        <f>IFERROR(__xludf.DUMMYFUNCTION("""COMPUTED_VALUE"""),"তালিকাভুক্ত")</f>
        <v>তালিকাভুক্ত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 t="str">
        <f>IFERROR(__xludf.DUMMYFUNCTION("""COMPUTED_VALUE"""),"maxReward")</f>
        <v>maxReward</v>
      </c>
      <c r="B595" s="2" t="str">
        <f>IFERROR(__xludf.DUMMYFUNCTION("""COMPUTED_VALUE"""),"Max Reward")</f>
        <v>Max Reward</v>
      </c>
      <c r="C595" s="2">
        <f>IFERROR(__xludf.DUMMYFUNCTION("""COMPUTED_VALUE"""),0.4)</f>
        <v>0.4</v>
      </c>
      <c r="D595" s="2" t="str">
        <f>IFERROR(__xludf.DUMMYFUNCTION("""COMPUTED_VALUE"""),"সর্বোচ্চ পুরষ্কার")</f>
        <v>সর্বোচ্চ পুরষ্কার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 t="str">
        <f>IFERROR(__xludf.DUMMYFUNCTION("""COMPUTED_VALUE"""),"general")</f>
        <v>general</v>
      </c>
      <c r="B596" s="2" t="str">
        <f>IFERROR(__xludf.DUMMYFUNCTION("""COMPUTED_VALUE"""),"General")</f>
        <v>General</v>
      </c>
      <c r="C596" s="2">
        <f>IFERROR(__xludf.DUMMYFUNCTION("""COMPUTED_VALUE"""),0.3)</f>
        <v>0.3</v>
      </c>
      <c r="D596" s="2" t="str">
        <f>IFERROR(__xludf.DUMMYFUNCTION("""COMPUTED_VALUE"""),"সাধারণ")</f>
        <v>সাধারণ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 t="str">
        <f>IFERROR(__xludf.DUMMYFUNCTION("""COMPUTED_VALUE"""),"sellingOption")</f>
        <v>sellingOption</v>
      </c>
      <c r="B597" s="2" t="str">
        <f>IFERROR(__xludf.DUMMYFUNCTION("""COMPUTED_VALUE"""),"Selling Option")</f>
        <v>Selling Option</v>
      </c>
      <c r="C597" s="2">
        <f>IFERROR(__xludf.DUMMYFUNCTION("""COMPUTED_VALUE"""),0.3)</f>
        <v>0.3</v>
      </c>
      <c r="D597" s="2" t="str">
        <f>IFERROR(__xludf.DUMMYFUNCTION("""COMPUTED_VALUE"""),"বিক্রয় বিকল্প")</f>
        <v>বিক্রয় বিকল্প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 t="str">
        <f>IFERROR(__xludf.DUMMYFUNCTION("""COMPUTED_VALUE"""),"inventory")</f>
        <v>inventory</v>
      </c>
      <c r="B598" s="2" t="str">
        <f>IFERROR(__xludf.DUMMYFUNCTION("""COMPUTED_VALUE"""),"Inventory")</f>
        <v>Inventory</v>
      </c>
      <c r="C598" s="2">
        <f>IFERROR(__xludf.DUMMYFUNCTION("""COMPUTED_VALUE"""),0.3)</f>
        <v>0.3</v>
      </c>
      <c r="D598" s="2" t="str">
        <f>IFERROR(__xludf.DUMMYFUNCTION("""COMPUTED_VALUE"""),"ইনভেন্টরি")</f>
        <v>ইনভেন্টরি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 t="str">
        <f>IFERROR(__xludf.DUMMYFUNCTION("""COMPUTED_VALUE"""),"returnOption")</f>
        <v>returnOption</v>
      </c>
      <c r="B599" s="2" t="str">
        <f>IFERROR(__xludf.DUMMYFUNCTION("""COMPUTED_VALUE"""),"Return Option")</f>
        <v>Return Option</v>
      </c>
      <c r="C599" s="2">
        <f>IFERROR(__xludf.DUMMYFUNCTION("""COMPUTED_VALUE"""),0.3)</f>
        <v>0.3</v>
      </c>
      <c r="D599" s="2" t="str">
        <f>IFERROR(__xludf.DUMMYFUNCTION("""COMPUTED_VALUE"""),"রিটার্ন বিকল্প")</f>
        <v>রিটার্ন বিকল্প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 t="str">
        <f>IFERROR(__xludf.DUMMYFUNCTION("""COMPUTED_VALUE"""),"DoyouwanttoCanceltheorder?")</f>
        <v>DoyouwanttoCanceltheorder?</v>
      </c>
      <c r="B600" s="2" t="str">
        <f>IFERROR(__xludf.DUMMYFUNCTION("""COMPUTED_VALUE"""),"Do you want to Cancel the order ?")</f>
        <v>Do you want to Cancel the order ?</v>
      </c>
      <c r="C600" s="2"/>
      <c r="D600" s="2" t="str">
        <f>IFERROR(__xludf.DUMMYFUNCTION("""COMPUTED_VALUE"""),"আপনি কি অর্ডার বাতিল করতে চান?")</f>
        <v>আপনি কি অর্ডার বাতিল করতে চান?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 t="str">
        <f>IFERROR(__xludf.DUMMYFUNCTION("""COMPUTED_VALUE"""),"placeOfOrigin")</f>
        <v>placeOfOrigin</v>
      </c>
      <c r="B601" s="2" t="str">
        <f>IFERROR(__xludf.DUMMYFUNCTION("""COMPUTED_VALUE"""),"Place Of Origin")</f>
        <v>Place Of Origin</v>
      </c>
      <c r="C601" s="2">
        <f>IFERROR(__xludf.DUMMYFUNCTION("""COMPUTED_VALUE"""),0.3)</f>
        <v>0.3</v>
      </c>
      <c r="D601" s="2" t="str">
        <f>IFERROR(__xludf.DUMMYFUNCTION("""COMPUTED_VALUE"""),"উৎপত্তি স্থল")</f>
        <v>উৎপত্তি স্থল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 t="str">
        <f>IFERROR(__xludf.DUMMYFUNCTION("""COMPUTED_VALUE"""),"aboutProduct")</f>
        <v>aboutProduct</v>
      </c>
      <c r="B602" s="2" t="str">
        <f>IFERROR(__xludf.DUMMYFUNCTION("""COMPUTED_VALUE"""),"About Product")</f>
        <v>About Product</v>
      </c>
      <c r="C602" s="2">
        <f>IFERROR(__xludf.DUMMYFUNCTION("""COMPUTED_VALUE"""),0.3)</f>
        <v>0.3</v>
      </c>
      <c r="D602" s="2" t="str">
        <f>IFERROR(__xludf.DUMMYFUNCTION("""COMPUTED_VALUE"""),"পণ্য সম্পর্কে")</f>
        <v>পণ্য সম্পর্কে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 t="str">
        <f>IFERROR(__xludf.DUMMYFUNCTION("""COMPUTED_VALUE"""),"grading")</f>
        <v>grading</v>
      </c>
      <c r="B603" s="2" t="str">
        <f>IFERROR(__xludf.DUMMYFUNCTION("""COMPUTED_VALUE"""),"Grading")</f>
        <v>Grading</v>
      </c>
      <c r="C603" s="2">
        <f>IFERROR(__xludf.DUMMYFUNCTION("""COMPUTED_VALUE"""),0.3)</f>
        <v>0.3</v>
      </c>
      <c r="D603" s="2" t="str">
        <f>IFERROR(__xludf.DUMMYFUNCTION("""COMPUTED_VALUE"""),"গ্রেডিং")</f>
        <v>গ্রেডিং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 t="str">
        <f>IFERROR(__xludf.DUMMYFUNCTION("""COMPUTED_VALUE"""),"camera")</f>
        <v>camera</v>
      </c>
      <c r="B604" s="2" t="str">
        <f>IFERROR(__xludf.DUMMYFUNCTION("""COMPUTED_VALUE"""),"Camera")</f>
        <v>Camera</v>
      </c>
      <c r="C604" s="2">
        <f>IFERROR(__xludf.DUMMYFUNCTION("""COMPUTED_VALUE"""),0.3)</f>
        <v>0.3</v>
      </c>
      <c r="D604" s="2" t="str">
        <f>IFERROR(__xludf.DUMMYFUNCTION("""COMPUTED_VALUE"""),"ক্যামেরা")</f>
        <v>ক্যামেরা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 t="str">
        <f>IFERROR(__xludf.DUMMYFUNCTION("""COMPUTED_VALUE"""),"favourites")</f>
        <v>favourites</v>
      </c>
      <c r="B605" s="2" t="str">
        <f>IFERROR(__xludf.DUMMYFUNCTION("""COMPUTED_VALUE"""),"Favourites")</f>
        <v>Favourites</v>
      </c>
      <c r="C605" s="2">
        <f>IFERROR(__xludf.DUMMYFUNCTION("""COMPUTED_VALUE"""),0.3)</f>
        <v>0.3</v>
      </c>
      <c r="D605" s="2" t="str">
        <f>IFERROR(__xludf.DUMMYFUNCTION("""COMPUTED_VALUE"""),"প্রিয়")</f>
        <v>প্রিয়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 t="str">
        <f>IFERROR(__xludf.DUMMYFUNCTION("""COMPUTED_VALUE"""),"soldBy")</f>
        <v>soldBy</v>
      </c>
      <c r="B606" s="2" t="str">
        <f>IFERROR(__xludf.DUMMYFUNCTION("""COMPUTED_VALUE"""),"Sold By")</f>
        <v>Sold By</v>
      </c>
      <c r="C606" s="2">
        <f>IFERROR(__xludf.DUMMYFUNCTION("""COMPUTED_VALUE"""),0.3)</f>
        <v>0.3</v>
      </c>
      <c r="D606" s="2" t="str">
        <f>IFERROR(__xludf.DUMMYFUNCTION("""COMPUTED_VALUE"""),"বিক্রিত")</f>
        <v>বিক্রিত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 t="str">
        <f>IFERROR(__xludf.DUMMYFUNCTION("""COMPUTED_VALUE"""),"street")</f>
        <v>street</v>
      </c>
      <c r="B607" s="2" t="str">
        <f>IFERROR(__xludf.DUMMYFUNCTION("""COMPUTED_VALUE"""),"Street")</f>
        <v>Street</v>
      </c>
      <c r="C607" s="2">
        <f>IFERROR(__xludf.DUMMYFUNCTION("""COMPUTED_VALUE"""),0.3)</f>
        <v>0.3</v>
      </c>
      <c r="D607" s="2" t="str">
        <f>IFERROR(__xludf.DUMMYFUNCTION("""COMPUTED_VALUE"""),"রাস্তা")</f>
        <v>রাস্তা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 t="str">
        <f>IFERROR(__xludf.DUMMYFUNCTION("""COMPUTED_VALUE"""),"kilogram")</f>
        <v>kilogram</v>
      </c>
      <c r="B608" s="2" t="str">
        <f>IFERROR(__xludf.DUMMYFUNCTION("""COMPUTED_VALUE"""),"Kilogram")</f>
        <v>Kilogram</v>
      </c>
      <c r="C608" s="2">
        <f>IFERROR(__xludf.DUMMYFUNCTION("""COMPUTED_VALUE"""),0.3)</f>
        <v>0.3</v>
      </c>
      <c r="D608" s="2" t="str">
        <f>IFERROR(__xludf.DUMMYFUNCTION("""COMPUTED_VALUE"""),"কিলোগ্রাম")</f>
        <v>কিলোগ্রাম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 t="str">
        <f>IFERROR(__xludf.DUMMYFUNCTION("""COMPUTED_VALUE"""),"liter")</f>
        <v>liter</v>
      </c>
      <c r="B609" s="2" t="str">
        <f>IFERROR(__xludf.DUMMYFUNCTION("""COMPUTED_VALUE"""),"Liter")</f>
        <v>Liter</v>
      </c>
      <c r="C609" s="2"/>
      <c r="D609" s="2" t="str">
        <f>IFERROR(__xludf.DUMMYFUNCTION("""COMPUTED_VALUE"""),"লিটার")</f>
        <v>লিটার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 t="str">
        <f>IFERROR(__xludf.DUMMYFUNCTION("""COMPUTED_VALUE"""),"miniQty")</f>
        <v>miniQty</v>
      </c>
      <c r="B610" s="2" t="str">
        <f>IFERROR(__xludf.DUMMYFUNCTION("""COMPUTED_VALUE"""),"Mini.qty")</f>
        <v>Mini.qty</v>
      </c>
      <c r="C610" s="2"/>
      <c r="D610" s="2" t="str">
        <f>IFERROR(__xludf.DUMMYFUNCTION("""COMPUTED_VALUE"""),"Mini.qty")</f>
        <v>Mini.qty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 t="str">
        <f>IFERROR(__xludf.DUMMYFUNCTION("""COMPUTED_VALUE"""),"perOrderdiscount")</f>
        <v>perOrderdiscount</v>
      </c>
      <c r="B611" s="2" t="str">
        <f>IFERROR(__xludf.DUMMYFUNCTION("""COMPUTED_VALUE"""),"Per Order Discount")</f>
        <v>Per Order Discount</v>
      </c>
      <c r="C611" s="2">
        <f>IFERROR(__xludf.DUMMYFUNCTION("""COMPUTED_VALUE"""),0.3)</f>
        <v>0.3</v>
      </c>
      <c r="D611" s="2" t="str">
        <f>IFERROR(__xludf.DUMMYFUNCTION("""COMPUTED_VALUE"""),"প্রতি অর্ডার ছাড়")</f>
        <v>প্রতি অর্ডার ছাড়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 t="str">
        <f>IFERROR(__xludf.DUMMYFUNCTION("""COMPUTED_VALUE"""),"maxQty")</f>
        <v>maxQty</v>
      </c>
      <c r="B612" s="2" t="str">
        <f>IFERROR(__xludf.DUMMYFUNCTION("""COMPUTED_VALUE"""),"Max qty")</f>
        <v>Max qty</v>
      </c>
      <c r="C612" s="2"/>
      <c r="D612" s="2" t="str">
        <f>IFERROR(__xludf.DUMMYFUNCTION("""COMPUTED_VALUE"""),"সর্বোচ্চ কিউটি")</f>
        <v>সর্বোচ্চ কিউটি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 t="str">
        <f>IFERROR(__xludf.DUMMYFUNCTION("""COMPUTED_VALUE"""),"regularprice")</f>
        <v>regularprice</v>
      </c>
      <c r="B613" s="2" t="str">
        <f>IFERROR(__xludf.DUMMYFUNCTION("""COMPUTED_VALUE"""),"Regular Price")</f>
        <v>Regular Price</v>
      </c>
      <c r="C613" s="2">
        <f>IFERROR(__xludf.DUMMYFUNCTION("""COMPUTED_VALUE"""),0.3)</f>
        <v>0.3</v>
      </c>
      <c r="D613" s="2" t="str">
        <f>IFERROR(__xludf.DUMMYFUNCTION("""COMPUTED_VALUE"""),"নিয়মিত দাম")</f>
        <v>নিয়মিত দাম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 t="str">
        <f>IFERROR(__xludf.DUMMYFUNCTION("""COMPUTED_VALUE"""),"discountprice")</f>
        <v>discountprice</v>
      </c>
      <c r="B614" s="2" t="str">
        <f>IFERROR(__xludf.DUMMYFUNCTION("""COMPUTED_VALUE"""),"Discount Price")</f>
        <v>Discount Price</v>
      </c>
      <c r="C614" s="2">
        <f>IFERROR(__xludf.DUMMYFUNCTION("""COMPUTED_VALUE"""),0.3)</f>
        <v>0.3</v>
      </c>
      <c r="D614" s="2" t="str">
        <f>IFERROR(__xludf.DUMMYFUNCTION("""COMPUTED_VALUE"""),"ডিসকাউন্ট মূল্য")</f>
        <v>ডিসকাউন্ট মূল্য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 t="str">
        <f>IFERROR(__xludf.DUMMYFUNCTION("""COMPUTED_VALUE"""),"miniPrice")</f>
        <v>miniPrice</v>
      </c>
      <c r="B615" s="2" t="str">
        <f>IFERROR(__xludf.DUMMYFUNCTION("""COMPUTED_VALUE"""),"Mini price")</f>
        <v>Mini price</v>
      </c>
      <c r="C615" s="2"/>
      <c r="D615" s="2" t="str">
        <f>IFERROR(__xludf.DUMMYFUNCTION("""COMPUTED_VALUE"""),"মিনি দাম")</f>
        <v>মিনি দাম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 t="str">
        <f>IFERROR(__xludf.DUMMYFUNCTION("""COMPUTED_VALUE"""),"quantity")</f>
        <v>quantity</v>
      </c>
      <c r="B616" s="2" t="str">
        <f>IFERROR(__xludf.DUMMYFUNCTION("""COMPUTED_VALUE"""),"Quantity")</f>
        <v>Quantity</v>
      </c>
      <c r="C616" s="2">
        <f>IFERROR(__xludf.DUMMYFUNCTION("""COMPUTED_VALUE"""),0.3)</f>
        <v>0.3</v>
      </c>
      <c r="D616" s="2" t="str">
        <f>IFERROR(__xludf.DUMMYFUNCTION("""COMPUTED_VALUE"""),"পরিমাণ")</f>
        <v>পরিমাণ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 t="str">
        <f>IFERROR(__xludf.DUMMYFUNCTION("""COMPUTED_VALUE"""),"costPrice")</f>
        <v>costPrice</v>
      </c>
      <c r="B617" s="2" t="str">
        <f>IFERROR(__xludf.DUMMYFUNCTION("""COMPUTED_VALUE"""),"Cost Price")</f>
        <v>Cost Price</v>
      </c>
      <c r="C617" s="2">
        <f>IFERROR(__xludf.DUMMYFUNCTION("""COMPUTED_VALUE"""),0.3)</f>
        <v>0.3</v>
      </c>
      <c r="D617" s="2" t="str">
        <f>IFERROR(__xludf.DUMMYFUNCTION("""COMPUTED_VALUE"""),"কেনা দাম")</f>
        <v>কেনা দাম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 t="str">
        <f>IFERROR(__xludf.DUMMYFUNCTION("""COMPUTED_VALUE"""),"sku")</f>
        <v>sku</v>
      </c>
      <c r="B618" s="2" t="str">
        <f>IFERROR(__xludf.DUMMYFUNCTION("""COMPUTED_VALUE"""),"SKU")</f>
        <v>SKU</v>
      </c>
      <c r="C618" s="2">
        <f>IFERROR(__xludf.DUMMYFUNCTION("""COMPUTED_VALUE"""),0.3)</f>
        <v>0.3</v>
      </c>
      <c r="D618" s="2" t="str">
        <f>IFERROR(__xludf.DUMMYFUNCTION("""COMPUTED_VALUE"""),"স্কু")</f>
        <v>স্কু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 t="str">
        <f>IFERROR(__xludf.DUMMYFUNCTION("""COMPUTED_VALUE"""),"stockStatus")</f>
        <v>stockStatus</v>
      </c>
      <c r="B619" s="2" t="str">
        <f>IFERROR(__xludf.DUMMYFUNCTION("""COMPUTED_VALUE"""),"Stock Status")</f>
        <v>Stock Status</v>
      </c>
      <c r="C619" s="2">
        <f>IFERROR(__xludf.DUMMYFUNCTION("""COMPUTED_VALUE"""),0.3)</f>
        <v>0.3</v>
      </c>
      <c r="D619" s="2" t="str">
        <f>IFERROR(__xludf.DUMMYFUNCTION("""COMPUTED_VALUE"""),"স্টক অবস্থা")</f>
        <v>স্টক অবস্থা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 t="str">
        <f>IFERROR(__xludf.DUMMYFUNCTION("""COMPUTED_VALUE"""),"days")</f>
        <v>days</v>
      </c>
      <c r="B620" s="2" t="str">
        <f>IFERROR(__xludf.DUMMYFUNCTION("""COMPUTED_VALUE"""),"Days")</f>
        <v>Days</v>
      </c>
      <c r="C620" s="2">
        <f>IFERROR(__xludf.DUMMYFUNCTION("""COMPUTED_VALUE"""),0.3)</f>
        <v>0.3</v>
      </c>
      <c r="D620" s="2" t="str">
        <f>IFERROR(__xludf.DUMMYFUNCTION("""COMPUTED_VALUE"""),"দিন")</f>
        <v>দিন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 t="str">
        <f>IFERROR(__xludf.DUMMYFUNCTION("""COMPUTED_VALUE"""),"hours")</f>
        <v>hours</v>
      </c>
      <c r="B621" s="2" t="str">
        <f>IFERROR(__xludf.DUMMYFUNCTION("""COMPUTED_VALUE"""),"Hours")</f>
        <v>Hours</v>
      </c>
      <c r="C621" s="2">
        <f>IFERROR(__xludf.DUMMYFUNCTION("""COMPUTED_VALUE"""),0.3)</f>
        <v>0.3</v>
      </c>
      <c r="D621" s="2" t="str">
        <f>IFERROR(__xludf.DUMMYFUNCTION("""COMPUTED_VALUE"""),"ঘন্টার")</f>
        <v>ঘন্টার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 t="str">
        <f>IFERROR(__xludf.DUMMYFUNCTION("""COMPUTED_VALUE"""),"producAdded")</f>
        <v>producAdded</v>
      </c>
      <c r="B622" s="2" t="str">
        <f>IFERROR(__xludf.DUMMYFUNCTION("""COMPUTED_VALUE"""),"Product Added")</f>
        <v>Product Added</v>
      </c>
      <c r="C622" s="2"/>
      <c r="D622" s="2" t="str">
        <f>IFERROR(__xludf.DUMMYFUNCTION("""COMPUTED_VALUE"""),"পণ্য যুক্ত")</f>
        <v>পণ্য যুক্ত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 t="str">
        <f>IFERROR(__xludf.DUMMYFUNCTION("""COMPUTED_VALUE"""),"successfullyYay")</f>
        <v>successfullyYay</v>
      </c>
      <c r="B623" s="2" t="str">
        <f>IFERROR(__xludf.DUMMYFUNCTION("""COMPUTED_VALUE"""),"Successfully YAY")</f>
        <v>Successfully YAY</v>
      </c>
      <c r="C623" s="2"/>
      <c r="D623" s="2" t="str">
        <f>IFERROR(__xludf.DUMMYFUNCTION("""COMPUTED_VALUE"""),"সফলভাবে হ্যাঁ")</f>
        <v>সফলভাবে হ্যাঁ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 t="str">
        <f>IFERROR(__xludf.DUMMYFUNCTION("""COMPUTED_VALUE"""),"wouldYou")</f>
        <v>wouldYou</v>
      </c>
      <c r="B624" s="2" t="str">
        <f>IFERROR(__xludf.DUMMYFUNCTION("""COMPUTED_VALUE"""),"Would you ")</f>
        <v>Would you </v>
      </c>
      <c r="C624" s="2"/>
      <c r="D624" s="2" t="str">
        <f>IFERROR(__xludf.DUMMYFUNCTION("""COMPUTED_VALUE"""),"আপনি কি")</f>
        <v>আপনি কি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 t="str">
        <f>IFERROR(__xludf.DUMMYFUNCTION("""COMPUTED_VALUE"""),"likeTo")</f>
        <v>likeTo</v>
      </c>
      <c r="B625" s="2" t="str">
        <f>IFERROR(__xludf.DUMMYFUNCTION("""COMPUTED_VALUE"""),"like to")</f>
        <v>like to</v>
      </c>
      <c r="C625" s="2"/>
      <c r="D625" s="2" t="str">
        <f>IFERROR(__xludf.DUMMYFUNCTION("""COMPUTED_VALUE"""),"পছন্দ")</f>
        <v>পছন্দ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 t="str">
        <f>IFERROR(__xludf.DUMMYFUNCTION("""COMPUTED_VALUE"""),"moveTo")</f>
        <v>moveTo</v>
      </c>
      <c r="B626" s="2" t="str">
        <f>IFERROR(__xludf.DUMMYFUNCTION("""COMPUTED_VALUE"""),"move to")</f>
        <v>move to</v>
      </c>
      <c r="C626" s="2"/>
      <c r="D626" s="2" t="str">
        <f>IFERROR(__xludf.DUMMYFUNCTION("""COMPUTED_VALUE"""),"চলো")</f>
        <v>চলো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 t="str">
        <f>IFERROR(__xludf.DUMMYFUNCTION("""COMPUTED_VALUE"""),"ListedItem")</f>
        <v>ListedItem</v>
      </c>
      <c r="B627" s="2" t="str">
        <f>IFERROR(__xludf.DUMMYFUNCTION("""COMPUTED_VALUE"""),"Listed Item")</f>
        <v>Listed Item</v>
      </c>
      <c r="C627" s="2"/>
      <c r="D627" s="2" t="str">
        <f>IFERROR(__xludf.DUMMYFUNCTION("""COMPUTED_VALUE"""),"তালিকাভুক্ত আইটেম")</f>
        <v>তালিকাভুক্ত আইটেম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 t="str">
        <f>IFERROR(__xludf.DUMMYFUNCTION("""COMPUTED_VALUE"""),"areYouDelivering")</f>
        <v>areYouDelivering</v>
      </c>
      <c r="B628" s="2" t="str">
        <f>IFERROR(__xludf.DUMMYFUNCTION("""COMPUTED_VALUE"""),"Are you Delivering")</f>
        <v>Are you Delivering</v>
      </c>
      <c r="C628" s="2"/>
      <c r="D628" s="2" t="str">
        <f>IFERROR(__xludf.DUMMYFUNCTION("""COMPUTED_VALUE"""),"আপনি বিতরণ করছেন?")</f>
        <v>আপনি বিতরণ করছেন?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 t="str">
        <f>IFERROR(__xludf.DUMMYFUNCTION("""COMPUTED_VALUE"""),"paymentMethod")</f>
        <v>paymentMethod</v>
      </c>
      <c r="B629" s="2" t="str">
        <f>IFERROR(__xludf.DUMMYFUNCTION("""COMPUTED_VALUE"""),"Payment Method")</f>
        <v>Payment Method</v>
      </c>
      <c r="C629" s="2" t="str">
        <f>IFERROR(__xludf.DUMMYFUNCTION("""COMPUTED_VALUE"""),"0.4.1")</f>
        <v>0.4.1</v>
      </c>
      <c r="D629" s="2" t="str">
        <f>IFERROR(__xludf.DUMMYFUNCTION("""COMPUTED_VALUE"""),"মূল্যপরিশোধ পদ্ধতি")</f>
        <v>মূল্যপরিশোধ পদ্ধতি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 t="str">
        <f>IFERROR(__xludf.DUMMYFUNCTION("""COMPUTED_VALUE"""),"Categories")</f>
        <v>Categories</v>
      </c>
      <c r="B630" s="2" t="str">
        <f>IFERROR(__xludf.DUMMYFUNCTION("""COMPUTED_VALUE"""),"Categories")</f>
        <v>Categories</v>
      </c>
      <c r="C630" s="2">
        <f>IFERROR(__xludf.DUMMYFUNCTION("""COMPUTED_VALUE"""),0.3)</f>
        <v>0.3</v>
      </c>
      <c r="D630" s="2" t="str">
        <f>IFERROR(__xludf.DUMMYFUNCTION("""COMPUTED_VALUE"""),"বিভাগ")</f>
        <v>বিভাগ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 t="str">
        <f>IFERROR(__xludf.DUMMYFUNCTION("""COMPUTED_VALUE"""),"pickupAnd")</f>
        <v>pickupAnd</v>
      </c>
      <c r="B631" s="2" t="str">
        <f>IFERROR(__xludf.DUMMYFUNCTION("""COMPUTED_VALUE"""),"Pickup and")</f>
        <v>Pickup and</v>
      </c>
      <c r="C631" s="2"/>
      <c r="D631" s="2" t="str">
        <f>IFERROR(__xludf.DUMMYFUNCTION("""COMPUTED_VALUE"""),"পিকআপ এবং")</f>
        <v>পিকআপ এবং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 t="str">
        <f>IFERROR(__xludf.DUMMYFUNCTION("""COMPUTED_VALUE"""),"deliveryOptions")</f>
        <v>deliveryOptions</v>
      </c>
      <c r="B632" s="2" t="str">
        <f>IFERROR(__xludf.DUMMYFUNCTION("""COMPUTED_VALUE"""),"Delivery Options")</f>
        <v>Delivery Options</v>
      </c>
      <c r="C632" s="2"/>
      <c r="D632" s="2" t="str">
        <f>IFERROR(__xludf.DUMMYFUNCTION("""COMPUTED_VALUE"""),"সরবরাহের সুযোগ")</f>
        <v>সরবরাহের সুযোগ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 t="str">
        <f>IFERROR(__xludf.DUMMYFUNCTION("""COMPUTED_VALUE"""),"customerPickup")</f>
        <v>customerPickup</v>
      </c>
      <c r="B633" s="2" t="str">
        <f>IFERROR(__xludf.DUMMYFUNCTION("""COMPUTED_VALUE"""),"Customer Pickup")</f>
        <v>Customer Pickup</v>
      </c>
      <c r="C633" s="2"/>
      <c r="D633" s="2" t="str">
        <f>IFERROR(__xludf.DUMMYFUNCTION("""COMPUTED_VALUE"""),"গ্রাহক পিকআপ")</f>
        <v>গ্রাহক পিকআপ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 t="str">
        <f>IFERROR(__xludf.DUMMYFUNCTION("""COMPUTED_VALUE"""),"ownDelivery")</f>
        <v>ownDelivery</v>
      </c>
      <c r="B634" s="2" t="str">
        <f>IFERROR(__xludf.DUMMYFUNCTION("""COMPUTED_VALUE"""),"Own Delivery")</f>
        <v>Own Delivery</v>
      </c>
      <c r="C634" s="2"/>
      <c r="D634" s="2" t="str">
        <f>IFERROR(__xludf.DUMMYFUNCTION("""COMPUTED_VALUE"""),"নিজস্ব বিতরণ")</f>
        <v>নিজস্ব বিতরণ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 t="str">
        <f>IFERROR(__xludf.DUMMYFUNCTION("""COMPUTED_VALUE"""),"thirdParty")</f>
        <v>thirdParty</v>
      </c>
      <c r="B635" s="2" t="str">
        <f>IFERROR(__xludf.DUMMYFUNCTION("""COMPUTED_VALUE"""),"Third Party")</f>
        <v>Third Party</v>
      </c>
      <c r="C635" s="2"/>
      <c r="D635" s="2" t="str">
        <f>IFERROR(__xludf.DUMMYFUNCTION("""COMPUTED_VALUE"""),"তৃতীয় পক্ষ")</f>
        <v>তৃতীয় পক্ষ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 t="str">
        <f>IFERROR(__xludf.DUMMYFUNCTION("""COMPUTED_VALUE"""),"processingTime")</f>
        <v>processingTime</v>
      </c>
      <c r="B636" s="2" t="str">
        <f>IFERROR(__xludf.DUMMYFUNCTION("""COMPUTED_VALUE"""),"Processing Time")</f>
        <v>Processing Time</v>
      </c>
      <c r="C636" s="2"/>
      <c r="D636" s="2" t="str">
        <f>IFERROR(__xludf.DUMMYFUNCTION("""COMPUTED_VALUE"""),"প্রক্রিয়াকরণের সময়")</f>
        <v>প্রক্রিয়াকরণের সময়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 t="str">
        <f>IFERROR(__xludf.DUMMYFUNCTION("""COMPUTED_VALUE"""),"pickupSlots")</f>
        <v>pickupSlots</v>
      </c>
      <c r="B637" s="2" t="str">
        <f>IFERROR(__xludf.DUMMYFUNCTION("""COMPUTED_VALUE"""),"Pickup Slots")</f>
        <v>Pickup Slots</v>
      </c>
      <c r="C637" s="2"/>
      <c r="D637" s="2" t="str">
        <f>IFERROR(__xludf.DUMMYFUNCTION("""COMPUTED_VALUE"""),"পিকআপ স্লট")</f>
        <v>পিকআপ স্লট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 t="str">
        <f>IFERROR(__xludf.DUMMYFUNCTION("""COMPUTED_VALUE"""),"startTime")</f>
        <v>startTime</v>
      </c>
      <c r="B638" s="2" t="str">
        <f>IFERROR(__xludf.DUMMYFUNCTION("""COMPUTED_VALUE"""),"Start Time")</f>
        <v>Start Time</v>
      </c>
      <c r="C638" s="2"/>
      <c r="D638" s="2" t="str">
        <f>IFERROR(__xludf.DUMMYFUNCTION("""COMPUTED_VALUE"""),"সময় শুরু")</f>
        <v>সময় শুরু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 t="str">
        <f>IFERROR(__xludf.DUMMYFUNCTION("""COMPUTED_VALUE"""),"endTime")</f>
        <v>endTime</v>
      </c>
      <c r="B639" s="2" t="str">
        <f>IFERROR(__xludf.DUMMYFUNCTION("""COMPUTED_VALUE"""),"End Time")</f>
        <v>End Time</v>
      </c>
      <c r="C639" s="2"/>
      <c r="D639" s="2" t="str">
        <f>IFERROR(__xludf.DUMMYFUNCTION("""COMPUTED_VALUE"""),"শেষ সময়")</f>
        <v>শেষ সময়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 t="str">
        <f>IFERROR(__xludf.DUMMYFUNCTION("""COMPUTED_VALUE"""),"capacity")</f>
        <v>capacity</v>
      </c>
      <c r="B640" s="2" t="str">
        <f>IFERROR(__xludf.DUMMYFUNCTION("""COMPUTED_VALUE"""),"Capacity")</f>
        <v>Capacity</v>
      </c>
      <c r="C640" s="2"/>
      <c r="D640" s="2" t="str">
        <f>IFERROR(__xludf.DUMMYFUNCTION("""COMPUTED_VALUE"""),"ক্ষমতা")</f>
        <v>ক্ষমতা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 t="str">
        <f>IFERROR(__xludf.DUMMYFUNCTION("""COMPUTED_VALUE"""),"save")</f>
        <v>save</v>
      </c>
      <c r="B641" s="2" t="str">
        <f>IFERROR(__xludf.DUMMYFUNCTION("""COMPUTED_VALUE"""),"Save")</f>
        <v>Save</v>
      </c>
      <c r="C641" s="2">
        <f>IFERROR(__xludf.DUMMYFUNCTION("""COMPUTED_VALUE"""),0.3)</f>
        <v>0.3</v>
      </c>
      <c r="D641" s="2" t="str">
        <f>IFERROR(__xludf.DUMMYFUNCTION("""COMPUTED_VALUE"""),"সংরক্ষণ")</f>
        <v>সংরক্ষণ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 t="str">
        <f>IFERROR(__xludf.DUMMYFUNCTION("""COMPUTED_VALUE"""),"delete")</f>
        <v>delete</v>
      </c>
      <c r="B642" s="2" t="str">
        <f>IFERROR(__xludf.DUMMYFUNCTION("""COMPUTED_VALUE"""),"Delete")</f>
        <v>Delete</v>
      </c>
      <c r="C642" s="2">
        <f>IFERROR(__xludf.DUMMYFUNCTION("""COMPUTED_VALUE"""),0.3)</f>
        <v>0.3</v>
      </c>
      <c r="D642" s="2" t="str">
        <f>IFERROR(__xludf.DUMMYFUNCTION("""COMPUTED_VALUE"""),"মুছে ফেলা")</f>
        <v>মুছে ফেলা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 t="str">
        <f>IFERROR(__xludf.DUMMYFUNCTION("""COMPUTED_VALUE"""),"distanceCovers")</f>
        <v>distanceCovers</v>
      </c>
      <c r="B643" s="2" t="str">
        <f>IFERROR(__xludf.DUMMYFUNCTION("""COMPUTED_VALUE"""),"Distance covers")</f>
        <v>Distance covers</v>
      </c>
      <c r="C643" s="2"/>
      <c r="D643" s="2" t="str">
        <f>IFERROR(__xludf.DUMMYFUNCTION("""COMPUTED_VALUE"""),"দূরত্ব কভার")</f>
        <v>দূরত্ব কভার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 t="str">
        <f>IFERROR(__xludf.DUMMYFUNCTION("""COMPUTED_VALUE"""),"deliveryCharge")</f>
        <v>deliveryCharge</v>
      </c>
      <c r="B644" s="2" t="str">
        <f>IFERROR(__xludf.DUMMYFUNCTION("""COMPUTED_VALUE"""),"Delivery Charge")</f>
        <v>Delivery Charge</v>
      </c>
      <c r="C644" s="2"/>
      <c r="D644" s="2" t="str">
        <f>IFERROR(__xludf.DUMMYFUNCTION("""COMPUTED_VALUE"""),"ডেলিভারি চার্জ")</f>
        <v>ডেলিভারি চার্জ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 t="str">
        <f>IFERROR(__xludf.DUMMYFUNCTION("""COMPUTED_VALUE"""),"City/Ward/District")</f>
        <v>City/Ward/District</v>
      </c>
      <c r="B645" s="2" t="str">
        <f>IFERROR(__xludf.DUMMYFUNCTION("""COMPUTED_VALUE"""),"City/Ward/District")</f>
        <v>City/Ward/District</v>
      </c>
      <c r="C645" s="2">
        <f>IFERROR(__xludf.DUMMYFUNCTION("""COMPUTED_VALUE"""),0.3)</f>
        <v>0.3</v>
      </c>
      <c r="D645" s="2" t="str">
        <f>IFERROR(__xludf.DUMMYFUNCTION("""COMPUTED_VALUE"""),"শহর/ওয়ার্ড/জেলা")</f>
        <v>শহর/ওয়ার্ড/জেলা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 t="str">
        <f>IFERROR(__xludf.DUMMYFUNCTION("""COMPUTED_VALUE"""),"onOrder")</f>
        <v>onOrder</v>
      </c>
      <c r="B646" s="2" t="str">
        <f>IFERROR(__xludf.DUMMYFUNCTION("""COMPUTED_VALUE"""),"on Order")</f>
        <v>on Order</v>
      </c>
      <c r="C646" s="2"/>
      <c r="D646" s="2" t="str">
        <f>IFERROR(__xludf.DUMMYFUNCTION("""COMPUTED_VALUE"""),"আদেশ")</f>
        <v>আদেশ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 t="str">
        <f>IFERROR(__xludf.DUMMYFUNCTION("""COMPUTED_VALUE"""),"totalemployeesfound ")</f>
        <v>totalemployeesfound </v>
      </c>
      <c r="B647" s="2" t="str">
        <f>IFERROR(__xludf.DUMMYFUNCTION("""COMPUTED_VALUE"""),"Total Employees Found ")</f>
        <v>Total Employees Found </v>
      </c>
      <c r="C647" s="2">
        <f>IFERROR(__xludf.DUMMYFUNCTION("""COMPUTED_VALUE"""),0.3)</f>
        <v>0.3</v>
      </c>
      <c r="D647" s="2" t="str">
        <f>IFERROR(__xludf.DUMMYFUNCTION("""COMPUTED_VALUE"""),"মোট কর্মচারী পাওয়া গেছে")</f>
        <v>মোট কর্মচারী পাওয়া গেছে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 t="str">
        <f>IFERROR(__xludf.DUMMYFUNCTION("""COMPUTED_VALUE"""),"enableFree")</f>
        <v>enableFree</v>
      </c>
      <c r="B648" s="2" t="str">
        <f>IFERROR(__xludf.DUMMYFUNCTION("""COMPUTED_VALUE"""),"Enable Free")</f>
        <v>Enable Free</v>
      </c>
      <c r="C648" s="2"/>
      <c r="D648" s="2" t="str">
        <f>IFERROR(__xludf.DUMMYFUNCTION("""COMPUTED_VALUE"""),"বিনামূল্যে সক্ষম করুন")</f>
        <v>বিনামূল্যে সক্ষম করুন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 t="str">
        <f>IFERROR(__xludf.DUMMYFUNCTION("""COMPUTED_VALUE"""),"shipping")</f>
        <v>shipping</v>
      </c>
      <c r="B649" s="2" t="str">
        <f>IFERROR(__xludf.DUMMYFUNCTION("""COMPUTED_VALUE"""),"Shipping")</f>
        <v>Shipping</v>
      </c>
      <c r="C649" s="2"/>
      <c r="D649" s="2" t="str">
        <f>IFERROR(__xludf.DUMMYFUNCTION("""COMPUTED_VALUE"""),"পাঠানো")</f>
        <v>পাঠানো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 t="str">
        <f>IFERROR(__xludf.DUMMYFUNCTION("""COMPUTED_VALUE"""),"availOur")</f>
        <v>availOur</v>
      </c>
      <c r="B650" s="2" t="str">
        <f>IFERROR(__xludf.DUMMYFUNCTION("""COMPUTED_VALUE"""),"Avail Our")</f>
        <v>Avail Our</v>
      </c>
      <c r="C650" s="2"/>
      <c r="D650" s="2" t="str">
        <f>IFERROR(__xludf.DUMMYFUNCTION("""COMPUTED_VALUE"""),"আমাদের উপকার")</f>
        <v>আমাদের উপকার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 t="str">
        <f>IFERROR(__xludf.DUMMYFUNCTION("""COMPUTED_VALUE"""),"deliveryService")</f>
        <v>deliveryService</v>
      </c>
      <c r="B651" s="2" t="str">
        <f>IFERROR(__xludf.DUMMYFUNCTION("""COMPUTED_VALUE"""),"Delivery Service")</f>
        <v>Delivery Service</v>
      </c>
      <c r="C651" s="2"/>
      <c r="D651" s="2" t="str">
        <f>IFERROR(__xludf.DUMMYFUNCTION("""COMPUTED_VALUE"""),"বিতরণ সেবা")</f>
        <v>বিতরণ সেবা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 t="str">
        <f>IFERROR(__xludf.DUMMYFUNCTION("""COMPUTED_VALUE"""),"AcceptedOrderDetails")</f>
        <v>AcceptedOrderDetails</v>
      </c>
      <c r="B652" s="2" t="str">
        <f>IFERROR(__xludf.DUMMYFUNCTION("""COMPUTED_VALUE"""),"Accepted Order Details")</f>
        <v>Accepted Order Details</v>
      </c>
      <c r="C652" s="2">
        <f>IFERROR(__xludf.DUMMYFUNCTION("""COMPUTED_VALUE"""),0.3)</f>
        <v>0.3</v>
      </c>
      <c r="D652" s="2" t="str">
        <f>IFERROR(__xludf.DUMMYFUNCTION("""COMPUTED_VALUE"""),"স্বীকৃত অর্ডার বিশদ")</f>
        <v>স্বীকৃত অর্ডার বিশদ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 t="str">
        <f>IFERROR(__xludf.DUMMYFUNCTION("""COMPUTED_VALUE"""),"finalThoughts")</f>
        <v>finalThoughts</v>
      </c>
      <c r="B653" s="2" t="str">
        <f>IFERROR(__xludf.DUMMYFUNCTION("""COMPUTED_VALUE"""),"Final Thoughts")</f>
        <v>Final Thoughts</v>
      </c>
      <c r="C653" s="2"/>
      <c r="D653" s="2" t="str">
        <f>IFERROR(__xludf.DUMMYFUNCTION("""COMPUTED_VALUE"""),"সর্বশেষ ভাবনা")</f>
        <v>সর্বশেষ ভাবনা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 t="str">
        <f>IFERROR(__xludf.DUMMYFUNCTION("""COMPUTED_VALUE"""),"itemsfor")</f>
        <v>itemsfor</v>
      </c>
      <c r="B654" s="2" t="str">
        <f>IFERROR(__xludf.DUMMYFUNCTION("""COMPUTED_VALUE"""),"Items For")</f>
        <v>Items For</v>
      </c>
      <c r="C654" s="2">
        <f>IFERROR(__xludf.DUMMYFUNCTION("""COMPUTED_VALUE"""),0.4)</f>
        <v>0.4</v>
      </c>
      <c r="D654" s="2" t="str">
        <f>IFERROR(__xludf.DUMMYFUNCTION("""COMPUTED_VALUE"""),"জন্য আইটেম")</f>
        <v>জন্য আইটেম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 t="str">
        <f>IFERROR(__xludf.DUMMYFUNCTION("""COMPUTED_VALUE"""),"Doyouwanttoprocessingtheorder")</f>
        <v>Doyouwanttoprocessingtheorder</v>
      </c>
      <c r="B655" s="2" t="str">
        <f>IFERROR(__xludf.DUMMYFUNCTION("""COMPUTED_VALUE"""),"Do you want to processing the order?")</f>
        <v>Do you want to processing the order?</v>
      </c>
      <c r="C655" s="2">
        <f>IFERROR(__xludf.DUMMYFUNCTION("""COMPUTED_VALUE"""),0.3)</f>
        <v>0.3</v>
      </c>
      <c r="D655" s="2" t="str">
        <f>IFERROR(__xludf.DUMMYFUNCTION("""COMPUTED_VALUE"""),"আপনি কি অর্ডার প্রক্রিয়া করতে চান?")</f>
        <v>আপনি কি অর্ডার প্রক্রিয়া করতে চান?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 t="str">
        <f>IFERROR(__xludf.DUMMYFUNCTION("""COMPUTED_VALUE"""),"ReadyOrderDetails")</f>
        <v>ReadyOrderDetails</v>
      </c>
      <c r="B656" s="2" t="str">
        <f>IFERROR(__xludf.DUMMYFUNCTION("""COMPUTED_VALUE"""),"Ready Order Details")</f>
        <v>Ready Order Details</v>
      </c>
      <c r="C656" s="2">
        <f>IFERROR(__xludf.DUMMYFUNCTION("""COMPUTED_VALUE"""),0.3)</f>
        <v>0.3</v>
      </c>
      <c r="D656" s="2" t="str">
        <f>IFERROR(__xludf.DUMMYFUNCTION("""COMPUTED_VALUE"""),"প্রস্তুত অর্ডার বিশদ")</f>
        <v>প্রস্তুত অর্ডার বিশদ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 t="str">
        <f>IFERROR(__xludf.DUMMYFUNCTION("""COMPUTED_VALUE"""),"SearchLanguage ")</f>
        <v>SearchLanguage </v>
      </c>
      <c r="B657" s="2" t="str">
        <f>IFERROR(__xludf.DUMMYFUNCTION("""COMPUTED_VALUE"""),"Language ")</f>
        <v>Language </v>
      </c>
      <c r="C657" s="2">
        <f>IFERROR(__xludf.DUMMYFUNCTION("""COMPUTED_VALUE"""),0.1)</f>
        <v>0.1</v>
      </c>
      <c r="D657" s="2" t="str">
        <f>IFERROR(__xludf.DUMMYFUNCTION("""COMPUTED_VALUE"""),"ভাষা")</f>
        <v>ভাষা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 t="str">
        <f>IFERROR(__xludf.DUMMYFUNCTION("""COMPUTED_VALUE"""),"uploadbplcard")</f>
        <v>uploadbplcard</v>
      </c>
      <c r="B658" s="2" t="str">
        <f>IFERROR(__xludf.DUMMYFUNCTION("""COMPUTED_VALUE"""),"Upload BPL Card")</f>
        <v>Upload BPL Card</v>
      </c>
      <c r="C658" s="2">
        <f>IFERROR(__xludf.DUMMYFUNCTION("""COMPUTED_VALUE"""),0.1)</f>
        <v>0.1</v>
      </c>
      <c r="D658" s="2" t="str">
        <f>IFERROR(__xludf.DUMMYFUNCTION("""COMPUTED_VALUE"""),"বিপিএল কার্ড আপলোড করুন")</f>
        <v>বিপিএল কার্ড আপলোড করুন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 t="str">
        <f>IFERROR(__xludf.DUMMYFUNCTION("""COMPUTED_VALUE"""),"skipfornow")</f>
        <v>skipfornow</v>
      </c>
      <c r="B659" s="2" t="str">
        <f>IFERROR(__xludf.DUMMYFUNCTION("""COMPUTED_VALUE"""),"Skip Now")</f>
        <v>Skip Now</v>
      </c>
      <c r="C659" s="2">
        <f>IFERROR(__xludf.DUMMYFUNCTION("""COMPUTED_VALUE"""),0.1)</f>
        <v>0.1</v>
      </c>
      <c r="D659" s="2" t="str">
        <f>IFERROR(__xludf.DUMMYFUNCTION("""COMPUTED_VALUE"""),"এখনই এড়িয়ে যান")</f>
        <v>এখনই এড়িয়ে যান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 t="str">
        <f>IFERROR(__xludf.DUMMYFUNCTION("""COMPUTED_VALUE"""),"orderId")</f>
        <v>orderId</v>
      </c>
      <c r="B660" s="2" t="str">
        <f>IFERROR(__xludf.DUMMYFUNCTION("""COMPUTED_VALUE"""),"Order ID")</f>
        <v>Order ID</v>
      </c>
      <c r="C660" s="2">
        <f>IFERROR(__xludf.DUMMYFUNCTION("""COMPUTED_VALUE"""),0.2)</f>
        <v>0.2</v>
      </c>
      <c r="D660" s="2" t="str">
        <f>IFERROR(__xludf.DUMMYFUNCTION("""COMPUTED_VALUE"""),"অর্ডার আইডি")</f>
        <v>অর্ডার আইডি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 t="str">
        <f>IFERROR(__xludf.DUMMYFUNCTION("""COMPUTED_VALUE"""),"Addressdetail")</f>
        <v>Addressdetail</v>
      </c>
      <c r="B661" s="2" t="str">
        <f>IFERROR(__xludf.DUMMYFUNCTION("""COMPUTED_VALUE"""),"Address Detail")</f>
        <v>Address Detail</v>
      </c>
      <c r="C661" s="2">
        <f>IFERROR(__xludf.DUMMYFUNCTION("""COMPUTED_VALUE"""),0.1)</f>
        <v>0.1</v>
      </c>
      <c r="D661" s="2" t="str">
        <f>IFERROR(__xludf.DUMMYFUNCTION("""COMPUTED_VALUE"""),"ঠিকানা বিশদ")</f>
        <v>ঠিকানা বিশদ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 t="str">
        <f>IFERROR(__xludf.DUMMYFUNCTION("""COMPUTED_VALUE"""),"PanProof")</f>
        <v>PanProof</v>
      </c>
      <c r="B662" s="2" t="str">
        <f>IFERROR(__xludf.DUMMYFUNCTION("""COMPUTED_VALUE"""),"PAN Proof")</f>
        <v>PAN Proof</v>
      </c>
      <c r="C662" s="2">
        <f>IFERROR(__xludf.DUMMYFUNCTION("""COMPUTED_VALUE"""),0.1)</f>
        <v>0.1</v>
      </c>
      <c r="D662" s="2" t="str">
        <f>IFERROR(__xludf.DUMMYFUNCTION("""COMPUTED_VALUE"""),"প্যান প্রুফ")</f>
        <v>প্যান প্রুফ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 t="str">
        <f>IFERROR(__xludf.DUMMYFUNCTION("""COMPUTED_VALUE"""),"Nameasperpancard")</f>
        <v>Nameasperpancard</v>
      </c>
      <c r="B663" s="2" t="str">
        <f>IFERROR(__xludf.DUMMYFUNCTION("""COMPUTED_VALUE"""),"Name as Per Pan Card ")</f>
        <v>Name as Per Pan Card </v>
      </c>
      <c r="C663" s="2">
        <f>IFERROR(__xludf.DUMMYFUNCTION("""COMPUTED_VALUE"""),0.1)</f>
        <v>0.1</v>
      </c>
      <c r="D663" s="2" t="str">
        <f>IFERROR(__xludf.DUMMYFUNCTION("""COMPUTED_VALUE"""),"প্যান কার্ড অনুসারে নাম")</f>
        <v>প্যান কার্ড অনুসারে নাম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 t="str">
        <f>IFERROR(__xludf.DUMMYFUNCTION("""COMPUTED_VALUE"""),"FixedRetailershop")</f>
        <v>FixedRetailershop</v>
      </c>
      <c r="B664" s="2" t="str">
        <f>IFERROR(__xludf.DUMMYFUNCTION("""COMPUTED_VALUE"""),"Fixed Retailer Shop")</f>
        <v>Fixed Retailer Shop</v>
      </c>
      <c r="C664" s="2">
        <f>IFERROR(__xludf.DUMMYFUNCTION("""COMPUTED_VALUE"""),0.1)</f>
        <v>0.1</v>
      </c>
      <c r="D664" s="2" t="str">
        <f>IFERROR(__xludf.DUMMYFUNCTION("""COMPUTED_VALUE"""),"স্থির খুচরা বিক্রেতার দোকান")</f>
        <v>স্থির খুচরা বিক্রেতার দোকান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 t="str">
        <f>IFERROR(__xludf.DUMMYFUNCTION("""COMPUTED_VALUE"""),"MobileRetailershop ")</f>
        <v>MobileRetailershop </v>
      </c>
      <c r="B665" s="2" t="str">
        <f>IFERROR(__xludf.DUMMYFUNCTION("""COMPUTED_VALUE"""),"Mobile Retailer Shop ")</f>
        <v>Mobile Retailer Shop </v>
      </c>
      <c r="C665" s="2">
        <f>IFERROR(__xludf.DUMMYFUNCTION("""COMPUTED_VALUE"""),0.1)</f>
        <v>0.1</v>
      </c>
      <c r="D665" s="2" t="str">
        <f>IFERROR(__xludf.DUMMYFUNCTION("""COMPUTED_VALUE"""),"মোবাইল খুচরা বিক্রেতার দোকান")</f>
        <v>মোবাইল খুচরা বিক্রেতার দোকান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 t="str">
        <f>IFERROR(__xludf.DUMMYFUNCTION("""COMPUTED_VALUE"""),"Iown ")</f>
        <v>Iown </v>
      </c>
      <c r="B666" s="2" t="str">
        <f>IFERROR(__xludf.DUMMYFUNCTION("""COMPUTED_VALUE"""),"I Own ")</f>
        <v>I Own </v>
      </c>
      <c r="C666" s="2">
        <f>IFERROR(__xludf.DUMMYFUNCTION("""COMPUTED_VALUE"""),0.1)</f>
        <v>0.1</v>
      </c>
      <c r="D666" s="2" t="str">
        <f>IFERROR(__xludf.DUMMYFUNCTION("""COMPUTED_VALUE"""),"আমি মালিক")</f>
        <v>আমি মালিক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 t="str">
        <f>IFERROR(__xludf.DUMMYFUNCTION("""COMPUTED_VALUE"""),"Membershipplan ")</f>
        <v>Membershipplan </v>
      </c>
      <c r="B667" s="2" t="str">
        <f>IFERROR(__xludf.DUMMYFUNCTION("""COMPUTED_VALUE"""),"Membership Plan ")</f>
        <v>Membership Plan </v>
      </c>
      <c r="C667" s="2">
        <f>IFERROR(__xludf.DUMMYFUNCTION("""COMPUTED_VALUE"""),0.1)</f>
        <v>0.1</v>
      </c>
      <c r="D667" s="2" t="str">
        <f>IFERROR(__xludf.DUMMYFUNCTION("""COMPUTED_VALUE"""),"সদস্যপদ পরিকল্পনা")</f>
        <v>সদস্যপদ পরিকল্পনা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 t="str">
        <f>IFERROR(__xludf.DUMMYFUNCTION("""COMPUTED_VALUE"""),"PerMonth")</f>
        <v>PerMonth</v>
      </c>
      <c r="B668" s="2" t="str">
        <f>IFERROR(__xludf.DUMMYFUNCTION("""COMPUTED_VALUE"""),"Per Month")</f>
        <v>Per Month</v>
      </c>
      <c r="C668" s="2">
        <f>IFERROR(__xludf.DUMMYFUNCTION("""COMPUTED_VALUE"""),0.1)</f>
        <v>0.1</v>
      </c>
      <c r="D668" s="2" t="str">
        <f>IFERROR(__xludf.DUMMYFUNCTION("""COMPUTED_VALUE"""),"প্রতি মাসে")</f>
        <v>প্রতি মাসে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 t="str">
        <f>IFERROR(__xludf.DUMMYFUNCTION("""COMPUTED_VALUE"""),"Basic")</f>
        <v>Basic</v>
      </c>
      <c r="B669" s="2" t="str">
        <f>IFERROR(__xludf.DUMMYFUNCTION("""COMPUTED_VALUE"""),"Basic")</f>
        <v>Basic</v>
      </c>
      <c r="C669" s="2">
        <f>IFERROR(__xludf.DUMMYFUNCTION("""COMPUTED_VALUE"""),0.1)</f>
        <v>0.1</v>
      </c>
      <c r="D669" s="2" t="str">
        <f>IFERROR(__xludf.DUMMYFUNCTION("""COMPUTED_VALUE"""),"বেসিক")</f>
        <v>বেসিক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 t="str">
        <f>IFERROR(__xludf.DUMMYFUNCTION("""COMPUTED_VALUE"""),"Onlineshopspace")</f>
        <v>Onlineshopspace</v>
      </c>
      <c r="B670" s="2" t="str">
        <f>IFERROR(__xludf.DUMMYFUNCTION("""COMPUTED_VALUE"""),"Online Shop Space")</f>
        <v>Online Shop Space</v>
      </c>
      <c r="C670" s="2">
        <f>IFERROR(__xludf.DUMMYFUNCTION("""COMPUTED_VALUE"""),0.1)</f>
        <v>0.1</v>
      </c>
      <c r="D670" s="2" t="str">
        <f>IFERROR(__xludf.DUMMYFUNCTION("""COMPUTED_VALUE"""),"অনলাইন শপ স্পেস")</f>
        <v>অনলাইন শপ স্পেস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 t="str">
        <f>IFERROR(__xludf.DUMMYFUNCTION("""COMPUTED_VALUE"""),"Sell/purchase ")</f>
        <v>Sell/purchase </v>
      </c>
      <c r="B671" s="2" t="str">
        <f>IFERROR(__xludf.DUMMYFUNCTION("""COMPUTED_VALUE"""),"Sell/Purchase ")</f>
        <v>Sell/Purchase </v>
      </c>
      <c r="C671" s="2">
        <f>IFERROR(__xludf.DUMMYFUNCTION("""COMPUTED_VALUE"""),0.1)</f>
        <v>0.1</v>
      </c>
      <c r="D671" s="2" t="str">
        <f>IFERROR(__xludf.DUMMYFUNCTION("""COMPUTED_VALUE"""),"বিক্রয়/ক্রয়")</f>
        <v>বিক্রয়/ক্রয়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 t="str">
        <f>IFERROR(__xludf.DUMMYFUNCTION("""COMPUTED_VALUE"""),"Creditmanagement")</f>
        <v>Creditmanagement</v>
      </c>
      <c r="B672" s="2" t="str">
        <f>IFERROR(__xludf.DUMMYFUNCTION("""COMPUTED_VALUE"""),"Credit Management")</f>
        <v>Credit Management</v>
      </c>
      <c r="C672" s="2">
        <f>IFERROR(__xludf.DUMMYFUNCTION("""COMPUTED_VALUE"""),0.1)</f>
        <v>0.1</v>
      </c>
      <c r="D672" s="2" t="str">
        <f>IFERROR(__xludf.DUMMYFUNCTION("""COMPUTED_VALUE"""),"আমানত ব্যবস্থাপনা")</f>
        <v>আমানত ব্যবস্থাপনা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 t="str">
        <f>IFERROR(__xludf.DUMMYFUNCTION("""COMPUTED_VALUE"""),"Owndelivery ")</f>
        <v>Owndelivery </v>
      </c>
      <c r="B673" s="2" t="str">
        <f>IFERROR(__xludf.DUMMYFUNCTION("""COMPUTED_VALUE"""),"Own Delivery ")</f>
        <v>Own Delivery </v>
      </c>
      <c r="C673" s="2">
        <f>IFERROR(__xludf.DUMMYFUNCTION("""COMPUTED_VALUE"""),0.1)</f>
        <v>0.1</v>
      </c>
      <c r="D673" s="2" t="str">
        <f>IFERROR(__xludf.DUMMYFUNCTION("""COMPUTED_VALUE"""),"নিজস্ব বিতরণ")</f>
        <v>নিজস্ব বিতরণ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 t="str">
        <f>IFERROR(__xludf.DUMMYFUNCTION("""COMPUTED_VALUE"""),"Onlinepayment ")</f>
        <v>Onlinepayment </v>
      </c>
      <c r="B674" s="2" t="str">
        <f>IFERROR(__xludf.DUMMYFUNCTION("""COMPUTED_VALUE"""),"Online Payment ")</f>
        <v>Online Payment </v>
      </c>
      <c r="C674" s="2">
        <f>IFERROR(__xludf.DUMMYFUNCTION("""COMPUTED_VALUE"""),0.1)</f>
        <v>0.1</v>
      </c>
      <c r="D674" s="2" t="str">
        <f>IFERROR(__xludf.DUMMYFUNCTION("""COMPUTED_VALUE"""),"অনলাইন পেমেন্ট")</f>
        <v>অনলাইন পেমেন্ট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 t="str">
        <f>IFERROR(__xludf.DUMMYFUNCTION("""COMPUTED_VALUE"""),"cataloguemanagement")</f>
        <v>cataloguemanagement</v>
      </c>
      <c r="B675" s="2" t="str">
        <f>IFERROR(__xludf.DUMMYFUNCTION("""COMPUTED_VALUE"""),"Catalogue Management")</f>
        <v>Catalogue Management</v>
      </c>
      <c r="C675" s="2">
        <f>IFERROR(__xludf.DUMMYFUNCTION("""COMPUTED_VALUE"""),0.1)</f>
        <v>0.1</v>
      </c>
      <c r="D675" s="2" t="str">
        <f>IFERROR(__xludf.DUMMYFUNCTION("""COMPUTED_VALUE"""),"ক্যাটালগ পরিচালনা")</f>
        <v>ক্যাটালগ পরিচালনা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 t="str">
        <f>IFERROR(__xludf.DUMMYFUNCTION("""COMPUTED_VALUE"""),"PerOrderManagement ")</f>
        <v>PerOrderManagement </v>
      </c>
      <c r="B676" s="2" t="str">
        <f>IFERROR(__xludf.DUMMYFUNCTION("""COMPUTED_VALUE"""),"Per Order Management ")</f>
        <v>Per Order Management </v>
      </c>
      <c r="C676" s="2">
        <f>IFERROR(__xludf.DUMMYFUNCTION("""COMPUTED_VALUE"""),0.1)</f>
        <v>0.1</v>
      </c>
      <c r="D676" s="2" t="str">
        <f>IFERROR(__xludf.DUMMYFUNCTION("""COMPUTED_VALUE"""),"অর্ডার ম্যানেজমেন্ট প্রতি")</f>
        <v>অর্ডার ম্যানেজমেন্ট প্রতি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 t="str">
        <f>IFERROR(__xludf.DUMMYFUNCTION("""COMPUTED_VALUE"""),"Managecustomers ")</f>
        <v>Managecustomers </v>
      </c>
      <c r="B677" s="2" t="str">
        <f>IFERROR(__xludf.DUMMYFUNCTION("""COMPUTED_VALUE"""),"Manage Customers ")</f>
        <v>Manage Customers </v>
      </c>
      <c r="C677" s="2">
        <f>IFERROR(__xludf.DUMMYFUNCTION("""COMPUTED_VALUE"""),0.1)</f>
        <v>0.1</v>
      </c>
      <c r="D677" s="2" t="str">
        <f>IFERROR(__xludf.DUMMYFUNCTION("""COMPUTED_VALUE"""),"গ্রাহকদের পরিচালনা করুন")</f>
        <v>গ্রাহকদের পরিচালনা করুন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 t="str">
        <f>IFERROR(__xludf.DUMMYFUNCTION("""COMPUTED_VALUE"""),"BuyNow ")</f>
        <v>BuyNow </v>
      </c>
      <c r="B678" s="2" t="str">
        <f>IFERROR(__xludf.DUMMYFUNCTION("""COMPUTED_VALUE"""),"Buy Now ")</f>
        <v>Buy Now </v>
      </c>
      <c r="C678" s="2">
        <f>IFERROR(__xludf.DUMMYFUNCTION("""COMPUTED_VALUE"""),0.1)</f>
        <v>0.1</v>
      </c>
      <c r="D678" s="2" t="str">
        <f>IFERROR(__xludf.DUMMYFUNCTION("""COMPUTED_VALUE"""),"এখন কেন")</f>
        <v>এখন কেন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 t="str">
        <f>IFERROR(__xludf.DUMMYFUNCTION("""COMPUTED_VALUE"""),"selectstate ")</f>
        <v>selectstate </v>
      </c>
      <c r="B679" s="2" t="str">
        <f>IFERROR(__xludf.DUMMYFUNCTION("""COMPUTED_VALUE"""),"Select State")</f>
        <v>Select State</v>
      </c>
      <c r="C679" s="2">
        <f>IFERROR(__xludf.DUMMYFUNCTION("""COMPUTED_VALUE"""),0.3)</f>
        <v>0.3</v>
      </c>
      <c r="D679" s="2" t="str">
        <f>IFERROR(__xludf.DUMMYFUNCTION("""COMPUTED_VALUE"""),"রাজ্য নির্বাচন কর")</f>
        <v>রাজ্য নির্বাচন কর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 t="str">
        <f>IFERROR(__xludf.DUMMYFUNCTION("""COMPUTED_VALUE"""),"Close ")</f>
        <v>Close </v>
      </c>
      <c r="B680" s="2" t="str">
        <f>IFERROR(__xludf.DUMMYFUNCTION("""COMPUTED_VALUE"""),"Close ")</f>
        <v>Close </v>
      </c>
      <c r="C680" s="2">
        <f>IFERROR(__xludf.DUMMYFUNCTION("""COMPUTED_VALUE"""),0.1)</f>
        <v>0.1</v>
      </c>
      <c r="D680" s="2" t="str">
        <f>IFERROR(__xludf.DUMMYFUNCTION("""COMPUTED_VALUE"""),"বন্ধ")</f>
        <v>বন্ধ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 t="str">
        <f>IFERROR(__xludf.DUMMYFUNCTION("""COMPUTED_VALUE"""),"Open")</f>
        <v>Open</v>
      </c>
      <c r="B681" s="2" t="str">
        <f>IFERROR(__xludf.DUMMYFUNCTION("""COMPUTED_VALUE"""),"Open")</f>
        <v>Open</v>
      </c>
      <c r="C681" s="2">
        <f>IFERROR(__xludf.DUMMYFUNCTION("""COMPUTED_VALUE"""),0.1)</f>
        <v>0.1</v>
      </c>
      <c r="D681" s="2" t="str">
        <f>IFERROR(__xludf.DUMMYFUNCTION("""COMPUTED_VALUE"""),"খোলা")</f>
        <v>খোলা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 t="str">
        <f>IFERROR(__xludf.DUMMYFUNCTION("""COMPUTED_VALUE"""),"ReferandEarn")</f>
        <v>ReferandEarn</v>
      </c>
      <c r="B682" s="2" t="str">
        <f>IFERROR(__xludf.DUMMYFUNCTION("""COMPUTED_VALUE"""),"Refer and Earn")</f>
        <v>Refer and Earn</v>
      </c>
      <c r="C682" s="2">
        <f>IFERROR(__xludf.DUMMYFUNCTION("""COMPUTED_VALUE"""),0.1)</f>
        <v>0.1</v>
      </c>
      <c r="D682" s="2" t="str">
        <f>IFERROR(__xludf.DUMMYFUNCTION("""COMPUTED_VALUE"""),"উল্লেখ করুন এবং উপার্জন করুন")</f>
        <v>উল্লেখ করুন এবং উপার্জন করুন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 t="str">
        <f>IFERROR(__xludf.DUMMYFUNCTION("""COMPUTED_VALUE"""),"Shoppicture")</f>
        <v>Shoppicture</v>
      </c>
      <c r="B683" s="2" t="str">
        <f>IFERROR(__xludf.DUMMYFUNCTION("""COMPUTED_VALUE"""),"Shop Picture")</f>
        <v>Shop Picture</v>
      </c>
      <c r="C683" s="2">
        <f>IFERROR(__xludf.DUMMYFUNCTION("""COMPUTED_VALUE"""),0.1)</f>
        <v>0.1</v>
      </c>
      <c r="D683" s="2" t="str">
        <f>IFERROR(__xludf.DUMMYFUNCTION("""COMPUTED_VALUE"""),"দোকান ছবি")</f>
        <v>দোকান ছবি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 t="str">
        <f>IFERROR(__xludf.DUMMYFUNCTION("""COMPUTED_VALUE"""),"Edit")</f>
        <v>Edit</v>
      </c>
      <c r="B684" s="2" t="str">
        <f>IFERROR(__xludf.DUMMYFUNCTION("""COMPUTED_VALUE"""),"Edit")</f>
        <v>Edit</v>
      </c>
      <c r="C684" s="2">
        <f>IFERROR(__xludf.DUMMYFUNCTION("""COMPUTED_VALUE"""),0.1)</f>
        <v>0.1</v>
      </c>
      <c r="D684" s="2" t="str">
        <f>IFERROR(__xludf.DUMMYFUNCTION("""COMPUTED_VALUE"""),"সম্পাদনা")</f>
        <v>সম্পাদনা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 t="str">
        <f>IFERROR(__xludf.DUMMYFUNCTION("""COMPUTED_VALUE"""),"Wallet")</f>
        <v>Wallet</v>
      </c>
      <c r="B685" s="2" t="str">
        <f>IFERROR(__xludf.DUMMYFUNCTION("""COMPUTED_VALUE"""),"Wallet")</f>
        <v>Wallet</v>
      </c>
      <c r="C685" s="2">
        <f>IFERROR(__xludf.DUMMYFUNCTION("""COMPUTED_VALUE"""),0.1)</f>
        <v>0.1</v>
      </c>
      <c r="D685" s="2" t="str">
        <f>IFERROR(__xludf.DUMMYFUNCTION("""COMPUTED_VALUE"""),"ওয়ালেট")</f>
        <v>ওয়ালেট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 t="str">
        <f>IFERROR(__xludf.DUMMYFUNCTION("""COMPUTED_VALUE"""),"DeliveryOrderDetails")</f>
        <v>DeliveryOrderDetails</v>
      </c>
      <c r="B686" s="2" t="str">
        <f>IFERROR(__xludf.DUMMYFUNCTION("""COMPUTED_VALUE"""),"Delivery Order Details")</f>
        <v>Delivery Order Details</v>
      </c>
      <c r="C686" s="2">
        <f>IFERROR(__xludf.DUMMYFUNCTION("""COMPUTED_VALUE"""),0.4)</f>
        <v>0.4</v>
      </c>
      <c r="D686" s="2" t="str">
        <f>IFERROR(__xludf.DUMMYFUNCTION("""COMPUTED_VALUE"""),"বিতরণ আদেশের বিশদ")</f>
        <v>বিতরণ আদেশের বিশদ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 t="str">
        <f>IFERROR(__xludf.DUMMYFUNCTION("""COMPUTED_VALUE"""),"MyRewards ")</f>
        <v>MyRewards </v>
      </c>
      <c r="B687" s="2" t="str">
        <f>IFERROR(__xludf.DUMMYFUNCTION("""COMPUTED_VALUE"""),"My Rewards ")</f>
        <v>My Rewards </v>
      </c>
      <c r="C687" s="2">
        <f>IFERROR(__xludf.DUMMYFUNCTION("""COMPUTED_VALUE"""),0.1)</f>
        <v>0.1</v>
      </c>
      <c r="D687" s="2" t="str">
        <f>IFERROR(__xludf.DUMMYFUNCTION("""COMPUTED_VALUE"""),"আমার পুরষ্কার")</f>
        <v>আমার পুরষ্কার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 t="str">
        <f>IFERROR(__xludf.DUMMYFUNCTION("""COMPUTED_VALUE"""),"Invitepeoplefromyournetworkandlearncashrewards")</f>
        <v>Invitepeoplefromyournetworkandlearncashrewards</v>
      </c>
      <c r="B688" s="2" t="str">
        <f>IFERROR(__xludf.DUMMYFUNCTION("""COMPUTED_VALUE"""),"Invite people and earn cash rewards")</f>
        <v>Invite people and earn cash rewards</v>
      </c>
      <c r="C688" s="2">
        <f>IFERROR(__xludf.DUMMYFUNCTION("""COMPUTED_VALUE"""),0.1)</f>
        <v>0.1</v>
      </c>
      <c r="D688" s="2" t="str">
        <f>IFERROR(__xludf.DUMMYFUNCTION("""COMPUTED_VALUE"""),"মানুষকে আমন্ত্রণ জানান এবং নগদ পুরষ্কার অর্জন করুন")</f>
        <v>মানুষকে আমন্ত্রণ জানান এবং নগদ পুরষ্কার অর্জন করুন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 t="str">
        <f>IFERROR(__xludf.DUMMYFUNCTION("""COMPUTED_VALUE"""),"Getcashrewardsupto ")</f>
        <v>Getcashrewardsupto </v>
      </c>
      <c r="B689" s="2" t="str">
        <f>IFERROR(__xludf.DUMMYFUNCTION("""COMPUTED_VALUE"""),"Get Cash Rewards Upto ")</f>
        <v>Get Cash Rewards Upto </v>
      </c>
      <c r="C689" s="2">
        <f>IFERROR(__xludf.DUMMYFUNCTION("""COMPUTED_VALUE"""),0.1)</f>
        <v>0.1</v>
      </c>
      <c r="D689" s="2" t="str">
        <f>IFERROR(__xludf.DUMMYFUNCTION("""COMPUTED_VALUE"""),"পর্যন্ত নগদ পুরষ্কার পান")</f>
        <v>পর্যন্ত নগদ পুরষ্কার পান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 t="str">
        <f>IFERROR(__xludf.DUMMYFUNCTION("""COMPUTED_VALUE"""),"Invite ")</f>
        <v>Invite </v>
      </c>
      <c r="B690" s="2" t="str">
        <f>IFERROR(__xludf.DUMMYFUNCTION("""COMPUTED_VALUE"""),"Invite ")</f>
        <v>Invite </v>
      </c>
      <c r="C690" s="2">
        <f>IFERROR(__xludf.DUMMYFUNCTION("""COMPUTED_VALUE"""),0.1)</f>
        <v>0.1</v>
      </c>
      <c r="D690" s="2" t="str">
        <f>IFERROR(__xludf.DUMMYFUNCTION("""COMPUTED_VALUE"""),"আমন্ত্রণ")</f>
        <v>আমন্ত্রণ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 t="str">
        <f>IFERROR(__xludf.DUMMYFUNCTION("""COMPUTED_VALUE"""),"Cash")</f>
        <v>Cash</v>
      </c>
      <c r="B691" s="2" t="str">
        <f>IFERROR(__xludf.DUMMYFUNCTION("""COMPUTED_VALUE"""),"Cash")</f>
        <v>Cash</v>
      </c>
      <c r="C691" s="2">
        <f>IFERROR(__xludf.DUMMYFUNCTION("""COMPUTED_VALUE"""),0.3)</f>
        <v>0.3</v>
      </c>
      <c r="D691" s="2" t="str">
        <f>IFERROR(__xludf.DUMMYFUNCTION("""COMPUTED_VALUE"""),"নগদ")</f>
        <v>নগদ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 t="str">
        <f>IFERROR(__xludf.DUMMYFUNCTION("""COMPUTED_VALUE"""),"TotalReferal")</f>
        <v>TotalReferal</v>
      </c>
      <c r="B692" s="2" t="str">
        <f>IFERROR(__xludf.DUMMYFUNCTION("""COMPUTED_VALUE"""),"Total Referral")</f>
        <v>Total Referral</v>
      </c>
      <c r="C692" s="2">
        <f>IFERROR(__xludf.DUMMYFUNCTION("""COMPUTED_VALUE"""),0.1)</f>
        <v>0.1</v>
      </c>
      <c r="D692" s="2" t="str">
        <f>IFERROR(__xludf.DUMMYFUNCTION("""COMPUTED_VALUE"""),"মোট রেফারেল")</f>
        <v>মোট রেফারেল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 t="str">
        <f>IFERROR(__xludf.DUMMYFUNCTION("""COMPUTED_VALUE"""),"DeliveredOrderDetails")</f>
        <v>DeliveredOrderDetails</v>
      </c>
      <c r="B693" s="2" t="str">
        <f>IFERROR(__xludf.DUMMYFUNCTION("""COMPUTED_VALUE"""),"Delivered Order Details")</f>
        <v>Delivered Order Details</v>
      </c>
      <c r="C693" s="2">
        <f>IFERROR(__xludf.DUMMYFUNCTION("""COMPUTED_VALUE"""),0.3)</f>
        <v>0.3</v>
      </c>
      <c r="D693" s="2" t="str">
        <f>IFERROR(__xludf.DUMMYFUNCTION("""COMPUTED_VALUE"""),"অর্ডার বিশদ বিতরণ")</f>
        <v>অর্ডার বিশদ বিতরণ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 t="str">
        <f>IFERROR(__xludf.DUMMYFUNCTION("""COMPUTED_VALUE"""),"Acknowledge")</f>
        <v>Acknowledge</v>
      </c>
      <c r="B694" s="2" t="str">
        <f>IFERROR(__xludf.DUMMYFUNCTION("""COMPUTED_VALUE"""),"Acknowledge")</f>
        <v>Acknowledge</v>
      </c>
      <c r="C694" s="2">
        <f>IFERROR(__xludf.DUMMYFUNCTION("""COMPUTED_VALUE"""),0.1)</f>
        <v>0.1</v>
      </c>
      <c r="D694" s="2" t="str">
        <f>IFERROR(__xludf.DUMMYFUNCTION("""COMPUTED_VALUE"""),"স্বীকৃতি")</f>
        <v>স্বীকৃতি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 t="str">
        <f>IFERROR(__xludf.DUMMYFUNCTION("""COMPUTED_VALUE"""),"order")</f>
        <v>order</v>
      </c>
      <c r="B695" s="2" t="str">
        <f>IFERROR(__xludf.DUMMYFUNCTION("""COMPUTED_VALUE"""),"Order #")</f>
        <v>Order #</v>
      </c>
      <c r="C695" s="2">
        <f>IFERROR(__xludf.DUMMYFUNCTION("""COMPUTED_VALUE"""),0.4)</f>
        <v>0.4</v>
      </c>
      <c r="D695" s="2" t="str">
        <f>IFERROR(__xludf.DUMMYFUNCTION("""COMPUTED_VALUE"""),"অর্ডার #")</f>
        <v>অর্ডার #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 t="str">
        <f>IFERROR(__xludf.DUMMYFUNCTION("""COMPUTED_VALUE"""),"hours")</f>
        <v>hours</v>
      </c>
      <c r="B696" s="2" t="str">
        <f>IFERROR(__xludf.DUMMYFUNCTION("""COMPUTED_VALUE"""),"Hours")</f>
        <v>Hours</v>
      </c>
      <c r="C696" s="2">
        <f>IFERROR(__xludf.DUMMYFUNCTION("""COMPUTED_VALUE"""),0.1)</f>
        <v>0.1</v>
      </c>
      <c r="D696" s="2" t="str">
        <f>IFERROR(__xludf.DUMMYFUNCTION("""COMPUTED_VALUE"""),"ঘন্টার")</f>
        <v>ঘন্টার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 t="str">
        <f>IFERROR(__xludf.DUMMYFUNCTION("""COMPUTED_VALUE"""),"ProfileComplete")</f>
        <v>ProfileComplete</v>
      </c>
      <c r="B697" s="2" t="str">
        <f>IFERROR(__xludf.DUMMYFUNCTION("""COMPUTED_VALUE"""),"Profile Complete")</f>
        <v>Profile Complete</v>
      </c>
      <c r="C697" s="2">
        <f>IFERROR(__xludf.DUMMYFUNCTION("""COMPUTED_VALUE"""),0.1)</f>
        <v>0.1</v>
      </c>
      <c r="D697" s="2" t="str">
        <f>IFERROR(__xludf.DUMMYFUNCTION("""COMPUTED_VALUE"""),"প্রোফাইল সম্পূর্ণ")</f>
        <v>প্রোফাইল সম্পূর্ণ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 t="str">
        <f>IFERROR(__xludf.DUMMYFUNCTION("""COMPUTED_VALUE"""),"Referred ")</f>
        <v>Referred </v>
      </c>
      <c r="B698" s="2" t="str">
        <f>IFERROR(__xludf.DUMMYFUNCTION("""COMPUTED_VALUE"""),"Referred ")</f>
        <v>Referred </v>
      </c>
      <c r="C698" s="2">
        <f>IFERROR(__xludf.DUMMYFUNCTION("""COMPUTED_VALUE"""),0.1)</f>
        <v>0.1</v>
      </c>
      <c r="D698" s="2" t="str">
        <f>IFERROR(__xludf.DUMMYFUNCTION("""COMPUTED_VALUE"""),"উল্লেখ করা হয়েছে")</f>
        <v>উল্লেখ করা হয়েছে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 t="str">
        <f>IFERROR(__xludf.DUMMYFUNCTION("""COMPUTED_VALUE"""),"invite")</f>
        <v>invite</v>
      </c>
      <c r="B699" s="2" t="str">
        <f>IFERROR(__xludf.DUMMYFUNCTION("""COMPUTED_VALUE"""),"Invite")</f>
        <v>Invite</v>
      </c>
      <c r="C699" s="2">
        <f>IFERROR(__xludf.DUMMYFUNCTION("""COMPUTED_VALUE"""),0.1)</f>
        <v>0.1</v>
      </c>
      <c r="D699" s="2" t="str">
        <f>IFERROR(__xludf.DUMMYFUNCTION("""COMPUTED_VALUE"""),"আমন্ত্রণ")</f>
        <v>আমন্ত্রণ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 t="str">
        <f>IFERROR(__xludf.DUMMYFUNCTION("""COMPUTED_VALUE"""),"Instruction ")</f>
        <v>Instruction </v>
      </c>
      <c r="B700" s="2" t="str">
        <f>IFERROR(__xludf.DUMMYFUNCTION("""COMPUTED_VALUE"""),"Instruction ")</f>
        <v>Instruction </v>
      </c>
      <c r="C700" s="2">
        <f>IFERROR(__xludf.DUMMYFUNCTION("""COMPUTED_VALUE"""),0.2)</f>
        <v>0.2</v>
      </c>
      <c r="D700" s="2" t="str">
        <f>IFERROR(__xludf.DUMMYFUNCTION("""COMPUTED_VALUE"""),"নির্দেশ")</f>
        <v>নির্দেশ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 t="str">
        <f>IFERROR(__xludf.DUMMYFUNCTION("""COMPUTED_VALUE"""),"Deliveryvalet")</f>
        <v>Deliveryvalet</v>
      </c>
      <c r="B701" s="2" t="str">
        <f>IFERROR(__xludf.DUMMYFUNCTION("""COMPUTED_VALUE"""),"Delivery Valet")</f>
        <v>Delivery Valet</v>
      </c>
      <c r="C701" s="2">
        <f>IFERROR(__xludf.DUMMYFUNCTION("""COMPUTED_VALUE"""),0.1)</f>
        <v>0.1</v>
      </c>
      <c r="D701" s="2" t="str">
        <f>IFERROR(__xludf.DUMMYFUNCTION("""COMPUTED_VALUE"""),"ডেলিভারি ভ্যালেট")</f>
        <v>ডেলিভারি ভ্যালেট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 t="str">
        <f>IFERROR(__xludf.DUMMYFUNCTION("""COMPUTED_VALUE"""),"Wholeseller")</f>
        <v>Wholeseller</v>
      </c>
      <c r="B702" s="2" t="str">
        <f>IFERROR(__xludf.DUMMYFUNCTION("""COMPUTED_VALUE"""),"Wholesaler")</f>
        <v>Wholesaler</v>
      </c>
      <c r="C702" s="2">
        <f>IFERROR(__xludf.DUMMYFUNCTION("""COMPUTED_VALUE"""),0.1)</f>
        <v>0.1</v>
      </c>
      <c r="D702" s="2" t="str">
        <f>IFERROR(__xludf.DUMMYFUNCTION("""COMPUTED_VALUE"""),"পাইকার")</f>
        <v>পাইকার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 t="str">
        <f>IFERROR(__xludf.DUMMYFUNCTION("""COMPUTED_VALUE"""),"IncreaseEarningBy150")</f>
        <v>IncreaseEarningBy150</v>
      </c>
      <c r="B703" s="2" t="str">
        <f>IFERROR(__xludf.DUMMYFUNCTION("""COMPUTED_VALUE"""),"Increase Earning By 150% ")</f>
        <v>Increase Earning By 150% </v>
      </c>
      <c r="C703" s="2"/>
      <c r="D703" s="2" t="str">
        <f>IFERROR(__xludf.DUMMYFUNCTION("""COMPUTED_VALUE"""),"150% উপার্জন বৃদ্ধি করুন")</f>
        <v>150% উপার্জন বৃদ্ধি করুন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 t="str">
        <f>IFERROR(__xludf.DUMMYFUNCTION("""COMPUTED_VALUE"""),"Trader/Broker ")</f>
        <v>Trader/Broker </v>
      </c>
      <c r="B704" s="2" t="str">
        <f>IFERROR(__xludf.DUMMYFUNCTION("""COMPUTED_VALUE"""),"Trader/Broker ")</f>
        <v>Trader/Broker </v>
      </c>
      <c r="C704" s="2">
        <f>IFERROR(__xludf.DUMMYFUNCTION("""COMPUTED_VALUE"""),0.1)</f>
        <v>0.1</v>
      </c>
      <c r="D704" s="2" t="str">
        <f>IFERROR(__xludf.DUMMYFUNCTION("""COMPUTED_VALUE"""),"ব্যবসায়ী/ব্রোকার")</f>
        <v>ব্যবসায়ী/ব্রোকার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 t="str">
        <f>IFERROR(__xludf.DUMMYFUNCTION("""COMPUTED_VALUE"""),"Deliverypartner")</f>
        <v>Deliverypartner</v>
      </c>
      <c r="B705" s="2" t="str">
        <f>IFERROR(__xludf.DUMMYFUNCTION("""COMPUTED_VALUE"""),"Delivery Partner")</f>
        <v>Delivery Partner</v>
      </c>
      <c r="C705" s="2">
        <f>IFERROR(__xludf.DUMMYFUNCTION("""COMPUTED_VALUE"""),0.1)</f>
        <v>0.1</v>
      </c>
      <c r="D705" s="2" t="str">
        <f>IFERROR(__xludf.DUMMYFUNCTION("""COMPUTED_VALUE"""),"বিতরণ অংশীদার")</f>
        <v>বিতরণ অংশীদার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 t="str">
        <f>IFERROR(__xludf.DUMMYFUNCTION("""COMPUTED_VALUE"""),"Inviteesmobilenumber")</f>
        <v>Inviteesmobilenumber</v>
      </c>
      <c r="B706" s="2" t="str">
        <f>IFERROR(__xludf.DUMMYFUNCTION("""COMPUTED_VALUE"""),"Invitees Mobile Number ")</f>
        <v>Invitees Mobile Number </v>
      </c>
      <c r="C706" s="2">
        <f>IFERROR(__xludf.DUMMYFUNCTION("""COMPUTED_VALUE"""),0.1)</f>
        <v>0.1</v>
      </c>
      <c r="D706" s="2" t="str">
        <f>IFERROR(__xludf.DUMMYFUNCTION("""COMPUTED_VALUE"""),"আমন্ত্রণ মোবাইল নম্বর")</f>
        <v>আমন্ত্রণ মোবাইল নম্বর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 t="str">
        <f>IFERROR(__xludf.DUMMYFUNCTION("""COMPUTED_VALUE"""),"ReferralSMSsendsucessfully")</f>
        <v>ReferralSMSsendsucessfully</v>
      </c>
      <c r="B707" s="2" t="str">
        <f>IFERROR(__xludf.DUMMYFUNCTION("""COMPUTED_VALUE"""),"Referral SMS Sent Successfully")</f>
        <v>Referral SMS Sent Successfully</v>
      </c>
      <c r="C707" s="2">
        <f>IFERROR(__xludf.DUMMYFUNCTION("""COMPUTED_VALUE"""),0.1)</f>
        <v>0.1</v>
      </c>
      <c r="D707" s="2" t="str">
        <f>IFERROR(__xludf.DUMMYFUNCTION("""COMPUTED_VALUE"""),"রেফারেল এসএমএস সফলভাবে প্রেরণ করা হয়েছে")</f>
        <v>রেফারেল এসএমএস সফলভাবে প্রেরণ করা হয়েছে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 t="str">
        <f>IFERROR(__xludf.DUMMYFUNCTION("""COMPUTED_VALUE"""),"RequestingReferretoGiveaMissCallon")</f>
        <v>RequestingReferretoGiveaMissCallon</v>
      </c>
      <c r="B708" s="2" t="str">
        <f>IFERROR(__xludf.DUMMYFUNCTION("""COMPUTED_VALUE"""),"Requesting Referee to Give a Miss Call on")</f>
        <v>Requesting Referee to Give a Miss Call on</v>
      </c>
      <c r="C708" s="2">
        <f>IFERROR(__xludf.DUMMYFUNCTION("""COMPUTED_VALUE"""),0.1)</f>
        <v>0.1</v>
      </c>
      <c r="D708" s="2" t="str">
        <f>IFERROR(__xludf.DUMMYFUNCTION("""COMPUTED_VALUE"""),"রেফারিকে একটি মিস কল দেওয়ার জন্য অনুরোধ করা হচ্ছে")</f>
        <v>রেফারিকে একটি মিস কল দেওয়ার জন্য অনুরোধ করা হচ্ছে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 t="str">
        <f>IFERROR(__xludf.DUMMYFUNCTION("""COMPUTED_VALUE"""),"totalrewardsearn")</f>
        <v>totalrewardsearn</v>
      </c>
      <c r="B709" s="2" t="str">
        <f>IFERROR(__xludf.DUMMYFUNCTION("""COMPUTED_VALUE"""),"Total Rewards Earn ")</f>
        <v>Total Rewards Earn </v>
      </c>
      <c r="C709" s="2">
        <f>IFERROR(__xludf.DUMMYFUNCTION("""COMPUTED_VALUE"""),0.1)</f>
        <v>0.1</v>
      </c>
      <c r="D709" s="2" t="str">
        <f>IFERROR(__xludf.DUMMYFUNCTION("""COMPUTED_VALUE"""),"মোট পুরষ্কার উপার্জন")</f>
        <v>মোট পুরষ্কার উপার্জন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 t="str">
        <f>IFERROR(__xludf.DUMMYFUNCTION("""COMPUTED_VALUE"""),"MyReferrals")</f>
        <v>MyReferrals</v>
      </c>
      <c r="B710" s="2" t="str">
        <f>IFERROR(__xludf.DUMMYFUNCTION("""COMPUTED_VALUE"""),"My Referrals")</f>
        <v>My Referrals</v>
      </c>
      <c r="C710" s="2">
        <f>IFERROR(__xludf.DUMMYFUNCTION("""COMPUTED_VALUE"""),0.1)</f>
        <v>0.1</v>
      </c>
      <c r="D710" s="2" t="str">
        <f>IFERROR(__xludf.DUMMYFUNCTION("""COMPUTED_VALUE"""),"আমার রেফারেল")</f>
        <v>আমার রেফারেল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 t="str">
        <f>IFERROR(__xludf.DUMMYFUNCTION("""COMPUTED_VALUE"""),"IncreaseEarningBy ")</f>
        <v>IncreaseEarningBy </v>
      </c>
      <c r="B711" s="2" t="str">
        <f>IFERROR(__xludf.DUMMYFUNCTION("""COMPUTED_VALUE"""),"Increase Earning By ")</f>
        <v>Increase Earning By </v>
      </c>
      <c r="C711" s="2">
        <f>IFERROR(__xludf.DUMMYFUNCTION("""COMPUTED_VALUE"""),0.1)</f>
        <v>0.1</v>
      </c>
      <c r="D711" s="2" t="str">
        <f>IFERROR(__xludf.DUMMYFUNCTION("""COMPUTED_VALUE"""),"দ্বারা উপার্জন বৃদ্ধি")</f>
        <v>দ্বারা উপার্জন বৃদ্ধি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 t="str">
        <f>IFERROR(__xludf.DUMMYFUNCTION("""COMPUTED_VALUE"""),"IncreaseReferralEarningonEachsuccessfulinvite")</f>
        <v>IncreaseReferralEarningonEachsuccessfulinvite</v>
      </c>
      <c r="B712" s="2" t="str">
        <f>IFERROR(__xludf.DUMMYFUNCTION("""COMPUTED_VALUE"""),"Increase Referral Earning On Each Successful Invite")</f>
        <v>Increase Referral Earning On Each Successful Invite</v>
      </c>
      <c r="C712" s="2">
        <f>IFERROR(__xludf.DUMMYFUNCTION("""COMPUTED_VALUE"""),0.1)</f>
        <v>0.1</v>
      </c>
      <c r="D712" s="2" t="str">
        <f>IFERROR(__xludf.DUMMYFUNCTION("""COMPUTED_VALUE"""),"প্রতিটি সফল আমন্ত্রণে রেফারেল উপার্জন বৃদ্ধি করুন")</f>
        <v>প্রতিটি সফল আমন্ত্রণে রেফারেল উপার্জন বৃদ্ধি করুন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 t="str">
        <f>IFERROR(__xludf.DUMMYFUNCTION("""COMPUTED_VALUE"""),"Youcanwin")</f>
        <v>Youcanwin</v>
      </c>
      <c r="B713" s="2" t="str">
        <f>IFERROR(__xludf.DUMMYFUNCTION("""COMPUTED_VALUE"""),"You Can Win")</f>
        <v>You Can Win</v>
      </c>
      <c r="C713" s="2">
        <f>IFERROR(__xludf.DUMMYFUNCTION("""COMPUTED_VALUE"""),0.1)</f>
        <v>0.1</v>
      </c>
      <c r="D713" s="2" t="str">
        <f>IFERROR(__xludf.DUMMYFUNCTION("""COMPUTED_VALUE"""),"তুমি জিততে পারো")</f>
        <v>তুমি জিততে পারো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 t="str">
        <f>IFERROR(__xludf.DUMMYFUNCTION("""COMPUTED_VALUE"""),"YouWon")</f>
        <v>YouWon</v>
      </c>
      <c r="B714" s="2" t="str">
        <f>IFERROR(__xludf.DUMMYFUNCTION("""COMPUTED_VALUE"""),"You Won")</f>
        <v>You Won</v>
      </c>
      <c r="C714" s="2">
        <f>IFERROR(__xludf.DUMMYFUNCTION("""COMPUTED_VALUE"""),0.1)</f>
        <v>0.1</v>
      </c>
      <c r="D714" s="2" t="str">
        <f>IFERROR(__xludf.DUMMYFUNCTION("""COMPUTED_VALUE"""),"তুমি জিতেছিলে")</f>
        <v>তুমি জিতেছিলে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 t="str">
        <f>IFERROR(__xludf.DUMMYFUNCTION("""COMPUTED_VALUE"""),"ByReferring ")</f>
        <v>ByReferring </v>
      </c>
      <c r="B715" s="2" t="str">
        <f>IFERROR(__xludf.DUMMYFUNCTION("""COMPUTED_VALUE"""),"By Referring ")</f>
        <v>By Referring </v>
      </c>
      <c r="C715" s="2">
        <f>IFERROR(__xludf.DUMMYFUNCTION("""COMPUTED_VALUE"""),0.1)</f>
        <v>0.1</v>
      </c>
      <c r="D715" s="2" t="str">
        <f>IFERROR(__xludf.DUMMYFUNCTION("""COMPUTED_VALUE"""),"উল্লেখ করে")</f>
        <v>উল্লেখ করে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 t="str">
        <f>IFERROR(__xludf.DUMMYFUNCTION("""COMPUTED_VALUE"""),"Completed")</f>
        <v>Completed</v>
      </c>
      <c r="B716" s="2" t="str">
        <f>IFERROR(__xludf.DUMMYFUNCTION("""COMPUTED_VALUE"""),"Completed")</f>
        <v>Completed</v>
      </c>
      <c r="C716" s="2">
        <f>IFERROR(__xludf.DUMMYFUNCTION("""COMPUTED_VALUE"""),0.1)</f>
        <v>0.1</v>
      </c>
      <c r="D716" s="2" t="str">
        <f>IFERROR(__xludf.DUMMYFUNCTION("""COMPUTED_VALUE"""),"সম্পূর্ণ")</f>
        <v>সম্পূর্ণ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 t="str">
        <f>IFERROR(__xludf.DUMMYFUNCTION("""COMPUTED_VALUE"""),"Incompleted")</f>
        <v>Incompleted</v>
      </c>
      <c r="B717" s="2" t="str">
        <f>IFERROR(__xludf.DUMMYFUNCTION("""COMPUTED_VALUE"""),"Incompleted")</f>
        <v>Incompleted</v>
      </c>
      <c r="C717" s="2">
        <f>IFERROR(__xludf.DUMMYFUNCTION("""COMPUTED_VALUE"""),0.1)</f>
        <v>0.1</v>
      </c>
      <c r="D717" s="2" t="str">
        <f>IFERROR(__xludf.DUMMYFUNCTION("""COMPUTED_VALUE"""),"অসম্পূর্ণ")</f>
        <v>অসম্পূর্ণ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 t="str">
        <f>IFERROR(__xludf.DUMMYFUNCTION("""COMPUTED_VALUE"""),"Referralstatus ")</f>
        <v>Referralstatus </v>
      </c>
      <c r="B718" s="2" t="str">
        <f>IFERROR(__xludf.DUMMYFUNCTION("""COMPUTED_VALUE"""),"Referral Status ")</f>
        <v>Referral Status </v>
      </c>
      <c r="C718" s="2">
        <f>IFERROR(__xludf.DUMMYFUNCTION("""COMPUTED_VALUE"""),0.1)</f>
        <v>0.1</v>
      </c>
      <c r="D718" s="2" t="str">
        <f>IFERROR(__xludf.DUMMYFUNCTION("""COMPUTED_VALUE"""),"রেফারেল স্ট্যাটাস")</f>
        <v>রেফারেল স্ট্যাটাস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 t="str">
        <f>IFERROR(__xludf.DUMMYFUNCTION("""COMPUTED_VALUE"""),"Ordered ")</f>
        <v>Ordered </v>
      </c>
      <c r="B719" s="2" t="str">
        <f>IFERROR(__xludf.DUMMYFUNCTION("""COMPUTED_VALUE"""),"Ordered ")</f>
        <v>Ordered </v>
      </c>
      <c r="C719" s="2">
        <f>IFERROR(__xludf.DUMMYFUNCTION("""COMPUTED_VALUE"""),0.1)</f>
        <v>0.1</v>
      </c>
      <c r="D719" s="2" t="str">
        <f>IFERROR(__xludf.DUMMYFUNCTION("""COMPUTED_VALUE"""),"আদেশ")</f>
        <v>আদেশ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 t="str">
        <f>IFERROR(__xludf.DUMMYFUNCTION("""COMPUTED_VALUE"""),"Firstorder ")</f>
        <v>Firstorder </v>
      </c>
      <c r="B720" s="2" t="str">
        <f>IFERROR(__xludf.DUMMYFUNCTION("""COMPUTED_VALUE"""),"First order ")</f>
        <v>First order </v>
      </c>
      <c r="C720" s="2">
        <f>IFERROR(__xludf.DUMMYFUNCTION("""COMPUTED_VALUE"""),0.1)</f>
        <v>0.1</v>
      </c>
      <c r="D720" s="2" t="str">
        <f>IFERROR(__xludf.DUMMYFUNCTION("""COMPUTED_VALUE"""),"প্রথম আদেশ")</f>
        <v>প্রথম আদেশ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 t="str">
        <f>IFERROR(__xludf.DUMMYFUNCTION("""COMPUTED_VALUE"""),"Signup ")</f>
        <v>Signup </v>
      </c>
      <c r="B721" s="2" t="str">
        <f>IFERROR(__xludf.DUMMYFUNCTION("""COMPUTED_VALUE"""),"Sign Up ")</f>
        <v>Sign Up </v>
      </c>
      <c r="C721" s="2">
        <f>IFERROR(__xludf.DUMMYFUNCTION("""COMPUTED_VALUE"""),0.1)</f>
        <v>0.1</v>
      </c>
      <c r="D721" s="2" t="str">
        <f>IFERROR(__xludf.DUMMYFUNCTION("""COMPUTED_VALUE"""),"নিবন্ধন করুন")</f>
        <v>নিবন্ধন করুন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 t="str">
        <f>IFERROR(__xludf.DUMMYFUNCTION("""COMPUTED_VALUE"""),"ProfileCompleted")</f>
        <v>ProfileCompleted</v>
      </c>
      <c r="B722" s="2" t="str">
        <f>IFERROR(__xludf.DUMMYFUNCTION("""COMPUTED_VALUE"""),"Profile Completed")</f>
        <v>Profile Completed</v>
      </c>
      <c r="C722" s="2">
        <f>IFERROR(__xludf.DUMMYFUNCTION("""COMPUTED_VALUE"""),0.1)</f>
        <v>0.1</v>
      </c>
      <c r="D722" s="2" t="str">
        <f>IFERROR(__xludf.DUMMYFUNCTION("""COMPUTED_VALUE"""),"প্রোফাইল সম্পূর্ণ")</f>
        <v>প্রোফাইল সম্পূর্ণ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 t="str">
        <f>IFERROR(__xludf.DUMMYFUNCTION("""COMPUTED_VALUE"""),"Reminder")</f>
        <v>Reminder</v>
      </c>
      <c r="B723" s="2" t="str">
        <f>IFERROR(__xludf.DUMMYFUNCTION("""COMPUTED_VALUE"""),"Reminder")</f>
        <v>Reminder</v>
      </c>
      <c r="C723" s="2">
        <f>IFERROR(__xludf.DUMMYFUNCTION("""COMPUTED_VALUE"""),0.0999999999999998)</f>
        <v>0.1</v>
      </c>
      <c r="D723" s="2" t="str">
        <f>IFERROR(__xludf.DUMMYFUNCTION("""COMPUTED_VALUE"""),"অনুস্মারক")</f>
        <v>অনুস্মারক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 t="str">
        <f>IFERROR(__xludf.DUMMYFUNCTION("""COMPUTED_VALUE"""),"SelectLanguage ")</f>
        <v>SelectLanguage </v>
      </c>
      <c r="B724" s="2" t="str">
        <f>IFERROR(__xludf.DUMMYFUNCTION("""COMPUTED_VALUE"""),"Select Language ")</f>
        <v>Select Language </v>
      </c>
      <c r="C724" s="2">
        <f>IFERROR(__xludf.DUMMYFUNCTION("""COMPUTED_VALUE"""),0.1)</f>
        <v>0.1</v>
      </c>
      <c r="D724" s="2" t="str">
        <f>IFERROR(__xludf.DUMMYFUNCTION("""COMPUTED_VALUE"""),"ভাষা নির্বাচন কর")</f>
        <v>ভাষা নির্বাচন কর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 t="str">
        <f>IFERROR(__xludf.DUMMYFUNCTION("""COMPUTED_VALUE"""),"SearchAddress")</f>
        <v>SearchAddress</v>
      </c>
      <c r="B725" s="2" t="str">
        <f>IFERROR(__xludf.DUMMYFUNCTION("""COMPUTED_VALUE"""),"Search Address")</f>
        <v>Search Address</v>
      </c>
      <c r="C725" s="2">
        <f>IFERROR(__xludf.DUMMYFUNCTION("""COMPUTED_VALUE"""),0.1)</f>
        <v>0.1</v>
      </c>
      <c r="D725" s="2" t="str">
        <f>IFERROR(__xludf.DUMMYFUNCTION("""COMPUTED_VALUE"""),"অনুসন্ধান ঠিকানা")</f>
        <v>অনুসন্ধান ঠিকানা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 t="str">
        <f>IFERROR(__xludf.DUMMYFUNCTION("""COMPUTED_VALUE"""),"InvitePeopleandearnCashRewards ")</f>
        <v>InvitePeopleandearnCashRewards </v>
      </c>
      <c r="B726" s="2" t="str">
        <f>IFERROR(__xludf.DUMMYFUNCTION("""COMPUTED_VALUE"""),"Invite People and earn Cash Rewards ")</f>
        <v>Invite People and earn Cash Rewards </v>
      </c>
      <c r="C726" s="2">
        <f>IFERROR(__xludf.DUMMYFUNCTION("""COMPUTED_VALUE"""),0.1)</f>
        <v>0.1</v>
      </c>
      <c r="D726" s="2" t="str">
        <f>IFERROR(__xludf.DUMMYFUNCTION("""COMPUTED_VALUE"""),"মানুষকে আমন্ত্রণ জানান এবং নগদ পুরষ্কার অর্জন করুন")</f>
        <v>মানুষকে আমন্ত্রণ জানান এবং নগদ পুরষ্কার অর্জন করুন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 t="str">
        <f>IFERROR(__xludf.DUMMYFUNCTION("""COMPUTED_VALUE"""),"SMSSendSucessfully ")</f>
        <v>SMSSendSucessfully </v>
      </c>
      <c r="B727" s="2" t="str">
        <f>IFERROR(__xludf.DUMMYFUNCTION("""COMPUTED_VALUE"""),"SMS Sent Successfully ")</f>
        <v>SMS Sent Successfully </v>
      </c>
      <c r="C727" s="2">
        <f>IFERROR(__xludf.DUMMYFUNCTION("""COMPUTED_VALUE"""),0.1)</f>
        <v>0.1</v>
      </c>
      <c r="D727" s="2" t="str">
        <f>IFERROR(__xludf.DUMMYFUNCTION("""COMPUTED_VALUE"""),"এসএমএস সফলভাবে প্রেরণ")</f>
        <v>এসএমএস সফলভাবে প্রেরণ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 t="str">
        <f>IFERROR(__xludf.DUMMYFUNCTION("""COMPUTED_VALUE"""),"IncreaseEarningoncashinvite")</f>
        <v>IncreaseEarningoncashinvite</v>
      </c>
      <c r="B728" s="2" t="str">
        <f>IFERROR(__xludf.DUMMYFUNCTION("""COMPUTED_VALUE"""),"Increase Earning on cash  invite")</f>
        <v>Increase Earning on cash  invite</v>
      </c>
      <c r="C728" s="2">
        <f>IFERROR(__xludf.DUMMYFUNCTION("""COMPUTED_VALUE"""),0.1)</f>
        <v>0.1</v>
      </c>
      <c r="D728" s="2" t="str">
        <f>IFERROR(__xludf.DUMMYFUNCTION("""COMPUTED_VALUE"""),"নগদ আমন্ত্রণে উপার্জন বৃদ্ধি")</f>
        <v>নগদ আমন্ত্রণে উপার্জন বৃদ্ধি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 t="str">
        <f>IFERROR(__xludf.DUMMYFUNCTION("""COMPUTED_VALUE"""),"Profile ")</f>
        <v>Profile </v>
      </c>
      <c r="B729" s="2" t="str">
        <f>IFERROR(__xludf.DUMMYFUNCTION("""COMPUTED_VALUE"""),"Profile ")</f>
        <v>Profile </v>
      </c>
      <c r="C729" s="2">
        <f>IFERROR(__xludf.DUMMYFUNCTION("""COMPUTED_VALUE"""),0.1)</f>
        <v>0.1</v>
      </c>
      <c r="D729" s="2" t="str">
        <f>IFERROR(__xludf.DUMMYFUNCTION("""COMPUTED_VALUE"""),"প্রোফাইল")</f>
        <v>প্রোফাইল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 t="str">
        <f>IFERROR(__xludf.DUMMYFUNCTION("""COMPUTED_VALUE"""),"Subscribed")</f>
        <v>Subscribed</v>
      </c>
      <c r="B730" s="2" t="str">
        <f>IFERROR(__xludf.DUMMYFUNCTION("""COMPUTED_VALUE"""),"Subscribed")</f>
        <v>Subscribed</v>
      </c>
      <c r="C730" s="2">
        <f>IFERROR(__xludf.DUMMYFUNCTION("""COMPUTED_VALUE"""),0.1)</f>
        <v>0.1</v>
      </c>
      <c r="D730" s="2" t="str">
        <f>IFERROR(__xludf.DUMMYFUNCTION("""COMPUTED_VALUE"""),"সাবস্ক্রাইব")</f>
        <v>সাবস্ক্রাইব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 t="str">
        <f>IFERROR(__xludf.DUMMYFUNCTION("""COMPUTED_VALUE"""),"Unsubscribed ")</f>
        <v>Unsubscribed </v>
      </c>
      <c r="B731" s="2" t="str">
        <f>IFERROR(__xludf.DUMMYFUNCTION("""COMPUTED_VALUE"""),"Unsubscribed")</f>
        <v>Unsubscribed</v>
      </c>
      <c r="C731" s="2">
        <f>IFERROR(__xludf.DUMMYFUNCTION("""COMPUTED_VALUE"""),0.1)</f>
        <v>0.1</v>
      </c>
      <c r="D731" s="2" t="str">
        <f>IFERROR(__xludf.DUMMYFUNCTION("""COMPUTED_VALUE"""),"সাবস্ক্রাইবড")</f>
        <v>সাবস্ক্রাইবড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 t="str">
        <f>IFERROR(__xludf.DUMMYFUNCTION("""COMPUTED_VALUE"""),"IncreaseEarningoneachinvite")</f>
        <v>IncreaseEarningoneachinvite</v>
      </c>
      <c r="B732" s="2" t="str">
        <f>IFERROR(__xludf.DUMMYFUNCTION("""COMPUTED_VALUE"""),"Increase earning on each invite")</f>
        <v>Increase earning on each invite</v>
      </c>
      <c r="C732" s="2">
        <f>IFERROR(__xludf.DUMMYFUNCTION("""COMPUTED_VALUE"""),0.1)</f>
        <v>0.1</v>
      </c>
      <c r="D732" s="2" t="str">
        <f>IFERROR(__xludf.DUMMYFUNCTION("""COMPUTED_VALUE"""),"প্রতিটি আমন্ত্রণে উপার্জন বৃদ্ধি করুন")</f>
        <v>প্রতিটি আমন্ত্রণে উপার্জন বৃদ্ধি করুন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 t="str">
        <f>IFERROR(__xludf.DUMMYFUNCTION("""COMPUTED_VALUE"""),"ProductorCategory ")</f>
        <v>ProductorCategory </v>
      </c>
      <c r="B733" s="2" t="str">
        <f>IFERROR(__xludf.DUMMYFUNCTION("""COMPUTED_VALUE"""),"Product or Category ")</f>
        <v>Product or Category </v>
      </c>
      <c r="C733" s="2">
        <f>IFERROR(__xludf.DUMMYFUNCTION("""COMPUTED_VALUE"""),0.2)</f>
        <v>0.2</v>
      </c>
      <c r="D733" s="2" t="str">
        <f>IFERROR(__xludf.DUMMYFUNCTION("""COMPUTED_VALUE"""),"পণ্য বা বিভাগ")</f>
        <v>পণ্য বা বিভাগ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 t="str">
        <f>IFERROR(__xludf.DUMMYFUNCTION("""COMPUTED_VALUE"""),"catalogmanagement ")</f>
        <v>catalogmanagement </v>
      </c>
      <c r="B735" s="2" t="str">
        <f>IFERROR(__xludf.DUMMYFUNCTION("""COMPUTED_VALUE"""),"Catalog Management ")</f>
        <v>Catalog Management </v>
      </c>
      <c r="C735" s="2">
        <f>IFERROR(__xludf.DUMMYFUNCTION("""COMPUTED_VALUE"""),0.2)</f>
        <v>0.2</v>
      </c>
      <c r="D735" s="2" t="str">
        <f>IFERROR(__xludf.DUMMYFUNCTION("""COMPUTED_VALUE"""),"ক্যাটালগ পরিচালনা")</f>
        <v>ক্যাটালগ পরিচালনা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 t="str">
        <f>IFERROR(__xludf.DUMMYFUNCTION("""COMPUTED_VALUE"""),"PaymentManagement")</f>
        <v>PaymentManagement</v>
      </c>
      <c r="B736" s="2" t="str">
        <f>IFERROR(__xludf.DUMMYFUNCTION("""COMPUTED_VALUE"""),"Payment Management")</f>
        <v>Payment Management</v>
      </c>
      <c r="C736" s="2">
        <f>IFERROR(__xludf.DUMMYFUNCTION("""COMPUTED_VALUE"""),0.2)</f>
        <v>0.2</v>
      </c>
      <c r="D736" s="2" t="str">
        <f>IFERROR(__xludf.DUMMYFUNCTION("""COMPUTED_VALUE"""),"পেমেন্ট ম্যানেজমেন্ট")</f>
        <v>পেমেন্ট ম্যানেজমেন্ট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 t="str">
        <f>IFERROR(__xludf.DUMMYFUNCTION("""COMPUTED_VALUE"""),"DeliveryManagement ")</f>
        <v>DeliveryManagement </v>
      </c>
      <c r="B737" s="2" t="str">
        <f>IFERROR(__xludf.DUMMYFUNCTION("""COMPUTED_VALUE"""),"Delivery Management ")</f>
        <v>Delivery Management </v>
      </c>
      <c r="C737" s="2">
        <f>IFERROR(__xludf.DUMMYFUNCTION("""COMPUTED_VALUE"""),0.2)</f>
        <v>0.2</v>
      </c>
      <c r="D737" s="2" t="str">
        <f>IFERROR(__xludf.DUMMYFUNCTION("""COMPUTED_VALUE"""),"বিতরণ ব্যবস্থাপনা")</f>
        <v>বিতরণ ব্যবস্থাপনা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 t="str">
        <f>IFERROR(__xludf.DUMMYFUNCTION("""COMPUTED_VALUE"""),"OrderManagement ")</f>
        <v>OrderManagement </v>
      </c>
      <c r="B738" s="2" t="str">
        <f>IFERROR(__xludf.DUMMYFUNCTION("""COMPUTED_VALUE"""),"Order Management ")</f>
        <v>Order Management </v>
      </c>
      <c r="C738" s="2">
        <f>IFERROR(__xludf.DUMMYFUNCTION("""COMPUTED_VALUE"""),0.2)</f>
        <v>0.2</v>
      </c>
      <c r="D738" s="2" t="str">
        <f>IFERROR(__xludf.DUMMYFUNCTION("""COMPUTED_VALUE"""),"নির্দেশ ব্যাবস্থাপনা")</f>
        <v>নির্দেশ ব্যাবস্থাপনা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 t="str">
        <f>IFERROR(__xludf.DUMMYFUNCTION("""COMPUTED_VALUE"""),"CustomerService ")</f>
        <v>CustomerService </v>
      </c>
      <c r="B739" s="2" t="str">
        <f>IFERROR(__xludf.DUMMYFUNCTION("""COMPUTED_VALUE"""),"Customer Service ")</f>
        <v>Customer Service </v>
      </c>
      <c r="C739" s="2">
        <f>IFERROR(__xludf.DUMMYFUNCTION("""COMPUTED_VALUE"""),0.2)</f>
        <v>0.2</v>
      </c>
      <c r="D739" s="2" t="str">
        <f>IFERROR(__xludf.DUMMYFUNCTION("""COMPUTED_VALUE"""),"গ্রাহক সেবা")</f>
        <v>গ্রাহক সেবা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 t="str">
        <f>IFERROR(__xludf.DUMMYFUNCTION("""COMPUTED_VALUE"""),"Neworderdetails")</f>
        <v>Neworderdetails</v>
      </c>
      <c r="B740" s="2" t="str">
        <f>IFERROR(__xludf.DUMMYFUNCTION("""COMPUTED_VALUE"""),"New Order Details")</f>
        <v>New Order Details</v>
      </c>
      <c r="C740" s="2">
        <f>IFERROR(__xludf.DUMMYFUNCTION("""COMPUTED_VALUE"""),0.3)</f>
        <v>0.3</v>
      </c>
      <c r="D740" s="2" t="str">
        <f>IFERROR(__xludf.DUMMYFUNCTION("""COMPUTED_VALUE"""),"নতুন অর্ডার বিশদ")</f>
        <v>নতুন অর্ডার বিশদ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 t="str">
        <f>IFERROR(__xludf.DUMMYFUNCTION("""COMPUTED_VALUE"""),"ExpensesManagement ")</f>
        <v>ExpensesManagement </v>
      </c>
      <c r="B741" s="2" t="str">
        <f>IFERROR(__xludf.DUMMYFUNCTION("""COMPUTED_VALUE"""),"Expenses Management ")</f>
        <v>Expenses Management </v>
      </c>
      <c r="C741" s="2">
        <f>IFERROR(__xludf.DUMMYFUNCTION("""COMPUTED_VALUE"""),0.2)</f>
        <v>0.2</v>
      </c>
      <c r="D741" s="2" t="str">
        <f>IFERROR(__xludf.DUMMYFUNCTION("""COMPUTED_VALUE"""),"ব্যয় পরিচালনা")</f>
        <v>ব্যয় পরিচালনা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 t="str">
        <f>IFERROR(__xludf.DUMMYFUNCTION("""COMPUTED_VALUE"""),"InventoryManagement ")</f>
        <v>InventoryManagement </v>
      </c>
      <c r="B742" s="2" t="str">
        <f>IFERROR(__xludf.DUMMYFUNCTION("""COMPUTED_VALUE"""),"Inventory Management ")</f>
        <v>Inventory Management </v>
      </c>
      <c r="C742" s="2">
        <f>IFERROR(__xludf.DUMMYFUNCTION("""COMPUTED_VALUE"""),0.2)</f>
        <v>0.2</v>
      </c>
      <c r="D742" s="2" t="str">
        <f>IFERROR(__xludf.DUMMYFUNCTION("""COMPUTED_VALUE"""),"ইনভেন্টরি ম্যানেজমেন্ট")</f>
        <v>ইনভেন্টরি ম্যানেজমেন্ট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 t="str">
        <f>IFERROR(__xludf.DUMMYFUNCTION("""COMPUTED_VALUE"""),"Complain")</f>
        <v>Complain</v>
      </c>
      <c r="B743" s="2" t="str">
        <f>IFERROR(__xludf.DUMMYFUNCTION("""COMPUTED_VALUE"""),"Complain")</f>
        <v>Complain</v>
      </c>
      <c r="C743" s="2">
        <f>IFERROR(__xludf.DUMMYFUNCTION("""COMPUTED_VALUE"""),0.2)</f>
        <v>0.2</v>
      </c>
      <c r="D743" s="2" t="str">
        <f>IFERROR(__xludf.DUMMYFUNCTION("""COMPUTED_VALUE"""),"অভিযোগ")</f>
        <v>অভিযোগ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 t="str">
        <f>IFERROR(__xludf.DUMMYFUNCTION("""COMPUTED_VALUE"""),"AccountManager ")</f>
        <v>AccountManager </v>
      </c>
      <c r="B744" s="2" t="str">
        <f>IFERROR(__xludf.DUMMYFUNCTION("""COMPUTED_VALUE"""),"Account manager ")</f>
        <v>Account manager </v>
      </c>
      <c r="C744" s="2">
        <f>IFERROR(__xludf.DUMMYFUNCTION("""COMPUTED_VALUE"""),0.2)</f>
        <v>0.2</v>
      </c>
      <c r="D744" s="2" t="str">
        <f>IFERROR(__xludf.DUMMYFUNCTION("""COMPUTED_VALUE"""),"একাউন্ট ম্যানেজার")</f>
        <v>একাউন্ট ম্যানেজার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 t="str">
        <f>IFERROR(__xludf.DUMMYFUNCTION("""COMPUTED_VALUE"""),"ActiveOrder")</f>
        <v>ActiveOrder</v>
      </c>
      <c r="B745" s="2" t="str">
        <f>IFERROR(__xludf.DUMMYFUNCTION("""COMPUTED_VALUE"""),"Active Order")</f>
        <v>Active Order</v>
      </c>
      <c r="C745" s="2">
        <f>IFERROR(__xludf.DUMMYFUNCTION("""COMPUTED_VALUE"""),0.3)</f>
        <v>0.3</v>
      </c>
      <c r="D745" s="2" t="str">
        <f>IFERROR(__xludf.DUMMYFUNCTION("""COMPUTED_VALUE"""),"সক্রিয় আদেশ")</f>
        <v>সক্রিয় আদেশ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 t="str">
        <f>IFERROR(__xludf.DUMMYFUNCTION("""COMPUTED_VALUE"""),"Refer&amp;earn")</f>
        <v>Refer&amp;earn</v>
      </c>
      <c r="B746" s="2" t="str">
        <f>IFERROR(__xludf.DUMMYFUNCTION("""COMPUTED_VALUE"""),"Refer &amp; Earn")</f>
        <v>Refer &amp; Earn</v>
      </c>
      <c r="C746" s="2">
        <f>IFERROR(__xludf.DUMMYFUNCTION("""COMPUTED_VALUE"""),0.2)</f>
        <v>0.2</v>
      </c>
      <c r="D746" s="2" t="str">
        <f>IFERROR(__xludf.DUMMYFUNCTION("""COMPUTED_VALUE"""),"পড়ুন এবং উপার্জন করুন")</f>
        <v>পড়ুন এবং উপার্জন করুন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 t="str">
        <f>IFERROR(__xludf.DUMMYFUNCTION("""COMPUTED_VALUE"""),"gstin ")</f>
        <v>gstin </v>
      </c>
      <c r="B747" s="2" t="str">
        <f>IFERROR(__xludf.DUMMYFUNCTION("""COMPUTED_VALUE"""),"GSTIN")</f>
        <v>GSTIN</v>
      </c>
      <c r="C747" s="2">
        <f>IFERROR(__xludf.DUMMYFUNCTION("""COMPUTED_VALUE"""),0.2)</f>
        <v>0.2</v>
      </c>
      <c r="D747" s="2" t="str">
        <f>IFERROR(__xludf.DUMMYFUNCTION("""COMPUTED_VALUE"""),"গাস্টিন")</f>
        <v>গাস্টিন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 t="str">
        <f>IFERROR(__xludf.DUMMYFUNCTION("""COMPUTED_VALUE"""),"ActivePlan")</f>
        <v>ActivePlan</v>
      </c>
      <c r="B748" s="2" t="str">
        <f>IFERROR(__xludf.DUMMYFUNCTION("""COMPUTED_VALUE"""),"Active Plan")</f>
        <v>Active Plan</v>
      </c>
      <c r="C748" s="2">
        <f>IFERROR(__xludf.DUMMYFUNCTION("""COMPUTED_VALUE"""),0.2)</f>
        <v>0.2</v>
      </c>
      <c r="D748" s="2" t="str">
        <f>IFERROR(__xludf.DUMMYFUNCTION("""COMPUTED_VALUE"""),"সক্রিয় পরিকল্পনা")</f>
        <v>সক্রিয় পরিকল্পনা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 t="str">
        <f>IFERROR(__xludf.DUMMYFUNCTION("""COMPUTED_VALUE"""),"Expiresin20days ")</f>
        <v>Expiresin20days </v>
      </c>
      <c r="B749" s="2" t="str">
        <f>IFERROR(__xludf.DUMMYFUNCTION("""COMPUTED_VALUE"""),"Expires in 20 days ")</f>
        <v>Expires in 20 days </v>
      </c>
      <c r="C749" s="2">
        <f>IFERROR(__xludf.DUMMYFUNCTION("""COMPUTED_VALUE"""),0.2)</f>
        <v>0.2</v>
      </c>
      <c r="D749" s="2" t="str">
        <f>IFERROR(__xludf.DUMMYFUNCTION("""COMPUTED_VALUE"""),"20 দিনের মধ্যে শেষ হয়")</f>
        <v>20 দিনের মধ্যে শেষ হয়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 t="str">
        <f>IFERROR(__xludf.DUMMYFUNCTION("""COMPUTED_VALUE"""),"Invoice")</f>
        <v>Invoice</v>
      </c>
      <c r="B750" s="2" t="str">
        <f>IFERROR(__xludf.DUMMYFUNCTION("""COMPUTED_VALUE"""),"Invoice")</f>
        <v>Invoice</v>
      </c>
      <c r="C750" s="2">
        <f>IFERROR(__xludf.DUMMYFUNCTION("""COMPUTED_VALUE"""),0.2)</f>
        <v>0.2</v>
      </c>
      <c r="D750" s="2" t="str">
        <f>IFERROR(__xludf.DUMMYFUNCTION("""COMPUTED_VALUE"""),"চালান")</f>
        <v>চালান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 t="str">
        <f>IFERROR(__xludf.DUMMYFUNCTION("""COMPUTED_VALUE"""),"LastSubscriptionOn ")</f>
        <v>LastSubscriptionOn </v>
      </c>
      <c r="B751" s="2" t="str">
        <f>IFERROR(__xludf.DUMMYFUNCTION("""COMPUTED_VALUE"""),"Last Subscription On ")</f>
        <v>Last Subscription On </v>
      </c>
      <c r="C751" s="2">
        <f>IFERROR(__xludf.DUMMYFUNCTION("""COMPUTED_VALUE"""),0.2)</f>
        <v>0.2</v>
      </c>
      <c r="D751" s="2" t="str">
        <f>IFERROR(__xludf.DUMMYFUNCTION("""COMPUTED_VALUE"""),"শেষ সাবস্ক্রিপশন চালু")</f>
        <v>শেষ সাবস্ক্রিপশন চালু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 t="str">
        <f>IFERROR(__xludf.DUMMYFUNCTION("""COMPUTED_VALUE"""),"RenewPlan ")</f>
        <v>RenewPlan </v>
      </c>
      <c r="B752" s="2" t="str">
        <f>IFERROR(__xludf.DUMMYFUNCTION("""COMPUTED_VALUE"""),"Renew Plan ")</f>
        <v>Renew Plan </v>
      </c>
      <c r="C752" s="2">
        <f>IFERROR(__xludf.DUMMYFUNCTION("""COMPUTED_VALUE"""),0.2)</f>
        <v>0.2</v>
      </c>
      <c r="D752" s="2" t="str">
        <f>IFERROR(__xludf.DUMMYFUNCTION("""COMPUTED_VALUE"""),"পুনর্নবীকরণ পরিকল্পনা")</f>
        <v>পুনর্নবীকরণ পরিকল্পনা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 t="str">
        <f>IFERROR(__xludf.DUMMYFUNCTION("""COMPUTED_VALUE"""),"ViewOtherPlans")</f>
        <v>ViewOtherPlans</v>
      </c>
      <c r="B753" s="2" t="str">
        <f>IFERROR(__xludf.DUMMYFUNCTION("""COMPUTED_VALUE"""),"View Other Plans")</f>
        <v>View Other Plans</v>
      </c>
      <c r="C753" s="2">
        <f>IFERROR(__xludf.DUMMYFUNCTION("""COMPUTED_VALUE"""),0.2)</f>
        <v>0.2</v>
      </c>
      <c r="D753" s="2" t="str">
        <f>IFERROR(__xludf.DUMMYFUNCTION("""COMPUTED_VALUE"""),"অন্যান্য পরিকল্পনা দেখুন")</f>
        <v>অন্যান্য পরিকল্পনা দেখুন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 t="str">
        <f>IFERROR(__xludf.DUMMYFUNCTION("""COMPUTED_VALUE"""),"Offer ")</f>
        <v>Offer </v>
      </c>
      <c r="B754" s="2" t="str">
        <f>IFERROR(__xludf.DUMMYFUNCTION("""COMPUTED_VALUE"""),"Offer ")</f>
        <v>Offer </v>
      </c>
      <c r="C754" s="2">
        <f>IFERROR(__xludf.DUMMYFUNCTION("""COMPUTED_VALUE"""),0.2)</f>
        <v>0.2</v>
      </c>
      <c r="D754" s="2" t="str">
        <f>IFERROR(__xludf.DUMMYFUNCTION("""COMPUTED_VALUE"""),"অফার")</f>
        <v>অফার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 t="str">
        <f>IFERROR(__xludf.DUMMYFUNCTION("""COMPUTED_VALUE"""),"EntryName ")</f>
        <v>EntryName </v>
      </c>
      <c r="B755" s="2" t="str">
        <f>IFERROR(__xludf.DUMMYFUNCTION("""COMPUTED_VALUE"""),"Entry Name ")</f>
        <v>Entry Name </v>
      </c>
      <c r="C755" s="2">
        <f>IFERROR(__xludf.DUMMYFUNCTION("""COMPUTED_VALUE"""),0.2)</f>
        <v>0.2</v>
      </c>
      <c r="D755" s="2" t="str">
        <f>IFERROR(__xludf.DUMMYFUNCTION("""COMPUTED_VALUE"""),"প্রবেশের নাম")</f>
        <v>প্রবেশের নাম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 t="str">
        <f>IFERROR(__xludf.DUMMYFUNCTION("""COMPUTED_VALUE"""),"GSTINNumber ")</f>
        <v>GSTINNumber </v>
      </c>
      <c r="B756" s="2" t="str">
        <f>IFERROR(__xludf.DUMMYFUNCTION("""COMPUTED_VALUE"""),"GSTIN Number ")</f>
        <v>GSTIN Number </v>
      </c>
      <c r="C756" s="2">
        <f>IFERROR(__xludf.DUMMYFUNCTION("""COMPUTED_VALUE"""),0.2)</f>
        <v>0.2</v>
      </c>
      <c r="D756" s="2" t="str">
        <f>IFERROR(__xludf.DUMMYFUNCTION("""COMPUTED_VALUE"""),"জিএসটিন নম্বর")</f>
        <v>জিএসটিন নম্বর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 t="str">
        <f>IFERROR(__xludf.DUMMYFUNCTION("""COMPUTED_VALUE"""),"BasicSubscription ")</f>
        <v>BasicSubscription </v>
      </c>
      <c r="B757" s="2" t="str">
        <f>IFERROR(__xludf.DUMMYFUNCTION("""COMPUTED_VALUE"""),"Basic Subscription ")</f>
        <v>Basic Subscription </v>
      </c>
      <c r="C757" s="2">
        <f>IFERROR(__xludf.DUMMYFUNCTION("""COMPUTED_VALUE"""),0.2)</f>
        <v>0.2</v>
      </c>
      <c r="D757" s="2" t="str">
        <f>IFERROR(__xludf.DUMMYFUNCTION("""COMPUTED_VALUE"""),"বেসিক সাবস্ক্রিপশন")</f>
        <v>বেসিক সাবস্ক্রিপশন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 t="str">
        <f>IFERROR(__xludf.DUMMYFUNCTION("""COMPUTED_VALUE"""),"GST")</f>
        <v>GST</v>
      </c>
      <c r="B758" s="2" t="str">
        <f>IFERROR(__xludf.DUMMYFUNCTION("""COMPUTED_VALUE"""),"GST")</f>
        <v>GST</v>
      </c>
      <c r="C758" s="2">
        <f>IFERROR(__xludf.DUMMYFUNCTION("""COMPUTED_VALUE"""),0.2)</f>
        <v>0.2</v>
      </c>
      <c r="D758" s="2" t="str">
        <f>IFERROR(__xludf.DUMMYFUNCTION("""COMPUTED_VALUE"""),"জিএসটি")</f>
        <v>জিএসটি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 t="str">
        <f>IFERROR(__xludf.DUMMYFUNCTION("""COMPUTED_VALUE"""),"TotalAmount ")</f>
        <v>TotalAmount </v>
      </c>
      <c r="B759" s="2" t="str">
        <f>IFERROR(__xludf.DUMMYFUNCTION("""COMPUTED_VALUE"""),"Total Amount ")</f>
        <v>Total Amount </v>
      </c>
      <c r="C759" s="2">
        <f>IFERROR(__xludf.DUMMYFUNCTION("""COMPUTED_VALUE"""),0.2)</f>
        <v>0.2</v>
      </c>
      <c r="D759" s="2" t="str">
        <f>IFERROR(__xludf.DUMMYFUNCTION("""COMPUTED_VALUE"""),"সর্বমোট পরিমাণ")</f>
        <v>সর্বমোট পরিমাণ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 t="str">
        <f>IFERROR(__xludf.DUMMYFUNCTION("""COMPUTED_VALUE"""),"AddProduct ")</f>
        <v>AddProduct </v>
      </c>
      <c r="B760" s="2" t="str">
        <f>IFERROR(__xludf.DUMMYFUNCTION("""COMPUTED_VALUE"""),"Add Product ")</f>
        <v>Add Product </v>
      </c>
      <c r="C760" s="2">
        <f>IFERROR(__xludf.DUMMYFUNCTION("""COMPUTED_VALUE"""),0.2)</f>
        <v>0.2</v>
      </c>
      <c r="D760" s="2" t="str">
        <f>IFERROR(__xludf.DUMMYFUNCTION("""COMPUTED_VALUE"""),"পণ্য যুক্ত করুন")</f>
        <v>পণ্য যুক্ত করুন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 t="str">
        <f>IFERROR(__xludf.DUMMYFUNCTION("""COMPUTED_VALUE"""),"UpdateProduct")</f>
        <v>UpdateProduct</v>
      </c>
      <c r="B761" s="2" t="str">
        <f>IFERROR(__xludf.DUMMYFUNCTION("""COMPUTED_VALUE"""),"Update Product")</f>
        <v>Update Product</v>
      </c>
      <c r="C761" s="2">
        <f>IFERROR(__xludf.DUMMYFUNCTION("""COMPUTED_VALUE"""),0.2)</f>
        <v>0.2</v>
      </c>
      <c r="D761" s="2" t="str">
        <f>IFERROR(__xludf.DUMMYFUNCTION("""COMPUTED_VALUE"""),"পণ্য আপডেট করুন")</f>
        <v>পণ্য আপডেট করুন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 t="str">
        <f>IFERROR(__xludf.DUMMYFUNCTION("""COMPUTED_VALUE"""),"RecommendedProduct ")</f>
        <v>RecommendedProduct </v>
      </c>
      <c r="B762" s="2" t="str">
        <f>IFERROR(__xludf.DUMMYFUNCTION("""COMPUTED_VALUE"""),"Recommended Product ")</f>
        <v>Recommended Product </v>
      </c>
      <c r="C762" s="2">
        <f>IFERROR(__xludf.DUMMYFUNCTION("""COMPUTED_VALUE"""),0.2)</f>
        <v>0.2</v>
      </c>
      <c r="D762" s="2" t="str">
        <f>IFERROR(__xludf.DUMMYFUNCTION("""COMPUTED_VALUE"""),"প্রস্তাবিত পণ্য")</f>
        <v>প্রস্তাবিত পণ্য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 t="str">
        <f>IFERROR(__xludf.DUMMYFUNCTION("""COMPUTED_VALUE"""),"Mycatalog ")</f>
        <v>Mycatalog </v>
      </c>
      <c r="B763" s="2" t="str">
        <f>IFERROR(__xludf.DUMMYFUNCTION("""COMPUTED_VALUE"""),"My Catalog ")</f>
        <v>My Catalog </v>
      </c>
      <c r="C763" s="2">
        <f>IFERROR(__xludf.DUMMYFUNCTION("""COMPUTED_VALUE"""),0.2)</f>
        <v>0.2</v>
      </c>
      <c r="D763" s="2" t="str">
        <f>IFERROR(__xludf.DUMMYFUNCTION("""COMPUTED_VALUE"""),"আমার ক্যাটালগ")</f>
        <v>আমার ক্যাটালগ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 t="str">
        <f>IFERROR(__xludf.DUMMYFUNCTION("""COMPUTED_VALUE"""),"SelectProducts ")</f>
        <v>SelectProducts </v>
      </c>
      <c r="B764" s="2" t="str">
        <f>IFERROR(__xludf.DUMMYFUNCTION("""COMPUTED_VALUE"""),"Select Products ")</f>
        <v>Select Products </v>
      </c>
      <c r="C764" s="2">
        <f>IFERROR(__xludf.DUMMYFUNCTION("""COMPUTED_VALUE"""),0.2)</f>
        <v>0.2</v>
      </c>
      <c r="D764" s="2" t="str">
        <f>IFERROR(__xludf.DUMMYFUNCTION("""COMPUTED_VALUE"""),"পণ্য নির্বাচন করুন")</f>
        <v>পণ্য নির্বাচন করুন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 t="str">
        <f>IFERROR(__xludf.DUMMYFUNCTION("""COMPUTED_VALUE"""),"Selectall")</f>
        <v>Selectall</v>
      </c>
      <c r="B765" s="2" t="str">
        <f>IFERROR(__xludf.DUMMYFUNCTION("""COMPUTED_VALUE"""),"Select All")</f>
        <v>Select All</v>
      </c>
      <c r="C765" s="2">
        <f>IFERROR(__xludf.DUMMYFUNCTION("""COMPUTED_VALUE"""),0.2)</f>
        <v>0.2</v>
      </c>
      <c r="D765" s="2" t="str">
        <f>IFERROR(__xludf.DUMMYFUNCTION("""COMPUTED_VALUE"""),"সমস্ত নির্বাচন করুন")</f>
        <v>সমস্ত নির্বাচন করুন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 t="str">
        <f>IFERROR(__xludf.DUMMYFUNCTION("""COMPUTED_VALUE"""),"Unpublished ")</f>
        <v>Unpublished </v>
      </c>
      <c r="B766" s="2" t="str">
        <f>IFERROR(__xludf.DUMMYFUNCTION("""COMPUTED_VALUE"""),"Unpublished ")</f>
        <v>Unpublished </v>
      </c>
      <c r="C766" s="2">
        <f>IFERROR(__xludf.DUMMYFUNCTION("""COMPUTED_VALUE"""),0.2)</f>
        <v>0.2</v>
      </c>
      <c r="D766" s="2" t="str">
        <f>IFERROR(__xludf.DUMMYFUNCTION("""COMPUTED_VALUE"""),"অপ্রকাশিত")</f>
        <v>অপ্রকাশিত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 t="str">
        <f>IFERROR(__xludf.DUMMYFUNCTION("""COMPUTED_VALUE"""),"PreOrder ")</f>
        <v>PreOrder </v>
      </c>
      <c r="B767" s="2" t="str">
        <f>IFERROR(__xludf.DUMMYFUNCTION("""COMPUTED_VALUE"""),"Pre Order ")</f>
        <v>Pre Order </v>
      </c>
      <c r="C767" s="2">
        <f>IFERROR(__xludf.DUMMYFUNCTION("""COMPUTED_VALUE"""),0.2)</f>
        <v>0.2</v>
      </c>
      <c r="D767" s="2" t="str">
        <f>IFERROR(__xludf.DUMMYFUNCTION("""COMPUTED_VALUE"""),"পূর্বাদেশ")</f>
        <v>পূর্বাদেশ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 t="str">
        <f>IFERROR(__xludf.DUMMYFUNCTION("""COMPUTED_VALUE"""),"SellingPrice ")</f>
        <v>SellingPrice </v>
      </c>
      <c r="B768" s="2" t="str">
        <f>IFERROR(__xludf.DUMMYFUNCTION("""COMPUTED_VALUE"""),"Selling Price ")</f>
        <v>Selling Price </v>
      </c>
      <c r="C768" s="2">
        <f>IFERROR(__xludf.DUMMYFUNCTION("""COMPUTED_VALUE"""),0.2)</f>
        <v>0.2</v>
      </c>
      <c r="D768" s="2" t="str">
        <f>IFERROR(__xludf.DUMMYFUNCTION("""COMPUTED_VALUE"""),"বিক্রয় মূল্য")</f>
        <v>বিক্রয় মূল্য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 t="str">
        <f>IFERROR(__xludf.DUMMYFUNCTION("""COMPUTED_VALUE"""),"SoldBy ")</f>
        <v>SoldBy </v>
      </c>
      <c r="B769" s="2" t="str">
        <f>IFERROR(__xludf.DUMMYFUNCTION("""COMPUTED_VALUE"""),"Sold By ")</f>
        <v>Sold By </v>
      </c>
      <c r="C769" s="2">
        <f>IFERROR(__xludf.DUMMYFUNCTION("""COMPUTED_VALUE"""),0.2)</f>
        <v>0.2</v>
      </c>
      <c r="D769" s="2" t="str">
        <f>IFERROR(__xludf.DUMMYFUNCTION("""COMPUTED_VALUE"""),"বিক্রিত")</f>
        <v>বিক্রিত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 t="str">
        <f>IFERROR(__xludf.DUMMYFUNCTION("""COMPUTED_VALUE"""),"Liter ")</f>
        <v>Liter </v>
      </c>
      <c r="B770" s="2" t="str">
        <f>IFERROR(__xludf.DUMMYFUNCTION("""COMPUTED_VALUE"""),"Liter ")</f>
        <v>Liter </v>
      </c>
      <c r="C770" s="2">
        <f>IFERROR(__xludf.DUMMYFUNCTION("""COMPUTED_VALUE"""),0.2)</f>
        <v>0.2</v>
      </c>
      <c r="D770" s="2" t="str">
        <f>IFERROR(__xludf.DUMMYFUNCTION("""COMPUTED_VALUE"""),"লিটার")</f>
        <v>লিটার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 t="str">
        <f>IFERROR(__xludf.DUMMYFUNCTION("""COMPUTED_VALUE"""),"Weight ")</f>
        <v>Weight </v>
      </c>
      <c r="B771" s="2" t="str">
        <f>IFERROR(__xludf.DUMMYFUNCTION("""COMPUTED_VALUE"""),"Weight ")</f>
        <v>Weight </v>
      </c>
      <c r="C771" s="2">
        <f>IFERROR(__xludf.DUMMYFUNCTION("""COMPUTED_VALUE"""),0.2)</f>
        <v>0.2</v>
      </c>
      <c r="D771" s="2" t="str">
        <f>IFERROR(__xludf.DUMMYFUNCTION("""COMPUTED_VALUE"""),"ওজন")</f>
        <v>ওজন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 t="str">
        <f>IFERROR(__xludf.DUMMYFUNCTION("""COMPUTED_VALUE"""),"Grading ")</f>
        <v>Grading </v>
      </c>
      <c r="B772" s="2" t="str">
        <f>IFERROR(__xludf.DUMMYFUNCTION("""COMPUTED_VALUE"""),"Grading ")</f>
        <v>Grading </v>
      </c>
      <c r="C772" s="2">
        <f>IFERROR(__xludf.DUMMYFUNCTION("""COMPUTED_VALUE"""),0.2)</f>
        <v>0.2</v>
      </c>
      <c r="D772" s="2" t="str">
        <f>IFERROR(__xludf.DUMMYFUNCTION("""COMPUTED_VALUE"""),"গ্রেডিং")</f>
        <v>গ্রেডিং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 t="str">
        <f>IFERROR(__xludf.DUMMYFUNCTION("""COMPUTED_VALUE"""),"PendingApproval")</f>
        <v>PendingApproval</v>
      </c>
      <c r="B773" s="2" t="str">
        <f>IFERROR(__xludf.DUMMYFUNCTION("""COMPUTED_VALUE"""),"Pending Approval")</f>
        <v>Pending Approval</v>
      </c>
      <c r="C773" s="2">
        <f>IFERROR(__xludf.DUMMYFUNCTION("""COMPUTED_VALUE"""),0.2)</f>
        <v>0.2</v>
      </c>
      <c r="D773" s="2" t="str">
        <f>IFERROR(__xludf.DUMMYFUNCTION("""COMPUTED_VALUE"""),"অনুমোদন অপেক্ষারত")</f>
        <v>অনুমোদন অপেক্ষারত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 t="str">
        <f>IFERROR(__xludf.DUMMYFUNCTION("""COMPUTED_VALUE"""),"Approved")</f>
        <v>Approved</v>
      </c>
      <c r="B774" s="2" t="str">
        <f>IFERROR(__xludf.DUMMYFUNCTION("""COMPUTED_VALUE"""),"Approved")</f>
        <v>Approved</v>
      </c>
      <c r="C774" s="2">
        <f>IFERROR(__xludf.DUMMYFUNCTION("""COMPUTED_VALUE"""),0.2)</f>
        <v>0.2</v>
      </c>
      <c r="D774" s="2" t="str">
        <f>IFERROR(__xludf.DUMMYFUNCTION("""COMPUTED_VALUE"""),"অনুমোদিত")</f>
        <v>অনুমোদিত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 t="str">
        <f>IFERROR(__xludf.DUMMYFUNCTION("""COMPUTED_VALUE"""),"Rejected ")</f>
        <v>Rejected </v>
      </c>
      <c r="B775" s="2" t="str">
        <f>IFERROR(__xludf.DUMMYFUNCTION("""COMPUTED_VALUE"""),"Rejected ")</f>
        <v>Rejected </v>
      </c>
      <c r="C775" s="2">
        <f>IFERROR(__xludf.DUMMYFUNCTION("""COMPUTED_VALUE"""),0.2)</f>
        <v>0.2</v>
      </c>
      <c r="D775" s="2" t="str">
        <f>IFERROR(__xludf.DUMMYFUNCTION("""COMPUTED_VALUE"""),"প্রত্যাখ্যাত")</f>
        <v>প্রত্যাখ্যাত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 t="str">
        <f>IFERROR(__xludf.DUMMYFUNCTION("""COMPUTED_VALUE"""),"Customized")</f>
        <v>Customized</v>
      </c>
      <c r="B776" s="2" t="str">
        <f>IFERROR(__xludf.DUMMYFUNCTION("""COMPUTED_VALUE"""),"Customized")</f>
        <v>Customized</v>
      </c>
      <c r="C776" s="2">
        <f>IFERROR(__xludf.DUMMYFUNCTION("""COMPUTED_VALUE"""),0.2)</f>
        <v>0.2</v>
      </c>
      <c r="D776" s="2" t="str">
        <f>IFERROR(__xludf.DUMMYFUNCTION("""COMPUTED_VALUE"""),"কাস্টমাইজড")</f>
        <v>কাস্টমাইজড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 t="str">
        <f>IFERROR(__xludf.DUMMYFUNCTION("""COMPUTED_VALUE"""),"Favouriteshop")</f>
        <v>Favouriteshop</v>
      </c>
      <c r="B777" s="2" t="str">
        <f>IFERROR(__xludf.DUMMYFUNCTION("""COMPUTED_VALUE"""),"Favourite Shop")</f>
        <v>Favourite Shop</v>
      </c>
      <c r="C777" s="2">
        <f>IFERROR(__xludf.DUMMYFUNCTION("""COMPUTED_VALUE"""),0.2)</f>
        <v>0.2</v>
      </c>
      <c r="D777" s="2" t="str">
        <f>IFERROR(__xludf.DUMMYFUNCTION("""COMPUTED_VALUE"""),"প্রিয় দোকান")</f>
        <v>প্রিয় দোকান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 t="str">
        <f>IFERROR(__xludf.DUMMYFUNCTION("""COMPUTED_VALUE"""),"ShopByCategories ")</f>
        <v>ShopByCategories </v>
      </c>
      <c r="B778" s="2" t="str">
        <f>IFERROR(__xludf.DUMMYFUNCTION("""COMPUTED_VALUE"""),"Shop By Categories ")</f>
        <v>Shop By Categories </v>
      </c>
      <c r="C778" s="2">
        <f>IFERROR(__xludf.DUMMYFUNCTION("""COMPUTED_VALUE"""),0.2)</f>
        <v>0.2</v>
      </c>
      <c r="D778" s="2" t="str">
        <f>IFERROR(__xludf.DUMMYFUNCTION("""COMPUTED_VALUE"""),"বিভাগ দ্বারা কেনাকাটা")</f>
        <v>বিভাগ দ্বারা কেনাকাটা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 t="str">
        <f>IFERROR(__xludf.DUMMYFUNCTION("""COMPUTED_VALUE"""),"Grocery ")</f>
        <v>Grocery </v>
      </c>
      <c r="B779" s="2" t="str">
        <f>IFERROR(__xludf.DUMMYFUNCTION("""COMPUTED_VALUE"""),"Grocery ")</f>
        <v>Grocery </v>
      </c>
      <c r="C779" s="2">
        <f>IFERROR(__xludf.DUMMYFUNCTION("""COMPUTED_VALUE"""),0.2)</f>
        <v>0.2</v>
      </c>
      <c r="D779" s="2" t="str">
        <f>IFERROR(__xludf.DUMMYFUNCTION("""COMPUTED_VALUE"""),"মুদিখানা")</f>
        <v>মুদিখানা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 t="str">
        <f>IFERROR(__xludf.DUMMYFUNCTION("""COMPUTED_VALUE"""),"Fish")</f>
        <v>Fish</v>
      </c>
      <c r="B780" s="2" t="str">
        <f>IFERROR(__xludf.DUMMYFUNCTION("""COMPUTED_VALUE"""),"Fish")</f>
        <v>Fish</v>
      </c>
      <c r="C780" s="2">
        <f>IFERROR(__xludf.DUMMYFUNCTION("""COMPUTED_VALUE"""),0.2)</f>
        <v>0.2</v>
      </c>
      <c r="D780" s="2" t="str">
        <f>IFERROR(__xludf.DUMMYFUNCTION("""COMPUTED_VALUE"""),"মাছ")</f>
        <v>মাছ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 t="str">
        <f>IFERROR(__xludf.DUMMYFUNCTION("""COMPUTED_VALUE"""),"Flower ")</f>
        <v>Flower </v>
      </c>
      <c r="B781" s="2" t="str">
        <f>IFERROR(__xludf.DUMMYFUNCTION("""COMPUTED_VALUE"""),"Flower ")</f>
        <v>Flower </v>
      </c>
      <c r="C781" s="2">
        <f>IFERROR(__xludf.DUMMYFUNCTION("""COMPUTED_VALUE"""),0.2)</f>
        <v>0.2</v>
      </c>
      <c r="D781" s="2" t="str">
        <f>IFERROR(__xludf.DUMMYFUNCTION("""COMPUTED_VALUE"""),"ফুল")</f>
        <v>ফুল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 t="str">
        <f>IFERROR(__xludf.DUMMYFUNCTION("""COMPUTED_VALUE"""),"Preference ")</f>
        <v>Preference </v>
      </c>
      <c r="B782" s="2" t="str">
        <f>IFERROR(__xludf.DUMMYFUNCTION("""COMPUTED_VALUE"""),"Preference ")</f>
        <v>Preference </v>
      </c>
      <c r="C782" s="2">
        <f>IFERROR(__xludf.DUMMYFUNCTION("""COMPUTED_VALUE"""),0.2)</f>
        <v>0.2</v>
      </c>
      <c r="D782" s="2" t="str">
        <f>IFERROR(__xludf.DUMMYFUNCTION("""COMPUTED_VALUE"""),"পছন্দ")</f>
        <v>পছন্দ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 t="str">
        <f>IFERROR(__xludf.DUMMYFUNCTION("""COMPUTED_VALUE"""),"SelectPreference ")</f>
        <v>SelectPreference </v>
      </c>
      <c r="B783" s="2" t="str">
        <f>IFERROR(__xludf.DUMMYFUNCTION("""COMPUTED_VALUE"""),"Select Preference ")</f>
        <v>Select Preference </v>
      </c>
      <c r="C783" s="2">
        <f>IFERROR(__xludf.DUMMYFUNCTION("""COMPUTED_VALUE"""),0.1)</f>
        <v>0.1</v>
      </c>
      <c r="D783" s="2" t="str">
        <f>IFERROR(__xludf.DUMMYFUNCTION("""COMPUTED_VALUE"""),"পছন্দ নির্বাচন করুন")</f>
        <v>পছন্দ নির্বাচন করুন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 t="str">
        <f>IFERROR(__xludf.DUMMYFUNCTION("""COMPUTED_VALUE"""),"FruitsShop")</f>
        <v>FruitsShop</v>
      </c>
      <c r="B784" s="2" t="str">
        <f>IFERROR(__xludf.DUMMYFUNCTION("""COMPUTED_VALUE"""),"Fruits Shop")</f>
        <v>Fruits Shop</v>
      </c>
      <c r="C784" s="2">
        <f>IFERROR(__xludf.DUMMYFUNCTION("""COMPUTED_VALUE"""),0.2)</f>
        <v>0.2</v>
      </c>
      <c r="D784" s="2" t="str">
        <f>IFERROR(__xludf.DUMMYFUNCTION("""COMPUTED_VALUE"""),"ফলের দোকান")</f>
        <v>ফলের দোকান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 t="str">
        <f>IFERROR(__xludf.DUMMYFUNCTION("""COMPUTED_VALUE"""),"LocalGarden")</f>
        <v>LocalGarden</v>
      </c>
      <c r="B785" s="2" t="str">
        <f>IFERROR(__xludf.DUMMYFUNCTION("""COMPUTED_VALUE"""),"Local Garden")</f>
        <v>Local Garden</v>
      </c>
      <c r="C785" s="2">
        <f>IFERROR(__xludf.DUMMYFUNCTION("""COMPUTED_VALUE"""),0.2)</f>
        <v>0.2</v>
      </c>
      <c r="D785" s="2" t="str">
        <f>IFERROR(__xludf.DUMMYFUNCTION("""COMPUTED_VALUE"""),"স্থানীয় বাগান")</f>
        <v>স্থানীয় বাগান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 t="str">
        <f>IFERROR(__xludf.DUMMYFUNCTION("""COMPUTED_VALUE"""),"Nonveg ")</f>
        <v>Nonveg </v>
      </c>
      <c r="B786" s="2" t="str">
        <f>IFERROR(__xludf.DUMMYFUNCTION("""COMPUTED_VALUE"""),"Non veg ")</f>
        <v>Non veg </v>
      </c>
      <c r="C786" s="2">
        <f>IFERROR(__xludf.DUMMYFUNCTION("""COMPUTED_VALUE"""),0.2)</f>
        <v>0.2</v>
      </c>
      <c r="D786" s="2" t="str">
        <f>IFERROR(__xludf.DUMMYFUNCTION("""COMPUTED_VALUE"""),"নন ভেজি")</f>
        <v>নন ভেজি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 t="str">
        <f>IFERROR(__xludf.DUMMYFUNCTION("""COMPUTED_VALUE"""),"Simple ")</f>
        <v>Simple </v>
      </c>
      <c r="B787" s="2" t="str">
        <f>IFERROR(__xludf.DUMMYFUNCTION("""COMPUTED_VALUE"""),"Simple ")</f>
        <v>Simple </v>
      </c>
      <c r="C787" s="2">
        <f>IFERROR(__xludf.DUMMYFUNCTION("""COMPUTED_VALUE"""),0.2)</f>
        <v>0.2</v>
      </c>
      <c r="D787" s="2" t="str">
        <f>IFERROR(__xludf.DUMMYFUNCTION("""COMPUTED_VALUE"""),"সহজ")</f>
        <v>সহজ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 t="str">
        <f>IFERROR(__xludf.DUMMYFUNCTION("""COMPUTED_VALUE"""),"Aggregate ")</f>
        <v>Aggregate </v>
      </c>
      <c r="B788" s="2" t="str">
        <f>IFERROR(__xludf.DUMMYFUNCTION("""COMPUTED_VALUE"""),"Aggregate ")</f>
        <v>Aggregate </v>
      </c>
      <c r="C788" s="2">
        <f>IFERROR(__xludf.DUMMYFUNCTION("""COMPUTED_VALUE"""),0.2)</f>
        <v>0.2</v>
      </c>
      <c r="D788" s="2" t="str">
        <f>IFERROR(__xludf.DUMMYFUNCTION("""COMPUTED_VALUE"""),"সমষ্টি")</f>
        <v>সমষ্টি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 t="str">
        <f>IFERROR(__xludf.DUMMYFUNCTION("""COMPUTED_VALUE"""),"MultipleFruits ")</f>
        <v>MultipleFruits </v>
      </c>
      <c r="B789" s="2" t="str">
        <f>IFERROR(__xludf.DUMMYFUNCTION("""COMPUTED_VALUE"""),"Multiple Fruits ")</f>
        <v>Multiple Fruits </v>
      </c>
      <c r="C789" s="2">
        <f>IFERROR(__xludf.DUMMYFUNCTION("""COMPUTED_VALUE"""),0.2)</f>
        <v>0.2</v>
      </c>
      <c r="D789" s="2" t="str">
        <f>IFERROR(__xludf.DUMMYFUNCTION("""COMPUTED_VALUE"""),"একাধিক ফল")</f>
        <v>একাধিক ফল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 t="str">
        <f>IFERROR(__xludf.DUMMYFUNCTION("""COMPUTED_VALUE"""),"AddAddress")</f>
        <v>AddAddress</v>
      </c>
      <c r="B790" s="2" t="str">
        <f>IFERROR(__xludf.DUMMYFUNCTION("""COMPUTED_VALUE"""),"Add Address")</f>
        <v>Add Address</v>
      </c>
      <c r="C790" s="2">
        <f>IFERROR(__xludf.DUMMYFUNCTION("""COMPUTED_VALUE"""),0.3)</f>
        <v>0.3</v>
      </c>
      <c r="D790" s="2" t="str">
        <f>IFERROR(__xludf.DUMMYFUNCTION("""COMPUTED_VALUE"""),"ঠিকানা যোগ করুন")</f>
        <v>ঠিকানা যোগ করুন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 t="str">
        <f>IFERROR(__xludf.DUMMYFUNCTION("""COMPUTED_VALUE"""),"Seasonal ")</f>
        <v>Seasonal </v>
      </c>
      <c r="B791" s="2" t="str">
        <f>IFERROR(__xludf.DUMMYFUNCTION("""COMPUTED_VALUE"""),"Seasonal ")</f>
        <v>Seasonal </v>
      </c>
      <c r="C791" s="2">
        <f>IFERROR(__xludf.DUMMYFUNCTION("""COMPUTED_VALUE"""),0.2)</f>
        <v>0.2</v>
      </c>
      <c r="D791" s="2" t="str">
        <f>IFERROR(__xludf.DUMMYFUNCTION("""COMPUTED_VALUE"""),"মৌসুমী")</f>
        <v>মৌসুমী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 t="str">
        <f>IFERROR(__xludf.DUMMYFUNCTION("""COMPUTED_VALUE"""),"Items ")</f>
        <v>Items </v>
      </c>
      <c r="B792" s="2" t="str">
        <f>IFERROR(__xludf.DUMMYFUNCTION("""COMPUTED_VALUE"""),"Items ")</f>
        <v>Items </v>
      </c>
      <c r="C792" s="2">
        <f>IFERROR(__xludf.DUMMYFUNCTION("""COMPUTED_VALUE"""),0.2)</f>
        <v>0.2</v>
      </c>
      <c r="D792" s="2" t="str">
        <f>IFERROR(__xludf.DUMMYFUNCTION("""COMPUTED_VALUE"""),"আইটেম")</f>
        <v>আইটেম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 t="str">
        <f>IFERROR(__xludf.DUMMYFUNCTION("""COMPUTED_VALUE"""),"Employee/partner ")</f>
        <v>Employee/partner </v>
      </c>
      <c r="B793" s="2" t="str">
        <f>IFERROR(__xludf.DUMMYFUNCTION("""COMPUTED_VALUE"""),"Employee/partner ")</f>
        <v>Employee/partner </v>
      </c>
      <c r="C793" s="2">
        <f>IFERROR(__xludf.DUMMYFUNCTION("""COMPUTED_VALUE"""),0.2)</f>
        <v>0.2</v>
      </c>
      <c r="D793" s="2" t="str">
        <f>IFERROR(__xludf.DUMMYFUNCTION("""COMPUTED_VALUE"""),"কর্মচারী/অংশীদার")</f>
        <v>কর্মচারী/অংশীদার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 t="str">
        <f>IFERROR(__xludf.DUMMYFUNCTION("""COMPUTED_VALUE"""),"Refer ")</f>
        <v>Refer </v>
      </c>
      <c r="B794" s="2" t="str">
        <f>IFERROR(__xludf.DUMMYFUNCTION("""COMPUTED_VALUE"""),"Refer ")</f>
        <v>Refer </v>
      </c>
      <c r="C794" s="2">
        <f>IFERROR(__xludf.DUMMYFUNCTION("""COMPUTED_VALUE"""),0.2)</f>
        <v>0.2</v>
      </c>
      <c r="D794" s="2" t="str">
        <f>IFERROR(__xludf.DUMMYFUNCTION("""COMPUTED_VALUE"""),"উল্লেখ করুন")</f>
        <v>উল্লেখ করুন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 t="str">
        <f>IFERROR(__xludf.DUMMYFUNCTION("""COMPUTED_VALUE"""),"Employeemanagement ")</f>
        <v>Employeemanagement </v>
      </c>
      <c r="B795" s="2" t="str">
        <f>IFERROR(__xludf.DUMMYFUNCTION("""COMPUTED_VALUE"""),"Employee Management")</f>
        <v>Employee Management</v>
      </c>
      <c r="C795" s="2">
        <f>IFERROR(__xludf.DUMMYFUNCTION("""COMPUTED_VALUE"""),0.2)</f>
        <v>0.2</v>
      </c>
      <c r="D795" s="2" t="str">
        <f>IFERROR(__xludf.DUMMYFUNCTION("""COMPUTED_VALUE"""),"কর্মচারী ব্যবস্থাপনা")</f>
        <v>কর্মচারী ব্যবস্থাপনা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 t="str">
        <f>IFERROR(__xludf.DUMMYFUNCTION("""COMPUTED_VALUE"""),"StateHead")</f>
        <v>StateHead</v>
      </c>
      <c r="B796" s="2" t="str">
        <f>IFERROR(__xludf.DUMMYFUNCTION("""COMPUTED_VALUE"""),"State Head")</f>
        <v>State Head</v>
      </c>
      <c r="C796" s="2">
        <f>IFERROR(__xludf.DUMMYFUNCTION("""COMPUTED_VALUE"""),0.2)</f>
        <v>0.2</v>
      </c>
      <c r="D796" s="2" t="str">
        <f>IFERROR(__xludf.DUMMYFUNCTION("""COMPUTED_VALUE"""),"রাষ্ট্রীয় মাথা")</f>
        <v>রাষ্ট্রীয় মাথা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 t="str">
        <f>IFERROR(__xludf.DUMMYFUNCTION("""COMPUTED_VALUE"""),"AddEmployee")</f>
        <v>AddEmployee</v>
      </c>
      <c r="B797" s="2" t="str">
        <f>IFERROR(__xludf.DUMMYFUNCTION("""COMPUTED_VALUE"""),"Add Employee")</f>
        <v>Add Employee</v>
      </c>
      <c r="C797" s="2">
        <f>IFERROR(__xludf.DUMMYFUNCTION("""COMPUTED_VALUE"""),0.2)</f>
        <v>0.2</v>
      </c>
      <c r="D797" s="2" t="str">
        <f>IFERROR(__xludf.DUMMYFUNCTION("""COMPUTED_VALUE"""),"কর্মচারী যুক্ত করুন")</f>
        <v>কর্মচারী যুক্ত করুন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 t="str">
        <f>IFERROR(__xludf.DUMMYFUNCTION("""COMPUTED_VALUE"""),"ManagerId ")</f>
        <v>ManagerId </v>
      </c>
      <c r="B798" s="2" t="str">
        <f>IFERROR(__xludf.DUMMYFUNCTION("""COMPUTED_VALUE"""),"Manager ID")</f>
        <v>Manager ID</v>
      </c>
      <c r="C798" s="2">
        <f>IFERROR(__xludf.DUMMYFUNCTION("""COMPUTED_VALUE"""),0.2)</f>
        <v>0.2</v>
      </c>
      <c r="D798" s="2" t="str">
        <f>IFERROR(__xludf.DUMMYFUNCTION("""COMPUTED_VALUE"""),"ম্যানেজার আইডি")</f>
        <v>ম্যানেজার আইডি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 t="str">
        <f>IFERROR(__xludf.DUMMYFUNCTION("""COMPUTED_VALUE"""),"OrgId")</f>
        <v>OrgId</v>
      </c>
      <c r="B799" s="2" t="str">
        <f>IFERROR(__xludf.DUMMYFUNCTION("""COMPUTED_VALUE"""),"Org ID")</f>
        <v>Org ID</v>
      </c>
      <c r="C799" s="2">
        <f>IFERROR(__xludf.DUMMYFUNCTION("""COMPUTED_VALUE"""),0.2)</f>
        <v>0.2</v>
      </c>
      <c r="D799" s="2" t="str">
        <f>IFERROR(__xludf.DUMMYFUNCTION("""COMPUTED_VALUE"""),"Org আইডি")</f>
        <v>Org আইডি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 t="str">
        <f>IFERROR(__xludf.DUMMYFUNCTION("""COMPUTED_VALUE"""),"AssignRole")</f>
        <v>AssignRole</v>
      </c>
      <c r="B800" s="2" t="str">
        <f>IFERROR(__xludf.DUMMYFUNCTION("""COMPUTED_VALUE"""),"Assign Role")</f>
        <v>Assign Role</v>
      </c>
      <c r="C800" s="2">
        <f>IFERROR(__xludf.DUMMYFUNCTION("""COMPUTED_VALUE"""),0.2)</f>
        <v>0.2</v>
      </c>
      <c r="D800" s="2" t="str">
        <f>IFERROR(__xludf.DUMMYFUNCTION("""COMPUTED_VALUE"""),"ভূমিকা অর্পণ")</f>
        <v>ভূমিকা অর্পণ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 t="str">
        <f>IFERROR(__xludf.DUMMYFUNCTION("""COMPUTED_VALUE"""),"CityOfficer ")</f>
        <v>CityOfficer </v>
      </c>
      <c r="B801" s="2" t="str">
        <f>IFERROR(__xludf.DUMMYFUNCTION("""COMPUTED_VALUE"""),"City Officer ")</f>
        <v>City Officer </v>
      </c>
      <c r="C801" s="2">
        <f>IFERROR(__xludf.DUMMYFUNCTION("""COMPUTED_VALUE"""),0.2)</f>
        <v>0.2</v>
      </c>
      <c r="D801" s="2" t="str">
        <f>IFERROR(__xludf.DUMMYFUNCTION("""COMPUTED_VALUE"""),"নগর কর্মকর্তা")</f>
        <v>নগর কর্মকর্তা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 t="str">
        <f>IFERROR(__xludf.DUMMYFUNCTION("""COMPUTED_VALUE"""),"FrontlineOfficer ")</f>
        <v>FrontlineOfficer </v>
      </c>
      <c r="B802" s="2" t="str">
        <f>IFERROR(__xludf.DUMMYFUNCTION("""COMPUTED_VALUE"""),"Frontline Officer ")</f>
        <v>Frontline Officer </v>
      </c>
      <c r="C802" s="2">
        <f>IFERROR(__xludf.DUMMYFUNCTION("""COMPUTED_VALUE"""),0.2)</f>
        <v>0.2</v>
      </c>
      <c r="D802" s="2" t="str">
        <f>IFERROR(__xludf.DUMMYFUNCTION("""COMPUTED_VALUE"""),"ফ্রন্টলাইন অফিসার")</f>
        <v>ফ্রন্টলাইন অফিসার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 t="str">
        <f>IFERROR(__xludf.DUMMYFUNCTION("""COMPUTED_VALUE"""),"Employeecreatedsuccessfully")</f>
        <v>Employeecreatedsuccessfully</v>
      </c>
      <c r="B803" s="2" t="str">
        <f>IFERROR(__xludf.DUMMYFUNCTION("""COMPUTED_VALUE"""),"Employee Created Successfully YAY!")</f>
        <v>Employee Created Successfully YAY!</v>
      </c>
      <c r="C803" s="2">
        <f>IFERROR(__xludf.DUMMYFUNCTION("""COMPUTED_VALUE"""),0.2)</f>
        <v>0.2</v>
      </c>
      <c r="D803" s="2" t="str">
        <f>IFERROR(__xludf.DUMMYFUNCTION("""COMPUTED_VALUE"""),"কর্মচারী সফলভাবে ইয়ে তৈরি করেছেন!")</f>
        <v>কর্মচারী সফলভাবে ইয়ে তৈরি করেছেন!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 t="str">
        <f>IFERROR(__xludf.DUMMYFUNCTION("""COMPUTED_VALUE"""),"AlmoniUser ")</f>
        <v>AlmoniUser </v>
      </c>
      <c r="B804" s="2" t="str">
        <f>IFERROR(__xludf.DUMMYFUNCTION("""COMPUTED_VALUE"""),"Almoni User ")</f>
        <v>Almoni User </v>
      </c>
      <c r="C804" s="2">
        <f>IFERROR(__xludf.DUMMYFUNCTION("""COMPUTED_VALUE"""),0.2)</f>
        <v>0.2</v>
      </c>
      <c r="D804" s="2" t="str">
        <f>IFERROR(__xludf.DUMMYFUNCTION("""COMPUTED_VALUE"""),"অ্যালমোনি ব্যবহারকারী")</f>
        <v>অ্যালমোনি ব্যবহারকারী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 t="str">
        <f>IFERROR(__xludf.DUMMYFUNCTION("""COMPUTED_VALUE"""),"Undo")</f>
        <v>Undo</v>
      </c>
      <c r="B805" s="2" t="str">
        <f>IFERROR(__xludf.DUMMYFUNCTION("""COMPUTED_VALUE"""),"Undo")</f>
        <v>Undo</v>
      </c>
      <c r="C805" s="2">
        <f>IFERROR(__xludf.DUMMYFUNCTION("""COMPUTED_VALUE"""),0.2)</f>
        <v>0.2</v>
      </c>
      <c r="D805" s="2" t="str">
        <f>IFERROR(__xludf.DUMMYFUNCTION("""COMPUTED_VALUE"""),"পূর্বাবস্থায় ফিরিয়ে দেওয়া")</f>
        <v>পূর্বাবস্থায় ফিরিয়ে দেওয়া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 t="str">
        <f>IFERROR(__xludf.DUMMYFUNCTION("""COMPUTED_VALUE"""),"Franchiese ")</f>
        <v>Franchiese </v>
      </c>
      <c r="B806" s="2" t="str">
        <f>IFERROR(__xludf.DUMMYFUNCTION("""COMPUTED_VALUE"""),"Franchise ")</f>
        <v>Franchise </v>
      </c>
      <c r="C806" s="2">
        <f>IFERROR(__xludf.DUMMYFUNCTION("""COMPUTED_VALUE"""),0.2)</f>
        <v>0.2</v>
      </c>
      <c r="D806" s="2" t="str">
        <f>IFERROR(__xludf.DUMMYFUNCTION("""COMPUTED_VALUE"""),"ফ্র্যাঞ্চাইজি")</f>
        <v>ফ্র্যাঞ্চাইজি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 t="str">
        <f>IFERROR(__xludf.DUMMYFUNCTION("""COMPUTED_VALUE"""),"Freelancer ")</f>
        <v>Freelancer </v>
      </c>
      <c r="B807" s="2" t="str">
        <f>IFERROR(__xludf.DUMMYFUNCTION("""COMPUTED_VALUE"""),"Freelancer ")</f>
        <v>Freelancer </v>
      </c>
      <c r="C807" s="2">
        <f>IFERROR(__xludf.DUMMYFUNCTION("""COMPUTED_VALUE"""),0.2)</f>
        <v>0.2</v>
      </c>
      <c r="D807" s="2" t="str">
        <f>IFERROR(__xludf.DUMMYFUNCTION("""COMPUTED_VALUE"""),"ফ্রিল্যান্সার")</f>
        <v>ফ্রিল্যান্সার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 t="str">
        <f>IFERROR(__xludf.DUMMYFUNCTION("""COMPUTED_VALUE"""),"January")</f>
        <v>January</v>
      </c>
      <c r="B808" s="2" t="str">
        <f>IFERROR(__xludf.DUMMYFUNCTION("""COMPUTED_VALUE"""),"January")</f>
        <v>January</v>
      </c>
      <c r="C808" s="2">
        <f>IFERROR(__xludf.DUMMYFUNCTION("""COMPUTED_VALUE"""),0.2)</f>
        <v>0.2</v>
      </c>
      <c r="D808" s="2" t="str">
        <f>IFERROR(__xludf.DUMMYFUNCTION("""COMPUTED_VALUE"""),"জানুয়ারী")</f>
        <v>জানুয়ারী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 t="str">
        <f>IFERROR(__xludf.DUMMYFUNCTION("""COMPUTED_VALUE"""),"businessnameisrequired")</f>
        <v>businessnameisrequired</v>
      </c>
      <c r="B809" s="2" t="str">
        <f>IFERROR(__xludf.DUMMYFUNCTION("""COMPUTED_VALUE"""),"Business Name is Required")</f>
        <v>Business Name is Required</v>
      </c>
      <c r="C809" s="2">
        <f>IFERROR(__xludf.DUMMYFUNCTION("""COMPUTED_VALUE"""),0.2)</f>
        <v>0.2</v>
      </c>
      <c r="D809" s="2" t="str">
        <f>IFERROR(__xludf.DUMMYFUNCTION("""COMPUTED_VALUE"""),"ব্যবসায়ের নাম প্রয়োজন")</f>
        <v>ব্যবসায়ের নাম প্রয়োজন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 t="str">
        <f>IFERROR(__xludf.DUMMYFUNCTION("""COMPUTED_VALUE"""),"nameshouldbemin5charslong.")</f>
        <v>nameshouldbemin5charslong.</v>
      </c>
      <c r="B810" s="2" t="str">
        <f>IFERROR(__xludf.DUMMYFUNCTION("""COMPUTED_VALUE"""),"Name should be min 5 chars long.")</f>
        <v>Name should be min 5 chars long.</v>
      </c>
      <c r="C810" s="2">
        <f>IFERROR(__xludf.DUMMYFUNCTION("""COMPUTED_VALUE"""),0.2)</f>
        <v>0.2</v>
      </c>
      <c r="D810" s="2" t="str">
        <f>IFERROR(__xludf.DUMMYFUNCTION("""COMPUTED_VALUE"""),"নামটি ন্যূনতম 5 চরগুলি দীর্ঘ হওয়া উচিত।")</f>
        <v>নামটি ন্যূনতম 5 চরগুলি দীর্ঘ হওয়া উচিত।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 t="str">
        <f>IFERROR(__xludf.DUMMYFUNCTION("""COMPUTED_VALUE"""),"shopno.isrequired.")</f>
        <v>shopno.isrequired.</v>
      </c>
      <c r="B811" s="2" t="str">
        <f>IFERROR(__xludf.DUMMYFUNCTION("""COMPUTED_VALUE"""),"Shop no.is required.")</f>
        <v>Shop no.is required.</v>
      </c>
      <c r="C811" s="2">
        <f>IFERROR(__xludf.DUMMYFUNCTION("""COMPUTED_VALUE"""),0.2)</f>
        <v>0.2</v>
      </c>
      <c r="D811" s="2" t="str">
        <f>IFERROR(__xludf.DUMMYFUNCTION("""COMPUTED_VALUE"""),"দোকান নং প্রয়োজন।")</f>
        <v>দোকান নং প্রয়োজন।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 t="str">
        <f>IFERROR(__xludf.DUMMYFUNCTION("""COMPUTED_VALUE"""),"streetno.isrequired")</f>
        <v>streetno.isrequired</v>
      </c>
      <c r="B812" s="2" t="str">
        <f>IFERROR(__xludf.DUMMYFUNCTION("""COMPUTED_VALUE"""),"Street no.is required.")</f>
        <v>Street no.is required.</v>
      </c>
      <c r="C812" s="2">
        <f>IFERROR(__xludf.DUMMYFUNCTION("""COMPUTED_VALUE"""),0.2)</f>
        <v>0.2</v>
      </c>
      <c r="D812" s="2" t="str">
        <f>IFERROR(__xludf.DUMMYFUNCTION("""COMPUTED_VALUE"""),"রাস্তার নং প্রয়োজন।")</f>
        <v>রাস্তার নং প্রয়োজন।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 t="str">
        <f>IFERROR(__xludf.DUMMYFUNCTION("""COMPUTED_VALUE"""),"landmarkisrequired")</f>
        <v>landmarkisrequired</v>
      </c>
      <c r="B813" s="2" t="str">
        <f>IFERROR(__xludf.DUMMYFUNCTION("""COMPUTED_VALUE"""),"landmark is required.")</f>
        <v>landmark is required.</v>
      </c>
      <c r="C813" s="2">
        <f>IFERROR(__xludf.DUMMYFUNCTION("""COMPUTED_VALUE"""),0.2)</f>
        <v>0.2</v>
      </c>
      <c r="D813" s="2" t="str">
        <f>IFERROR(__xludf.DUMMYFUNCTION("""COMPUTED_VALUE"""),"ল্যান্ডমার্ক প্রয়োজন।")</f>
        <v>ল্যান্ডমার্ক প্রয়োজন।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 t="str">
        <f>IFERROR(__xludf.DUMMYFUNCTION("""COMPUTED_VALUE"""),"cityisrequired")</f>
        <v>cityisrequired</v>
      </c>
      <c r="B814" s="2" t="str">
        <f>IFERROR(__xludf.DUMMYFUNCTION("""COMPUTED_VALUE"""),"City is required.")</f>
        <v>City is required.</v>
      </c>
      <c r="C814" s="2">
        <f>IFERROR(__xludf.DUMMYFUNCTION("""COMPUTED_VALUE"""),0.2)</f>
        <v>0.2</v>
      </c>
      <c r="D814" s="2" t="str">
        <f>IFERROR(__xludf.DUMMYFUNCTION("""COMPUTED_VALUE"""),"শহর প্রয়োজন।")</f>
        <v>শহর প্রয়োজন।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 t="str">
        <f>IFERROR(__xludf.DUMMYFUNCTION("""COMPUTED_VALUE"""),"pincodeisrequired")</f>
        <v>pincodeisrequired</v>
      </c>
      <c r="B815" s="2" t="str">
        <f>IFERROR(__xludf.DUMMYFUNCTION("""COMPUTED_VALUE"""),"Pincode is required.")</f>
        <v>Pincode is required.</v>
      </c>
      <c r="C815" s="2">
        <f>IFERROR(__xludf.DUMMYFUNCTION("""COMPUTED_VALUE"""),0.2)</f>
        <v>0.2</v>
      </c>
      <c r="D815" s="2" t="str">
        <f>IFERROR(__xludf.DUMMYFUNCTION("""COMPUTED_VALUE"""),"পিনকোড প্রয়োজন।")</f>
        <v>পিনকোড প্রয়োজন।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 t="str">
        <f>IFERROR(__xludf.DUMMYFUNCTION("""COMPUTED_VALUE"""),"updategstin")</f>
        <v>updategstin</v>
      </c>
      <c r="B816" s="2" t="str">
        <f>IFERROR(__xludf.DUMMYFUNCTION("""COMPUTED_VALUE"""),"Update GSTIN")</f>
        <v>Update GSTIN</v>
      </c>
      <c r="C816" s="2">
        <f>IFERROR(__xludf.DUMMYFUNCTION("""COMPUTED_VALUE"""),0.2)</f>
        <v>0.2</v>
      </c>
      <c r="D816" s="2" t="str">
        <f>IFERROR(__xludf.DUMMYFUNCTION("""COMPUTED_VALUE"""),"জিএসটিন আপডেট করুন")</f>
        <v>জিএসটিন আপডেট করুন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 t="str">
        <f>IFERROR(__xludf.DUMMYFUNCTION("""COMPUTED_VALUE"""),"Pancardno.isrequired")</f>
        <v>Pancardno.isrequired</v>
      </c>
      <c r="B817" s="2" t="str">
        <f>IFERROR(__xludf.DUMMYFUNCTION("""COMPUTED_VALUE"""),"PAN Card No. is required .")</f>
        <v>PAN Card No. is required .</v>
      </c>
      <c r="C817" s="2">
        <f>IFERROR(__xludf.DUMMYFUNCTION("""COMPUTED_VALUE"""),0.2)</f>
        <v>0.2</v>
      </c>
      <c r="D817" s="2" t="str">
        <f>IFERROR(__xludf.DUMMYFUNCTION("""COMPUTED_VALUE"""),"প্যান কার্ড নং প্রয়োজন।")</f>
        <v>প্যান কার্ড নং প্রয়োজন।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 t="str">
        <f>IFERROR(__xludf.DUMMYFUNCTION("""COMPUTED_VALUE"""),"Region")</f>
        <v>Region</v>
      </c>
      <c r="B818" s="2" t="str">
        <f>IFERROR(__xludf.DUMMYFUNCTION("""COMPUTED_VALUE"""),"Region")</f>
        <v>Region</v>
      </c>
      <c r="C818" s="2">
        <f>IFERROR(__xludf.DUMMYFUNCTION("""COMPUTED_VALUE"""),0.3)</f>
        <v>0.3</v>
      </c>
      <c r="D818" s="2" t="str">
        <f>IFERROR(__xludf.DUMMYFUNCTION("""COMPUTED_VALUE"""),"অঞ্চল")</f>
        <v>অঞ্চল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 t="str">
        <f>IFERROR(__xludf.DUMMYFUNCTION("""COMPUTED_VALUE"""),"Doyouwanttocontinuewiththisnumber?")</f>
        <v>Doyouwanttocontinuewiththisnumber?</v>
      </c>
      <c r="B819" s="2" t="str">
        <f>IFERROR(__xludf.DUMMYFUNCTION("""COMPUTED_VALUE"""),"Do you want to continue with this number?")</f>
        <v>Do you want to continue with this number?</v>
      </c>
      <c r="C819" s="2">
        <f>IFERROR(__xludf.DUMMYFUNCTION("""COMPUTED_VALUE"""),0.3)</f>
        <v>0.3</v>
      </c>
      <c r="D819" s="2" t="str">
        <f>IFERROR(__xludf.DUMMYFUNCTION("""COMPUTED_VALUE"""),"আপনি কি এই নম্বরটি চালিয়ে যেতে চান?")</f>
        <v>আপনি কি এই নম্বরটি চালিয়ে যেতে চান?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 t="str">
        <f>IFERROR(__xludf.DUMMYFUNCTION("""COMPUTED_VALUE"""),"Pleaseprovidealltherequiredvalues!")</f>
        <v>Pleaseprovidealltherequiredvalues!</v>
      </c>
      <c r="B820" s="2" t="str">
        <f>IFERROR(__xludf.DUMMYFUNCTION("""COMPUTED_VALUE"""),"Please provide all the required values!")</f>
        <v>Please provide all the required values!</v>
      </c>
      <c r="C820" s="2">
        <f>IFERROR(__xludf.DUMMYFUNCTION("""COMPUTED_VALUE"""),0.3)</f>
        <v>0.3</v>
      </c>
      <c r="D820" s="2" t="str">
        <f>IFERROR(__xludf.DUMMYFUNCTION("""COMPUTED_VALUE"""),"দয়া করে সমস্ত প্রয়োজনীয় মান সরবরাহ করুন!")</f>
        <v>দয়া করে সমস্ত প্রয়োজনীয় মান সরবরাহ করুন!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 t="str">
        <f>IFERROR(__xludf.DUMMYFUNCTION("""COMPUTED_VALUE"""),"Taptoretry")</f>
        <v>Taptoretry</v>
      </c>
      <c r="B821" s="2" t="str">
        <f>IFERROR(__xludf.DUMMYFUNCTION("""COMPUTED_VALUE"""),"Tap to retry")</f>
        <v>Tap to retry</v>
      </c>
      <c r="C821" s="2">
        <f>IFERROR(__xludf.DUMMYFUNCTION("""COMPUTED_VALUE"""),0.3)</f>
        <v>0.3</v>
      </c>
      <c r="D821" s="2" t="str">
        <f>IFERROR(__xludf.DUMMYFUNCTION("""COMPUTED_VALUE"""),"পুনরায় চেষ্টা করতে আলতো চাপুন")</f>
        <v>পুনরায় চেষ্টা করতে আলতো চাপুন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 t="str">
        <f>IFERROR(__xludf.DUMMYFUNCTION("""COMPUTED_VALUE"""),"somethingwentwrong")</f>
        <v>somethingwentwrong</v>
      </c>
      <c r="B822" s="2" t="str">
        <f>IFERROR(__xludf.DUMMYFUNCTION("""COMPUTED_VALUE"""),"something went wrong")</f>
        <v>something went wrong</v>
      </c>
      <c r="C822" s="2">
        <f>IFERROR(__xludf.DUMMYFUNCTION("""COMPUTED_VALUE"""),0.3)</f>
        <v>0.3</v>
      </c>
      <c r="D822" s="2" t="str">
        <f>IFERROR(__xludf.DUMMYFUNCTION("""COMPUTED_VALUE"""),"কিছু ভুল হয়েছে")</f>
        <v>কিছু ভুল হয়েছে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 t="str">
        <f>IFERROR(__xludf.DUMMYFUNCTION("""COMPUTED_VALUE"""),"Searchbyfruits,Categories")</f>
        <v>Searchbyfruits,Categories</v>
      </c>
      <c r="B823" s="2" t="str">
        <f>IFERROR(__xludf.DUMMYFUNCTION("""COMPUTED_VALUE"""),"Search by Fruits, Categories")</f>
        <v>Search by Fruits, Categories</v>
      </c>
      <c r="C823" s="2">
        <f>IFERROR(__xludf.DUMMYFUNCTION("""COMPUTED_VALUE"""),0.3)</f>
        <v>0.3</v>
      </c>
      <c r="D823" s="2" t="str">
        <f>IFERROR(__xludf.DUMMYFUNCTION("""COMPUTED_VALUE"""),"ফল, বিভাগ দ্বারা অনুসন্ধান করুন")</f>
        <v>ফল, বিভাগ দ্বারা অনুসন্ধান করুন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 t="str">
        <f>IFERROR(__xludf.DUMMYFUNCTION("""COMPUTED_VALUE"""),"PleaseEnterPincode")</f>
        <v>PleaseEnterPincode</v>
      </c>
      <c r="B824" s="2" t="str">
        <f>IFERROR(__xludf.DUMMYFUNCTION("""COMPUTED_VALUE"""),"Please Enter Pincode")</f>
        <v>Please Enter Pincode</v>
      </c>
      <c r="C824" s="2">
        <f>IFERROR(__xludf.DUMMYFUNCTION("""COMPUTED_VALUE"""),0.3)</f>
        <v>0.3</v>
      </c>
      <c r="D824" s="2" t="str">
        <f>IFERROR(__xludf.DUMMYFUNCTION("""COMPUTED_VALUE"""),"দয়া করে পিনকোড লিখুন")</f>
        <v>দয়া করে পিনকোড লিখুন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 t="str">
        <f>IFERROR(__xludf.DUMMYFUNCTION("""COMPUTED_VALUE"""),"PleaseEnterHouse/Flat/Blockno")</f>
        <v>PleaseEnterHouse/Flat/Blockno</v>
      </c>
      <c r="B825" s="2" t="str">
        <f>IFERROR(__xludf.DUMMYFUNCTION("""COMPUTED_VALUE"""),"Please Enter House/Flat/Block no")</f>
        <v>Please Enter House/Flat/Block no</v>
      </c>
      <c r="C825" s="2">
        <f>IFERROR(__xludf.DUMMYFUNCTION("""COMPUTED_VALUE"""),0.3)</f>
        <v>0.3</v>
      </c>
      <c r="D825" s="2" t="str">
        <f>IFERROR(__xludf.DUMMYFUNCTION("""COMPUTED_VALUE"""),"দয়া করে হাউস/ফ্ল্যাট/ব্লক নং প্রবেশ করুন")</f>
        <v>দয়া করে হাউস/ফ্ল্যাট/ব্লক নং প্রবেশ করুন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 t="str">
        <f>IFERROR(__xludf.DUMMYFUNCTION("""COMPUTED_VALUE"""),"PleaseEnterApartment/Road/Area")</f>
        <v>PleaseEnterApartment/Road/Area</v>
      </c>
      <c r="B826" s="2" t="str">
        <f>IFERROR(__xludf.DUMMYFUNCTION("""COMPUTED_VALUE"""),"Please Enter Apartment/Road/Area")</f>
        <v>Please Enter Apartment/Road/Area</v>
      </c>
      <c r="C826" s="2">
        <f>IFERROR(__xludf.DUMMYFUNCTION("""COMPUTED_VALUE"""),0.3)</f>
        <v>0.3</v>
      </c>
      <c r="D826" s="2" t="str">
        <f>IFERROR(__xludf.DUMMYFUNCTION("""COMPUTED_VALUE"""),"অ্যাপার্টমেন্ট/রাস্তা/অঞ্চল প্রবেশ করুন")</f>
        <v>অ্যাপার্টমেন্ট/রাস্তা/অঞ্চল প্রবেশ করুন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 t="str">
        <f>IFERROR(__xludf.DUMMYFUNCTION("""COMPUTED_VALUE"""),"PleaseEnterLandmark")</f>
        <v>PleaseEnterLandmark</v>
      </c>
      <c r="B827" s="2" t="str">
        <f>IFERROR(__xludf.DUMMYFUNCTION("""COMPUTED_VALUE"""),"Please Enter Landmark")</f>
        <v>Please Enter Landmark</v>
      </c>
      <c r="C827" s="2">
        <f>IFERROR(__xludf.DUMMYFUNCTION("""COMPUTED_VALUE"""),0.3)</f>
        <v>0.3</v>
      </c>
      <c r="D827" s="2" t="str">
        <f>IFERROR(__xludf.DUMMYFUNCTION("""COMPUTED_VALUE"""),"ল্যান্ডমার্ক প্রবেশ করুন")</f>
        <v>ল্যান্ডমার্ক প্রবেশ করুন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 t="str">
        <f>IFERROR(__xludf.DUMMYFUNCTION("""COMPUTED_VALUE"""),"Pre-Order")</f>
        <v>Pre-Order</v>
      </c>
      <c r="B828" s="2" t="str">
        <f>IFERROR(__xludf.DUMMYFUNCTION("""COMPUTED_VALUE"""),"Pre-Order")</f>
        <v>Pre-Order</v>
      </c>
      <c r="C828" s="2">
        <f>IFERROR(__xludf.DUMMYFUNCTION("""COMPUTED_VALUE"""),0.3)</f>
        <v>0.3</v>
      </c>
      <c r="D828" s="2" t="str">
        <f>IFERROR(__xludf.DUMMYFUNCTION("""COMPUTED_VALUE"""),"পূর্বাদেশ")</f>
        <v>পূর্বাদেশ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 t="str">
        <f>IFERROR(__xludf.DUMMYFUNCTION("""COMPUTED_VALUE"""),"BrowseCatalog")</f>
        <v>BrowseCatalog</v>
      </c>
      <c r="B829" s="2" t="str">
        <f>IFERROR(__xludf.DUMMYFUNCTION("""COMPUTED_VALUE"""),"Browse Catalog")</f>
        <v>Browse Catalog</v>
      </c>
      <c r="C829" s="2">
        <f>IFERROR(__xludf.DUMMYFUNCTION("""COMPUTED_VALUE"""),0.3)</f>
        <v>0.3</v>
      </c>
      <c r="D829" s="2" t="str">
        <f>IFERROR(__xludf.DUMMYFUNCTION("""COMPUTED_VALUE"""),"ক্যাটালগ ব্রাউজ করুন")</f>
        <v>ক্যাটালগ ব্রাউজ করুন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 t="str">
        <f>IFERROR(__xludf.DUMMYFUNCTION("""COMPUTED_VALUE"""),"IFSCisRequired")</f>
        <v>IFSCisRequired</v>
      </c>
      <c r="B830" s="2" t="str">
        <f>IFERROR(__xludf.DUMMYFUNCTION("""COMPUTED_VALUE"""),"IFSC is Required")</f>
        <v>IFSC is Required</v>
      </c>
      <c r="C830" s="2">
        <f>IFERROR(__xludf.DUMMYFUNCTION("""COMPUTED_VALUE"""),0.3)</f>
        <v>0.3</v>
      </c>
      <c r="D830" s="2" t="str">
        <f>IFERROR(__xludf.DUMMYFUNCTION("""COMPUTED_VALUE"""),"আইএফএসসি প্রয়োজন")</f>
        <v>আইএফএসসি প্রয়োজন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 t="str">
        <f>IFERROR(__xludf.DUMMYFUNCTION("""COMPUTED_VALUE"""),"PANNumberisRequired.")</f>
        <v>PANNumberisRequired.</v>
      </c>
      <c r="B831" s="2" t="str">
        <f>IFERROR(__xludf.DUMMYFUNCTION("""COMPUTED_VALUE"""),"PAN Number is Required.")</f>
        <v>PAN Number is Required.</v>
      </c>
      <c r="C831" s="2">
        <f>IFERROR(__xludf.DUMMYFUNCTION("""COMPUTED_VALUE"""),0.3)</f>
        <v>0.3</v>
      </c>
      <c r="D831" s="2" t="str">
        <f>IFERROR(__xludf.DUMMYFUNCTION("""COMPUTED_VALUE"""),"প্যান নম্বর প্রয়োজন।")</f>
        <v>প্যান নম্বর প্রয়োজন।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 t="str">
        <f>IFERROR(__xludf.DUMMYFUNCTION("""COMPUTED_VALUE"""),"Accept-popupworks!")</f>
        <v>Accept-popupworks!</v>
      </c>
      <c r="B832" s="2" t="str">
        <f>IFERROR(__xludf.DUMMYFUNCTION("""COMPUTED_VALUE"""),"Accept-Popup Works!")</f>
        <v>Accept-Popup Works!</v>
      </c>
      <c r="C832" s="2">
        <f>IFERROR(__xludf.DUMMYFUNCTION("""COMPUTED_VALUE"""),0.3)</f>
        <v>0.3</v>
      </c>
      <c r="D832" s="2" t="str">
        <f>IFERROR(__xludf.DUMMYFUNCTION("""COMPUTED_VALUE"""),"গ্রহণ-পপআপ কাজ!")</f>
        <v>গ্রহণ-পপআপ কাজ!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 t="str">
        <f>IFERROR(__xludf.DUMMYFUNCTION("""COMPUTED_VALUE"""),"Accepted-orderworks!")</f>
        <v>Accepted-orderworks!</v>
      </c>
      <c r="B833" s="2" t="str">
        <f>IFERROR(__xludf.DUMMYFUNCTION("""COMPUTED_VALUE"""),"Accepted-Order Works!")</f>
        <v>Accepted-Order Works!</v>
      </c>
      <c r="C833" s="2">
        <f>IFERROR(__xludf.DUMMYFUNCTION("""COMPUTED_VALUE"""),0.3)</f>
        <v>0.3</v>
      </c>
      <c r="D833" s="2" t="str">
        <f>IFERROR(__xludf.DUMMYFUNCTION("""COMPUTED_VALUE"""),"স্বীকৃত-আদেশ কাজ!")</f>
        <v>স্বীকৃত-আদেশ কাজ!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 t="str">
        <f>IFERROR(__xludf.DUMMYFUNCTION("""COMPUTED_VALUE"""),"Dispatch-ordersworks!")</f>
        <v>Dispatch-ordersworks!</v>
      </c>
      <c r="B834" s="2" t="str">
        <f>IFERROR(__xludf.DUMMYFUNCTION("""COMPUTED_VALUE"""),"Dispatch-Orders Works!")</f>
        <v>Dispatch-Orders Works!</v>
      </c>
      <c r="C834" s="2">
        <f>IFERROR(__xludf.DUMMYFUNCTION("""COMPUTED_VALUE"""),0.3)</f>
        <v>0.3</v>
      </c>
      <c r="D834" s="2" t="str">
        <f>IFERROR(__xludf.DUMMYFUNCTION("""COMPUTED_VALUE"""),"প্রেরণ-অর্ডার কাজ!")</f>
        <v>প্রেরণ-অর্ডার কাজ!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 t="str">
        <f>IFERROR(__xludf.DUMMYFUNCTION("""COMPUTED_VALUE"""),"New-orderworks!")</f>
        <v>New-orderworks!</v>
      </c>
      <c r="B835" s="2" t="str">
        <f>IFERROR(__xludf.DUMMYFUNCTION("""COMPUTED_VALUE"""),"New-Order Works!")</f>
        <v>New-Order Works!</v>
      </c>
      <c r="C835" s="2">
        <f>IFERROR(__xludf.DUMMYFUNCTION("""COMPUTED_VALUE"""),0.3)</f>
        <v>0.3</v>
      </c>
      <c r="D835" s="2" t="str">
        <f>IFERROR(__xludf.DUMMYFUNCTION("""COMPUTED_VALUE"""),"নতুন অর্ডার কাজ!")</f>
        <v>নতুন অর্ডার কাজ!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 t="str">
        <f>IFERROR(__xludf.DUMMYFUNCTION("""COMPUTED_VALUE"""),"PaymentReceived")</f>
        <v>PaymentReceived</v>
      </c>
      <c r="B836" s="2" t="str">
        <f>IFERROR(__xludf.DUMMYFUNCTION("""COMPUTED_VALUE"""),"Payment Received")</f>
        <v>Payment Received</v>
      </c>
      <c r="C836" s="2">
        <f>IFERROR(__xludf.DUMMYFUNCTION("""COMPUTED_VALUE"""),0.3)</f>
        <v>0.3</v>
      </c>
      <c r="D836" s="2" t="str">
        <f>IFERROR(__xludf.DUMMYFUNCTION("""COMPUTED_VALUE"""),"পেমেন্ট পেয়েছি")</f>
        <v>পেমেন্ট পেয়েছি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 t="str">
        <f>IFERROR(__xludf.DUMMYFUNCTION("""COMPUTED_VALUE"""),"DeliveryInstructions")</f>
        <v>DeliveryInstructions</v>
      </c>
      <c r="B837" s="2" t="str">
        <f>IFERROR(__xludf.DUMMYFUNCTION("""COMPUTED_VALUE"""),"Delivery Instructions")</f>
        <v>Delivery Instructions</v>
      </c>
      <c r="C837" s="2">
        <f>IFERROR(__xludf.DUMMYFUNCTION("""COMPUTED_VALUE"""),0.3)</f>
        <v>0.3</v>
      </c>
      <c r="D837" s="2" t="str">
        <f>IFERROR(__xludf.DUMMYFUNCTION("""COMPUTED_VALUE"""),"বিতরণ নির্দেশাবলী")</f>
        <v>বিতরণ নির্দেশাবলী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 t="str">
        <f>IFERROR(__xludf.DUMMYFUNCTION("""COMPUTED_VALUE"""),"Picker")</f>
        <v>Picker</v>
      </c>
      <c r="B838" s="2" t="str">
        <f>IFERROR(__xludf.DUMMYFUNCTION("""COMPUTED_VALUE"""),"Picker")</f>
        <v>Picker</v>
      </c>
      <c r="C838" s="2">
        <f>IFERROR(__xludf.DUMMYFUNCTION("""COMPUTED_VALUE"""),0.3)</f>
        <v>0.3</v>
      </c>
      <c r="D838" s="2" t="str">
        <f>IFERROR(__xludf.DUMMYFUNCTION("""COMPUTED_VALUE"""),"বাছাইকারী")</f>
        <v>বাছাইকারী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 t="str">
        <f>IFERROR(__xludf.DUMMYFUNCTION("""COMPUTED_VALUE"""),"Loading ...")</f>
        <v>Loading ...</v>
      </c>
      <c r="B839" s="2" t="str">
        <f>IFERROR(__xludf.DUMMYFUNCTION("""COMPUTED_VALUE"""),"Loading ...")</f>
        <v>Loading ...</v>
      </c>
      <c r="C839" s="2">
        <f>IFERROR(__xludf.DUMMYFUNCTION("""COMPUTED_VALUE"""),0.3)</f>
        <v>0.3</v>
      </c>
      <c r="D839" s="2" t="str">
        <f>IFERROR(__xludf.DUMMYFUNCTION("""COMPUTED_VALUE"""),"লোড হচ্ছে ...")</f>
        <v>লোড হচ্ছে ...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 t="str">
        <f>IFERROR(__xludf.DUMMYFUNCTION("""COMPUTED_VALUE"""),"Processing-ordersworks!")</f>
        <v>Processing-ordersworks!</v>
      </c>
      <c r="B840" s="2" t="str">
        <f>IFERROR(__xludf.DUMMYFUNCTION("""COMPUTED_VALUE"""),"Processing-Orders Works!")</f>
        <v>Processing-Orders Works!</v>
      </c>
      <c r="C840" s="2">
        <f>IFERROR(__xludf.DUMMYFUNCTION("""COMPUTED_VALUE"""),0.3)</f>
        <v>0.3</v>
      </c>
      <c r="D840" s="2" t="str">
        <f>IFERROR(__xludf.DUMMYFUNCTION("""COMPUTED_VALUE"""),"প্রসেসিং-অর্ডার কাজ!")</f>
        <v>প্রসেসিং-অর্ডার কাজ!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 t="str">
        <f>IFERROR(__xludf.DUMMYFUNCTION("""COMPUTED_VALUE"""),"Ready-ordersworks!")</f>
        <v>Ready-ordersworks!</v>
      </c>
      <c r="B841" s="2" t="str">
        <f>IFERROR(__xludf.DUMMYFUNCTION("""COMPUTED_VALUE"""),"Ready-Orders Works!")</f>
        <v>Ready-Orders Works!</v>
      </c>
      <c r="C841" s="2">
        <f>IFERROR(__xludf.DUMMYFUNCTION("""COMPUTED_VALUE"""),0.3)</f>
        <v>0.3</v>
      </c>
      <c r="D841" s="2" t="str">
        <f>IFERROR(__xludf.DUMMYFUNCTION("""COMPUTED_VALUE"""),"রেডি-অর্ডার ওয়ার্কস!")</f>
        <v>রেডি-অর্ডার ওয়ার্কস!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 t="str">
        <f>IFERROR(__xludf.DUMMYFUNCTION("""COMPUTED_VALUE"""),"Environment:Staging")</f>
        <v>Environment:Staging</v>
      </c>
      <c r="B842" s="2" t="str">
        <f>IFERROR(__xludf.DUMMYFUNCTION("""COMPUTED_VALUE"""),"Environment: Staging")</f>
        <v>Environment: Staging</v>
      </c>
      <c r="C842" s="2">
        <f>IFERROR(__xludf.DUMMYFUNCTION("""COMPUTED_VALUE"""),0.3)</f>
        <v>0.3</v>
      </c>
      <c r="D842" s="2" t="str">
        <f>IFERROR(__xludf.DUMMYFUNCTION("""COMPUTED_VALUE"""),"পরিবেশ: মঞ্চায়ন")</f>
        <v>পরিবেশ: মঞ্চায়ন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 t="str">
        <f>IFERROR(__xludf.DUMMYFUNCTION("""COMPUTED_VALUE"""),"NoDataFound")</f>
        <v>NoDataFound</v>
      </c>
      <c r="B843" s="2" t="str">
        <f>IFERROR(__xludf.DUMMYFUNCTION("""COMPUTED_VALUE"""),"No Data Found")</f>
        <v>No Data Found</v>
      </c>
      <c r="C843" s="2">
        <f>IFERROR(__xludf.DUMMYFUNCTION("""COMPUTED_VALUE"""),0.3)</f>
        <v>0.3</v>
      </c>
      <c r="D843" s="2" t="str">
        <f>IFERROR(__xludf.DUMMYFUNCTION("""COMPUTED_VALUE"""),"কোনও ডেটা পাওয়া যায় নি")</f>
        <v>কোনও ডেটা পাওয়া যায় নি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 t="str">
        <f>IFERROR(__xludf.DUMMYFUNCTION("""COMPUTED_VALUE"""),"Progressbarworks!")</f>
        <v>Progressbarworks!</v>
      </c>
      <c r="B844" s="2" t="str">
        <f>IFERROR(__xludf.DUMMYFUNCTION("""COMPUTED_VALUE"""),"Progressbar Works!")</f>
        <v>Progressbar Works!</v>
      </c>
      <c r="C844" s="2">
        <f>IFERROR(__xludf.DUMMYFUNCTION("""COMPUTED_VALUE"""),0.3)</f>
        <v>0.3</v>
      </c>
      <c r="D844" s="2" t="str">
        <f>IFERROR(__xludf.DUMMYFUNCTION("""COMPUTED_VALUE"""),"প্রগ্রেসবার ওয়ার্কস!")</f>
        <v>প্রগ্রেসবার ওয়ার্কস!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 t="str">
        <f>IFERROR(__xludf.DUMMYFUNCTION("""COMPUTED_VALUE"""),"InvoiceNumber")</f>
        <v>InvoiceNumber</v>
      </c>
      <c r="B845" s="2" t="str">
        <f>IFERROR(__xludf.DUMMYFUNCTION("""COMPUTED_VALUE"""),"Invoice Number")</f>
        <v>Invoice Number</v>
      </c>
      <c r="C845" s="2">
        <f>IFERROR(__xludf.DUMMYFUNCTION("""COMPUTED_VALUE"""),0.3)</f>
        <v>0.3</v>
      </c>
      <c r="D845" s="2" t="str">
        <f>IFERROR(__xludf.DUMMYFUNCTION("""COMPUTED_VALUE"""),"চালান নম্বর")</f>
        <v>চালান নম্বর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 t="str">
        <f>IFERROR(__xludf.DUMMYFUNCTION("""COMPUTED_VALUE"""),"IGSTIN")</f>
        <v>IGSTIN</v>
      </c>
      <c r="B846" s="2" t="str">
        <f>IFERROR(__xludf.DUMMYFUNCTION("""COMPUTED_VALUE"""),"IGSTIN")</f>
        <v>IGSTIN</v>
      </c>
      <c r="C846" s="2">
        <f>IFERROR(__xludf.DUMMYFUNCTION("""COMPUTED_VALUE"""),0.3)</f>
        <v>0.3</v>
      </c>
      <c r="D846" s="2" t="str">
        <f>IFERROR(__xludf.DUMMYFUNCTION("""COMPUTED_VALUE"""),"ইগস্টিন")</f>
        <v>ইগস্টিন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 t="str">
        <f>IFERROR(__xludf.DUMMYFUNCTION("""COMPUTED_VALUE"""),"ShopName")</f>
        <v>ShopName</v>
      </c>
      <c r="B847" s="2" t="str">
        <f>IFERROR(__xludf.DUMMYFUNCTION("""COMPUTED_VALUE"""),"Shop Name")</f>
        <v>Shop Name</v>
      </c>
      <c r="C847" s="2">
        <f>IFERROR(__xludf.DUMMYFUNCTION("""COMPUTED_VALUE"""),0.3)</f>
        <v>0.3</v>
      </c>
      <c r="D847" s="2" t="str">
        <f>IFERROR(__xludf.DUMMYFUNCTION("""COMPUTED_VALUE"""),"শপ নাম")</f>
        <v>শপ নাম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 t="str">
        <f>IFERROR(__xludf.DUMMYFUNCTION("""COMPUTED_VALUE"""),"PhoneNo.")</f>
        <v>PhoneNo.</v>
      </c>
      <c r="B848" s="2" t="str">
        <f>IFERROR(__xludf.DUMMYFUNCTION("""COMPUTED_VALUE"""),"Phone No.")</f>
        <v>Phone No.</v>
      </c>
      <c r="C848" s="2">
        <f>IFERROR(__xludf.DUMMYFUNCTION("""COMPUTED_VALUE"""),0.3)</f>
        <v>0.3</v>
      </c>
      <c r="D848" s="2" t="str">
        <f>IFERROR(__xludf.DUMMYFUNCTION("""COMPUTED_VALUE"""),"ফোন নম্বর.")</f>
        <v>ফোন নম্বর.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 t="str">
        <f>IFERROR(__xludf.DUMMYFUNCTION("""COMPUTED_VALUE"""),"Gallery")</f>
        <v>Gallery</v>
      </c>
      <c r="B849" s="2" t="str">
        <f>IFERROR(__xludf.DUMMYFUNCTION("""COMPUTED_VALUE"""),"Gallery")</f>
        <v>Gallery</v>
      </c>
      <c r="C849" s="2">
        <f>IFERROR(__xludf.DUMMYFUNCTION("""COMPUTED_VALUE"""),0.4)</f>
        <v>0.4</v>
      </c>
      <c r="D849" s="2" t="str">
        <f>IFERROR(__xludf.DUMMYFUNCTION("""COMPUTED_VALUE"""),"গ্যালারী")</f>
        <v>গ্যালারী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 t="str">
        <f>IFERROR(__xludf.DUMMYFUNCTION("""COMPUTED_VALUE"""),"Update&amp;Continue")</f>
        <v>Update&amp;Continue</v>
      </c>
      <c r="B850" s="2" t="str">
        <f>IFERROR(__xludf.DUMMYFUNCTION("""COMPUTED_VALUE"""),"Update &amp; Continue")</f>
        <v>Update &amp; Continue</v>
      </c>
      <c r="C850" s="2">
        <f>IFERROR(__xludf.DUMMYFUNCTION("""COMPUTED_VALUE"""),0.4)</f>
        <v>0.4</v>
      </c>
      <c r="D850" s="2" t="str">
        <f>IFERROR(__xludf.DUMMYFUNCTION("""COMPUTED_VALUE"""),"আপডেট এবং চালিয়ে যান")</f>
        <v>আপডেট এবং চালিয়ে যান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 t="str">
        <f>IFERROR(__xludf.DUMMYFUNCTION("""COMPUTED_VALUE"""),"alert ")</f>
        <v>alert </v>
      </c>
      <c r="B851" s="2" t="str">
        <f>IFERROR(__xludf.DUMMYFUNCTION("""COMPUTED_VALUE"""),"Alert!!")</f>
        <v>Alert!!</v>
      </c>
      <c r="C851" s="2">
        <f>IFERROR(__xludf.DUMMYFUNCTION("""COMPUTED_VALUE"""),0.4)</f>
        <v>0.4</v>
      </c>
      <c r="D851" s="2" t="str">
        <f>IFERROR(__xludf.DUMMYFUNCTION("""COMPUTED_VALUE"""),"সতর্ক !!")</f>
        <v>সতর্ক !!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 t="str">
        <f>IFERROR(__xludf.DUMMYFUNCTION("""COMPUTED_VALUE"""),"Areyousureyouwanttodelete?")</f>
        <v>Areyousureyouwanttodelete?</v>
      </c>
      <c r="B852" s="2" t="str">
        <f>IFERROR(__xludf.DUMMYFUNCTION("""COMPUTED_VALUE"""),"Are you sure you want to delete?")</f>
        <v>Are you sure you want to delete?</v>
      </c>
      <c r="C852" s="2">
        <f>IFERROR(__xludf.DUMMYFUNCTION("""COMPUTED_VALUE"""),0.4)</f>
        <v>0.4</v>
      </c>
      <c r="D852" s="2" t="str">
        <f>IFERROR(__xludf.DUMMYFUNCTION("""COMPUTED_VALUE"""),"আপনি মুছে ফেলতে চান?")</f>
        <v>আপনি মুছে ফেলতে চান?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 t="str">
        <f>IFERROR(__xludf.DUMMYFUNCTION("""COMPUTED_VALUE"""),"Organisation")</f>
        <v>Organisation</v>
      </c>
      <c r="B853" s="2" t="str">
        <f>IFERROR(__xludf.DUMMYFUNCTION("""COMPUTED_VALUE"""),"Organisation")</f>
        <v>Organisation</v>
      </c>
      <c r="C853" s="2">
        <f>IFERROR(__xludf.DUMMYFUNCTION("""COMPUTED_VALUE"""),0.4)</f>
        <v>0.4</v>
      </c>
      <c r="D853" s="2" t="str">
        <f>IFERROR(__xludf.DUMMYFUNCTION("""COMPUTED_VALUE"""),"সংগঠন")</f>
        <v>সংগঠন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 t="str">
        <f>IFERROR(__xludf.DUMMYFUNCTION("""COMPUTED_VALUE"""),"SelectOrganistion")</f>
        <v>SelectOrganistion</v>
      </c>
      <c r="B854" s="2" t="str">
        <f>IFERROR(__xludf.DUMMYFUNCTION("""COMPUTED_VALUE"""),"Select Organization")</f>
        <v>Select Organization</v>
      </c>
      <c r="C854" s="2">
        <f>IFERROR(__xludf.DUMMYFUNCTION("""COMPUTED_VALUE"""),0.4)</f>
        <v>0.4</v>
      </c>
      <c r="D854" s="2" t="str">
        <f>IFERROR(__xludf.DUMMYFUNCTION("""COMPUTED_VALUE"""),"সংস্থা নির্বাচন করুন")</f>
        <v>সংস্থা নির্বাচন করুন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 t="str">
        <f>IFERROR(__xludf.DUMMYFUNCTION("""COMPUTED_VALUE"""),"Select&amp;Continue")</f>
        <v>Select&amp;Continue</v>
      </c>
      <c r="B855" s="2" t="str">
        <f>IFERROR(__xludf.DUMMYFUNCTION("""COMPUTED_VALUE"""),"Select &amp; Continue")</f>
        <v>Select &amp; Continue</v>
      </c>
      <c r="C855" s="2">
        <f>IFERROR(__xludf.DUMMYFUNCTION("""COMPUTED_VALUE"""),0.4)</f>
        <v>0.4</v>
      </c>
      <c r="D855" s="2" t="str">
        <f>IFERROR(__xludf.DUMMYFUNCTION("""COMPUTED_VALUE"""),"নির্বাচন করুন এবং চালিয়ে যান")</f>
        <v>নির্বাচন করুন এবং চালিয়ে যান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 t="str">
        <f>IFERROR(__xludf.DUMMYFUNCTION("""COMPUTED_VALUE"""),"Sarvm")</f>
        <v>Sarvm</v>
      </c>
      <c r="B856" s="2" t="str">
        <f>IFERROR(__xludf.DUMMYFUNCTION("""COMPUTED_VALUE"""),"Sarvm")</f>
        <v>Sarvm</v>
      </c>
      <c r="C856" s="2">
        <f>IFERROR(__xludf.DUMMYFUNCTION("""COMPUTED_VALUE"""),0.4)</f>
        <v>0.4</v>
      </c>
      <c r="D856" s="2" t="str">
        <f>IFERROR(__xludf.DUMMYFUNCTION("""COMPUTED_VALUE"""),"সর্ব")</f>
        <v>সর্ব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 t="str">
        <f>IFERROR(__xludf.DUMMYFUNCTION("""COMPUTED_VALUE"""),"Iwilldeliverby")</f>
        <v>Iwilldeliverby</v>
      </c>
      <c r="B857" s="2" t="str">
        <f>IFERROR(__xludf.DUMMYFUNCTION("""COMPUTED_VALUE"""),"I will deliver by")</f>
        <v>I will deliver by</v>
      </c>
      <c r="C857" s="2">
        <f>IFERROR(__xludf.DUMMYFUNCTION("""COMPUTED_VALUE"""),1.0)</f>
        <v>1</v>
      </c>
      <c r="D857" s="2" t="str">
        <f>IFERROR(__xludf.DUMMYFUNCTION("""COMPUTED_VALUE"""),"আমি বিতরণ করব")</f>
        <v>আমি বিতরণ করব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 t="str">
        <f>IFERROR(__xludf.DUMMYFUNCTION("""COMPUTED_VALUE"""),"Pedestrian ")</f>
        <v>Pedestrian </v>
      </c>
      <c r="B858" s="2" t="str">
        <f>IFERROR(__xludf.DUMMYFUNCTION("""COMPUTED_VALUE"""),"Pedestrian ")</f>
        <v>Pedestrian </v>
      </c>
      <c r="C858" s="2">
        <f>IFERROR(__xludf.DUMMYFUNCTION("""COMPUTED_VALUE"""),1.0)</f>
        <v>1</v>
      </c>
      <c r="D858" s="2" t="str">
        <f>IFERROR(__xludf.DUMMYFUNCTION("""COMPUTED_VALUE"""),"পথচারী")</f>
        <v>পথচারী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 t="str">
        <f>IFERROR(__xludf.DUMMYFUNCTION("""COMPUTED_VALUE"""),"Bicycle")</f>
        <v>Bicycle</v>
      </c>
      <c r="B859" s="2" t="str">
        <f>IFERROR(__xludf.DUMMYFUNCTION("""COMPUTED_VALUE"""),"Bicycle")</f>
        <v>Bicycle</v>
      </c>
      <c r="C859" s="2">
        <f>IFERROR(__xludf.DUMMYFUNCTION("""COMPUTED_VALUE"""),1.0)</f>
        <v>1</v>
      </c>
      <c r="D859" s="2" t="str">
        <f>IFERROR(__xludf.DUMMYFUNCTION("""COMPUTED_VALUE"""),"সাইকেল")</f>
        <v>সাইকেল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 t="str">
        <f>IFERROR(__xludf.DUMMYFUNCTION("""COMPUTED_VALUE"""),"CycleRickshaw")</f>
        <v>CycleRickshaw</v>
      </c>
      <c r="B860" s="2" t="str">
        <f>IFERROR(__xludf.DUMMYFUNCTION("""COMPUTED_VALUE"""),"Cycle Rickshaw")</f>
        <v>Cycle Rickshaw</v>
      </c>
      <c r="C860" s="2">
        <f>IFERROR(__xludf.DUMMYFUNCTION("""COMPUTED_VALUE"""),1.0)</f>
        <v>1</v>
      </c>
      <c r="D860" s="2" t="str">
        <f>IFERROR(__xludf.DUMMYFUNCTION("""COMPUTED_VALUE"""),"চক্র রিকশা")</f>
        <v>চক্র রিকশা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 t="str">
        <f>IFERROR(__xludf.DUMMYFUNCTION("""COMPUTED_VALUE"""),"AutoRickshaw")</f>
        <v>AutoRickshaw</v>
      </c>
      <c r="B861" s="2" t="str">
        <f>IFERROR(__xludf.DUMMYFUNCTION("""COMPUTED_VALUE"""),"Auto Rickshaw")</f>
        <v>Auto Rickshaw</v>
      </c>
      <c r="C861" s="2">
        <f>IFERROR(__xludf.DUMMYFUNCTION("""COMPUTED_VALUE"""),1.0)</f>
        <v>1</v>
      </c>
      <c r="D861" s="2" t="str">
        <f>IFERROR(__xludf.DUMMYFUNCTION("""COMPUTED_VALUE"""),"অটো রিকশা")</f>
        <v>অটো রিকশা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 t="str">
        <f>IFERROR(__xludf.DUMMYFUNCTION("""COMPUTED_VALUE"""),"Bike")</f>
        <v>Bike</v>
      </c>
      <c r="B862" s="2" t="str">
        <f>IFERROR(__xludf.DUMMYFUNCTION("""COMPUTED_VALUE"""),"Bike")</f>
        <v>Bike</v>
      </c>
      <c r="C862" s="2">
        <f>IFERROR(__xludf.DUMMYFUNCTION("""COMPUTED_VALUE"""),1.0)</f>
        <v>1</v>
      </c>
      <c r="D862" s="2" t="str">
        <f>IFERROR(__xludf.DUMMYFUNCTION("""COMPUTED_VALUE"""),"বাইক")</f>
        <v>বাইক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 t="str">
        <f>IFERROR(__xludf.DUMMYFUNCTION("""COMPUTED_VALUE"""),"E-RIckshaw")</f>
        <v>E-RIckshaw</v>
      </c>
      <c r="B863" s="2" t="str">
        <f>IFERROR(__xludf.DUMMYFUNCTION("""COMPUTED_VALUE"""),"E-RIckshaw")</f>
        <v>E-RIckshaw</v>
      </c>
      <c r="C863" s="2">
        <f>IFERROR(__xludf.DUMMYFUNCTION("""COMPUTED_VALUE"""),1.0)</f>
        <v>1</v>
      </c>
      <c r="D863" s="2" t="str">
        <f>IFERROR(__xludf.DUMMYFUNCTION("""COMPUTED_VALUE"""),"ই-রিকশা")</f>
        <v>ই-রিকশা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 t="str">
        <f>IFERROR(__xludf.DUMMYFUNCTION("""COMPUTED_VALUE"""),"DrivingLicenseNo")</f>
        <v>DrivingLicenseNo</v>
      </c>
      <c r="B864" s="2" t="str">
        <f>IFERROR(__xludf.DUMMYFUNCTION("""COMPUTED_VALUE"""),"Driving License No")</f>
        <v>Driving License No</v>
      </c>
      <c r="C864" s="2">
        <f>IFERROR(__xludf.DUMMYFUNCTION("""COMPUTED_VALUE"""),1.0)</f>
        <v>1</v>
      </c>
      <c r="D864" s="2" t="str">
        <f>IFERROR(__xludf.DUMMYFUNCTION("""COMPUTED_VALUE"""),"ড্রাইভিং লাইসেন্স নং")</f>
        <v>ড্রাইভিং লাইসেন্স নং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 t="str">
        <f>IFERROR(__xludf.DUMMYFUNCTION("""COMPUTED_VALUE"""),"RC")</f>
        <v>RC</v>
      </c>
      <c r="B865" s="2" t="str">
        <f>IFERROR(__xludf.DUMMYFUNCTION("""COMPUTED_VALUE"""),"RC")</f>
        <v>RC</v>
      </c>
      <c r="C865" s="2">
        <f>IFERROR(__xludf.DUMMYFUNCTION("""COMPUTED_VALUE"""),1.0)</f>
        <v>1</v>
      </c>
      <c r="D865" s="2" t="str">
        <f>IFERROR(__xludf.DUMMYFUNCTION("""COMPUTED_VALUE"""),"আরসি")</f>
        <v>আরসি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 t="str">
        <f>IFERROR(__xludf.DUMMYFUNCTION("""COMPUTED_VALUE"""),"VehiclePermit(optional)")</f>
        <v>VehiclePermit(optional)</v>
      </c>
      <c r="B866" s="2" t="str">
        <f>IFERROR(__xludf.DUMMYFUNCTION("""COMPUTED_VALUE"""),"Vehicle Permit(optional)")</f>
        <v>Vehicle Permit(optional)</v>
      </c>
      <c r="C866" s="2">
        <f>IFERROR(__xludf.DUMMYFUNCTION("""COMPUTED_VALUE"""),1.0)</f>
        <v>1</v>
      </c>
      <c r="D866" s="2" t="str">
        <f>IFERROR(__xludf.DUMMYFUNCTION("""COMPUTED_VALUE"""),"যানবাহন পারমিট (al চ্ছিক)")</f>
        <v>যানবাহন পারমিট (al চ্ছিক)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 t="str">
        <f>IFERROR(__xludf.DUMMYFUNCTION("""COMPUTED_VALUE"""),"UploadVehiclePermitDocs")</f>
        <v>UploadVehiclePermitDocs</v>
      </c>
      <c r="B867" s="2" t="str">
        <f>IFERROR(__xludf.DUMMYFUNCTION("""COMPUTED_VALUE"""),"Upload Vehicle Permit Docs")</f>
        <v>Upload Vehicle Permit Docs</v>
      </c>
      <c r="C867" s="2">
        <f>IFERROR(__xludf.DUMMYFUNCTION("""COMPUTED_VALUE"""),1.0)</f>
        <v>1</v>
      </c>
      <c r="D867" s="2" t="str">
        <f>IFERROR(__xludf.DUMMYFUNCTION("""COMPUTED_VALUE"""),"যানবাহন পারমিট ডক্স আপলোড করুন")</f>
        <v>যানবাহন পারমিট ডক্স আপলোড করুন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 t="str">
        <f>IFERROR(__xludf.DUMMYFUNCTION("""COMPUTED_VALUE"""),"UploadRC(Registration Certificate)")</f>
        <v>UploadRC(Registration Certificate)</v>
      </c>
      <c r="B868" s="2" t="str">
        <f>IFERROR(__xludf.DUMMYFUNCTION("""COMPUTED_VALUE"""),"Upload RC (Registration Certificate)")</f>
        <v>Upload RC (Registration Certificate)</v>
      </c>
      <c r="C868" s="2">
        <f>IFERROR(__xludf.DUMMYFUNCTION("""COMPUTED_VALUE"""),1.0)</f>
        <v>1</v>
      </c>
      <c r="D868" s="2" t="str">
        <f>IFERROR(__xludf.DUMMYFUNCTION("""COMPUTED_VALUE"""),"আপলোড আরসি (নিবন্ধকরণ শংসাপত্র)")</f>
        <v>আপলোড আরসি (নিবন্ধকরণ শংসাপত্র)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 t="str">
        <f>IFERROR(__xludf.DUMMYFUNCTION("""COMPUTED_VALUE"""),"OnlineDelivery ")</f>
        <v>OnlineDelivery </v>
      </c>
      <c r="B869" s="2" t="str">
        <f>IFERROR(__xludf.DUMMYFUNCTION("""COMPUTED_VALUE"""),"Online Delivery ")</f>
        <v>Online Delivery </v>
      </c>
      <c r="C869" s="2">
        <f>IFERROR(__xludf.DUMMYFUNCTION("""COMPUTED_VALUE"""),1.0)</f>
        <v>1</v>
      </c>
      <c r="D869" s="2" t="str">
        <f>IFERROR(__xludf.DUMMYFUNCTION("""COMPUTED_VALUE"""),"অনলাইন বিতরণ")</f>
        <v>অনলাইন বিতরণ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 t="str">
        <f>IFERROR(__xludf.DUMMYFUNCTION("""COMPUTED_VALUE"""),"EasyNavigation")</f>
        <v>EasyNavigation</v>
      </c>
      <c r="B870" s="2" t="str">
        <f>IFERROR(__xludf.DUMMYFUNCTION("""COMPUTED_VALUE"""),"Easy Navigation")</f>
        <v>Easy Navigation</v>
      </c>
      <c r="C870" s="2">
        <f>IFERROR(__xludf.DUMMYFUNCTION("""COMPUTED_VALUE"""),1.0)</f>
        <v>1</v>
      </c>
      <c r="D870" s="2" t="str">
        <f>IFERROR(__xludf.DUMMYFUNCTION("""COMPUTED_VALUE"""),"সহজ নেভিগেশন")</f>
        <v>সহজ নেভিগেশন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 t="str">
        <f>IFERROR(__xludf.DUMMYFUNCTION("""COMPUTED_VALUE"""),"ManageMultipleDelivery ")</f>
        <v>ManageMultipleDelivery </v>
      </c>
      <c r="B871" s="2" t="str">
        <f>IFERROR(__xludf.DUMMYFUNCTION("""COMPUTED_VALUE"""),"Manage Multiple Delivery ")</f>
        <v>Manage Multiple Delivery </v>
      </c>
      <c r="C871" s="2">
        <f>IFERROR(__xludf.DUMMYFUNCTION("""COMPUTED_VALUE"""),1.0)</f>
        <v>1</v>
      </c>
      <c r="D871" s="2" t="str">
        <f>IFERROR(__xludf.DUMMYFUNCTION("""COMPUTED_VALUE"""),"একাধিক বিতরণ পরিচালনা করুন")</f>
        <v>একাধিক বিতরণ পরিচালনা করুন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 t="str">
        <f>IFERROR(__xludf.DUMMYFUNCTION("""COMPUTED_VALUE"""),"DistanceManagement")</f>
        <v>DistanceManagement</v>
      </c>
      <c r="B872" s="2" t="str">
        <f>IFERROR(__xludf.DUMMYFUNCTION("""COMPUTED_VALUE"""),"Distance Management")</f>
        <v>Distance Management</v>
      </c>
      <c r="C872" s="2">
        <f>IFERROR(__xludf.DUMMYFUNCTION("""COMPUTED_VALUE"""),1.0)</f>
        <v>1</v>
      </c>
      <c r="D872" s="2" t="str">
        <f>IFERROR(__xludf.DUMMYFUNCTION("""COMPUTED_VALUE"""),"দূরত্ব পরিচালনা")</f>
        <v>দূরত্ব পরিচালনা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 t="str">
        <f>IFERROR(__xludf.DUMMYFUNCTION("""COMPUTED_VALUE"""),"RateManagement")</f>
        <v>RateManagement</v>
      </c>
      <c r="B873" s="2" t="str">
        <f>IFERROR(__xludf.DUMMYFUNCTION("""COMPUTED_VALUE"""),"Rate Management")</f>
        <v>Rate Management</v>
      </c>
      <c r="C873" s="2">
        <f>IFERROR(__xludf.DUMMYFUNCTION("""COMPUTED_VALUE"""),1.0)</f>
        <v>1</v>
      </c>
      <c r="D873" s="2" t="str">
        <f>IFERROR(__xludf.DUMMYFUNCTION("""COMPUTED_VALUE"""),"রেট ম্যানেজমেন্ট")</f>
        <v>রেট ম্যানেজমেন্ট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 t="str">
        <f>IFERROR(__xludf.DUMMYFUNCTION("""COMPUTED_VALUE"""),"Online")</f>
        <v>Online</v>
      </c>
      <c r="B874" s="2" t="str">
        <f>IFERROR(__xludf.DUMMYFUNCTION("""COMPUTED_VALUE"""),"Online")</f>
        <v>Online</v>
      </c>
      <c r="C874" s="2">
        <f>IFERROR(__xludf.DUMMYFUNCTION("""COMPUTED_VALUE"""),1.0)</f>
        <v>1</v>
      </c>
      <c r="D874" s="2" t="str">
        <f>IFERROR(__xludf.DUMMYFUNCTION("""COMPUTED_VALUE"""),"অনলাইন")</f>
        <v>অনলাইন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 t="str">
        <f>IFERROR(__xludf.DUMMYFUNCTION("""COMPUTED_VALUE"""),"Reportincident ")</f>
        <v>Reportincident </v>
      </c>
      <c r="B875" s="2" t="str">
        <f>IFERROR(__xludf.DUMMYFUNCTION("""COMPUTED_VALUE"""),"Report Incident ")</f>
        <v>Report Incident </v>
      </c>
      <c r="C875" s="2">
        <f>IFERROR(__xludf.DUMMYFUNCTION("""COMPUTED_VALUE"""),1.0)</f>
        <v>1</v>
      </c>
      <c r="D875" s="2" t="str">
        <f>IFERROR(__xludf.DUMMYFUNCTION("""COMPUTED_VALUE"""),"রিপোর্ট ঘটনা")</f>
        <v>রিপোর্ট ঘটনা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 t="str">
        <f>IFERROR(__xludf.DUMMYFUNCTION("""COMPUTED_VALUE"""),"Referafriend&amp;Earn ")</f>
        <v>Referafriend&amp;Earn </v>
      </c>
      <c r="B876" s="2" t="str">
        <f>IFERROR(__xludf.DUMMYFUNCTION("""COMPUTED_VALUE"""),"Refer a Friend &amp; Earn ")</f>
        <v>Refer a Friend &amp; Earn </v>
      </c>
      <c r="C876" s="2">
        <f>IFERROR(__xludf.DUMMYFUNCTION("""COMPUTED_VALUE"""),1.0)</f>
        <v>1</v>
      </c>
      <c r="D876" s="2" t="str">
        <f>IFERROR(__xludf.DUMMYFUNCTION("""COMPUTED_VALUE"""),"একটি বন্ধু রেফার করুন এবং উপার্জন করুন")</f>
        <v>একটি বন্ধু রেফার করুন এবং উপার্জন করুন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 t="str">
        <f>IFERROR(__xludf.DUMMYFUNCTION("""COMPUTED_VALUE"""),"NewTrips ")</f>
        <v>NewTrips </v>
      </c>
      <c r="B877" s="2" t="str">
        <f>IFERROR(__xludf.DUMMYFUNCTION("""COMPUTED_VALUE"""),"New Trips ")</f>
        <v>New Trips </v>
      </c>
      <c r="C877" s="2">
        <f>IFERROR(__xludf.DUMMYFUNCTION("""COMPUTED_VALUE"""),1.0)</f>
        <v>1</v>
      </c>
      <c r="D877" s="2" t="str">
        <f>IFERROR(__xludf.DUMMYFUNCTION("""COMPUTED_VALUE"""),"নতুন ট্রিপস")</f>
        <v>নতুন ট্রিপস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 t="str">
        <f>IFERROR(__xludf.DUMMYFUNCTION("""COMPUTED_VALUE"""),"ExpectedEarnings")</f>
        <v>ExpectedEarnings</v>
      </c>
      <c r="B878" s="2" t="str">
        <f>IFERROR(__xludf.DUMMYFUNCTION("""COMPUTED_VALUE"""),"Expected Earnings")</f>
        <v>Expected Earnings</v>
      </c>
      <c r="C878" s="2">
        <f>IFERROR(__xludf.DUMMYFUNCTION("""COMPUTED_VALUE"""),1.0)</f>
        <v>1</v>
      </c>
      <c r="D878" s="2" t="str">
        <f>IFERROR(__xludf.DUMMYFUNCTION("""COMPUTED_VALUE"""),"প্রত্যাশিত উপার্জন")</f>
        <v>প্রত্যাশিত উপার্জন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 t="str">
        <f>IFERROR(__xludf.DUMMYFUNCTION("""COMPUTED_VALUE"""),"OngoingTrip")</f>
        <v>OngoingTrip</v>
      </c>
      <c r="B879" s="2" t="str">
        <f>IFERROR(__xludf.DUMMYFUNCTION("""COMPUTED_VALUE"""),"Ongoing Trip")</f>
        <v>Ongoing Trip</v>
      </c>
      <c r="C879" s="2">
        <f>IFERROR(__xludf.DUMMYFUNCTION("""COMPUTED_VALUE"""),1.0)</f>
        <v>1</v>
      </c>
      <c r="D879" s="2" t="str">
        <f>IFERROR(__xludf.DUMMYFUNCTION("""COMPUTED_VALUE"""),"চলমান ট্রিপ")</f>
        <v>চলমান ট্রিপ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 t="str">
        <f>IFERROR(__xludf.DUMMYFUNCTION("""COMPUTED_VALUE"""),"Drop-Off")</f>
        <v>Drop-Off</v>
      </c>
      <c r="B880" s="2" t="str">
        <f>IFERROR(__xludf.DUMMYFUNCTION("""COMPUTED_VALUE"""),"Drop-Off")</f>
        <v>Drop-Off</v>
      </c>
      <c r="C880" s="2">
        <f>IFERROR(__xludf.DUMMYFUNCTION("""COMPUTED_VALUE"""),1.0)</f>
        <v>1</v>
      </c>
      <c r="D880" s="2" t="str">
        <f>IFERROR(__xludf.DUMMYFUNCTION("""COMPUTED_VALUE"""),"ড্রপ-অফ")</f>
        <v>ড্রপ-অফ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 t="str">
        <f>IFERROR(__xludf.DUMMYFUNCTION("""COMPUTED_VALUE"""),"Payments")</f>
        <v>Payments</v>
      </c>
      <c r="B881" s="2" t="str">
        <f>IFERROR(__xludf.DUMMYFUNCTION("""COMPUTED_VALUE"""),"Payments")</f>
        <v>Payments</v>
      </c>
      <c r="C881" s="2">
        <f>IFERROR(__xludf.DUMMYFUNCTION("""COMPUTED_VALUE"""),1.0)</f>
        <v>1</v>
      </c>
      <c r="D881" s="2" t="str">
        <f>IFERROR(__xludf.DUMMYFUNCTION("""COMPUTED_VALUE"""),"অর্থ প্রদান")</f>
        <v>অর্থ প্রদান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 t="str">
        <f>IFERROR(__xludf.DUMMYFUNCTION("""COMPUTED_VALUE"""),"Offline")</f>
        <v>Offline</v>
      </c>
      <c r="B882" s="2" t="str">
        <f>IFERROR(__xludf.DUMMYFUNCTION("""COMPUTED_VALUE"""),"Offline")</f>
        <v>Offline</v>
      </c>
      <c r="C882" s="2">
        <f>IFERROR(__xludf.DUMMYFUNCTION("""COMPUTED_VALUE"""),1.0)</f>
        <v>1</v>
      </c>
      <c r="D882" s="2" t="str">
        <f>IFERROR(__xludf.DUMMYFUNCTION("""COMPUTED_VALUE"""),"অফলাইন")</f>
        <v>অফলাইন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 t="str">
        <f>IFERROR(__xludf.DUMMYFUNCTION("""COMPUTED_VALUE"""),"NewOrder!")</f>
        <v>NewOrder!</v>
      </c>
      <c r="B883" s="2" t="str">
        <f>IFERROR(__xludf.DUMMYFUNCTION("""COMPUTED_VALUE"""),"New Order!")</f>
        <v>New Order!</v>
      </c>
      <c r="C883" s="2">
        <f>IFERROR(__xludf.DUMMYFUNCTION("""COMPUTED_VALUE"""),1.0)</f>
        <v>1</v>
      </c>
      <c r="D883" s="2" t="str">
        <f>IFERROR(__xludf.DUMMYFUNCTION("""COMPUTED_VALUE"""),"নতুন আদেশ!")</f>
        <v>নতুন আদেশ!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 t="str">
        <f>IFERROR(__xludf.DUMMYFUNCTION("""COMPUTED_VALUE"""),"OrderWeight")</f>
        <v>OrderWeight</v>
      </c>
      <c r="B884" s="2" t="str">
        <f>IFERROR(__xludf.DUMMYFUNCTION("""COMPUTED_VALUE"""),"Order Weight")</f>
        <v>Order Weight</v>
      </c>
      <c r="C884" s="2">
        <f>IFERROR(__xludf.DUMMYFUNCTION("""COMPUTED_VALUE"""),1.0)</f>
        <v>1</v>
      </c>
      <c r="D884" s="2" t="str">
        <f>IFERROR(__xludf.DUMMYFUNCTION("""COMPUTED_VALUE"""),"ওজন অর্ডার")</f>
        <v>ওজন অর্ডার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 t="str">
        <f>IFERROR(__xludf.DUMMYFUNCTION("""COMPUTED_VALUE"""),"ReachedPickupLocation ")</f>
        <v>ReachedPickupLocation </v>
      </c>
      <c r="B885" s="2" t="str">
        <f>IFERROR(__xludf.DUMMYFUNCTION("""COMPUTED_VALUE"""),"Reached Pickup Location ")</f>
        <v>Reached Pickup Location </v>
      </c>
      <c r="C885" s="2">
        <f>IFERROR(__xludf.DUMMYFUNCTION("""COMPUTED_VALUE"""),1.0)</f>
        <v>1</v>
      </c>
      <c r="D885" s="2" t="str">
        <f>IFERROR(__xludf.DUMMYFUNCTION("""COMPUTED_VALUE"""),"পিকআপের অবস্থান পৌঁছেছে")</f>
        <v>পিকআপের অবস্থান পৌঁছেছে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 t="str">
        <f>IFERROR(__xludf.DUMMYFUNCTION("""COMPUTED_VALUE"""),"ReachedDL")</f>
        <v>ReachedDL</v>
      </c>
      <c r="B886" s="2" t="str">
        <f>IFERROR(__xludf.DUMMYFUNCTION("""COMPUTED_VALUE"""),"Reached DL")</f>
        <v>Reached DL</v>
      </c>
      <c r="C886" s="2">
        <f>IFERROR(__xludf.DUMMYFUNCTION("""COMPUTED_VALUE"""),1.0)</f>
        <v>1</v>
      </c>
      <c r="D886" s="2" t="str">
        <f>IFERROR(__xludf.DUMMYFUNCTION("""COMPUTED_VALUE"""),"ডিএল পৌঁছেছে")</f>
        <v>ডিএল পৌঁছেছে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 t="str">
        <f>IFERROR(__xludf.DUMMYFUNCTION("""COMPUTED_VALUE"""),"GotoMap")</f>
        <v>GotoMap</v>
      </c>
      <c r="B887" s="2" t="str">
        <f>IFERROR(__xludf.DUMMYFUNCTION("""COMPUTED_VALUE"""),"Go to Map")</f>
        <v>Go to Map</v>
      </c>
      <c r="C887" s="2">
        <f>IFERROR(__xludf.DUMMYFUNCTION("""COMPUTED_VALUE"""),1.0)</f>
        <v>1</v>
      </c>
      <c r="D887" s="2" t="str">
        <f>IFERROR(__xludf.DUMMYFUNCTION("""COMPUTED_VALUE"""),"মানচিত্রে যান")</f>
        <v>মানচিত্রে যান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 t="str">
        <f>IFERROR(__xludf.DUMMYFUNCTION("""COMPUTED_VALUE"""),"Deliverto")</f>
        <v>Deliverto</v>
      </c>
      <c r="B888" s="2" t="str">
        <f>IFERROR(__xludf.DUMMYFUNCTION("""COMPUTED_VALUE"""),"Deliver to")</f>
        <v>Deliver to</v>
      </c>
      <c r="C888" s="2">
        <f>IFERROR(__xludf.DUMMYFUNCTION("""COMPUTED_VALUE"""),1.0)</f>
        <v>1</v>
      </c>
      <c r="D888" s="2" t="str">
        <f>IFERROR(__xludf.DUMMYFUNCTION("""COMPUTED_VALUE"""),"সরবরাহ করা")</f>
        <v>সরবরাহ করা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 t="str">
        <f>IFERROR(__xludf.DUMMYFUNCTION("""COMPUTED_VALUE"""),"UPIID")</f>
        <v>UPIID</v>
      </c>
      <c r="B889" s="2" t="str">
        <f>IFERROR(__xludf.DUMMYFUNCTION("""COMPUTED_VALUE"""),"UPI ID")</f>
        <v>UPI ID</v>
      </c>
      <c r="C889" s="2">
        <f>IFERROR(__xludf.DUMMYFUNCTION("""COMPUTED_VALUE"""),1.0)</f>
        <v>1</v>
      </c>
      <c r="D889" s="2" t="str">
        <f>IFERROR(__xludf.DUMMYFUNCTION("""COMPUTED_VALUE"""),"ইউপিআই আইডি")</f>
        <v>ইউপিআই আইডি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 t="str">
        <f>IFERROR(__xludf.DUMMYFUNCTION("""COMPUTED_VALUE"""),"Receivedamount")</f>
        <v>Receivedamount</v>
      </c>
      <c r="B890" s="2" t="str">
        <f>IFERROR(__xludf.DUMMYFUNCTION("""COMPUTED_VALUE"""),"Received amount")</f>
        <v>Received amount</v>
      </c>
      <c r="C890" s="2">
        <f>IFERROR(__xludf.DUMMYFUNCTION("""COMPUTED_VALUE"""),1.0)</f>
        <v>1</v>
      </c>
      <c r="D890" s="2" t="str">
        <f>IFERROR(__xludf.DUMMYFUNCTION("""COMPUTED_VALUE"""),"পরিমাণ প্রাপ্ত")</f>
        <v>পরিমাণ প্রাপ্ত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 t="str">
        <f>IFERROR(__xludf.DUMMYFUNCTION("""COMPUTED_VALUE"""),"Pendingamount")</f>
        <v>Pendingamount</v>
      </c>
      <c r="B891" s="2" t="str">
        <f>IFERROR(__xludf.DUMMYFUNCTION("""COMPUTED_VALUE"""),"Pending amount")</f>
        <v>Pending amount</v>
      </c>
      <c r="C891" s="2">
        <f>IFERROR(__xludf.DUMMYFUNCTION("""COMPUTED_VALUE"""),1.0)</f>
        <v>1</v>
      </c>
      <c r="D891" s="2" t="str">
        <f>IFERROR(__xludf.DUMMYFUNCTION("""COMPUTED_VALUE"""),"মুলতুবি পরিমাণ")</f>
        <v>মুলতুবি পরিমাণ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 t="str">
        <f>IFERROR(__xludf.DUMMYFUNCTION("""COMPUTED_VALUE"""),"SendReminder")</f>
        <v>SendReminder</v>
      </c>
      <c r="B892" s="2" t="str">
        <f>IFERROR(__xludf.DUMMYFUNCTION("""COMPUTED_VALUE"""),"Send Reminder")</f>
        <v>Send Reminder</v>
      </c>
      <c r="C892" s="2">
        <f>IFERROR(__xludf.DUMMYFUNCTION("""COMPUTED_VALUE"""),1.0)</f>
        <v>1</v>
      </c>
      <c r="D892" s="2" t="str">
        <f>IFERROR(__xludf.DUMMYFUNCTION("""COMPUTED_VALUE"""),"স্মরনী পাঠাও")</f>
        <v>স্মরনী পাঠাও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 t="str">
        <f>IFERROR(__xludf.DUMMYFUNCTION("""COMPUTED_VALUE"""),"Thisweek ")</f>
        <v>Thisweek </v>
      </c>
      <c r="B893" s="2" t="str">
        <f>IFERROR(__xludf.DUMMYFUNCTION("""COMPUTED_VALUE"""),"This Week ")</f>
        <v>This Week </v>
      </c>
      <c r="C893" s="2">
        <f>IFERROR(__xludf.DUMMYFUNCTION("""COMPUTED_VALUE"""),1.0)</f>
        <v>1</v>
      </c>
      <c r="D893" s="2" t="str">
        <f>IFERROR(__xludf.DUMMYFUNCTION("""COMPUTED_VALUE"""),"এই সপ্তাহ")</f>
        <v>এই সপ্তাহ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 t="str">
        <f>IFERROR(__xludf.DUMMYFUNCTION("""COMPUTED_VALUE"""),"ThisMonth ")</f>
        <v>ThisMonth </v>
      </c>
      <c r="B894" s="2" t="str">
        <f>IFERROR(__xludf.DUMMYFUNCTION("""COMPUTED_VALUE"""),"This Month ")</f>
        <v>This Month </v>
      </c>
      <c r="C894" s="2">
        <f>IFERROR(__xludf.DUMMYFUNCTION("""COMPUTED_VALUE"""),1.0)</f>
        <v>1</v>
      </c>
      <c r="D894" s="2" t="str">
        <f>IFERROR(__xludf.DUMMYFUNCTION("""COMPUTED_VALUE"""),"এই মাস")</f>
        <v>এই মাস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 t="str">
        <f>IFERROR(__xludf.DUMMYFUNCTION("""COMPUTED_VALUE"""),"ThisWeeksEarnings")</f>
        <v>ThisWeeksEarnings</v>
      </c>
      <c r="B895" s="2" t="str">
        <f>IFERROR(__xludf.DUMMYFUNCTION("""COMPUTED_VALUE"""),"This Weeks Earnings")</f>
        <v>This Weeks Earnings</v>
      </c>
      <c r="C895" s="2">
        <f>IFERROR(__xludf.DUMMYFUNCTION("""COMPUTED_VALUE"""),1.0)</f>
        <v>1</v>
      </c>
      <c r="D895" s="2" t="str">
        <f>IFERROR(__xludf.DUMMYFUNCTION("""COMPUTED_VALUE"""),"এই সপ্তাহ উপার্জন")</f>
        <v>এই সপ্তাহ উপার্জন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 t="str">
        <f>IFERROR(__xludf.DUMMYFUNCTION("""COMPUTED_VALUE"""),"TripsHistory ")</f>
        <v>TripsHistory </v>
      </c>
      <c r="B896" s="2" t="str">
        <f>IFERROR(__xludf.DUMMYFUNCTION("""COMPUTED_VALUE"""),"Trips History ")</f>
        <v>Trips History </v>
      </c>
      <c r="C896" s="2">
        <f>IFERROR(__xludf.DUMMYFUNCTION("""COMPUTED_VALUE"""),1.0)</f>
        <v>1</v>
      </c>
      <c r="D896" s="2" t="str">
        <f>IFERROR(__xludf.DUMMYFUNCTION("""COMPUTED_VALUE"""),"ট্রিপস ইতিহাস")</f>
        <v>ট্রিপস ইতিহাস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 t="str">
        <f>IFERROR(__xludf.DUMMYFUNCTION("""COMPUTED_VALUE"""),"Vehicle ")</f>
        <v>Vehicle </v>
      </c>
      <c r="B897" s="2" t="str">
        <f>IFERROR(__xludf.DUMMYFUNCTION("""COMPUTED_VALUE"""),"Vehicle ")</f>
        <v>Vehicle </v>
      </c>
      <c r="C897" s="2">
        <f>IFERROR(__xludf.DUMMYFUNCTION("""COMPUTED_VALUE"""),1.0)</f>
        <v>1</v>
      </c>
      <c r="D897" s="2" t="str">
        <f>IFERROR(__xludf.DUMMYFUNCTION("""COMPUTED_VALUE"""),"যানবাহন")</f>
        <v>যানবাহন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 t="str">
        <f>IFERROR(__xludf.DUMMYFUNCTION("""COMPUTED_VALUE"""),"AllIndiaPermit ")</f>
        <v>AllIndiaPermit </v>
      </c>
      <c r="B898" s="2" t="str">
        <f>IFERROR(__xludf.DUMMYFUNCTION("""COMPUTED_VALUE"""),"All India Permit ")</f>
        <v>All India Permit </v>
      </c>
      <c r="C898" s="2">
        <f>IFERROR(__xludf.DUMMYFUNCTION("""COMPUTED_VALUE"""),1.0)</f>
        <v>1</v>
      </c>
      <c r="D898" s="2" t="str">
        <f>IFERROR(__xludf.DUMMYFUNCTION("""COMPUTED_VALUE"""),"অল ইন্ডিয়া পারমিট")</f>
        <v>অল ইন্ডিয়া পারমিট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 t="str">
        <f>IFERROR(__xludf.DUMMYFUNCTION("""COMPUTED_VALUE"""),"Multi-StatePermit ")</f>
        <v>Multi-StatePermit </v>
      </c>
      <c r="B899" s="2" t="str">
        <f>IFERROR(__xludf.DUMMYFUNCTION("""COMPUTED_VALUE"""),"Multi - State Permit ")</f>
        <v>Multi - State Permit </v>
      </c>
      <c r="C899" s="2">
        <f>IFERROR(__xludf.DUMMYFUNCTION("""COMPUTED_VALUE"""),1.0)</f>
        <v>1</v>
      </c>
      <c r="D899" s="2" t="str">
        <f>IFERROR(__xludf.DUMMYFUNCTION("""COMPUTED_VALUE"""),"মাল্টি - স্টেট পারমিট")</f>
        <v>মাল্টি - স্টেট পারমিট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 t="str">
        <f>IFERROR(__xludf.DUMMYFUNCTION("""COMPUTED_VALUE"""),"StateLevelPermit ")</f>
        <v>StateLevelPermit </v>
      </c>
      <c r="B900" s="2" t="str">
        <f>IFERROR(__xludf.DUMMYFUNCTION("""COMPUTED_VALUE"""),"State Level Permit ")</f>
        <v>State Level Permit </v>
      </c>
      <c r="C900" s="2">
        <f>IFERROR(__xludf.DUMMYFUNCTION("""COMPUTED_VALUE"""),1.0)</f>
        <v>1</v>
      </c>
      <c r="D900" s="2" t="str">
        <f>IFERROR(__xludf.DUMMYFUNCTION("""COMPUTED_VALUE"""),"রাজ্য স্তরের পারমিট")</f>
        <v>রাজ্য স্তরের পারমিট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 t="str">
        <f>IFERROR(__xludf.DUMMYFUNCTION("""COMPUTED_VALUE"""),"Uploading ")</f>
        <v>Uploading </v>
      </c>
      <c r="B901" s="2" t="str">
        <f>IFERROR(__xludf.DUMMYFUNCTION("""COMPUTED_VALUE"""),"Uploading ")</f>
        <v>Uploading </v>
      </c>
      <c r="C901" s="2">
        <f>IFERROR(__xludf.DUMMYFUNCTION("""COMPUTED_VALUE"""),1.0)</f>
        <v>1</v>
      </c>
      <c r="D901" s="2" t="str">
        <f>IFERROR(__xludf.DUMMYFUNCTION("""COMPUTED_VALUE"""),"আপলোডিং")</f>
        <v>আপলোডিং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 t="str">
        <f>IFERROR(__xludf.DUMMYFUNCTION("""COMPUTED_VALUE"""),"RCNo.")</f>
        <v>RCNo.</v>
      </c>
      <c r="B902" s="2" t="str">
        <f>IFERROR(__xludf.DUMMYFUNCTION("""COMPUTED_VALUE"""),"RC No.")</f>
        <v>RC No.</v>
      </c>
      <c r="C902" s="2">
        <f>IFERROR(__xludf.DUMMYFUNCTION("""COMPUTED_VALUE"""),1.0)</f>
        <v>1</v>
      </c>
      <c r="D902" s="2" t="str">
        <f>IFERROR(__xludf.DUMMYFUNCTION("""COMPUTED_VALUE"""),"আরসি নং")</f>
        <v>আরসি নং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 t="str">
        <f>IFERROR(__xludf.DUMMYFUNCTION("""COMPUTED_VALUE"""),"DeliveryChargesfor")</f>
        <v>DeliveryChargesfor</v>
      </c>
      <c r="B903" s="2" t="str">
        <f>IFERROR(__xludf.DUMMYFUNCTION("""COMPUTED_VALUE"""),"Delivery Charges for")</f>
        <v>Delivery Charges for</v>
      </c>
      <c r="C903" s="2">
        <f>IFERROR(__xludf.DUMMYFUNCTION("""COMPUTED_VALUE"""),1.0)</f>
        <v>1</v>
      </c>
      <c r="D903" s="2" t="str">
        <f>IFERROR(__xludf.DUMMYFUNCTION("""COMPUTED_VALUE"""),"জন্য বিতরণ চার্জ")</f>
        <v>জন্য বিতরণ চার্জ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 t="str">
        <f>IFERROR(__xludf.DUMMYFUNCTION("""COMPUTED_VALUE"""),"AddWeight ")</f>
        <v>AddWeight </v>
      </c>
      <c r="B904" s="2" t="str">
        <f>IFERROR(__xludf.DUMMYFUNCTION("""COMPUTED_VALUE"""),"Add Weight ")</f>
        <v>Add Weight </v>
      </c>
      <c r="C904" s="2">
        <f>IFERROR(__xludf.DUMMYFUNCTION("""COMPUTED_VALUE"""),1.0)</f>
        <v>1</v>
      </c>
      <c r="D904" s="2" t="str">
        <f>IFERROR(__xludf.DUMMYFUNCTION("""COMPUTED_VALUE"""),"ওজন যোগ করুন")</f>
        <v>ওজন যোগ করুন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 t="str">
        <f>IFERROR(__xludf.DUMMYFUNCTION("""COMPUTED_VALUE"""),"AddDistanceCovers")</f>
        <v>AddDistanceCovers</v>
      </c>
      <c r="B905" s="2" t="str">
        <f>IFERROR(__xludf.DUMMYFUNCTION("""COMPUTED_VALUE"""),"Add Distance Covers")</f>
        <v>Add Distance Covers</v>
      </c>
      <c r="C905" s="2">
        <f>IFERROR(__xludf.DUMMYFUNCTION("""COMPUTED_VALUE"""),1.0)</f>
        <v>1</v>
      </c>
      <c r="D905" s="2" t="str">
        <f>IFERROR(__xludf.DUMMYFUNCTION("""COMPUTED_VALUE"""),"দূরত্ব কভার যুক্ত করুন")</f>
        <v>দূরত্ব কভার যুক্ত করুন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 t="str">
        <f>IFERROR(__xludf.DUMMYFUNCTION("""COMPUTED_VALUE"""),"Distance ")</f>
        <v>Distance </v>
      </c>
      <c r="B906" s="2" t="str">
        <f>IFERROR(__xludf.DUMMYFUNCTION("""COMPUTED_VALUE"""),"Distance ")</f>
        <v>Distance </v>
      </c>
      <c r="C906" s="2">
        <f>IFERROR(__xludf.DUMMYFUNCTION("""COMPUTED_VALUE"""),1.0)</f>
        <v>1</v>
      </c>
      <c r="D906" s="2" t="str">
        <f>IFERROR(__xludf.DUMMYFUNCTION("""COMPUTED_VALUE"""),"দূরত্ব")</f>
        <v>দূরত্ব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 t="str">
        <f>IFERROR(__xludf.DUMMYFUNCTION("""COMPUTED_VALUE"""),"TripStatus")</f>
        <v>TripStatus</v>
      </c>
      <c r="B907" s="2" t="str">
        <f>IFERROR(__xludf.DUMMYFUNCTION("""COMPUTED_VALUE"""),"Trip Status")</f>
        <v>Trip Status</v>
      </c>
      <c r="C907" s="2">
        <f>IFERROR(__xludf.DUMMYFUNCTION("""COMPUTED_VALUE"""),1.0)</f>
        <v>1</v>
      </c>
      <c r="D907" s="2" t="str">
        <f>IFERROR(__xludf.DUMMYFUNCTION("""COMPUTED_VALUE"""),"ট্রিপ স্ট্যাটাস")</f>
        <v>ট্রিপ স্ট্যাটাস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 t="str">
        <f>IFERROR(__xludf.DUMMYFUNCTION("""COMPUTED_VALUE"""),"Areyousure.DeletetheBankDetails?")</f>
        <v>Areyousure.DeletetheBankDetails?</v>
      </c>
      <c r="B908" s="2" t="str">
        <f>IFERROR(__xludf.DUMMYFUNCTION("""COMPUTED_VALUE"""),"Are you sure.Delete the Bank Details?")</f>
        <v>Are you sure.Delete the Bank Details?</v>
      </c>
      <c r="C908" s="2">
        <f>IFERROR(__xludf.DUMMYFUNCTION("""COMPUTED_VALUE"""),1.0)</f>
        <v>1</v>
      </c>
      <c r="D908" s="2" t="str">
        <f>IFERROR(__xludf.DUMMYFUNCTION("""COMPUTED_VALUE"""),"আপনি কি নিশ্চিত? ব্যাংকের বিশদ বিবরণ দিন?")</f>
        <v>আপনি কি নিশ্চিত? ব্যাংকের বিশদ বিবরণ দিন?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 t="str">
        <f>IFERROR(__xludf.DUMMYFUNCTION("""COMPUTED_VALUE"""),"BankAccount")</f>
        <v>BankAccount</v>
      </c>
      <c r="B909" s="2" t="str">
        <f>IFERROR(__xludf.DUMMYFUNCTION("""COMPUTED_VALUE"""),"Bank Account")</f>
        <v>Bank Account</v>
      </c>
      <c r="C909" s="2">
        <f>IFERROR(__xludf.DUMMYFUNCTION("""COMPUTED_VALUE"""),1.0)</f>
        <v>1</v>
      </c>
      <c r="D909" s="2" t="str">
        <f>IFERROR(__xludf.DUMMYFUNCTION("""COMPUTED_VALUE"""),"ব্যাংক হিসাব")</f>
        <v>ব্যাংক হিসাব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 t="str">
        <f>IFERROR(__xludf.DUMMYFUNCTION("""COMPUTED_VALUE"""),"AlternateMobileNumber")</f>
        <v>AlternateMobileNumber</v>
      </c>
      <c r="B910" s="2" t="str">
        <f>IFERROR(__xludf.DUMMYFUNCTION("""COMPUTED_VALUE"""),"Alternate Mobile Number")</f>
        <v>Alternate Mobile Number</v>
      </c>
      <c r="C910" s="2">
        <f>IFERROR(__xludf.DUMMYFUNCTION("""COMPUTED_VALUE"""),1.0)</f>
        <v>1</v>
      </c>
      <c r="D910" s="2" t="str">
        <f>IFERROR(__xludf.DUMMYFUNCTION("""COMPUTED_VALUE"""),"বিকল্প মোবাইল নম্বর")</f>
        <v>বিকল্প মোবাইল নম্বর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 t="str">
        <f>IFERROR(__xludf.DUMMYFUNCTION("""COMPUTED_VALUE"""),"AboutMe")</f>
        <v>AboutMe</v>
      </c>
      <c r="B911" s="2" t="str">
        <f>IFERROR(__xludf.DUMMYFUNCTION("""COMPUTED_VALUE"""),"About Me")</f>
        <v>About Me</v>
      </c>
      <c r="C911" s="2">
        <f>IFERROR(__xludf.DUMMYFUNCTION("""COMPUTED_VALUE"""),1.0)</f>
        <v>1</v>
      </c>
      <c r="D911" s="2" t="str">
        <f>IFERROR(__xludf.DUMMYFUNCTION("""COMPUTED_VALUE"""),"আমার সম্পর্কে")</f>
        <v>আমার সম্পর্কে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 t="str">
        <f>IFERROR(__xludf.DUMMYFUNCTION("""COMPUTED_VALUE"""),"DeleteAccount")</f>
        <v>DeleteAccount</v>
      </c>
      <c r="B912" s="2" t="str">
        <f>IFERROR(__xludf.DUMMYFUNCTION("""COMPUTED_VALUE"""),"Delete Account")</f>
        <v>Delete Account</v>
      </c>
      <c r="C912" s="2">
        <f>IFERROR(__xludf.DUMMYFUNCTION("""COMPUTED_VALUE"""),1.0)</f>
        <v>1</v>
      </c>
      <c r="D912" s="2" t="str">
        <f>IFERROR(__xludf.DUMMYFUNCTION("""COMPUTED_VALUE"""),"হিসাব মুছে ফেলা")</f>
        <v>হিসাব মুছে ফেলা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 t="str">
        <f>IFERROR(__xludf.DUMMYFUNCTION("""COMPUTED_VALUE"""),"Pay")</f>
        <v>Pay</v>
      </c>
      <c r="B913" s="2" t="str">
        <f>IFERROR(__xludf.DUMMYFUNCTION("""COMPUTED_VALUE"""),"Pay")</f>
        <v>Pay</v>
      </c>
      <c r="C913" s="2">
        <f>IFERROR(__xludf.DUMMYFUNCTION("""COMPUTED_VALUE"""),1.0)</f>
        <v>1</v>
      </c>
      <c r="D913" s="2" t="str">
        <f>IFERROR(__xludf.DUMMYFUNCTION("""COMPUTED_VALUE"""),"পে")</f>
        <v>পে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 t="str">
        <f>IFERROR(__xludf.DUMMYFUNCTION("""COMPUTED_VALUE"""),"PayatDelivery")</f>
        <v>PayatDelivery</v>
      </c>
      <c r="B914" s="2" t="str">
        <f>IFERROR(__xludf.DUMMYFUNCTION("""COMPUTED_VALUE"""),"Pay at Delivery")</f>
        <v>Pay at Delivery</v>
      </c>
      <c r="C914" s="2">
        <f>IFERROR(__xludf.DUMMYFUNCTION("""COMPUTED_VALUE"""),1.0)</f>
        <v>1</v>
      </c>
      <c r="D914" s="2" t="str">
        <f>IFERROR(__xludf.DUMMYFUNCTION("""COMPUTED_VALUE"""),"ডেলিভারি এ প্রদান")</f>
        <v>ডেলিভারি এ প্রদান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 t="str">
        <f>IFERROR(__xludf.DUMMYFUNCTION("""COMPUTED_VALUE"""),"areyousure")</f>
        <v>areyousure</v>
      </c>
      <c r="B915" s="2" t="str">
        <f>IFERROR(__xludf.DUMMYFUNCTION("""COMPUTED_VALUE"""),"Are you Sure .")</f>
        <v>Are you Sure .</v>
      </c>
      <c r="C915" s="2">
        <f>IFERROR(__xludf.DUMMYFUNCTION("""COMPUTED_VALUE"""),1.0)</f>
        <v>1</v>
      </c>
      <c r="D915" s="2" t="str">
        <f>IFERROR(__xludf.DUMMYFUNCTION("""COMPUTED_VALUE"""),"তুমি কি নিশ্চিত .")</f>
        <v>তুমি কি নিশ্চিত .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 t="str">
        <f>IFERROR(__xludf.DUMMYFUNCTION("""COMPUTED_VALUE"""),"OrderProcessed")</f>
        <v>OrderProcessed</v>
      </c>
      <c r="B916" s="2" t="str">
        <f>IFERROR(__xludf.DUMMYFUNCTION("""COMPUTED_VALUE"""),"Order Processed")</f>
        <v>Order Processed</v>
      </c>
      <c r="C916" s="2">
        <f>IFERROR(__xludf.DUMMYFUNCTION("""COMPUTED_VALUE"""),1.0)</f>
        <v>1</v>
      </c>
      <c r="D916" s="2" t="str">
        <f>IFERROR(__xludf.DUMMYFUNCTION("""COMPUTED_VALUE"""),"অর্ডার প্রক্রিয়াজাত")</f>
        <v>অর্ডার প্রক্রিয়াজাত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 t="str">
        <f>IFERROR(__xludf.DUMMYFUNCTION("""COMPUTED_VALUE"""),"Orderready")</f>
        <v>Orderready</v>
      </c>
      <c r="B917" s="2" t="str">
        <f>IFERROR(__xludf.DUMMYFUNCTION("""COMPUTED_VALUE"""),"Order Ready")</f>
        <v>Order Ready</v>
      </c>
      <c r="C917" s="2">
        <f>IFERROR(__xludf.DUMMYFUNCTION("""COMPUTED_VALUE"""),1.0)</f>
        <v>1</v>
      </c>
      <c r="D917" s="2" t="str">
        <f>IFERROR(__xludf.DUMMYFUNCTION("""COMPUTED_VALUE"""),"অর্ডার প্রস্তুত")</f>
        <v>অর্ডার প্রস্তুত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 t="str">
        <f>IFERROR(__xludf.DUMMYFUNCTION("""COMPUTED_VALUE"""),"OrderDelivery")</f>
        <v>OrderDelivery</v>
      </c>
      <c r="B918" s="2" t="str">
        <f>IFERROR(__xludf.DUMMYFUNCTION("""COMPUTED_VALUE"""),"Order Delivery")</f>
        <v>Order Delivery</v>
      </c>
      <c r="C918" s="2">
        <f>IFERROR(__xludf.DUMMYFUNCTION("""COMPUTED_VALUE"""),1.0)</f>
        <v>1</v>
      </c>
      <c r="D918" s="2" t="str">
        <f>IFERROR(__xludf.DUMMYFUNCTION("""COMPUTED_VALUE"""),"অর্ডার ডেলিভারি")</f>
        <v>অর্ডার ডেলিভারি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 t="str">
        <f>IFERROR(__xludf.DUMMYFUNCTION("""COMPUTED_VALUE"""),"DoyouwanttoDeliverytheOrder?")</f>
        <v>DoyouwanttoDeliverytheOrder?</v>
      </c>
      <c r="B919" s="2" t="str">
        <f>IFERROR(__xludf.DUMMYFUNCTION("""COMPUTED_VALUE"""),"Do you want to Delivery the Order?")</f>
        <v>Do you want to Delivery the Order?</v>
      </c>
      <c r="C919" s="2">
        <f>IFERROR(__xludf.DUMMYFUNCTION("""COMPUTED_VALUE"""),1.0)</f>
        <v>1</v>
      </c>
      <c r="D919" s="2" t="str">
        <f>IFERROR(__xludf.DUMMYFUNCTION("""COMPUTED_VALUE"""),"আপনি কি অর্ডার সরবরাহ করতে চান?")</f>
        <v>আপনি কি অর্ডার সরবরাহ করতে চান?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 t="str">
        <f>IFERROR(__xludf.DUMMYFUNCTION("""COMPUTED_VALUE"""),"Doyouwanttodeliveredtheorder?")</f>
        <v>Doyouwanttodeliveredtheorder?</v>
      </c>
      <c r="B920" s="2" t="str">
        <f>IFERROR(__xludf.DUMMYFUNCTION("""COMPUTED_VALUE"""),"Do you want to delivered the Order ?")</f>
        <v>Do you want to delivered the Order ?</v>
      </c>
      <c r="C920" s="2">
        <f>IFERROR(__xludf.DUMMYFUNCTION("""COMPUTED_VALUE"""),1.0)</f>
        <v>1</v>
      </c>
      <c r="D920" s="2" t="str">
        <f>IFERROR(__xludf.DUMMYFUNCTION("""COMPUTED_VALUE"""),"আপনি কি অর্ডার সরবরাহ করতে চান?")</f>
        <v>আপনি কি অর্ডার সরবরাহ করতে চান?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 t="str">
        <f>IFERROR(__xludf.DUMMYFUNCTION("""COMPUTED_VALUE"""),"Please Wait")</f>
        <v>Please Wait</v>
      </c>
      <c r="B921" s="2" t="str">
        <f>IFERROR(__xludf.DUMMYFUNCTION("""COMPUTED_VALUE"""),"Please Wait")</f>
        <v>Please Wait</v>
      </c>
      <c r="C921" s="2">
        <f>IFERROR(__xludf.DUMMYFUNCTION("""COMPUTED_VALUE"""),1.0)</f>
        <v>1</v>
      </c>
      <c r="D921" s="2" t="str">
        <f>IFERROR(__xludf.DUMMYFUNCTION("""COMPUTED_VALUE"""),"অনুগ্রহপূর্বক অপেক্ষা করুন")</f>
        <v>অনুগ্রহপূর্বক অপেক্ষা করুন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 t="str">
        <f>IFERROR(__xludf.DUMMYFUNCTION("""COMPUTED_VALUE"""),"Featurenotavailable")</f>
        <v>Featurenotavailable</v>
      </c>
      <c r="B922" s="2" t="str">
        <f>IFERROR(__xludf.DUMMYFUNCTION("""COMPUTED_VALUE"""),"Feature Not Available")</f>
        <v>Feature Not Available</v>
      </c>
      <c r="C922" s="2">
        <f>IFERROR(__xludf.DUMMYFUNCTION("""COMPUTED_VALUE"""),1.0)</f>
        <v>1</v>
      </c>
      <c r="D922" s="2" t="str">
        <f>IFERROR(__xludf.DUMMYFUNCTION("""COMPUTED_VALUE"""),"বৈশিষ্ট্য উপলব্ধ নেই")</f>
        <v>বৈশিষ্ট্য উপলব্ধ নেই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 t="str">
        <f>IFERROR(__xludf.DUMMYFUNCTION("""COMPUTED_VALUE"""),"NodataAvailable.pleasetryAgainlater")</f>
        <v>NodataAvailable.pleasetryAgainlater</v>
      </c>
      <c r="B923" s="2" t="str">
        <f>IFERROR(__xludf.DUMMYFUNCTION("""COMPUTED_VALUE"""),"No data Available.please try Again later")</f>
        <v>No data Available.please try Again later</v>
      </c>
      <c r="C923" s="2">
        <f>IFERROR(__xludf.DUMMYFUNCTION("""COMPUTED_VALUE"""),1.0)</f>
        <v>1</v>
      </c>
      <c r="D923" s="2" t="str">
        <f>IFERROR(__xludf.DUMMYFUNCTION("""COMPUTED_VALUE"""),"কোনও ডেটা উপলভ্য নয় ep দয়া করে আবার চেষ্টা করুন")</f>
        <v>কোনও ডেটা উপলভ্য নয় ep দয়া করে আবার চেষ্টা করুন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 t="str">
        <f>IFERROR(__xludf.DUMMYFUNCTION("""COMPUTED_VALUE"""),"Pleaseinputallrequiredfields")</f>
        <v>Pleaseinputallrequiredfields</v>
      </c>
      <c r="B924" s="2" t="str">
        <f>IFERROR(__xludf.DUMMYFUNCTION("""COMPUTED_VALUE"""),"Please input all required fields")</f>
        <v>Please input all required fields</v>
      </c>
      <c r="C924" s="2">
        <f>IFERROR(__xludf.DUMMYFUNCTION("""COMPUTED_VALUE"""),1.0)</f>
        <v>1</v>
      </c>
      <c r="D924" s="2" t="str">
        <f>IFERROR(__xludf.DUMMYFUNCTION("""COMPUTED_VALUE"""),"সমস্ত প্রয়োজনীয় ক্ষেত্র ইনপুট দয়া করে")</f>
        <v>সমস্ত প্রয়োজনীয় ক্ষেত্র ইনপুট দয়া করে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 t="str">
        <f>IFERROR(__xludf.DUMMYFUNCTION("""COMPUTED_VALUE"""),"byClickingIacceptthe")</f>
        <v>byClickingIacceptthe</v>
      </c>
      <c r="B925" s="2" t="str">
        <f>IFERROR(__xludf.DUMMYFUNCTION("""COMPUTED_VALUE"""),"By clicking, I accept the")</f>
        <v>By clicking, I accept the</v>
      </c>
      <c r="C925" s="2">
        <f>IFERROR(__xludf.DUMMYFUNCTION("""COMPUTED_VALUE"""),1.0)</f>
        <v>1</v>
      </c>
      <c r="D925" s="2" t="str">
        <f>IFERROR(__xludf.DUMMYFUNCTION("""COMPUTED_VALUE"""),"ক্লিক করে, আমি গ্রহণ করি")</f>
        <v>ক্লিক করে, আমি গ্রহণ করি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 t="str">
        <f>IFERROR(__xludf.DUMMYFUNCTION("""COMPUTED_VALUE"""),"terms&amp;conditions")</f>
        <v>terms&amp;conditions</v>
      </c>
      <c r="B926" s="2" t="str">
        <f>IFERROR(__xludf.DUMMYFUNCTION("""COMPUTED_VALUE"""),"Terms &amp; Conditions")</f>
        <v>Terms &amp; Conditions</v>
      </c>
      <c r="C926" s="2">
        <f>IFERROR(__xludf.DUMMYFUNCTION("""COMPUTED_VALUE"""),1.0)</f>
        <v>1</v>
      </c>
      <c r="D926" s="2" t="str">
        <f>IFERROR(__xludf.DUMMYFUNCTION("""COMPUTED_VALUE"""),"শর্তাবলী")</f>
        <v>শর্তাবলী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 t="str">
        <f>IFERROR(__xludf.DUMMYFUNCTION("""COMPUTED_VALUE"""),"and")</f>
        <v>and</v>
      </c>
      <c r="B927" s="2" t="str">
        <f>IFERROR(__xludf.DUMMYFUNCTION("""COMPUTED_VALUE"""),"and")</f>
        <v>and</v>
      </c>
      <c r="C927" s="2">
        <f>IFERROR(__xludf.DUMMYFUNCTION("""COMPUTED_VALUE"""),1.0)</f>
        <v>1</v>
      </c>
      <c r="D927" s="2" t="str">
        <f>IFERROR(__xludf.DUMMYFUNCTION("""COMPUTED_VALUE"""),"এবং")</f>
        <v>এবং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 t="str">
        <f>IFERROR(__xludf.DUMMYFUNCTION("""COMPUTED_VALUE"""),"privacypolicy")</f>
        <v>privacypolicy</v>
      </c>
      <c r="B928" s="2" t="str">
        <f>IFERROR(__xludf.DUMMYFUNCTION("""COMPUTED_VALUE"""),"Privacy Policy")</f>
        <v>Privacy Policy</v>
      </c>
      <c r="C928" s="2">
        <f>IFERROR(__xludf.DUMMYFUNCTION("""COMPUTED_VALUE"""),1.0)</f>
        <v>1</v>
      </c>
      <c r="D928" s="2" t="str">
        <f>IFERROR(__xludf.DUMMYFUNCTION("""COMPUTED_VALUE"""),"গোপনীয়তা নীতি")</f>
        <v>গোপনীয়তা নীতি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 t="str">
        <f>IFERROR(__xludf.DUMMYFUNCTION("""COMPUTED_VALUE"""),"refConsumer")</f>
        <v>refConsumer</v>
      </c>
      <c r="B929" s="2" t="str">
        <f>IFERROR(__xludf.DUMMYFUNCTION("""COMPUTED_VALUE"""),"Consumer")</f>
        <v>Consumer</v>
      </c>
      <c r="C929" s="2">
        <f>IFERROR(__xludf.DUMMYFUNCTION("""COMPUTED_VALUE"""),1.0)</f>
        <v>1</v>
      </c>
      <c r="D929" s="2" t="str">
        <f>IFERROR(__xludf.DUMMYFUNCTION("""COMPUTED_VALUE"""),"গ্রাহক")</f>
        <v>গ্রাহক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 t="str">
        <f>IFERROR(__xludf.DUMMYFUNCTION("""COMPUTED_VALUE"""),"refIncompleted")</f>
        <v>refIncompleted</v>
      </c>
      <c r="B930" s="2" t="str">
        <f>IFERROR(__xludf.DUMMYFUNCTION("""COMPUTED_VALUE"""),"Incompleted")</f>
        <v>Incompleted</v>
      </c>
      <c r="C930" s="2">
        <f>IFERROR(__xludf.DUMMYFUNCTION("""COMPUTED_VALUE"""),1.0)</f>
        <v>1</v>
      </c>
      <c r="D930" s="2" t="str">
        <f>IFERROR(__xludf.DUMMYFUNCTION("""COMPUTED_VALUE"""),"অসম্পূর্ণ")</f>
        <v>অসম্পূর্ণ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 t="str">
        <f>IFERROR(__xludf.DUMMYFUNCTION("""COMPUTED_VALUE"""),"refComplteted")</f>
        <v>refComplteted</v>
      </c>
      <c r="B931" s="2" t="str">
        <f>IFERROR(__xludf.DUMMYFUNCTION("""COMPUTED_VALUE"""),"Completed")</f>
        <v>Completed</v>
      </c>
      <c r="C931" s="2">
        <f>IFERROR(__xludf.DUMMYFUNCTION("""COMPUTED_VALUE"""),1.0)</f>
        <v>1</v>
      </c>
      <c r="D931" s="2" t="str">
        <f>IFERROR(__xludf.DUMMYFUNCTION("""COMPUTED_VALUE"""),"সম্পূর্ণ")</f>
        <v>সম্পূর্ণ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 t="str">
        <f>IFERROR(__xludf.DUMMYFUNCTION("""COMPUTED_VALUE"""),"refall")</f>
        <v>refall</v>
      </c>
      <c r="B932" s="2" t="str">
        <f>IFERROR(__xludf.DUMMYFUNCTION("""COMPUTED_VALUE"""),"All ")</f>
        <v>All </v>
      </c>
      <c r="C932" s="2">
        <f>IFERROR(__xludf.DUMMYFUNCTION("""COMPUTED_VALUE"""),1.0)</f>
        <v>1</v>
      </c>
      <c r="D932" s="2" t="str">
        <f>IFERROR(__xludf.DUMMYFUNCTION("""COMPUTED_VALUE"""),"সব")</f>
        <v>সব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 t="str">
        <f>IFERROR(__xludf.DUMMYFUNCTION("""COMPUTED_VALUE"""),"reforder")</f>
        <v>reforder</v>
      </c>
      <c r="B933" s="2" t="str">
        <f>IFERROR(__xludf.DUMMYFUNCTION("""COMPUTED_VALUE"""),"Order")</f>
        <v>Order</v>
      </c>
      <c r="C933" s="2">
        <f>IFERROR(__xludf.DUMMYFUNCTION("""COMPUTED_VALUE"""),1.0)</f>
        <v>1</v>
      </c>
      <c r="D933" s="2" t="str">
        <f>IFERROR(__xludf.DUMMYFUNCTION("""COMPUTED_VALUE"""),"অর্ডার")</f>
        <v>অর্ডার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 t="str">
        <f>IFERROR(__xludf.DUMMYFUNCTION("""COMPUTED_VALUE"""),"refsignup")</f>
        <v>refsignup</v>
      </c>
      <c r="B934" s="2" t="str">
        <f>IFERROR(__xludf.DUMMYFUNCTION("""COMPUTED_VALUE"""),"Signup")</f>
        <v>Signup</v>
      </c>
      <c r="C934" s="2">
        <f>IFERROR(__xludf.DUMMYFUNCTION("""COMPUTED_VALUE"""),1.0)</f>
        <v>1</v>
      </c>
      <c r="D934" s="2" t="str">
        <f>IFERROR(__xludf.DUMMYFUNCTION("""COMPUTED_VALUE"""),"নিবন্ধন করুন")</f>
        <v>নিবন্ধন করুন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 t="str">
        <f>IFERROR(__xludf.DUMMYFUNCTION("""COMPUTED_VALUE"""),"refratings")</f>
        <v>refratings</v>
      </c>
      <c r="B935" s="2" t="str">
        <f>IFERROR(__xludf.DUMMYFUNCTION("""COMPUTED_VALUE"""),"Ratings")</f>
        <v>Ratings</v>
      </c>
      <c r="C935" s="2">
        <f>IFERROR(__xludf.DUMMYFUNCTION("""COMPUTED_VALUE"""),1.0)</f>
        <v>1</v>
      </c>
      <c r="D935" s="2" t="str">
        <f>IFERROR(__xludf.DUMMYFUNCTION("""COMPUTED_VALUE"""),"রেটিং")</f>
        <v>রেটিং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 t="str">
        <f>IFERROR(__xludf.DUMMYFUNCTION("""COMPUTED_VALUE"""),"refretailer")</f>
        <v>refretailer</v>
      </c>
      <c r="B936" s="2" t="str">
        <f>IFERROR(__xludf.DUMMYFUNCTION("""COMPUTED_VALUE"""),"Retailer")</f>
        <v>Retailer</v>
      </c>
      <c r="C936" s="2">
        <f>IFERROR(__xludf.DUMMYFUNCTION("""COMPUTED_VALUE"""),1.0)</f>
        <v>1</v>
      </c>
      <c r="D936" s="2" t="str">
        <f>IFERROR(__xludf.DUMMYFUNCTION("""COMPUTED_VALUE"""),"খুচরা বিক্রেতা")</f>
        <v>খুচরা বিক্রেতা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 t="str">
        <f>IFERROR(__xludf.DUMMYFUNCTION("""COMPUTED_VALUE"""),"refunsubscribe")</f>
        <v>refunsubscribe</v>
      </c>
      <c r="B937" s="2" t="str">
        <f>IFERROR(__xludf.DUMMYFUNCTION("""COMPUTED_VALUE"""),"Unsubscribe")</f>
        <v>Unsubscribe</v>
      </c>
      <c r="C937" s="2">
        <f>IFERROR(__xludf.DUMMYFUNCTION("""COMPUTED_VALUE"""),1.0)</f>
        <v>1</v>
      </c>
      <c r="D937" s="2" t="str">
        <f>IFERROR(__xludf.DUMMYFUNCTION("""COMPUTED_VALUE"""),"সাবস্ক্রাইব")</f>
        <v>সাবস্ক্রাইব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 t="str">
        <f>IFERROR(__xludf.DUMMYFUNCTION("""COMPUTED_VALUE"""),"refsubscription")</f>
        <v>refsubscription</v>
      </c>
      <c r="B938" s="2" t="str">
        <f>IFERROR(__xludf.DUMMYFUNCTION("""COMPUTED_VALUE"""),"Subscription")</f>
        <v>Subscription</v>
      </c>
      <c r="C938" s="2">
        <f>IFERROR(__xludf.DUMMYFUNCTION("""COMPUTED_VALUE"""),1.0)</f>
        <v>1</v>
      </c>
      <c r="D938" s="2" t="str">
        <f>IFERROR(__xludf.DUMMYFUNCTION("""COMPUTED_VALUE"""),"সাবস্ক্রিপশন")</f>
        <v>সাবস্ক্রিপশন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 t="str">
        <f>IFERROR(__xludf.DUMMYFUNCTION("""COMPUTED_VALUE"""),"Searchnumber")</f>
        <v>Searchnumber</v>
      </c>
      <c r="B939" s="2" t="str">
        <f>IFERROR(__xludf.DUMMYFUNCTION("""COMPUTED_VALUE"""),"Search Number")</f>
        <v>Search Number</v>
      </c>
      <c r="C939" s="2">
        <f>IFERROR(__xludf.DUMMYFUNCTION("""COMPUTED_VALUE"""),1.0)</f>
        <v>1</v>
      </c>
      <c r="D939" s="2" t="str">
        <f>IFERROR(__xludf.DUMMYFUNCTION("""COMPUTED_VALUE"""),"অনুসন্ধান নম্বর")</f>
        <v>অনুসন্ধান নম্বর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 t="str">
        <f>IFERROR(__xludf.DUMMYFUNCTION("""COMPUTED_VALUE"""),"updaterating")</f>
        <v>updaterating</v>
      </c>
      <c r="B940" s="2" t="str">
        <f>IFERROR(__xludf.DUMMYFUNCTION("""COMPUTED_VALUE"""),"Update Rating ")</f>
        <v>Update Rating </v>
      </c>
      <c r="C940" s="2">
        <f>IFERROR(__xludf.DUMMYFUNCTION("""COMPUTED_VALUE"""),1.0)</f>
        <v>1</v>
      </c>
      <c r="D940" s="2" t="str">
        <f>IFERROR(__xludf.DUMMYFUNCTION("""COMPUTED_VALUE"""),"আপডেট রেটিং")</f>
        <v>আপডেট রেটিং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 t="str">
        <f>IFERROR(__xludf.DUMMYFUNCTION("""COMPUTED_VALUE"""),"remarks")</f>
        <v>remarks</v>
      </c>
      <c r="B941" s="2" t="str">
        <f>IFERROR(__xludf.DUMMYFUNCTION("""COMPUTED_VALUE"""),"Remarks")</f>
        <v>Remarks</v>
      </c>
      <c r="C941" s="2">
        <f>IFERROR(__xludf.DUMMYFUNCTION("""COMPUTED_VALUE"""),1.0)</f>
        <v>1</v>
      </c>
      <c r="D941" s="2" t="str">
        <f>IFERROR(__xludf.DUMMYFUNCTION("""COMPUTED_VALUE"""),"মন্তব্য")</f>
        <v>মন্তব্য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 t="str">
        <f>IFERROR(__xludf.DUMMYFUNCTION("""COMPUTED_VALUE"""),"Sweet")</f>
        <v>Sweet</v>
      </c>
      <c r="B942" s="2" t="str">
        <f>IFERROR(__xludf.DUMMYFUNCTION("""COMPUTED_VALUE"""),"Sweet")</f>
        <v>Sweet</v>
      </c>
      <c r="C942" s="2"/>
      <c r="D942" s="2" t="str">
        <f>IFERROR(__xludf.DUMMYFUNCTION("""COMPUTED_VALUE"""),"মিষ্টি")</f>
        <v>মিষ্টি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 t="str">
        <f>IFERROR(__xludf.DUMMYFUNCTION("""COMPUTED_VALUE"""),"Paan")</f>
        <v>Paan</v>
      </c>
      <c r="B943" s="2" t="str">
        <f>IFERROR(__xludf.DUMMYFUNCTION("""COMPUTED_VALUE"""),"Paan")</f>
        <v>Paan</v>
      </c>
      <c r="C943" s="2"/>
      <c r="D943" s="2" t="str">
        <f>IFERROR(__xludf.DUMMYFUNCTION("""COMPUTED_VALUE"""),"পান")</f>
        <v>পান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 t="str">
        <f>IFERROR(__xludf.DUMMYFUNCTION("""COMPUTED_VALUE"""),"Pooja Items")</f>
        <v>Pooja Items</v>
      </c>
      <c r="B944" s="2" t="str">
        <f>IFERROR(__xludf.DUMMYFUNCTION("""COMPUTED_VALUE"""),"Pooja Items")</f>
        <v>Pooja Items</v>
      </c>
      <c r="C944" s="2"/>
      <c r="D944" s="2" t="str">
        <f>IFERROR(__xludf.DUMMYFUNCTION("""COMPUTED_VALUE"""),"পূজা আইটেম")</f>
        <v>পূজা আইটেম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 t="str">
        <f>IFERROR(__xludf.DUMMYFUNCTION("""COMPUTED_VALUE"""),"Home Foods")</f>
        <v>Home Foods</v>
      </c>
      <c r="B945" s="2" t="str">
        <f>IFERROR(__xludf.DUMMYFUNCTION("""COMPUTED_VALUE"""),"Home Foods")</f>
        <v>Home Foods</v>
      </c>
      <c r="C945" s="2"/>
      <c r="D945" s="2" t="str">
        <f>IFERROR(__xludf.DUMMYFUNCTION("""COMPUTED_VALUE"""),"হোম খাবার")</f>
        <v>হোম খাবার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 t="str">
        <f>IFERROR(__xludf.DUMMYFUNCTION("""COMPUTED_VALUE"""),"Pet Foods")</f>
        <v>Pet Foods</v>
      </c>
      <c r="B946" s="2" t="str">
        <f>IFERROR(__xludf.DUMMYFUNCTION("""COMPUTED_VALUE"""),"Pet Foods")</f>
        <v>Pet Foods</v>
      </c>
      <c r="C946" s="2"/>
      <c r="D946" s="2" t="str">
        <f>IFERROR(__xludf.DUMMYFUNCTION("""COMPUTED_VALUE"""),"পোষা খাবার")</f>
        <v>পোষা খাবার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 t="str">
        <f>IFERROR(__xludf.DUMMYFUNCTION("""COMPUTED_VALUE"""),"Veg/Non-Veg")</f>
        <v>Veg/Non-Veg</v>
      </c>
      <c r="B947" s="2" t="str">
        <f>IFERROR(__xludf.DUMMYFUNCTION("""COMPUTED_VALUE"""),"Veg/Non-Veg")</f>
        <v>Veg/Non-Veg</v>
      </c>
      <c r="C947" s="2"/>
      <c r="D947" s="2" t="str">
        <f>IFERROR(__xludf.DUMMYFUNCTION("""COMPUTED_VALUE"""),"Veg/non veg")</f>
        <v>Veg/non veg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 t="str">
        <f>IFERROR(__xludf.DUMMYFUNCTION("""COMPUTED_VALUE"""),"Vegetable Shops")</f>
        <v>Vegetable Shops</v>
      </c>
      <c r="B948" s="2" t="str">
        <f>IFERROR(__xludf.DUMMYFUNCTION("""COMPUTED_VALUE"""),"Vegetable Shops")</f>
        <v>Vegetable Shops</v>
      </c>
      <c r="C948" s="2"/>
      <c r="D948" s="2" t="str">
        <f>IFERROR(__xludf.DUMMYFUNCTION("""COMPUTED_VALUE"""),"উদ্ভিজ্জ দোকান")</f>
        <v>উদ্ভিজ্জ দোকান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 t="str">
        <f>IFERROR(__xludf.DUMMYFUNCTION("""COMPUTED_VALUE"""),"Fish Shops")</f>
        <v>Fish Shops</v>
      </c>
      <c r="B949" s="2" t="str">
        <f>IFERROR(__xludf.DUMMYFUNCTION("""COMPUTED_VALUE"""),"Fish Shops")</f>
        <v>Fish Shops</v>
      </c>
      <c r="C949" s="2"/>
      <c r="D949" s="2" t="str">
        <f>IFERROR(__xludf.DUMMYFUNCTION("""COMPUTED_VALUE"""),"ফিশ শপস")</f>
        <v>ফিশ শপস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 t="str">
        <f>IFERROR(__xludf.DUMMYFUNCTION("""COMPUTED_VALUE"""),"Restaurant Shops")</f>
        <v>Restaurant Shops</v>
      </c>
      <c r="B950" s="2" t="str">
        <f>IFERROR(__xludf.DUMMYFUNCTION("""COMPUTED_VALUE"""),"Restaurant Shops")</f>
        <v>Restaurant Shops</v>
      </c>
      <c r="C950" s="2"/>
      <c r="D950" s="2" t="str">
        <f>IFERROR(__xludf.DUMMYFUNCTION("""COMPUTED_VALUE"""),"রেস্তোঁরা দোকান")</f>
        <v>রেস্তোঁরা দোকান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 t="str">
        <f>IFERROR(__xludf.DUMMYFUNCTION("""COMPUTED_VALUE"""),"Flowers Shops")</f>
        <v>Flowers Shops</v>
      </c>
      <c r="B951" s="2" t="str">
        <f>IFERROR(__xludf.DUMMYFUNCTION("""COMPUTED_VALUE"""),"Flowers Shops")</f>
        <v>Flowers Shops</v>
      </c>
      <c r="C951" s="2"/>
      <c r="D951" s="2" t="str">
        <f>IFERROR(__xludf.DUMMYFUNCTION("""COMPUTED_VALUE"""),"ফুলের দোকান")</f>
        <v>ফুলের দোকান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 t="str">
        <f>IFERROR(__xludf.DUMMYFUNCTION("""COMPUTED_VALUE"""),"Bakery Shops")</f>
        <v>Bakery Shops</v>
      </c>
      <c r="B952" s="2" t="str">
        <f>IFERROR(__xludf.DUMMYFUNCTION("""COMPUTED_VALUE"""),"Bakery Shops")</f>
        <v>Bakery Shops</v>
      </c>
      <c r="C952" s="2"/>
      <c r="D952" s="2" t="str">
        <f>IFERROR(__xludf.DUMMYFUNCTION("""COMPUTED_VALUE"""),"বেকারি শপ")</f>
        <v>বেকারি শপ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 t="str">
        <f>IFERROR(__xludf.DUMMYFUNCTION("""COMPUTED_VALUE"""),"Fruits Shops")</f>
        <v>Fruits Shops</v>
      </c>
      <c r="B953" s="2" t="str">
        <f>IFERROR(__xludf.DUMMYFUNCTION("""COMPUTED_VALUE"""),"Fruits Shops")</f>
        <v>Fruits Shops</v>
      </c>
      <c r="C953" s="2"/>
      <c r="D953" s="2" t="str">
        <f>IFERROR(__xludf.DUMMYFUNCTION("""COMPUTED_VALUE"""),"ফলের দোকান")</f>
        <v>ফলের দোকান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 t="str">
        <f>IFERROR(__xludf.DUMMYFUNCTION("""COMPUTED_VALUE"""),"Meat Shops")</f>
        <v>Meat Shops</v>
      </c>
      <c r="B954" s="2" t="str">
        <f>IFERROR(__xludf.DUMMYFUNCTION("""COMPUTED_VALUE"""),"Meat Shops")</f>
        <v>Meat Shops</v>
      </c>
      <c r="C954" s="2"/>
      <c r="D954" s="2" t="str">
        <f>IFERROR(__xludf.DUMMYFUNCTION("""COMPUTED_VALUE"""),"মাংসের দোকান")</f>
        <v>মাংসের দোকান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 t="str">
        <f>IFERROR(__xludf.DUMMYFUNCTION("""COMPUTED_VALUE"""),"GroceryShops")</f>
        <v>GroceryShops</v>
      </c>
      <c r="B955" s="2" t="str">
        <f>IFERROR(__xludf.DUMMYFUNCTION("""COMPUTED_VALUE"""),"Grocery Shops")</f>
        <v>Grocery Shops</v>
      </c>
      <c r="C955" s="2"/>
      <c r="D955" s="2" t="str">
        <f>IFERROR(__xludf.DUMMYFUNCTION("""COMPUTED_VALUE"""),"মুদি দোকান")</f>
        <v>মুদি দোকান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 t="str">
        <f>IFERROR(__xludf.DUMMYFUNCTION("""COMPUTED_VALUE"""),"PaanShops")</f>
        <v>PaanShops</v>
      </c>
      <c r="B956" s="2" t="str">
        <f>IFERROR(__xludf.DUMMYFUNCTION("""COMPUTED_VALUE"""),"Paan Shops")</f>
        <v>Paan Shops</v>
      </c>
      <c r="C956" s="2"/>
      <c r="D956" s="2" t="str">
        <f>IFERROR(__xludf.DUMMYFUNCTION("""COMPUTED_VALUE"""),"পান দোকান")</f>
        <v>পান দোকান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 t="str">
        <f>IFERROR(__xludf.DUMMYFUNCTION("""COMPUTED_VALUE"""),"SweetShops")</f>
        <v>SweetShops</v>
      </c>
      <c r="B957" s="2" t="str">
        <f>IFERROR(__xludf.DUMMYFUNCTION("""COMPUTED_VALUE"""),"Sweet Shops")</f>
        <v>Sweet Shops</v>
      </c>
      <c r="C957" s="2"/>
      <c r="D957" s="2" t="str">
        <f>IFERROR(__xludf.DUMMYFUNCTION("""COMPUTED_VALUE"""),"মিষ্টি দোকান")</f>
        <v>মিষ্টি দোকান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 t="str">
        <f>IFERROR(__xludf.DUMMYFUNCTION("""COMPUTED_VALUE"""),"HomeFoodShops")</f>
        <v>HomeFoodShops</v>
      </c>
      <c r="B958" s="2" t="str">
        <f>IFERROR(__xludf.DUMMYFUNCTION("""COMPUTED_VALUE"""),"Home Food Shops")</f>
        <v>Home Food Shops</v>
      </c>
      <c r="C958" s="2"/>
      <c r="D958" s="2" t="str">
        <f>IFERROR(__xludf.DUMMYFUNCTION("""COMPUTED_VALUE"""),"হোম ফুড শপস")</f>
        <v>হোম ফুড শপস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 t="str">
        <f>IFERROR(__xludf.DUMMYFUNCTION("""COMPUTED_VALUE"""),"PetFoodShops")</f>
        <v>PetFoodShops</v>
      </c>
      <c r="B959" s="2" t="str">
        <f>IFERROR(__xludf.DUMMYFUNCTION("""COMPUTED_VALUE"""),"Pet Food Shops")</f>
        <v>Pet Food Shops</v>
      </c>
      <c r="C959" s="2"/>
      <c r="D959" s="2" t="str">
        <f>IFERROR(__xludf.DUMMYFUNCTION("""COMPUTED_VALUE"""),"পোষা খাবারের দোকান")</f>
        <v>পোষা খাবারের দোকান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 t="str">
        <f>IFERROR(__xludf.DUMMYFUNCTION("""COMPUTED_VALUE"""),"Youwanttodeleteyouraccount")</f>
        <v>Youwanttodeleteyouraccount</v>
      </c>
      <c r="B960" s="2" t="str">
        <f>IFERROR(__xludf.DUMMYFUNCTION("""COMPUTED_VALUE"""),"You want to delete your account")</f>
        <v>You want to delete your account</v>
      </c>
      <c r="C960" s="2"/>
      <c r="D960" s="2" t="str">
        <f>IFERROR(__xludf.DUMMYFUNCTION("""COMPUTED_VALUE"""),"আপনি আপনার অ্যাকাউন্ট মুছতে চান")</f>
        <v>আপনি আপনার অ্যাকাউন্ট মুছতে চান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 t="str">
        <f>IFERROR(__xludf.DUMMYFUNCTION("""COMPUTED_VALUE"""),"AddQuantity(g/kg)")</f>
        <v>AddQuantity(g/kg)</v>
      </c>
      <c r="B961" s="2" t="str">
        <f>IFERROR(__xludf.DUMMYFUNCTION("""COMPUTED_VALUE"""),"Add Quantity (g/kg)")</f>
        <v>Add Quantity (g/kg)</v>
      </c>
      <c r="C961" s="2"/>
      <c r="D961" s="2" t="str">
        <f>IFERROR(__xludf.DUMMYFUNCTION("""COMPUTED_VALUE"""),"পরিমাণ যোগ করুন (জি/কেজি)")</f>
        <v>পরিমাণ যোগ করুন (জি/কেজি)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 t="str">
        <f>IFERROR(__xludf.DUMMYFUNCTION("""COMPUTED_VALUE"""),"AddQuantity(Pieces/Plates)")</f>
        <v>AddQuantity(Pieces/Plates)</v>
      </c>
      <c r="B962" s="2" t="str">
        <f>IFERROR(__xludf.DUMMYFUNCTION("""COMPUTED_VALUE"""),"Add Quantity (Pieces/Plates)")</f>
        <v>Add Quantity (Pieces/Plates)</v>
      </c>
      <c r="C962" s="2"/>
      <c r="D962" s="2" t="str">
        <f>IFERROR(__xludf.DUMMYFUNCTION("""COMPUTED_VALUE"""),"পরিমাণ যোগ করুন (টুকরা/প্লেট)")</f>
        <v>পরিমাণ যোগ করুন (টুকরা/প্লেট)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 t="str">
        <f>IFERROR(__xludf.DUMMYFUNCTION("""COMPUTED_VALUE"""),"AddQuantity(ml/l)")</f>
        <v>AddQuantity(ml/l)</v>
      </c>
      <c r="B963" s="2" t="str">
        <f>IFERROR(__xludf.DUMMYFUNCTION("""COMPUTED_VALUE"""),"Add Quantity (ml/l)")</f>
        <v>Add Quantity (ml/l)</v>
      </c>
      <c r="C963" s="2"/>
      <c r="D963" s="2" t="str">
        <f>IFERROR(__xludf.DUMMYFUNCTION("""COMPUTED_VALUE"""),"পরিমাণ যোগ করুন (এমএল/এল)")</f>
        <v>পরিমাণ যোগ করুন (এমএল/এল)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 t="str">
        <f>IFERROR(__xludf.DUMMYFUNCTION("""COMPUTED_VALUE"""),"EnterAmount")</f>
        <v>EnterAmount</v>
      </c>
      <c r="B964" s="2" t="str">
        <f>IFERROR(__xludf.DUMMYFUNCTION("""COMPUTED_VALUE"""),"Enter Amount")</f>
        <v>Enter Amount</v>
      </c>
      <c r="C964" s="2"/>
      <c r="D964" s="2" t="str">
        <f>IFERROR(__xludf.DUMMYFUNCTION("""COMPUTED_VALUE"""),"পরিমান লিখুন")</f>
        <v>পরিমান লিখুন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 t="str">
        <f>IFERROR(__xludf.DUMMYFUNCTION("""COMPUTED_VALUE"""),"Enterno.of Pcs")</f>
        <v>Enterno.of Pcs</v>
      </c>
      <c r="B965" s="2" t="str">
        <f>IFERROR(__xludf.DUMMYFUNCTION("""COMPUTED_VALUE"""),"Enter no. of Pcs")</f>
        <v>Enter no. of Pcs</v>
      </c>
      <c r="C965" s="2"/>
      <c r="D965" s="2" t="str">
        <f>IFERROR(__xludf.DUMMYFUNCTION("""COMPUTED_VALUE"""),"প্রবেশ করুন। পিসি")</f>
        <v>প্রবেশ করুন। পিসি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 t="str">
        <f>IFERROR(__xludf.DUMMYFUNCTION("""COMPUTED_VALUE"""),"Enterno.of Kgs")</f>
        <v>Enterno.of Kgs</v>
      </c>
      <c r="B966" s="2" t="str">
        <f>IFERROR(__xludf.DUMMYFUNCTION("""COMPUTED_VALUE"""),"Enter no. of Kgs")</f>
        <v>Enter no. of Kgs</v>
      </c>
      <c r="C966" s="2"/>
      <c r="D966" s="2" t="str">
        <f>IFERROR(__xludf.DUMMYFUNCTION("""COMPUTED_VALUE"""),"প্রবেশ করুন। কেজি এর")</f>
        <v>প্রবেশ করুন। কেজি এর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 t="str">
        <f>IFERROR(__xludf.DUMMYFUNCTION("""COMPUTED_VALUE"""),"Enterno. ofLtr")</f>
        <v>Enterno. ofLtr</v>
      </c>
      <c r="B967" s="2" t="str">
        <f>IFERROR(__xludf.DUMMYFUNCTION("""COMPUTED_VALUE"""),"Enter no. of Ltr")</f>
        <v>Enter no. of Ltr</v>
      </c>
      <c r="C967" s="2"/>
      <c r="D967" s="2" t="str">
        <f>IFERROR(__xludf.DUMMYFUNCTION("""COMPUTED_VALUE"""),"প্রবেশ করুন। এলটিআর এর")</f>
        <v>প্রবেশ করুন। এলটিআর এর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 t="str">
        <f>IFERROR(__xludf.DUMMYFUNCTION("""COMPUTED_VALUE"""),"Pickup/Noshow")</f>
        <v>Pickup/Noshow</v>
      </c>
      <c r="B968" s="2" t="str">
        <f>IFERROR(__xludf.DUMMYFUNCTION("""COMPUTED_VALUE"""),"Pickup/No show")</f>
        <v>Pickup/No show</v>
      </c>
      <c r="C968" s="2"/>
      <c r="D968" s="2" t="str">
        <f>IFERROR(__xludf.DUMMYFUNCTION("""COMPUTED_VALUE"""),"পিকআপ/না শো")</f>
        <v>পিকআপ/না শো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 t="str">
        <f>IFERROR(__xludf.DUMMYFUNCTION("""COMPUTED_VALUE"""),"Shopaddedtofavourites")</f>
        <v>Shopaddedtofavourites</v>
      </c>
      <c r="B969" s="2" t="str">
        <f>IFERROR(__xludf.DUMMYFUNCTION("""COMPUTED_VALUE"""),"Shop added to favourites")</f>
        <v>Shop added to favourites</v>
      </c>
      <c r="C969" s="2"/>
      <c r="D969" s="2" t="str">
        <f>IFERROR(__xludf.DUMMYFUNCTION("""COMPUTED_VALUE"""),"পছন্দসই দোকান যুক্ত")</f>
        <v>পছন্দসই দোকান যুক্ত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 t="str">
        <f>IFERROR(__xludf.DUMMYFUNCTION("""COMPUTED_VALUE"""),"Shopremovedfromfavourites")</f>
        <v>Shopremovedfromfavourites</v>
      </c>
      <c r="B970" s="2" t="str">
        <f>IFERROR(__xludf.DUMMYFUNCTION("""COMPUTED_VALUE"""),"Shop removed from favourites")</f>
        <v>Shop removed from favourites</v>
      </c>
      <c r="C970" s="2"/>
      <c r="D970" s="2" t="str">
        <f>IFERROR(__xludf.DUMMYFUNCTION("""COMPUTED_VALUE"""),"পছন্দ থেকে সরানো শপ")</f>
        <v>পছন্দ থেকে সরানো শপ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 t="str">
        <f>IFERROR(__xludf.DUMMYFUNCTION("""COMPUTED_VALUE"""),"PreOrderManagement")</f>
        <v>PreOrderManagement</v>
      </c>
      <c r="B971" s="2" t="str">
        <f>IFERROR(__xludf.DUMMYFUNCTION("""COMPUTED_VALUE"""),"Pre Order Management")</f>
        <v>Pre Order Management</v>
      </c>
      <c r="C971" s="2"/>
      <c r="D971" s="2" t="str">
        <f>IFERROR(__xludf.DUMMYFUNCTION("""COMPUTED_VALUE"""),"প্রাক অর্ডার ম্যানেজমেন্ট")</f>
        <v>প্রাক অর্ডার ম্যানেজমেন্ট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 t="str">
        <f>IFERROR(__xludf.DUMMYFUNCTION("""COMPUTED_VALUE"""),"entergstin")</f>
        <v>entergstin</v>
      </c>
      <c r="B972" s="2" t="str">
        <f>IFERROR(__xludf.DUMMYFUNCTION("""COMPUTED_VALUE"""),"Enter GSTIN")</f>
        <v>Enter GSTIN</v>
      </c>
      <c r="C972" s="2"/>
      <c r="D972" s="2" t="str">
        <f>IFERROR(__xludf.DUMMYFUNCTION("""COMPUTED_VALUE"""),"জিএসটিন প্রবেশ করুন")</f>
        <v>জিএসটিন প্রবেশ করুন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 t="str">
        <f>IFERROR(__xludf.DUMMYFUNCTION("""COMPUTED_VALUE"""),"orderorshop")</f>
        <v>orderorshop</v>
      </c>
      <c r="B973" s="2" t="str">
        <f>IFERROR(__xludf.DUMMYFUNCTION("""COMPUTED_VALUE"""),"order or shop")</f>
        <v>order or shop</v>
      </c>
      <c r="C973" s="2"/>
      <c r="D973" s="2" t="str">
        <f>IFERROR(__xludf.DUMMYFUNCTION("""COMPUTED_VALUE"""),"অর্ডার বা দোকান")</f>
        <v>অর্ডার বা দোকান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 t="str">
        <f>IFERROR(__xludf.DUMMYFUNCTION("""COMPUTED_VALUE"""),"withinkms")</f>
        <v>withinkms</v>
      </c>
      <c r="B974" s="2" t="str">
        <f>IFERROR(__xludf.DUMMYFUNCTION("""COMPUTED_VALUE"""),"within kms")</f>
        <v>within kms</v>
      </c>
      <c r="C974" s="2"/>
      <c r="D974" s="2" t="str">
        <f>IFERROR(__xludf.DUMMYFUNCTION("""COMPUTED_VALUE"""),"কেএমএসের মধ্যে")</f>
        <v>কেএমএসের মধ্যে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 t="str">
        <f>IFERROR(__xludf.DUMMYFUNCTION("""COMPUTED_VALUE"""),"Uploadprofilephoto")</f>
        <v>Uploadprofilephoto</v>
      </c>
      <c r="B975" s="2" t="str">
        <f>IFERROR(__xludf.DUMMYFUNCTION("""COMPUTED_VALUE"""),"Upload profile photo")</f>
        <v>Upload profile photo</v>
      </c>
      <c r="C975" s="2"/>
      <c r="D975" s="2" t="str">
        <f>IFERROR(__xludf.DUMMYFUNCTION("""COMPUTED_VALUE"""),"প্রোফাইল ফটো আপলোড করুন")</f>
        <v>প্রোফাইল ফটো আপলোড করুন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 t="str">
        <f>IFERROR(__xludf.DUMMYFUNCTION("""COMPUTED_VALUE"""),"Invalidname")</f>
        <v>Invalidname</v>
      </c>
      <c r="B976" s="2" t="str">
        <f>IFERROR(__xludf.DUMMYFUNCTION("""COMPUTED_VALUE"""),"Invalid name")</f>
        <v>Invalid name</v>
      </c>
      <c r="C976" s="2"/>
      <c r="D976" s="2" t="str">
        <f>IFERROR(__xludf.DUMMYFUNCTION("""COMPUTED_VALUE"""),"অবৈধ নাম")</f>
        <v>অবৈধ নাম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 t="str">
        <f>IFERROR(__xludf.DUMMYFUNCTION("""COMPUTED_VALUE"""),"Invalidnumber")</f>
        <v>Invalidnumber</v>
      </c>
      <c r="B977" s="2" t="str">
        <f>IFERROR(__xludf.DUMMYFUNCTION("""COMPUTED_VALUE"""),"Invalid number")</f>
        <v>Invalid number</v>
      </c>
      <c r="C977" s="2"/>
      <c r="D977" s="2" t="str">
        <f>IFERROR(__xludf.DUMMYFUNCTION("""COMPUTED_VALUE"""),"অবৈধ সংখ্যা")</f>
        <v>অবৈধ সংখ্যা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 t="str">
        <f>IFERROR(__xludf.DUMMYFUNCTION("""COMPUTED_VALUE"""),"Addressdeleted !!")</f>
        <v>Addressdeleted !!</v>
      </c>
      <c r="B978" s="2" t="str">
        <f>IFERROR(__xludf.DUMMYFUNCTION("""COMPUTED_VALUE"""),"Address deleted !!")</f>
        <v>Address deleted !!</v>
      </c>
      <c r="C978" s="2"/>
      <c r="D978" s="2" t="str">
        <f>IFERROR(__xludf.DUMMYFUNCTION("""COMPUTED_VALUE"""),"ঠিকানা মুছে ফেলা !!")</f>
        <v>ঠিকানা মুছে ফেলা !!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 t="str">
        <f>IFERROR(__xludf.DUMMYFUNCTION("""COMPUTED_VALUE"""),"Invitevia")</f>
        <v>Invitevia</v>
      </c>
      <c r="B979" s="2" t="str">
        <f>IFERROR(__xludf.DUMMYFUNCTION("""COMPUTED_VALUE"""),"Invite via")</f>
        <v>Invite via</v>
      </c>
      <c r="C979" s="2"/>
      <c r="D979" s="2" t="str">
        <f>IFERROR(__xludf.DUMMYFUNCTION("""COMPUTED_VALUE"""),"মাধ্যমে আমন্ত্রণ")</f>
        <v>মাধ্যমে আমন্ত্রণ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 t="str">
        <f>IFERROR(__xludf.DUMMYFUNCTION("""COMPUTED_VALUE"""),"whywouldyouliketodeleteyouraccount ?")</f>
        <v>whywouldyouliketodeleteyouraccount ?</v>
      </c>
      <c r="B980" s="2" t="str">
        <f>IFERROR(__xludf.DUMMYFUNCTION("""COMPUTED_VALUE"""),"why would you like to delete your account ?")</f>
        <v>why would you like to delete your account ?</v>
      </c>
      <c r="C980" s="2"/>
      <c r="D980" s="2" t="str">
        <f>IFERROR(__xludf.DUMMYFUNCTION("""COMPUTED_VALUE"""),"আপনি কেন আপনার অ্যাকাউন্ট মুছতে চান?")</f>
        <v>আপনি কেন আপনার অ্যাকাউন্ট মুছতে চান?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 t="str">
        <f>IFERROR(__xludf.DUMMYFUNCTION("""COMPUTED_VALUE"""),"Sarvm.aiManagerID")</f>
        <v>Sarvm.aiManagerID</v>
      </c>
      <c r="B981" s="2" t="str">
        <f>IFERROR(__xludf.DUMMYFUNCTION("""COMPUTED_VALUE"""),"Sarvm.ai Manager ID")</f>
        <v>Sarvm.ai Manager ID</v>
      </c>
      <c r="C981" s="2"/>
      <c r="D981" s="2" t="str">
        <f>IFERROR(__xludf.DUMMYFUNCTION("""COMPUTED_VALUE"""),"সর্ভ.ই.এই ম্যানেজার আইডি")</f>
        <v>সর্ভ.ই.এই ম্যানেজার আইডি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 t="str">
        <f>IFERROR(__xludf.DUMMYFUNCTION("""COMPUTED_VALUE"""),"Invalidpincode")</f>
        <v>Invalidpincode</v>
      </c>
      <c r="B982" s="2" t="str">
        <f>IFERROR(__xludf.DUMMYFUNCTION("""COMPUTED_VALUE"""),"Invalid pincode")</f>
        <v>Invalid pincode</v>
      </c>
      <c r="C982" s="2"/>
      <c r="D982" s="2" t="str">
        <f>IFERROR(__xludf.DUMMYFUNCTION("""COMPUTED_VALUE"""),"অবৈধ পিনকোড")</f>
        <v>অবৈধ পিনকোড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 t="str">
        <f>IFERROR(__xludf.DUMMYFUNCTION("""COMPUTED_VALUE"""),"Sarvm.Ai")</f>
        <v>Sarvm.Ai</v>
      </c>
      <c r="B983" s="3" t="str">
        <f>IFERROR(__xludf.DUMMYFUNCTION("""COMPUTED_VALUE"""),"Sarvm.Ai")</f>
        <v>Sarvm.Ai</v>
      </c>
      <c r="C983" s="2"/>
      <c r="D983" s="2" t="str">
        <f>IFERROR(__xludf.DUMMYFUNCTION("""COMPUTED_VALUE"""),"সরভ.ই")</f>
        <v>সরভ.ই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 t="str">
        <f>IFERROR(__xludf.DUMMYFUNCTION("""COMPUTED_VALUE"""),"Entertext")</f>
        <v>Entertext</v>
      </c>
      <c r="B984" s="2" t="str">
        <f>IFERROR(__xludf.DUMMYFUNCTION("""COMPUTED_VALUE"""),"Enter text")</f>
        <v>Enter text</v>
      </c>
      <c r="C984" s="2"/>
      <c r="D984" s="2" t="str">
        <f>IFERROR(__xludf.DUMMYFUNCTION("""COMPUTED_VALUE"""),"লেখা অন্তর্ভুক্ত করুন")</f>
        <v>লেখা অন্তর্ভুক্ত করুন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 t="str">
        <f>IFERROR(__xludf.DUMMYFUNCTION("""COMPUTED_VALUE"""),"Shopalready exist for this user")</f>
        <v>Shopalready exist for this user</v>
      </c>
      <c r="B985" s="2" t="str">
        <f>IFERROR(__xludf.DUMMYFUNCTION("""COMPUTED_VALUE"""),"Shop already exist for this user")</f>
        <v>Shop already exist for this user</v>
      </c>
      <c r="C985" s="2"/>
      <c r="D985" s="2" t="str">
        <f>IFERROR(__xludf.DUMMYFUNCTION("""COMPUTED_VALUE"""),"এই ব্যবহারকারীর জন্য ইতিমধ্যে দোকান বিদ্যমান")</f>
        <v>এই ব্যবহারকারীর জন্য ইতিমধ্যে দোকান বিদ্যমান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 t="str">
        <f>IFERROR(__xludf.DUMMYFUNCTION("""COMPUTED_VALUE"""),"ScanQRcode")</f>
        <v>ScanQRcode</v>
      </c>
      <c r="B986" s="2" t="str">
        <f>IFERROR(__xludf.DUMMYFUNCTION("""COMPUTED_VALUE"""),"Scan QR code")</f>
        <v>Scan QR code</v>
      </c>
      <c r="C986" s="2"/>
      <c r="D986" s="2" t="str">
        <f>IFERROR(__xludf.DUMMYFUNCTION("""COMPUTED_VALUE"""),"স্ক্যান কিউআর কোড")</f>
        <v>স্ক্যান কিউআর কোড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 t="str">
        <f>IFERROR(__xludf.DUMMYFUNCTION("""COMPUTED_VALUE"""),"Select UPI App")</f>
        <v>Select UPI App</v>
      </c>
      <c r="B987" s="2" t="str">
        <f>IFERROR(__xludf.DUMMYFUNCTION("""COMPUTED_VALUE"""),"Select UPI App")</f>
        <v>Select UPI App</v>
      </c>
      <c r="C987" s="2"/>
      <c r="D987" s="2" t="str">
        <f>IFERROR(__xludf.DUMMYFUNCTION("""COMPUTED_VALUE"""),"ইউপিআই অ্যাপ্লিকেশন নির্বাচন করুন")</f>
        <v>ইউপিআই অ্যাপ্লিকেশন নির্বাচন করুন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 t="str">
        <f>IFERROR(__xludf.DUMMYFUNCTION("""COMPUTED_VALUE"""),"Please enter valid number")</f>
        <v>Please enter valid number</v>
      </c>
      <c r="B988" s="2" t="str">
        <f>IFERROR(__xludf.DUMMYFUNCTION("""COMPUTED_VALUE"""),"Please enter valid number")</f>
        <v>Please enter valid number</v>
      </c>
      <c r="C988" s="2"/>
      <c r="D988" s="2" t="str">
        <f>IFERROR(__xludf.DUMMYFUNCTION("""COMPUTED_VALUE"""),"বৈধ নম্বর লিখুন দয়া করে")</f>
        <v>বৈধ নম্বর লিখুন দয়া করে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 t="str">
        <f>IFERROR(__xludf.DUMMYFUNCTION("""COMPUTED_VALUE"""),"Payment : Pending")</f>
        <v>Payment : Pending</v>
      </c>
      <c r="B989" s="2" t="str">
        <f>IFERROR(__xludf.DUMMYFUNCTION("""COMPUTED_VALUE"""),"Payment : Pending")</f>
        <v>Payment : Pending</v>
      </c>
      <c r="C989" s="2"/>
      <c r="D989" s="2" t="str">
        <f>IFERROR(__xludf.DUMMYFUNCTION("""COMPUTED_VALUE"""),"অর্থ প্রদান: মুলতুবি")</f>
        <v>অর্থ প্রদান: মুলতুবি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 t="str">
        <f>IFERROR(__xludf.DUMMYFUNCTION("""COMPUTED_VALUE"""),"Start Delivery")</f>
        <v>Start Delivery</v>
      </c>
      <c r="B990" s="2" t="str">
        <f>IFERROR(__xludf.DUMMYFUNCTION("""COMPUTED_VALUE"""),"Start Delivery")</f>
        <v>Start Delivery</v>
      </c>
      <c r="C990" s="2"/>
      <c r="D990" s="2" t="str">
        <f>IFERROR(__xludf.DUMMYFUNCTION("""COMPUTED_VALUE"""),"ডেলিভারি শুরু করুন")</f>
        <v>ডেলিভারি শুরু করুন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 t="str">
        <f>IFERROR(__xludf.DUMMYFUNCTION("""COMPUTED_VALUE"""),"Order dispatch")</f>
        <v>Order dispatch</v>
      </c>
      <c r="B991" s="2" t="str">
        <f>IFERROR(__xludf.DUMMYFUNCTION("""COMPUTED_VALUE"""),"Order dispatch")</f>
        <v>Order dispatch</v>
      </c>
      <c r="C991" s="2"/>
      <c r="D991" s="2" t="str">
        <f>IFERROR(__xludf.DUMMYFUNCTION("""COMPUTED_VALUE"""),"অর্ডার প্রেরণ")</f>
        <v>অর্ডার প্রেরণ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 t="str">
        <f>IFERROR(__xludf.DUMMYFUNCTION("""COMPUTED_VALUE"""),"Order dispatched")</f>
        <v>Order dispatched</v>
      </c>
      <c r="B992" s="2" t="str">
        <f>IFERROR(__xludf.DUMMYFUNCTION("""COMPUTED_VALUE"""),"Order dispatched")</f>
        <v>Order dispatched</v>
      </c>
      <c r="C992" s="2"/>
      <c r="D992" s="2" t="str">
        <f>IFERROR(__xludf.DUMMYFUNCTION("""COMPUTED_VALUE"""),"আদেশ দ্রুত প্রেরন")</f>
        <v>আদেশ দ্রুত প্রেরন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 t="str">
        <f>IFERROR(__xludf.DUMMYFUNCTION("""COMPUTED_VALUE"""),"Reached Delivery Location")</f>
        <v>Reached Delivery Location</v>
      </c>
      <c r="B993" s="2" t="str">
        <f>IFERROR(__xludf.DUMMYFUNCTION("""COMPUTED_VALUE"""),"Reached Delivery Location")</f>
        <v>Reached Delivery Location</v>
      </c>
      <c r="C993" s="2"/>
      <c r="D993" s="2" t="str">
        <f>IFERROR(__xludf.DUMMYFUNCTION("""COMPUTED_VALUE"""),"ডেলিভারি অবস্থান পৌঁছেছে")</f>
        <v>ডেলিভারি অবস্থান পৌঁছেছে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 t="str">
        <f>IFERROR(__xludf.DUMMYFUNCTION("""COMPUTED_VALUE"""),"Order Pickedup")</f>
        <v>Order Pickedup</v>
      </c>
      <c r="B994" s="2" t="str">
        <f>IFERROR(__xludf.DUMMYFUNCTION("""COMPUTED_VALUE"""),"Order Pickedup")</f>
        <v>Order Pickedup</v>
      </c>
      <c r="C994" s="2"/>
      <c r="D994" s="2" t="str">
        <f>IFERROR(__xludf.DUMMYFUNCTION("""COMPUTED_VALUE"""),"অর্ডার পিকআপ")</f>
        <v>অর্ডার পিকআপ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 t="str">
        <f>IFERROR(__xludf.DUMMYFUNCTION("""COMPUTED_VALUE"""),"OrderIDorCustomerNumber")</f>
        <v>OrderIDorCustomerNumber</v>
      </c>
      <c r="B995" s="2" t="str">
        <f>IFERROR(__xludf.DUMMYFUNCTION("""COMPUTED_VALUE"""),"Order ID or Customer Number")</f>
        <v>Order ID or Customer Number</v>
      </c>
      <c r="C995" s="2"/>
      <c r="D995" s="2" t="str">
        <f>IFERROR(__xludf.DUMMYFUNCTION("""COMPUTED_VALUE"""),"অর্ডার আইডি বা গ্রাহক নম্বর")</f>
        <v>অর্ডার আইডি বা গ্রাহক নম্বর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 t="str">
        <f>IFERROR(__xludf.DUMMYFUNCTION("""COMPUTED_VALUE"""),"OrderRejected")</f>
        <v>OrderRejected</v>
      </c>
      <c r="B996" s="2" t="str">
        <f>IFERROR(__xludf.DUMMYFUNCTION("""COMPUTED_VALUE"""),"Order Rejected")</f>
        <v>Order Rejected</v>
      </c>
      <c r="C996" s="2"/>
      <c r="D996" s="2" t="str">
        <f>IFERROR(__xludf.DUMMYFUNCTION("""COMPUTED_VALUE"""),"আদেশ প্রত্যাখ্যান")</f>
        <v>আদেশ প্রত্যাখ্যান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 t="str">
        <f>IFERROR(__xludf.DUMMYFUNCTION("""COMPUTED_VALUE"""),"OrderCompleted")</f>
        <v>OrderCompleted</v>
      </c>
      <c r="B997" s="2" t="str">
        <f>IFERROR(__xludf.DUMMYFUNCTION("""COMPUTED_VALUE"""),"Order Completed")</f>
        <v>Order Completed</v>
      </c>
      <c r="C997" s="2"/>
      <c r="D997" s="2" t="str">
        <f>IFERROR(__xludf.DUMMYFUNCTION("""COMPUTED_VALUE"""),"আদেশ সম্পন্ন")</f>
        <v>আদেশ সম্পন্ন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 t="str">
        <f>IFERROR(__xludf.DUMMYFUNCTION("""COMPUTED_VALUE"""),"OrderCancelled")</f>
        <v>OrderCancelled</v>
      </c>
      <c r="B998" s="2" t="str">
        <f>IFERROR(__xludf.DUMMYFUNCTION("""COMPUTED_VALUE"""),"Order Cancelled")</f>
        <v>Order Cancelled</v>
      </c>
      <c r="C998" s="2"/>
      <c r="D998" s="2" t="str">
        <f>IFERROR(__xludf.DUMMYFUNCTION("""COMPUTED_VALUE"""),"আদেশ বাতিল")</f>
        <v>আদেশ বাতিল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 t="str">
        <f>IFERROR(__xludf.DUMMYFUNCTION("""COMPUTED_VALUE"""),"CustomerPickedup")</f>
        <v>CustomerPickedup</v>
      </c>
      <c r="B999" s="2" t="str">
        <f>IFERROR(__xludf.DUMMYFUNCTION("""COMPUTED_VALUE"""),"Customer Picked up")</f>
        <v>Customer Picked up</v>
      </c>
      <c r="C999" s="2"/>
      <c r="D999" s="2" t="str">
        <f>IFERROR(__xludf.DUMMYFUNCTION("""COMPUTED_VALUE"""),"গ্রাহক বাছাই")</f>
        <v>গ্রাহক বাছাই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 t="str">
        <f>IFERROR(__xludf.DUMMYFUNCTION("""COMPUTED_VALUE"""),"DeliveryBoy")</f>
        <v>DeliveryBoy</v>
      </c>
      <c r="B1000" s="2" t="str">
        <f>IFERROR(__xludf.DUMMYFUNCTION("""COMPUTED_VALUE"""),"Delivery Boy")</f>
        <v>Delivery Boy</v>
      </c>
      <c r="C1000" s="2"/>
      <c r="D1000" s="2" t="str">
        <f>IFERROR(__xludf.DUMMYFUNCTION("""COMPUTED_VALUE"""),"ডেলিভারি বয়")</f>
        <v>ডেলিভারি বয়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 t="str">
        <f>IFERROR(__xludf.DUMMYFUNCTION("""COMPUTED_VALUE"""),"Removefromfavourites")</f>
        <v>Removefromfavourites</v>
      </c>
      <c r="B1001" s="2" t="str">
        <f>IFERROR(__xludf.DUMMYFUNCTION("""COMPUTED_VALUE"""),"Remove from favourites")</f>
        <v>Remove from favourites</v>
      </c>
      <c r="C1001" s="2"/>
      <c r="D1001" s="2" t="str">
        <f>IFERROR(__xludf.DUMMYFUNCTION("""COMPUTED_VALUE"""),"প্রিয় থেকে সরান")</f>
        <v>প্রিয় থেকে সরান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 t="str">
        <f>IFERROR(__xludf.DUMMYFUNCTION("""COMPUTED_VALUE"""),"Searchforproductname")</f>
        <v>Searchforproductname</v>
      </c>
      <c r="B1002" s="2" t="str">
        <f>IFERROR(__xludf.DUMMYFUNCTION("""COMPUTED_VALUE"""),"Search for product name")</f>
        <v>Search for product name</v>
      </c>
      <c r="C1002" s="2"/>
      <c r="D1002" s="2" t="str">
        <f>IFERROR(__xludf.DUMMYFUNCTION("""COMPUTED_VALUE"""),"পণ্যের নাম অনুসন্ধান করুন")</f>
        <v>পণ্যের নাম অনুসন্ধান করুন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 t="str">
        <f>IFERROR(__xludf.DUMMYFUNCTION("""COMPUTED_VALUE"""),"Apply")</f>
        <v>Apply</v>
      </c>
      <c r="B1003" s="2" t="str">
        <f>IFERROR(__xludf.DUMMYFUNCTION("""COMPUTED_VALUE"""),"Apply")</f>
        <v>Apply</v>
      </c>
      <c r="C1003" s="2"/>
      <c r="D1003" s="2" t="str">
        <f>IFERROR(__xludf.DUMMYFUNCTION("""COMPUTED_VALUE"""),"প্রয়োগ করুন")</f>
        <v>প্রয়োগ করুন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 t="str">
        <f>IFERROR(__xludf.DUMMYFUNCTION("""COMPUTED_VALUE"""),"for")</f>
        <v>for</v>
      </c>
      <c r="B1004" s="2" t="str">
        <f>IFERROR(__xludf.DUMMYFUNCTION("""COMPUTED_VALUE"""),"for")</f>
        <v>for</v>
      </c>
      <c r="C1004" s="2"/>
      <c r="D1004" s="2" t="str">
        <f>IFERROR(__xludf.DUMMYFUNCTION("""COMPUTED_VALUE"""),"জন্য")</f>
        <v>জন্য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 t="str">
        <f>IFERROR(__xludf.DUMMYFUNCTION("""COMPUTED_VALUE"""),"Readyfordelivery")</f>
        <v>Readyfordelivery</v>
      </c>
      <c r="B1005" s="2" t="str">
        <f>IFERROR(__xludf.DUMMYFUNCTION("""COMPUTED_VALUE"""),"Ready for delivery")</f>
        <v>Ready for delivery</v>
      </c>
      <c r="C1005" s="2"/>
      <c r="D1005" s="2" t="str">
        <f>IFERROR(__xludf.DUMMYFUNCTION("""COMPUTED_VALUE"""),"সরবরাহের জন্য প্রস্তুত")</f>
        <v>সরবরাহের জন্য প্রস্তুত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 t="str">
        <f>IFERROR(__xludf.DUMMYFUNCTION("""COMPUTED_VALUE"""),"Pickedupfordelivery")</f>
        <v>Pickedupfordelivery</v>
      </c>
      <c r="B1006" s="2" t="str">
        <f>IFERROR(__xludf.DUMMYFUNCTION("""COMPUTED_VALUE"""),"Picked up for delivery")</f>
        <v>Picked up for delivery</v>
      </c>
      <c r="C1006" s="2"/>
      <c r="D1006" s="2" t="str">
        <f>IFERROR(__xludf.DUMMYFUNCTION("""COMPUTED_VALUE"""),"প্রসবের জন্য বাছাই")</f>
        <v>প্রসবের জন্য বাছাই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 t="str">
        <f>IFERROR(__xludf.DUMMYFUNCTION("""COMPUTED_VALUE"""),"AsmaaIndia")</f>
        <v>AsmaaIndia</v>
      </c>
      <c r="B1007" s="2" t="str">
        <f>IFERROR(__xludf.DUMMYFUNCTION("""COMPUTED_VALUE"""),"Asmaa India")</f>
        <v>Asmaa India</v>
      </c>
      <c r="C1007" s="2"/>
      <c r="D1007" s="2" t="str">
        <f>IFERROR(__xludf.DUMMYFUNCTION("""COMPUTED_VALUE"""),"আসমা ভারত")</f>
        <v>আসমা ভারত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 t="str">
        <f>IFERROR(__xludf.DUMMYFUNCTION("""COMPUTED_VALUE"""),"JyotiEnterprises")</f>
        <v>JyotiEnterprises</v>
      </c>
      <c r="B1008" s="2" t="str">
        <f>IFERROR(__xludf.DUMMYFUNCTION("""COMPUTED_VALUE"""),"Jyoti Enterprises")</f>
        <v>Jyoti Enterprises</v>
      </c>
      <c r="C1008" s="2"/>
      <c r="D1008" s="2" t="str">
        <f>IFERROR(__xludf.DUMMYFUNCTION("""COMPUTED_VALUE"""),"জ্যোতি উদ্যোগ")</f>
        <v>জ্যোতি উদ্যোগ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 t="str">
        <f>IFERROR(__xludf.DUMMYFUNCTION("""COMPUTED_VALUE"""),"CleanTech")</f>
        <v>CleanTech</v>
      </c>
      <c r="B1009" s="2" t="str">
        <f>IFERROR(__xludf.DUMMYFUNCTION("""COMPUTED_VALUE"""),"Clean Tech")</f>
        <v>Clean Tech</v>
      </c>
      <c r="C1009" s="2"/>
      <c r="D1009" s="2" t="str">
        <f>IFERROR(__xludf.DUMMYFUNCTION("""COMPUTED_VALUE"""),"ক্লিন টেক")</f>
        <v>ক্লিন টেক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 t="str">
        <f>IFERROR(__xludf.DUMMYFUNCTION("""COMPUTED_VALUE"""),"Agency-Excelience")</f>
        <v>Agency-Excelience</v>
      </c>
      <c r="B1010" s="2" t="str">
        <f>IFERROR(__xludf.DUMMYFUNCTION("""COMPUTED_VALUE"""),"Agency - Excelience")</f>
        <v>Agency - Excelience</v>
      </c>
      <c r="C1010" s="2"/>
      <c r="D1010" s="2" t="str">
        <f>IFERROR(__xludf.DUMMYFUNCTION("""COMPUTED_VALUE"""),"এজেন্সি - এক্সিলিয়েন্স")</f>
        <v>এজেন্সি - এক্সিলিয়েন্স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 t="str">
        <f>IFERROR(__xludf.DUMMYFUNCTION("""COMPUTED_VALUE"""),"within")</f>
        <v>within</v>
      </c>
      <c r="B1011" s="2" t="str">
        <f>IFERROR(__xludf.DUMMYFUNCTION("""COMPUTED_VALUE"""),"within")</f>
        <v>within</v>
      </c>
      <c r="C1011" s="2"/>
      <c r="D1011" s="2" t="str">
        <f>IFERROR(__xludf.DUMMYFUNCTION("""COMPUTED_VALUE"""),"মধ্যে")</f>
        <v>মধ্যে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 t="str">
        <f>IFERROR(__xludf.DUMMYFUNCTION("""COMPUTED_VALUE"""),"kms")</f>
        <v>kms</v>
      </c>
      <c r="B1012" s="2" t="str">
        <f>IFERROR(__xludf.DUMMYFUNCTION("""COMPUTED_VALUE"""),"kms")</f>
        <v>kms</v>
      </c>
      <c r="C1012" s="2"/>
      <c r="D1012" s="2" t="str">
        <f>IFERROR(__xludf.DUMMYFUNCTION("""COMPUTED_VALUE"""),"কেএমএস")</f>
        <v>কেএমএস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 t="str">
        <f>IFERROR(__xludf.DUMMYFUNCTION("""COMPUTED_VALUE"""),"EnterIDCardNo")</f>
        <v>EnterIDCardNo</v>
      </c>
      <c r="B1013" s="2" t="str">
        <f>IFERROR(__xludf.DUMMYFUNCTION("""COMPUTED_VALUE"""),"Enter ID Card No")</f>
        <v>Enter ID Card No</v>
      </c>
      <c r="C1013" s="2"/>
      <c r="D1013" s="2" t="str">
        <f>IFERROR(__xludf.DUMMYFUNCTION("""COMPUTED_VALUE"""),"আইডি কার্ড নং প্রবেশ করান")</f>
        <v>আইডি কার্ড নং প্রবেশ করান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 t="str">
        <f>IFERROR(__xludf.DUMMYFUNCTION("""COMPUTED_VALUE"""),"EnterName")</f>
        <v>EnterName</v>
      </c>
      <c r="B1014" s="2" t="str">
        <f>IFERROR(__xludf.DUMMYFUNCTION("""COMPUTED_VALUE"""),"Enter Name")</f>
        <v>Enter Name</v>
      </c>
      <c r="C1014" s="2"/>
      <c r="D1014" s="2" t="str">
        <f>IFERROR(__xludf.DUMMYFUNCTION("""COMPUTED_VALUE"""),"নাম লিখুন")</f>
        <v>নাম লিখুন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 t="str">
        <f>IFERROR(__xludf.DUMMYFUNCTION("""COMPUTED_VALUE"""),"EnterShopNoorBuilding")</f>
        <v>EnterShopNoorBuilding</v>
      </c>
      <c r="B1015" s="2" t="str">
        <f>IFERROR(__xludf.DUMMYFUNCTION("""COMPUTED_VALUE"""),"Enter Shop No or Building")</f>
        <v>Enter Shop No or Building</v>
      </c>
      <c r="C1015" s="2"/>
      <c r="D1015" s="2" t="str">
        <f>IFERROR(__xludf.DUMMYFUNCTION("""COMPUTED_VALUE"""),"শপ নং বা বিল্ডিং প্রবেশ করুন")</f>
        <v>শপ নং বা বিল্ডিং প্রবেশ করুন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 t="str">
        <f>IFERROR(__xludf.DUMMYFUNCTION("""COMPUTED_VALUE"""),"EnterLocalityorArea")</f>
        <v>EnterLocalityorArea</v>
      </c>
      <c r="B1016" s="2" t="str">
        <f>IFERROR(__xludf.DUMMYFUNCTION("""COMPUTED_VALUE"""),"Enter Locality or Area")</f>
        <v>Enter Locality or Area</v>
      </c>
      <c r="C1016" s="2"/>
      <c r="D1016" s="2" t="str">
        <f>IFERROR(__xludf.DUMMYFUNCTION("""COMPUTED_VALUE"""),"লোকাল বা অঞ্চল প্রবেশ করান")</f>
        <v>লোকাল বা অঞ্চল প্রবেশ করান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 t="str">
        <f>IFERROR(__xludf.DUMMYFUNCTION("""COMPUTED_VALUE"""),"EnterStreetno")</f>
        <v>EnterStreetno</v>
      </c>
      <c r="B1017" s="2" t="str">
        <f>IFERROR(__xludf.DUMMYFUNCTION("""COMPUTED_VALUE"""),"Enter Street no")</f>
        <v>Enter Street no</v>
      </c>
      <c r="C1017" s="2"/>
      <c r="D1017" s="2" t="str">
        <f>IFERROR(__xludf.DUMMYFUNCTION("""COMPUTED_VALUE"""),"স্ট্রিট নং প্রবেশ করুন")</f>
        <v>স্ট্রিট নং প্রবেশ করুন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 t="str">
        <f>IFERROR(__xludf.DUMMYFUNCTION("""COMPUTED_VALUE"""),"EnterLandmark")</f>
        <v>EnterLandmark</v>
      </c>
      <c r="B1018" s="2" t="str">
        <f>IFERROR(__xludf.DUMMYFUNCTION("""COMPUTED_VALUE"""),"Enter Landmark")</f>
        <v>Enter Landmark</v>
      </c>
      <c r="C1018" s="2"/>
      <c r="D1018" s="2" t="str">
        <f>IFERROR(__xludf.DUMMYFUNCTION("""COMPUTED_VALUE"""),"ল্যান্ডমার্ক প্রবেশ করুন")</f>
        <v>ল্যান্ডমার্ক প্রবেশ করুন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 t="str">
        <f>IFERROR(__xludf.DUMMYFUNCTION("""COMPUTED_VALUE"""),"EnterCityorState")</f>
        <v>EnterCityorState</v>
      </c>
      <c r="B1019" s="2" t="str">
        <f>IFERROR(__xludf.DUMMYFUNCTION("""COMPUTED_VALUE"""),"Enter City or State")</f>
        <v>Enter City or State</v>
      </c>
      <c r="C1019" s="2"/>
      <c r="D1019" s="2" t="str">
        <f>IFERROR(__xludf.DUMMYFUNCTION("""COMPUTED_VALUE"""),"শহর বা রাজ্যে প্রবেশ করুন")</f>
        <v>শহর বা রাজ্যে প্রবেশ করুন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 t="str">
        <f>IFERROR(__xludf.DUMMYFUNCTION("""COMPUTED_VALUE"""),"EnterPincode")</f>
        <v>EnterPincode</v>
      </c>
      <c r="B1020" s="2" t="str">
        <f>IFERROR(__xludf.DUMMYFUNCTION("""COMPUTED_VALUE"""),"Enter Pincode")</f>
        <v>Enter Pincode</v>
      </c>
      <c r="C1020" s="2"/>
      <c r="D1020" s="2" t="str">
        <f>IFERROR(__xludf.DUMMYFUNCTION("""COMPUTED_VALUE"""),"পিনকোড প্রবেশ করান")</f>
        <v>পিনকোড প্রবেশ করান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 t="str">
        <f>IFERROR(__xludf.DUMMYFUNCTION("""COMPUTED_VALUE"""),"EnterPANCardNo")</f>
        <v>EnterPANCardNo</v>
      </c>
      <c r="B1021" s="2" t="str">
        <f>IFERROR(__xludf.DUMMYFUNCTION("""COMPUTED_VALUE"""),"Enter PAN Card No")</f>
        <v>Enter PAN Card No</v>
      </c>
      <c r="C1021" s="2"/>
      <c r="D1021" s="2" t="str">
        <f>IFERROR(__xludf.DUMMYFUNCTION("""COMPUTED_VALUE"""),"প্যান কার্ড নং প্রবেশ করান")</f>
        <v>প্যান কার্ড নং প্রবেশ করান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 t="str">
        <f>IFERROR(__xludf.DUMMYFUNCTION("""COMPUTED_VALUE"""),"EnterNameasperPANcard")</f>
        <v>EnterNameasperPANcard</v>
      </c>
      <c r="B1022" s="2" t="str">
        <f>IFERROR(__xludf.DUMMYFUNCTION("""COMPUTED_VALUE"""),"Enter Name as per PAN card")</f>
        <v>Enter Name as per PAN card</v>
      </c>
      <c r="C1022" s="2"/>
      <c r="D1022" s="2" t="str">
        <f>IFERROR(__xludf.DUMMYFUNCTION("""COMPUTED_VALUE"""),"প্যান কার্ড অনুসারে নাম লিখুন")</f>
        <v>প্যান কার্ড অনুসারে নাম লিখুন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 t="str">
        <f>IFERROR(__xludf.DUMMYFUNCTION("""COMPUTED_VALUE"""),"EnterFather’sName")</f>
        <v>EnterFather’sName</v>
      </c>
      <c r="B1023" s="2" t="str">
        <f>IFERROR(__xludf.DUMMYFUNCTION("""COMPUTED_VALUE"""),"Enter Father’s Name")</f>
        <v>Enter Father’s Name</v>
      </c>
      <c r="C1023" s="2"/>
      <c r="D1023" s="2" t="str">
        <f>IFERROR(__xludf.DUMMYFUNCTION("""COMPUTED_VALUE"""),"পিতার নাম প্রবেশ করুন")</f>
        <v>পিতার নাম প্রবেশ করুন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 t="str">
        <f>IFERROR(__xludf.DUMMYFUNCTION("""COMPUTED_VALUE"""),"findthedate")</f>
        <v>findthedate</v>
      </c>
      <c r="B1024" s="2" t="str">
        <f>IFERROR(__xludf.DUMMYFUNCTION("""COMPUTED_VALUE"""),"find the date")</f>
        <v>find the date</v>
      </c>
      <c r="C1024" s="2"/>
      <c r="D1024" s="2" t="str">
        <f>IFERROR(__xludf.DUMMYFUNCTION("""COMPUTED_VALUE"""),"তারিখটি সন্ধান করুন")</f>
        <v>তারিখটি সন্ধান করুন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 t="str">
        <f>IFERROR(__xludf.DUMMYFUNCTION("""COMPUTED_VALUE"""),"scanmyshop")</f>
        <v>scanmyshop</v>
      </c>
      <c r="B1025" s="2" t="str">
        <f>IFERROR(__xludf.DUMMYFUNCTION("""COMPUTED_VALUE"""),"scan my shop")</f>
        <v>scan my shop</v>
      </c>
      <c r="C1025" s="2"/>
      <c r="D1025" s="2" t="str">
        <f>IFERROR(__xludf.DUMMYFUNCTION("""COMPUTED_VALUE"""),"আমার দোকান স্ক্যান করুন")</f>
        <v>আমার দোকান স্ক্যান করুন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 t="str">
        <f>IFERROR(__xludf.DUMMYFUNCTION("""COMPUTED_VALUE"""),"MyShopQRCode")</f>
        <v>MyShopQRCode</v>
      </c>
      <c r="B1026" s="2" t="str">
        <f>IFERROR(__xludf.DUMMYFUNCTION("""COMPUTED_VALUE"""),"My Shop QR Code")</f>
        <v>My Shop QR Code</v>
      </c>
      <c r="C1026" s="2"/>
      <c r="D1026" s="2" t="str">
        <f>IFERROR(__xludf.DUMMYFUNCTION("""COMPUTED_VALUE"""),"আমার দোকান কিউআর কোড")</f>
        <v>আমার দোকান কিউআর কোড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 t="str">
        <f>IFERROR(__xludf.DUMMYFUNCTION("""COMPUTED_VALUE"""),"Comment")</f>
        <v>Comment</v>
      </c>
      <c r="B1027" s="2" t="str">
        <f>IFERROR(__xludf.DUMMYFUNCTION("""COMPUTED_VALUE"""),"Comment")</f>
        <v>Comment</v>
      </c>
      <c r="C1027" s="2"/>
      <c r="D1027" s="2" t="str">
        <f>IFERROR(__xludf.DUMMYFUNCTION("""COMPUTED_VALUE"""),"মন্তব্য")</f>
        <v>মন্তব্য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 t="str">
        <f>IFERROR(__xludf.DUMMYFUNCTION("""COMPUTED_VALUE"""),"Download")</f>
        <v>Download</v>
      </c>
      <c r="B1028" s="2" t="str">
        <f>IFERROR(__xludf.DUMMYFUNCTION("""COMPUTED_VALUE"""),"Download")</f>
        <v>Download</v>
      </c>
      <c r="C1028" s="2"/>
      <c r="D1028" s="2" t="str">
        <f>IFERROR(__xludf.DUMMYFUNCTION("""COMPUTED_VALUE"""),"ডাউনলোড")</f>
        <v>ডাউনলোড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 t="str">
        <f>IFERROR(__xludf.DUMMYFUNCTION("""COMPUTED_VALUE"""),"Environment")</f>
        <v>Environment</v>
      </c>
      <c r="B1029" s="2" t="str">
        <f>IFERROR(__xludf.DUMMYFUNCTION("""COMPUTED_VALUE"""),"Environment")</f>
        <v>Environment</v>
      </c>
      <c r="C1029" s="2"/>
      <c r="D1029" s="2" t="str">
        <f>IFERROR(__xludf.DUMMYFUNCTION("""COMPUTED_VALUE"""),"পরিবেশ")</f>
        <v>পরিবেশ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 t="str">
        <f>IFERROR(__xludf.DUMMYFUNCTION("""COMPUTED_VALUE"""),"Map")</f>
        <v>Map</v>
      </c>
      <c r="B1030" s="2" t="str">
        <f>IFERROR(__xludf.DUMMYFUNCTION("""COMPUTED_VALUE"""),"Map")</f>
        <v>Map</v>
      </c>
      <c r="C1030" s="2"/>
      <c r="D1030" s="2" t="str">
        <f>IFERROR(__xludf.DUMMYFUNCTION("""COMPUTED_VALUE"""),"মানচিত্র")</f>
        <v>মানচিত্র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 t="str">
        <f>IFERROR(__xludf.DUMMYFUNCTION("""COMPUTED_VALUE"""),"Satellite")</f>
        <v>Satellite</v>
      </c>
      <c r="B1031" s="2" t="str">
        <f>IFERROR(__xludf.DUMMYFUNCTION("""COMPUTED_VALUE"""),"Satellite")</f>
        <v>Satellite</v>
      </c>
      <c r="C1031" s="2"/>
      <c r="D1031" s="2" t="str">
        <f>IFERROR(__xludf.DUMMYFUNCTION("""COMPUTED_VALUE"""),"স্যাটেলাইট")</f>
        <v>স্যাটেলাইট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 t="str">
        <f>IFERROR(__xludf.DUMMYFUNCTION("""COMPUTED_VALUE"""),"BHIM")</f>
        <v>BHIM</v>
      </c>
      <c r="B1032" s="2" t="str">
        <f>IFERROR(__xludf.DUMMYFUNCTION("""COMPUTED_VALUE"""),"BHIM")</f>
        <v>BHIM</v>
      </c>
      <c r="C1032" s="2"/>
      <c r="D1032" s="2" t="str">
        <f>IFERROR(__xludf.DUMMYFUNCTION("""COMPUTED_VALUE"""),"ভিম")</f>
        <v>ভিম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 t="str">
        <f>IFERROR(__xludf.DUMMYFUNCTION("""COMPUTED_VALUE"""),"Uber")</f>
        <v>Uber</v>
      </c>
      <c r="B1033" s="2" t="str">
        <f>IFERROR(__xludf.DUMMYFUNCTION("""COMPUTED_VALUE"""),"Uber")</f>
        <v>Uber</v>
      </c>
      <c r="C1033" s="2"/>
      <c r="D1033" s="2" t="str">
        <f>IFERROR(__xludf.DUMMYFUNCTION("""COMPUTED_VALUE"""),"উবার")</f>
        <v>উবার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 t="str">
        <f>IFERROR(__xludf.DUMMYFUNCTION("""COMPUTED_VALUE"""),"Gpay")</f>
        <v>Gpay</v>
      </c>
      <c r="B1034" s="2" t="str">
        <f>IFERROR(__xludf.DUMMYFUNCTION("""COMPUTED_VALUE"""),"G pay")</f>
        <v>G pay</v>
      </c>
      <c r="C1034" s="2"/>
      <c r="D1034" s="2" t="str">
        <f>IFERROR(__xludf.DUMMYFUNCTION("""COMPUTED_VALUE"""),"জি পে")</f>
        <v>জি পে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 t="str">
        <f>IFERROR(__xludf.DUMMYFUNCTION("""COMPUTED_VALUE"""),"Axispay")</f>
        <v>Axispay</v>
      </c>
      <c r="B1035" s="2" t="str">
        <f>IFERROR(__xludf.DUMMYFUNCTION("""COMPUTED_VALUE"""),"Axis pay")</f>
        <v>Axis pay</v>
      </c>
      <c r="C1035" s="2"/>
      <c r="D1035" s="2" t="str">
        <f>IFERROR(__xludf.DUMMYFUNCTION("""COMPUTED_VALUE"""),"অক্ষ পে")</f>
        <v>অক্ষ পে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 t="str">
        <f>IFERROR(__xludf.DUMMYFUNCTION("""COMPUTED_VALUE"""),"Mobikwik")</f>
        <v>Mobikwik</v>
      </c>
      <c r="B1036" s="2" t="str">
        <f>IFERROR(__xludf.DUMMYFUNCTION("""COMPUTED_VALUE"""),"Mobikwik")</f>
        <v>Mobikwik</v>
      </c>
      <c r="C1036" s="2"/>
      <c r="D1036" s="2" t="str">
        <f>IFERROR(__xludf.DUMMYFUNCTION("""COMPUTED_VALUE"""),"মোবিকউইক")</f>
        <v>মোবিকউইক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 t="str">
        <f>IFERROR(__xludf.DUMMYFUNCTION("""COMPUTED_VALUE"""),"SBIpay")</f>
        <v>SBIpay</v>
      </c>
      <c r="B1037" s="2" t="str">
        <f>IFERROR(__xludf.DUMMYFUNCTION("""COMPUTED_VALUE"""),"SBI pay")</f>
        <v>SBI pay</v>
      </c>
      <c r="C1037" s="2"/>
      <c r="D1037" s="2" t="str">
        <f>IFERROR(__xludf.DUMMYFUNCTION("""COMPUTED_VALUE"""),"এসবিআই পে")</f>
        <v>এসবিআই পে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 t="str">
        <f>IFERROR(__xludf.DUMMYFUNCTION("""COMPUTED_VALUE"""),"Existing")</f>
        <v>Existing</v>
      </c>
      <c r="B1038" s="2" t="str">
        <f>IFERROR(__xludf.DUMMYFUNCTION("""COMPUTED_VALUE"""),"Existing")</f>
        <v>Existing</v>
      </c>
      <c r="C1038" s="2"/>
      <c r="D1038" s="2" t="str">
        <f>IFERROR(__xludf.DUMMYFUNCTION("""COMPUTED_VALUE"""),"বিদ্যমান")</f>
        <v>বিদ্যমান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 t="str">
        <f>IFERROR(__xludf.DUMMYFUNCTION("""COMPUTED_VALUE"""),"Active")</f>
        <v>Active</v>
      </c>
      <c r="B1039" s="2" t="str">
        <f>IFERROR(__xludf.DUMMYFUNCTION("""COMPUTED_VALUE"""),"Active")</f>
        <v>Active</v>
      </c>
      <c r="C1039" s="2"/>
      <c r="D1039" s="2" t="str">
        <f>IFERROR(__xludf.DUMMYFUNCTION("""COMPUTED_VALUE"""),"সক্রিয়")</f>
        <v>সক্রিয়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 t="str">
        <f>IFERROR(__xludf.DUMMYFUNCTION("""COMPUTED_VALUE"""),"InActive")</f>
        <v>InActive</v>
      </c>
      <c r="B1040" s="2" t="str">
        <f>IFERROR(__xludf.DUMMYFUNCTION("""COMPUTED_VALUE"""),"InActive")</f>
        <v>InActive</v>
      </c>
      <c r="C1040" s="2"/>
      <c r="D1040" s="2" t="str">
        <f>IFERROR(__xludf.DUMMYFUNCTION("""COMPUTED_VALUE"""),"নিষ্ক্রিয়")</f>
        <v>নিষ্ক্রিয়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 t="str">
        <f>IFERROR(__xludf.DUMMYFUNCTION("""COMPUTED_VALUE"""),"3days")</f>
        <v>3days</v>
      </c>
      <c r="B1041" s="2" t="str">
        <f>IFERROR(__xludf.DUMMYFUNCTION("""COMPUTED_VALUE"""),"3 days")</f>
        <v>3 days</v>
      </c>
      <c r="C1041" s="2"/>
      <c r="D1041" s="2" t="str">
        <f>IFERROR(__xludf.DUMMYFUNCTION("""COMPUTED_VALUE"""),"3 দিন")</f>
        <v>3 দিন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 t="str">
        <f>IFERROR(__xludf.DUMMYFUNCTION("""COMPUTED_VALUE"""),"5days")</f>
        <v>5days</v>
      </c>
      <c r="B1042" s="2" t="str">
        <f>IFERROR(__xludf.DUMMYFUNCTION("""COMPUTED_VALUE"""),"5 days")</f>
        <v>5 days</v>
      </c>
      <c r="C1042" s="2"/>
      <c r="D1042" s="2" t="str">
        <f>IFERROR(__xludf.DUMMYFUNCTION("""COMPUTED_VALUE"""),"5 দিন")</f>
        <v>5 দিন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 t="str">
        <f>IFERROR(__xludf.DUMMYFUNCTION("""COMPUTED_VALUE"""),"7days")</f>
        <v>7days</v>
      </c>
      <c r="B1043" s="2" t="str">
        <f>IFERROR(__xludf.DUMMYFUNCTION("""COMPUTED_VALUE"""),"7 days")</f>
        <v>7 days</v>
      </c>
      <c r="C1043" s="2"/>
      <c r="D1043" s="2" t="str">
        <f>IFERROR(__xludf.DUMMYFUNCTION("""COMPUTED_VALUE"""),"7 দিন")</f>
        <v>7 দিন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 t="str">
        <f>IFERROR(__xludf.DUMMYFUNCTION("""COMPUTED_VALUE"""),"Pushnotification")</f>
        <v>Pushnotification</v>
      </c>
      <c r="B1044" s="2" t="str">
        <f>IFERROR(__xludf.DUMMYFUNCTION("""COMPUTED_VALUE"""),"Push notification")</f>
        <v>Push notification</v>
      </c>
      <c r="C1044" s="2"/>
      <c r="D1044" s="2" t="str">
        <f>IFERROR(__xludf.DUMMYFUNCTION("""COMPUTED_VALUE"""),"ধাক্কা বিজ্ঞপ্তি")</f>
        <v>ধাক্কা বিজ্ঞপ্তি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 t="str">
        <f>IFERROR(__xludf.DUMMYFUNCTION("""COMPUTED_VALUE"""),"Remainder")</f>
        <v>Remainder</v>
      </c>
      <c r="B1045" s="2" t="str">
        <f>IFERROR(__xludf.DUMMYFUNCTION("""COMPUTED_VALUE"""),"Remainder")</f>
        <v>Remainder</v>
      </c>
      <c r="C1045" s="2"/>
      <c r="D1045" s="2" t="str">
        <f>IFERROR(__xludf.DUMMYFUNCTION("""COMPUTED_VALUE"""),"বাকি")</f>
        <v>বাকি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 t="str">
        <f>IFERROR(__xludf.DUMMYFUNCTION("""COMPUTED_VALUE"""),"ProcessOrder")</f>
        <v>ProcessOrder</v>
      </c>
      <c r="B1046" s="2" t="str">
        <f>IFERROR(__xludf.DUMMYFUNCTION("""COMPUTED_VALUE"""),"Process Order")</f>
        <v>Process Order</v>
      </c>
      <c r="C1046" s="2"/>
      <c r="D1046" s="2" t="str">
        <f>IFERROR(__xludf.DUMMYFUNCTION("""COMPUTED_VALUE"""),"প্রক্রিয়া আদেশ")</f>
        <v>প্রক্রিয়া আদেশ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 t="str">
        <f>IFERROR(__xludf.DUMMYFUNCTION("""COMPUTED_VALUE"""),"DispatchOrder")</f>
        <v>DispatchOrder</v>
      </c>
      <c r="B1047" s="2" t="str">
        <f>IFERROR(__xludf.DUMMYFUNCTION("""COMPUTED_VALUE"""),"Dispatch Order")</f>
        <v>Dispatch Order</v>
      </c>
      <c r="C1047" s="2"/>
      <c r="D1047" s="2" t="str">
        <f>IFERROR(__xludf.DUMMYFUNCTION("""COMPUTED_VALUE"""),"প্রেরণ আদেশ")</f>
        <v>প্রেরণ আদেশ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 t="str">
        <f>IFERROR(__xludf.DUMMYFUNCTION("""COMPUTED_VALUE"""),"Complaint")</f>
        <v>Complaint</v>
      </c>
      <c r="B1048" s="2" t="str">
        <f>IFERROR(__xludf.DUMMYFUNCTION("""COMPUTED_VALUE"""),"Complaint")</f>
        <v>Complaint</v>
      </c>
      <c r="C1048" s="2"/>
      <c r="D1048" s="2" t="str">
        <f>IFERROR(__xludf.DUMMYFUNCTION("""COMPUTED_VALUE"""),"অভিযোগ")</f>
        <v>অভিযোগ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 t="str">
        <f>IFERROR(__xludf.DUMMYFUNCTION("""COMPUTED_VALUE"""),"QR Code")</f>
        <v>QR Code</v>
      </c>
      <c r="B1049" s="2" t="str">
        <f>IFERROR(__xludf.DUMMYFUNCTION("""COMPUTED_VALUE"""),"QR Code")</f>
        <v>QR Code</v>
      </c>
      <c r="C1049" s="2"/>
      <c r="D1049" s="2" t="str">
        <f>IFERROR(__xludf.DUMMYFUNCTION("""COMPUTED_VALUE"""),"কিউআর কোড")</f>
        <v>কিউআর কোড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 t="str">
        <f>IFERROR(__xludf.DUMMYFUNCTION("""COMPUTED_VALUE"""),"Environment:Dev")</f>
        <v>Environment:Dev</v>
      </c>
      <c r="B1050" s="2" t="str">
        <f>IFERROR(__xludf.DUMMYFUNCTION("""COMPUTED_VALUE"""),"Environment: Dev")</f>
        <v>Environment: Dev</v>
      </c>
      <c r="C1050" s="2"/>
      <c r="D1050" s="2" t="str">
        <f>IFERROR(__xludf.DUMMYFUNCTION("""COMPUTED_VALUE"""),"পরিবেশ: দেব")</f>
        <v>পরিবেশ: দেব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 t="str">
        <f>IFERROR(__xludf.DUMMYFUNCTION("""COMPUTED_VALUE"""),"Paid")</f>
        <v>Paid</v>
      </c>
      <c r="B1051" s="2" t="str">
        <f>IFERROR(__xludf.DUMMYFUNCTION("""COMPUTED_VALUE"""),"Paid")</f>
        <v>Paid</v>
      </c>
      <c r="C1051" s="2"/>
      <c r="D1051" s="2" t="str">
        <f>IFERROR(__xludf.DUMMYFUNCTION("""COMPUTED_VALUE"""),"প্রদত্ত")</f>
        <v>প্রদত্ত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 t="str">
        <f>IFERROR(__xludf.DUMMYFUNCTION("""COMPUTED_VALUE"""),"﻿Theuserhasalreadyanactivereferral")</f>
        <v>﻿Theuserhasalreadyanactivereferral</v>
      </c>
      <c r="B1052" s="2" t="str">
        <f>IFERROR(__xludf.DUMMYFUNCTION("""COMPUTED_VALUE"""),"﻿The user has already an active referral")</f>
        <v>﻿The user has already an active referral</v>
      </c>
      <c r="C1052" s="2"/>
      <c r="D1052" s="2" t="str">
        <f>IFERROR(__xludf.DUMMYFUNCTION("""COMPUTED_VALUE"""),"ব্যবহারকারীর ইতিমধ্যে একটি সক্রিয় রেফারেল রয়েছে")</f>
        <v>ব্যবহারকারীর ইতিমধ্যে একটি সক্রিয় রেফারেল রয়েছে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 t="str">
        <f>IFERROR(__xludf.DUMMYFUNCTION("""COMPUTED_VALUE"""),"Thedicountcannotbegreaterthan99%")</f>
        <v>Thedicountcannotbegreaterthan99%</v>
      </c>
      <c r="B1053" s="2" t="str">
        <f>IFERROR(__xludf.DUMMYFUNCTION("""COMPUTED_VALUE"""),"The dicount cannot be greater than 99%")</f>
        <v>The dicount cannot be greater than 99%</v>
      </c>
      <c r="C1053" s="2"/>
      <c r="D1053" s="2" t="str">
        <f>IFERROR(__xludf.DUMMYFUNCTION("""COMPUTED_VALUE"""),"ডিকাউন্ট 99% এর বেশি হতে পারে না")</f>
        <v>ডিকাউন্ট 99% এর বেশি হতে পারে না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 t="str">
        <f>IFERROR(__xludf.DUMMYFUNCTION("""COMPUTED_VALUE"""),"Minimumorderquantity")</f>
        <v>Minimumorderquantity</v>
      </c>
      <c r="B1054" s="2" t="str">
        <f>IFERROR(__xludf.DUMMYFUNCTION("""COMPUTED_VALUE"""),"Minimum order quantity")</f>
        <v>Minimum order quantity</v>
      </c>
      <c r="C1054" s="2"/>
      <c r="D1054" s="2" t="str">
        <f>IFERROR(__xludf.DUMMYFUNCTION("""COMPUTED_VALUE"""),"ন্যূনতম চাহিদার পরিমাণ")</f>
        <v>ন্যূনতম চাহিদার পরিমাণ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 t="str">
        <f>IFERROR(__xludf.DUMMYFUNCTION("""COMPUTED_VALUE"""),"Gram")</f>
        <v>Gram</v>
      </c>
      <c r="B1055" s="2" t="str">
        <f>IFERROR(__xludf.DUMMYFUNCTION("""COMPUTED_VALUE"""),"Gram")</f>
        <v>Gram</v>
      </c>
      <c r="C1055" s="2"/>
      <c r="D1055" s="2" t="str">
        <f>IFERROR(__xludf.DUMMYFUNCTION("""COMPUTED_VALUE"""),"গ্রাম")</f>
        <v>গ্রাম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 t="str">
        <f>IFERROR(__xludf.DUMMYFUNCTION("""COMPUTED_VALUE"""),"OrderAggregation")</f>
        <v>OrderAggregation</v>
      </c>
      <c r="B1056" s="2" t="str">
        <f>IFERROR(__xludf.DUMMYFUNCTION("""COMPUTED_VALUE"""),"Order Aggregation")</f>
        <v>Order Aggregation</v>
      </c>
      <c r="C1056" s="2"/>
      <c r="D1056" s="2" t="str">
        <f>IFERROR(__xludf.DUMMYFUNCTION("""COMPUTED_VALUE"""),"অর্ডার সমষ্টি")</f>
        <v>অর্ডার সমষ্টি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 t="str">
        <f>IFERROR(__xludf.DUMMYFUNCTION("""COMPUTED_VALUE"""),"TotalWeight")</f>
        <v>TotalWeight</v>
      </c>
      <c r="B1057" s="2" t="str">
        <f>IFERROR(__xludf.DUMMYFUNCTION("""COMPUTED_VALUE"""),"Total Weight")</f>
        <v>Total Weight</v>
      </c>
      <c r="C1057" s="2"/>
      <c r="D1057" s="2" t="str">
        <f>IFERROR(__xludf.DUMMYFUNCTION("""COMPUTED_VALUE"""),"সম্পূর্ণ ওজন")</f>
        <v>সম্পূর্ণ ওজন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 t="str">
        <f>IFERROR(__xludf.DUMMYFUNCTION("""COMPUTED_VALUE"""),"TotalLitres")</f>
        <v>TotalLitres</v>
      </c>
      <c r="B1058" s="2" t="str">
        <f>IFERROR(__xludf.DUMMYFUNCTION("""COMPUTED_VALUE"""),"Total Litres")</f>
        <v>Total Litres</v>
      </c>
      <c r="C1058" s="2"/>
      <c r="D1058" s="2" t="str">
        <f>IFERROR(__xludf.DUMMYFUNCTION("""COMPUTED_VALUE"""),"মোট লিটার")</f>
        <v>মোট লিটার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 t="str">
        <f>IFERROR(__xludf.DUMMYFUNCTION("""COMPUTED_VALUE"""),"TotalPieces")</f>
        <v>TotalPieces</v>
      </c>
      <c r="B1059" s="2" t="str">
        <f>IFERROR(__xludf.DUMMYFUNCTION("""COMPUTED_VALUE"""),"Total Pieces")</f>
        <v>Total Pieces</v>
      </c>
      <c r="C1059" s="2"/>
      <c r="D1059" s="2" t="str">
        <f>IFERROR(__xludf.DUMMYFUNCTION("""COMPUTED_VALUE"""),"মোট টুকরা")</f>
        <v>মোট টুকরা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 t="str">
        <f>IFERROR(__xludf.DUMMYFUNCTION("""COMPUTED_VALUE"""),"TotalPlates")</f>
        <v>TotalPlates</v>
      </c>
      <c r="B1060" s="2" t="str">
        <f>IFERROR(__xludf.DUMMYFUNCTION("""COMPUTED_VALUE"""),"Total Plates")</f>
        <v>Total Plates</v>
      </c>
      <c r="C1060" s="2"/>
      <c r="D1060" s="2" t="str">
        <f>IFERROR(__xludf.DUMMYFUNCTION("""COMPUTED_VALUE"""),"মোট প্লেট")</f>
        <v>মোট প্লেট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 t="str">
        <f>IFERROR(__xludf.DUMMYFUNCTION("""COMPUTED_VALUE"""),"Itemstobedelivered")</f>
        <v>Itemstobedelivered</v>
      </c>
      <c r="B1061" s="2" t="str">
        <f>IFERROR(__xludf.DUMMYFUNCTION("""COMPUTED_VALUE"""),"Items to be delivered")</f>
        <v>Items to be delivered</v>
      </c>
      <c r="C1061" s="2"/>
      <c r="D1061" s="2" t="str">
        <f>IFERROR(__xludf.DUMMYFUNCTION("""COMPUTED_VALUE"""),"আইটেম বিতরণ করা হবে")</f>
        <v>আইটেম বিতরণ করা হবে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 t="str">
        <f>IFERROR(__xludf.DUMMYFUNCTION("""COMPUTED_VALUE"""),"Lastorder")</f>
        <v>Lastorder</v>
      </c>
      <c r="B1062" s="2" t="str">
        <f>IFERROR(__xludf.DUMMYFUNCTION("""COMPUTED_VALUE"""),"Last order")</f>
        <v>Last order</v>
      </c>
      <c r="C1062" s="2"/>
      <c r="D1062" s="2" t="str">
        <f>IFERROR(__xludf.DUMMYFUNCTION("""COMPUTED_VALUE"""),"শেষ আদেশ")</f>
        <v>শেষ আদেশ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 t="str">
        <f>IFERROR(__xludf.DUMMYFUNCTION("""COMPUTED_VALUE"""),"Paymentprocessingcancelledbyuse")</f>
        <v>Paymentprocessingcancelledbyuse</v>
      </c>
      <c r="B1063" s="2" t="str">
        <f>IFERROR(__xludf.DUMMYFUNCTION("""COMPUTED_VALUE"""),"Payment processing cancelled by use")</f>
        <v>Payment processing cancelled by use</v>
      </c>
      <c r="C1063" s="2"/>
      <c r="D1063" s="2" t="str">
        <f>IFERROR(__xludf.DUMMYFUNCTION("""COMPUTED_VALUE"""),"ব্যবহার দ্বারা পেমেন্ট প্রসেসিং বাতিল")</f>
        <v>ব্যবহার দ্বারা পেমেন্ট প্রসেসিং বাতিল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 t="str">
        <f>IFERROR(__xludf.DUMMYFUNCTION("""COMPUTED_VALUE"""),"PleasescanthereferralQRcode")</f>
        <v>PleasescanthereferralQRcode</v>
      </c>
      <c r="B1064" s="2" t="str">
        <f>IFERROR(__xludf.DUMMYFUNCTION("""COMPUTED_VALUE"""),"Please scan the referral QR code")</f>
        <v>Please scan the referral QR code</v>
      </c>
      <c r="C1064" s="2"/>
      <c r="D1064" s="2" t="str">
        <f>IFERROR(__xludf.DUMMYFUNCTION("""COMPUTED_VALUE"""),"দয়া করে রেফারেল কিউআর কোডটি স্ক্যান করুন")</f>
        <v>দয়া করে রেফারেল কিউআর কোডটি স্ক্যান করুন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 t="str">
        <f>IFERROR(__xludf.DUMMYFUNCTION("""COMPUTED_VALUE"""),"imagesavedsuccessfully")</f>
        <v>imagesavedsuccessfully</v>
      </c>
      <c r="B1065" s="2" t="str">
        <f>IFERROR(__xludf.DUMMYFUNCTION("""COMPUTED_VALUE"""),"image saved successfully")</f>
        <v>image saved successfully</v>
      </c>
      <c r="C1065" s="2"/>
      <c r="D1065" s="2" t="str">
        <f>IFERROR(__xludf.DUMMYFUNCTION("""COMPUTED_VALUE"""),"চিত্র সফলভাবে সংরক্ষণ করা হয়েছে")</f>
        <v>চিত্র সফলভাবে সংরক্ষণ করা হয়েছে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 t="str">
        <f>IFERROR(__xludf.DUMMYFUNCTION("""COMPUTED_VALUE"""),"SaveYourLocation!")</f>
        <v>SaveYourLocation!</v>
      </c>
      <c r="B1066" s="2" t="str">
        <f>IFERROR(__xludf.DUMMYFUNCTION("""COMPUTED_VALUE"""),"Save Your Location!")</f>
        <v>Save Your Location!</v>
      </c>
      <c r="C1066" s="2"/>
      <c r="D1066" s="2" t="str">
        <f>IFERROR(__xludf.DUMMYFUNCTION("""COMPUTED_VALUE"""),"আপনার অবস্থান সংরক্ষণ করুন!")</f>
        <v>আপনার অবস্থান সংরক্ষণ করুন!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 t="str">
        <f>IFERROR(__xludf.DUMMYFUNCTION("""COMPUTED_VALUE"""),"Pleaseenteryourlocationtohelpusfindtheshopsnearyou")</f>
        <v>Pleaseenteryourlocationtohelpusfindtheshopsnearyou</v>
      </c>
      <c r="B1067" s="2" t="str">
        <f>IFERROR(__xludf.DUMMYFUNCTION("""COMPUTED_VALUE"""),"Please enter your location to help us find the shops near you")</f>
        <v>Please enter your location to help us find the shops near you</v>
      </c>
      <c r="C1067" s="2"/>
      <c r="D1067" s="2" t="str">
        <f>IFERROR(__xludf.DUMMYFUNCTION("""COMPUTED_VALUE"""),"আপনার কাছের দোকানগুলি খুঁজে পেতে আমাদের সহায়তা করতে দয়া করে আপনার অবস্থানটি প্রবেশ করুন")</f>
        <v>আপনার কাছের দোকানগুলি খুঁজে পেতে আমাদের সহায়তা করতে দয়া করে আপনার অবস্থানটি প্রবেশ করুন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 t="str">
        <f>IFERROR(__xludf.DUMMYFUNCTION("""COMPUTED_VALUE"""),"DoYouHave")</f>
        <v>DoYouHave</v>
      </c>
      <c r="B1068" s="2" t="str">
        <f>IFERROR(__xludf.DUMMYFUNCTION("""COMPUTED_VALUE"""),"Do You Have")</f>
        <v>Do You Have</v>
      </c>
      <c r="C1068" s="2"/>
      <c r="D1068" s="2" t="str">
        <f>IFERROR(__xludf.DUMMYFUNCTION("""COMPUTED_VALUE"""),"তোমার আছে কি")</f>
        <v>তোমার আছে কি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 t="str">
        <f>IFERROR(__xludf.DUMMYFUNCTION("""COMPUTED_VALUE"""),"refferalcode?")</f>
        <v>refferalcode?</v>
      </c>
      <c r="B1069" s="2" t="str">
        <f>IFERROR(__xludf.DUMMYFUNCTION("""COMPUTED_VALUE"""),"refferal code?")</f>
        <v>refferal code?</v>
      </c>
      <c r="C1069" s="2"/>
      <c r="D1069" s="2" t="str">
        <f>IFERROR(__xludf.DUMMYFUNCTION("""COMPUTED_VALUE"""),"Reffaral কোড?")</f>
        <v>Reffaral কোড?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 t="str">
        <f>IFERROR(__xludf.DUMMYFUNCTION("""COMPUTED_VALUE"""),"FavouritesShops")</f>
        <v>FavouritesShops</v>
      </c>
      <c r="B1070" s="2" t="str">
        <f>IFERROR(__xludf.DUMMYFUNCTION("""COMPUTED_VALUE"""),"Favourites Shops")</f>
        <v>Favourites Shops</v>
      </c>
      <c r="C1070" s="2"/>
      <c r="D1070" s="2" t="str">
        <f>IFERROR(__xludf.DUMMYFUNCTION("""COMPUTED_VALUE"""),"প্রিয় দোকান")</f>
        <v>প্রিয় দোকান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 t="str">
        <f>IFERROR(__xludf.DUMMYFUNCTION("""COMPUTED_VALUE"""),"AddressAdded!!")</f>
        <v>AddressAdded!!</v>
      </c>
      <c r="B1071" s="2" t="str">
        <f>IFERROR(__xludf.DUMMYFUNCTION("""COMPUTED_VALUE"""),"Address Added !!")</f>
        <v>Address Added !!</v>
      </c>
      <c r="C1071" s="2"/>
      <c r="D1071" s="2" t="str">
        <f>IFERROR(__xludf.DUMMYFUNCTION("""COMPUTED_VALUE"""),"ঠিকানা যুক্ত !!")</f>
        <v>ঠিকানা যুক্ত !!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 t="str">
        <f>IFERROR(__xludf.DUMMYFUNCTION("""COMPUTED_VALUE"""),"ratingsuccess")</f>
        <v>ratingsuccess</v>
      </c>
      <c r="B1072" s="2" t="str">
        <f>IFERROR(__xludf.DUMMYFUNCTION("""COMPUTED_VALUE"""),"rating success")</f>
        <v>rating success</v>
      </c>
      <c r="C1072" s="2"/>
      <c r="D1072" s="2" t="str">
        <f>IFERROR(__xludf.DUMMYFUNCTION("""COMPUTED_VALUE"""),"রেটিং সাফল্য")</f>
        <v>রেটিং সাফল্য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 t="str">
        <f>IFERROR(__xludf.DUMMYFUNCTION("""COMPUTED_VALUE"""),"employeestatusupdated!!")</f>
        <v>employeestatusupdated!!</v>
      </c>
      <c r="B1073" s="2" t="str">
        <f>IFERROR(__xludf.DUMMYFUNCTION("""COMPUTED_VALUE"""),"employee status updated!!")</f>
        <v>employee status updated!!</v>
      </c>
      <c r="C1073" s="2"/>
      <c r="D1073" s="2" t="str">
        <f>IFERROR(__xludf.DUMMYFUNCTION("""COMPUTED_VALUE"""),"কর্মচারীর স্থিতি আপডেট হয়েছে !!")</f>
        <v>কর্মচারীর স্থিতি আপডেট হয়েছে !!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 t="str">
        <f>IFERROR(__xludf.DUMMYFUNCTION("""COMPUTED_VALUE"""),"areyousureyouwanttodeactivate?")</f>
        <v>areyousureyouwanttodeactivate?</v>
      </c>
      <c r="B1074" s="2" t="str">
        <f>IFERROR(__xludf.DUMMYFUNCTION("""COMPUTED_VALUE"""),"are you sure you want to deactivate?")</f>
        <v>are you sure you want to deactivate?</v>
      </c>
      <c r="C1074" s="2"/>
      <c r="D1074" s="2" t="str">
        <f>IFERROR(__xludf.DUMMYFUNCTION("""COMPUTED_VALUE"""),"আপনি কি নিশ্চিত যে আপনি নিষ্ক্রিয় করতে চান?")</f>
        <v>আপনি কি নিশ্চিত যে আপনি নিষ্ক্রিয় করতে চান?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 t="str">
        <f>IFERROR(__xludf.DUMMYFUNCTION("""COMPUTED_VALUE"""),"Areyousureyouwanttoleavethepagewithoutsavingchanges?Changenotsaved!")</f>
        <v>Areyousureyouwanttoleavethepagewithoutsavingchanges?Changenotsaved!</v>
      </c>
      <c r="B1075" s="2" t="str">
        <f>IFERROR(__xludf.DUMMYFUNCTION("""COMPUTED_VALUE"""),"Are you sure you want to leave the page without saving changes?")</f>
        <v>Are you sure you want to leave the page without saving changes?</v>
      </c>
      <c r="C1075" s="2"/>
      <c r="D1075" s="2" t="str">
        <f>IFERROR(__xludf.DUMMYFUNCTION("""COMPUTED_VALUE"""),"আপনি কি নিশ্চিত যে আপনি পরিবর্তনগুলি সংরক্ষণ না করে পৃষ্ঠাটি ছেড়ে যেতে চান?")</f>
        <v>আপনি কি নিশ্চিত যে আপনি পরিবর্তনগুলি সংরক্ষণ না করে পৃষ্ঠাটি ছেড়ে যেতে চান?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 t="str">
        <f>IFERROR(__xludf.DUMMYFUNCTION("""COMPUTED_VALUE"""),"Changenotsaved!")</f>
        <v>Changenotsaved!</v>
      </c>
      <c r="B1076" s="2" t="str">
        <f>IFERROR(__xludf.DUMMYFUNCTION("""COMPUTED_VALUE"""),"Change not saved!")</f>
        <v>Change not saved!</v>
      </c>
      <c r="C1076" s="2"/>
      <c r="D1076" s="2" t="str">
        <f>IFERROR(__xludf.DUMMYFUNCTION("""COMPUTED_VALUE"""),"পরিবর্তন সংরক্ষণ করা হয়নি!")</f>
        <v>পরিবর্তন সংরক্ষণ করা হয়নি!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 t="str">
        <f>IFERROR(__xludf.DUMMYFUNCTION("""COMPUTED_VALUE"""),"Userdatauploaded!")</f>
        <v>Userdatauploaded!</v>
      </c>
      <c r="B1077" s="2" t="str">
        <f>IFERROR(__xludf.DUMMYFUNCTION("""COMPUTED_VALUE"""),"User data uploaded!")</f>
        <v>User data uploaded!</v>
      </c>
      <c r="C1077" s="2"/>
      <c r="D1077" s="2" t="str">
        <f>IFERROR(__xludf.DUMMYFUNCTION("""COMPUTED_VALUE"""),"ব্যবহারকারীর ডেটা আপলোড!")</f>
        <v>ব্যবহারকারীর ডেটা আপলোড!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 t="str">
        <f>IFERROR(__xludf.DUMMYFUNCTION("""COMPUTED_VALUE"""),"MinOrderQuantity")</f>
        <v>MinOrderQuantity</v>
      </c>
      <c r="B1078" s="2" t="str">
        <f>IFERROR(__xludf.DUMMYFUNCTION("""COMPUTED_VALUE"""),"Min Order Quantity")</f>
        <v>Min Order Quantity</v>
      </c>
      <c r="C1078" s="2"/>
      <c r="D1078" s="2" t="str">
        <f>IFERROR(__xludf.DUMMYFUNCTION("""COMPUTED_VALUE"""),"মিনিট অর্ডার পরিমাণ")</f>
        <v>মিনিট অর্ডার পরিমাণ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 t="str">
        <f>IFERROR(__xludf.DUMMYFUNCTION("""COMPUTED_VALUE"""),"PaymentDone-AcknowledgementPending")</f>
        <v>PaymentDone-AcknowledgementPending</v>
      </c>
      <c r="B1079" s="2" t="str">
        <f>IFERROR(__xludf.DUMMYFUNCTION("""COMPUTED_VALUE"""),"Payment Done-Acknowledgement Pending")</f>
        <v>Payment Done-Acknowledgement Pending</v>
      </c>
      <c r="C1079" s="2"/>
      <c r="D1079" s="2" t="str">
        <f>IFERROR(__xludf.DUMMYFUNCTION("""COMPUTED_VALUE"""),"পেমেন্ট ডোন-অ্যাকনোলডেজমেন্ট মুলতুবি")</f>
        <v>পেমেন্ট ডোন-অ্যাকনোলডেজমেন্ট মুলতুবি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 t="str">
        <f>IFERROR(__xludf.DUMMYFUNCTION("""COMPUTED_VALUE"""),"DateofPickup")</f>
        <v>DateofPickup</v>
      </c>
      <c r="B1080" s="2" t="str">
        <f>IFERROR(__xludf.DUMMYFUNCTION("""COMPUTED_VALUE"""),"Date of Pickup")</f>
        <v>Date of Pickup</v>
      </c>
      <c r="C1080" s="2"/>
      <c r="D1080" s="2" t="str">
        <f>IFERROR(__xludf.DUMMYFUNCTION("""COMPUTED_VALUE"""),"পিকআপের তারিখ")</f>
        <v>পিকআপের তারিখ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 t="str">
        <f>IFERROR(__xludf.DUMMYFUNCTION("""COMPUTED_VALUE"""),"06AM-10PM")</f>
        <v>06AM-10PM</v>
      </c>
      <c r="B1081" s="2" t="str">
        <f>IFERROR(__xludf.DUMMYFUNCTION("""COMPUTED_VALUE"""),"06AM-10PM")</f>
        <v>06AM-10PM</v>
      </c>
      <c r="C1081" s="2"/>
      <c r="D1081" s="2" t="str">
        <f>IFERROR(__xludf.DUMMYFUNCTION("""COMPUTED_VALUE"""),"06 এএম -10 পিএম")</f>
        <v>06 এএম -10 পিএম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 t="str">
        <f>IFERROR(__xludf.DUMMYFUNCTION("""COMPUTED_VALUE"""),"Logistic")</f>
        <v>Logistic</v>
      </c>
      <c r="B1082" s="2" t="str">
        <f>IFERROR(__xludf.DUMMYFUNCTION("""COMPUTED_VALUE"""),"Logistic")</f>
        <v>Logistic</v>
      </c>
      <c r="C1082" s="2"/>
      <c r="D1082" s="2" t="str">
        <f>IFERROR(__xludf.DUMMYFUNCTION("""COMPUTED_VALUE"""),"লজিস্টিক")</f>
        <v>লজিস্টিক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 t="str">
        <f>IFERROR(__xludf.DUMMYFUNCTION("""COMPUTED_VALUE"""),"NoOrderFound")</f>
        <v>NoOrderFound</v>
      </c>
      <c r="B1083" s="2" t="str">
        <f>IFERROR(__xludf.DUMMYFUNCTION("""COMPUTED_VALUE"""),"No Order Found")</f>
        <v>No Order Found</v>
      </c>
      <c r="C1083" s="2"/>
      <c r="D1083" s="2" t="str">
        <f>IFERROR(__xludf.DUMMYFUNCTION("""COMPUTED_VALUE"""),"কোন আদেশ পাওয়া যায় না")</f>
        <v>কোন আদেশ পাওয়া যায় না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 t="str">
        <f>IFERROR(__xludf.DUMMYFUNCTION("""COMPUTED_VALUE"""),"ProcurementManagement")</f>
        <v>ProcurementManagement</v>
      </c>
      <c r="B1084" s="2" t="str">
        <f>IFERROR(__xludf.DUMMYFUNCTION("""COMPUTED_VALUE"""),"Procurement Management")</f>
        <v>Procurement Management</v>
      </c>
      <c r="C1084" s="2"/>
      <c r="D1084" s="2" t="str">
        <f>IFERROR(__xludf.DUMMYFUNCTION("""COMPUTED_VALUE"""),"অধিযাচন ব্যাবস্থাপনা")</f>
        <v>অধিযাচন ব্যাবস্থাপনা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 t="str">
        <f>IFERROR(__xludf.DUMMYFUNCTION("""COMPUTED_VALUE"""),"sortby")</f>
        <v>sortby</v>
      </c>
      <c r="B1085" s="2" t="str">
        <f>IFERROR(__xludf.DUMMYFUNCTION("""COMPUTED_VALUE"""),"sortby")</f>
        <v>sortby</v>
      </c>
      <c r="C1085" s="2"/>
      <c r="D1085" s="2" t="str">
        <f>IFERROR(__xludf.DUMMYFUNCTION("""COMPUTED_VALUE"""),"ক্রমানুসার")</f>
        <v>ক্রমানুসার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 t="str">
        <f>IFERROR(__xludf.DUMMYFUNCTION("""COMPUTED_VALUE"""),"NewTrip")</f>
        <v>NewTrip</v>
      </c>
      <c r="B1086" s="2" t="str">
        <f>IFERROR(__xludf.DUMMYFUNCTION("""COMPUTED_VALUE"""),"New Trip")</f>
        <v>New Trip</v>
      </c>
      <c r="C1086" s="2"/>
      <c r="D1086" s="2" t="str">
        <f>IFERROR(__xludf.DUMMYFUNCTION("""COMPUTED_VALUE"""),"নতুন ট্রিপ")</f>
        <v>নতুন ট্রিপ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 t="str">
        <f>IFERROR(__xludf.DUMMYFUNCTION("""COMPUTED_VALUE"""),"OngoingTrips")</f>
        <v>OngoingTrips</v>
      </c>
      <c r="B1087" s="2" t="str">
        <f>IFERROR(__xludf.DUMMYFUNCTION("""COMPUTED_VALUE"""),"Ongoing Trips")</f>
        <v>Ongoing Trips</v>
      </c>
      <c r="C1087" s="2"/>
      <c r="D1087" s="2" t="str">
        <f>IFERROR(__xludf.DUMMYFUNCTION("""COMPUTED_VALUE"""),"চলমান ট্রিপস")</f>
        <v>চলমান ট্রিপস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 t="str">
        <f>IFERROR(__xludf.DUMMYFUNCTION("""COMPUTED_VALUE"""),"TodaysEarnings:")</f>
        <v>TodaysEarnings:</v>
      </c>
      <c r="B1088" s="2" t="str">
        <f>IFERROR(__xludf.DUMMYFUNCTION("""COMPUTED_VALUE"""),"Todays Earnings:")</f>
        <v>Todays Earnings:</v>
      </c>
      <c r="C1088" s="2"/>
      <c r="D1088" s="2" t="str">
        <f>IFERROR(__xludf.DUMMYFUNCTION("""COMPUTED_VALUE"""),"আজকের উপার্জন:")</f>
        <v>আজকের উপার্জন: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 t="str">
        <f>IFERROR(__xludf.DUMMYFUNCTION("""COMPUTED_VALUE"""),"Earningson")</f>
        <v>Earningson</v>
      </c>
      <c r="B1089" s="2" t="str">
        <f>IFERROR(__xludf.DUMMYFUNCTION("""COMPUTED_VALUE"""),"Earnings on")</f>
        <v>Earnings on</v>
      </c>
      <c r="C1089" s="2"/>
      <c r="D1089" s="2" t="str">
        <f>IFERROR(__xludf.DUMMYFUNCTION("""COMPUTED_VALUE"""),"উপার্জন চালু")</f>
        <v>উপার্জন চালু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 t="str">
        <f>IFERROR(__xludf.DUMMYFUNCTION("""COMPUTED_VALUE"""),"Week")</f>
        <v>Week</v>
      </c>
      <c r="B1090" s="2" t="str">
        <f>IFERROR(__xludf.DUMMYFUNCTION("""COMPUTED_VALUE"""),"Week")</f>
        <v>Week</v>
      </c>
      <c r="C1090" s="2"/>
      <c r="D1090" s="2" t="str">
        <f>IFERROR(__xludf.DUMMYFUNCTION("""COMPUTED_VALUE"""),"সপ্তাহ")</f>
        <v>সপ্তাহ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 t="str">
        <f>IFERROR(__xludf.DUMMYFUNCTION("""COMPUTED_VALUE"""),"Month")</f>
        <v>Month</v>
      </c>
      <c r="B1091" s="2" t="str">
        <f>IFERROR(__xludf.DUMMYFUNCTION("""COMPUTED_VALUE"""),"Month")</f>
        <v>Month</v>
      </c>
      <c r="C1091" s="2"/>
      <c r="D1091" s="2" t="str">
        <f>IFERROR(__xludf.DUMMYFUNCTION("""COMPUTED_VALUE"""),"মাস")</f>
        <v>মাস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 t="str">
        <f>IFERROR(__xludf.DUMMYFUNCTION("""COMPUTED_VALUE"""),"CustomerManagement")</f>
        <v>CustomerManagement</v>
      </c>
      <c r="B1092" s="2" t="str">
        <f>IFERROR(__xludf.DUMMYFUNCTION("""COMPUTED_VALUE"""),"Customer Management")</f>
        <v>Customer Management</v>
      </c>
      <c r="C1092" s="2"/>
      <c r="D1092" s="2" t="str">
        <f>IFERROR(__xludf.DUMMYFUNCTION("""COMPUTED_VALUE"""),"গ্রাহক ব্যবস্থাপনা")</f>
        <v>গ্রাহক ব্যবস্থাপনা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 t="str">
        <f>IFERROR(__xludf.DUMMYFUNCTION("""COMPUTED_VALUE"""),"About")</f>
        <v>About</v>
      </c>
      <c r="B1093" s="2" t="str">
        <f>IFERROR(__xludf.DUMMYFUNCTION("""COMPUTED_VALUE"""),"About")</f>
        <v>About</v>
      </c>
      <c r="C1093" s="2"/>
      <c r="D1093" s="2" t="str">
        <f>IFERROR(__xludf.DUMMYFUNCTION("""COMPUTED_VALUE"""),"সম্পর্কিত")</f>
        <v>সম্পর্কিত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 t="str">
        <f>IFERROR(__xludf.DUMMYFUNCTION("""COMPUTED_VALUE"""),"KYCForm")</f>
        <v>KYCForm</v>
      </c>
      <c r="B1094" s="2" t="str">
        <f>IFERROR(__xludf.DUMMYFUNCTION("""COMPUTED_VALUE"""),"KYC Form")</f>
        <v>KYC Form</v>
      </c>
      <c r="C1094" s="2"/>
      <c r="D1094" s="2" t="str">
        <f>IFERROR(__xludf.DUMMYFUNCTION("""COMPUTED_VALUE"""),"কেওয়াইসি ফর্ম")</f>
        <v>কেওয়াইসি ফর্ম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 t="str">
        <f>IFERROR(__xludf.DUMMYFUNCTION("""COMPUTED_VALUE"""),"PoliceVerification")</f>
        <v>PoliceVerification</v>
      </c>
      <c r="B1095" s="2" t="str">
        <f>IFERROR(__xludf.DUMMYFUNCTION("""COMPUTED_VALUE"""),"Police Verification")</f>
        <v>Police Verification</v>
      </c>
      <c r="C1095" s="2"/>
      <c r="D1095" s="2" t="str">
        <f>IFERROR(__xludf.DUMMYFUNCTION("""COMPUTED_VALUE"""),"পুলিশ যাচাইকরণ")</f>
        <v>পুলিশ যাচাইকরণ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 t="str">
        <f>IFERROR(__xludf.DUMMYFUNCTION("""COMPUTED_VALUE"""),"AadharCardNo.")</f>
        <v>AadharCardNo.</v>
      </c>
      <c r="B1096" s="2" t="str">
        <f>IFERROR(__xludf.DUMMYFUNCTION("""COMPUTED_VALUE"""),"Aadhar Card No.")</f>
        <v>Aadhar Card No.</v>
      </c>
      <c r="C1096" s="2"/>
      <c r="D1096" s="2" t="str">
        <f>IFERROR(__xludf.DUMMYFUNCTION("""COMPUTED_VALUE"""),"আধার কার্ড নং")</f>
        <v>আধার কার্ড নং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 t="str">
        <f>IFERROR(__xludf.DUMMYFUNCTION("""COMPUTED_VALUE"""),"PoliceStationName")</f>
        <v>PoliceStationName</v>
      </c>
      <c r="B1097" s="2" t="str">
        <f>IFERROR(__xludf.DUMMYFUNCTION("""COMPUTED_VALUE"""),"Police Station Name")</f>
        <v>Police Station Name</v>
      </c>
      <c r="C1097" s="2"/>
      <c r="D1097" s="2" t="str">
        <f>IFERROR(__xludf.DUMMYFUNCTION("""COMPUTED_VALUE"""),"থানার নাম")</f>
        <v>থানার নাম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 t="str">
        <f>IFERROR(__xludf.DUMMYFUNCTION("""COMPUTED_VALUE"""),"LocalityorArea")</f>
        <v>LocalityorArea</v>
      </c>
      <c r="B1098" s="2" t="str">
        <f>IFERROR(__xludf.DUMMYFUNCTION("""COMPUTED_VALUE"""),"Locality or Area")</f>
        <v>Locality or Area</v>
      </c>
      <c r="C1098" s="2"/>
      <c r="D1098" s="2" t="str">
        <f>IFERROR(__xludf.DUMMYFUNCTION("""COMPUTED_VALUE"""),"লোকেশন বা অঞ্চল")</f>
        <v>লোকেশন বা অঞ্চল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 t="str">
        <f>IFERROR(__xludf.DUMMYFUNCTION("""COMPUTED_VALUE"""),"UploadPoliceVerificationCard")</f>
        <v>UploadPoliceVerificationCard</v>
      </c>
      <c r="B1099" s="2" t="str">
        <f>IFERROR(__xludf.DUMMYFUNCTION("""COMPUTED_VALUE"""),"Upload Police Verification Card")</f>
        <v>Upload Police Verification Card</v>
      </c>
      <c r="C1099" s="2"/>
      <c r="D1099" s="2" t="str">
        <f>IFERROR(__xludf.DUMMYFUNCTION("""COMPUTED_VALUE"""),"পুলিশ যাচাইকরণ কার্ড আপলোড করুন")</f>
        <v>পুলিশ যাচাইকরণ কার্ড আপলোড করুন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 t="str">
        <f>IFERROR(__xludf.DUMMYFUNCTION("""COMPUTED_VALUE"""),"VehicleDetails")</f>
        <v>VehicleDetails</v>
      </c>
      <c r="B1100" s="2" t="str">
        <f>IFERROR(__xludf.DUMMYFUNCTION("""COMPUTED_VALUE"""),"Vehicle Details")</f>
        <v>Vehicle Details</v>
      </c>
      <c r="C1100" s="2"/>
      <c r="D1100" s="2" t="str">
        <f>IFERROR(__xludf.DUMMYFUNCTION("""COMPUTED_VALUE"""),"গাড়ির বিবরণ")</f>
        <v>গাড়ির বিবরণ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 t="str">
        <f>IFERROR(__xludf.DUMMYFUNCTION("""COMPUTED_VALUE"""),"LicenseType")</f>
        <v>LicenseType</v>
      </c>
      <c r="B1101" s="2" t="str">
        <f>IFERROR(__xludf.DUMMYFUNCTION("""COMPUTED_VALUE"""),"License Type")</f>
        <v>License Type</v>
      </c>
      <c r="C1101" s="2"/>
      <c r="D1101" s="2" t="str">
        <f>IFERROR(__xludf.DUMMYFUNCTION("""COMPUTED_VALUE"""),"লাইসেন্সের ধরণ")</f>
        <v>লাইসেন্সের ধরণ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 t="str">
        <f>IFERROR(__xludf.DUMMYFUNCTION("""COMPUTED_VALUE"""),"ValidUpto")</f>
        <v>ValidUpto</v>
      </c>
      <c r="B1102" s="2" t="str">
        <f>IFERROR(__xludf.DUMMYFUNCTION("""COMPUTED_VALUE"""),"Valid Upto")</f>
        <v>Valid Upto</v>
      </c>
      <c r="C1102" s="2"/>
      <c r="D1102" s="2" t="str">
        <f>IFERROR(__xludf.DUMMYFUNCTION("""COMPUTED_VALUE"""),"বৈধ পর্যন্ত")</f>
        <v>বৈধ পর্যন্ত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 t="str">
        <f>IFERROR(__xludf.DUMMYFUNCTION("""COMPUTED_VALUE"""),"IssuingState")</f>
        <v>IssuingState</v>
      </c>
      <c r="B1103" s="2" t="str">
        <f>IFERROR(__xludf.DUMMYFUNCTION("""COMPUTED_VALUE"""),"Issuing State")</f>
        <v>Issuing State</v>
      </c>
      <c r="C1103" s="2"/>
      <c r="D1103" s="2" t="str">
        <f>IFERROR(__xludf.DUMMYFUNCTION("""COMPUTED_VALUE"""),"ইস্যু করা রাষ্ট্র")</f>
        <v>ইস্যু করা রাষ্ট্র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 t="str">
        <f>IFERROR(__xludf.DUMMYFUNCTION("""COMPUTED_VALUE"""),"VehicleNumber")</f>
        <v>VehicleNumber</v>
      </c>
      <c r="B1104" s="2" t="str">
        <f>IFERROR(__xludf.DUMMYFUNCTION("""COMPUTED_VALUE"""),"Vehicle Number")</f>
        <v>Vehicle Number</v>
      </c>
      <c r="C1104" s="2"/>
      <c r="D1104" s="2" t="str">
        <f>IFERROR(__xludf.DUMMYFUNCTION("""COMPUTED_VALUE"""),"যানবাহন নম্বর")</f>
        <v>যানবাহন নম্বর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 t="str">
        <f>IFERROR(__xludf.DUMMYFUNCTION("""COMPUTED_VALUE"""),"ValidFrom")</f>
        <v>ValidFrom</v>
      </c>
      <c r="B1105" s="2" t="str">
        <f>IFERROR(__xludf.DUMMYFUNCTION("""COMPUTED_VALUE"""),"Valid From")</f>
        <v>Valid From</v>
      </c>
      <c r="C1105" s="2"/>
      <c r="D1105" s="2" t="str">
        <f>IFERROR(__xludf.DUMMYFUNCTION("""COMPUTED_VALUE"""),"বৈধ হবে")</f>
        <v>বৈধ হবে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 t="str">
        <f>IFERROR(__xludf.DUMMYFUNCTION("""COMPUTED_VALUE"""),"DewormingCertificate")</f>
        <v>DewormingCertificate</v>
      </c>
      <c r="B1106" s="2" t="str">
        <f>IFERROR(__xludf.DUMMYFUNCTION("""COMPUTED_VALUE"""),"Deworming Certificate")</f>
        <v>Deworming Certificate</v>
      </c>
      <c r="C1106" s="2"/>
      <c r="D1106" s="2" t="str">
        <f>IFERROR(__xludf.DUMMYFUNCTION("""COMPUTED_VALUE"""),"শিশির শংসাপত্র")</f>
        <v>শিশির শংসাপত্র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 t="str">
        <f>IFERROR(__xludf.DUMMYFUNCTION("""COMPUTED_VALUE"""),"UploadDewormingCertificate")</f>
        <v>UploadDewormingCertificate</v>
      </c>
      <c r="B1107" s="2" t="str">
        <f>IFERROR(__xludf.DUMMYFUNCTION("""COMPUTED_VALUE"""),"Upload Deworming Certificate")</f>
        <v>Upload Deworming Certificate</v>
      </c>
      <c r="C1107" s="2"/>
      <c r="D1107" s="2" t="str">
        <f>IFERROR(__xludf.DUMMYFUNCTION("""COMPUTED_VALUE"""),"DEWorming শংসাপত্র আপলোড করুন")</f>
        <v>DEWorming শংসাপত্র আপলোড করুন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 t="str">
        <f>IFERROR(__xludf.DUMMYFUNCTION("""COMPUTED_VALUE"""),"EditProfileDocs")</f>
        <v>EditProfileDocs</v>
      </c>
      <c r="B1108" s="2" t="str">
        <f>IFERROR(__xludf.DUMMYFUNCTION("""COMPUTED_VALUE"""),"Edit Profile Docs")</f>
        <v>Edit Profile Docs</v>
      </c>
      <c r="C1108" s="2"/>
      <c r="D1108" s="2" t="str">
        <f>IFERROR(__xludf.DUMMYFUNCTION("""COMPUTED_VALUE"""),"প্রোফাইল ডক্স সম্পাদনা করুন")</f>
        <v>প্রোফাইল ডক্স সম্পাদনা করুন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 t="str">
        <f>IFERROR(__xludf.DUMMYFUNCTION("""COMPUTED_VALUE"""),"UploadVehicleInsurance")</f>
        <v>UploadVehicleInsurance</v>
      </c>
      <c r="B1109" s="2" t="str">
        <f>IFERROR(__xludf.DUMMYFUNCTION("""COMPUTED_VALUE"""),"Upload Vehicle Insurance")</f>
        <v>Upload Vehicle Insurance</v>
      </c>
      <c r="C1109" s="2"/>
      <c r="D1109" s="2" t="str">
        <f>IFERROR(__xludf.DUMMYFUNCTION("""COMPUTED_VALUE"""),"যানবাহন বীমা আপলোড করুন")</f>
        <v>যানবাহন বীমা আপলোড করুন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 t="str">
        <f>IFERROR(__xludf.DUMMYFUNCTION("""COMPUTED_VALUE"""),"UploadRCLicense")</f>
        <v>UploadRCLicense</v>
      </c>
      <c r="B1110" s="2" t="str">
        <f>IFERROR(__xludf.DUMMYFUNCTION("""COMPUTED_VALUE"""),"Upload RC License")</f>
        <v>Upload RC License</v>
      </c>
      <c r="C1110" s="2"/>
      <c r="D1110" s="2" t="str">
        <f>IFERROR(__xludf.DUMMYFUNCTION("""COMPUTED_VALUE"""),"আরসি লাইসেন্স আপলোড করুন")</f>
        <v>আরসি লাইসেন্স আপলোড করুন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 t="str">
        <f>IFERROR(__xludf.DUMMYFUNCTION("""COMPUTED_VALUE"""),"FlatRate")</f>
        <v>FlatRate</v>
      </c>
      <c r="B1111" s="2" t="str">
        <f>IFERROR(__xludf.DUMMYFUNCTION("""COMPUTED_VALUE"""),"Flat Rate")</f>
        <v>Flat Rate</v>
      </c>
      <c r="C1111" s="2"/>
      <c r="D1111" s="2" t="str">
        <f>IFERROR(__xludf.DUMMYFUNCTION("""COMPUTED_VALUE"""),"একদর")</f>
        <v>একদর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 t="str">
        <f>IFERROR(__xludf.DUMMYFUNCTION("""COMPUTED_VALUE"""),"EditVehicleDocs")</f>
        <v>EditVehicleDocs</v>
      </c>
      <c r="B1112" s="2" t="str">
        <f>IFERROR(__xludf.DUMMYFUNCTION("""COMPUTED_VALUE"""),"Edit Vehicle Docs")</f>
        <v>Edit Vehicle Docs</v>
      </c>
      <c r="C1112" s="2"/>
      <c r="D1112" s="2" t="str">
        <f>IFERROR(__xludf.DUMMYFUNCTION("""COMPUTED_VALUE"""),"যানবাহন ডক্স সম্পাদনা করুন")</f>
        <v>যানবাহন ডক্স সম্পাদনা করুন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 t="str">
        <f>IFERROR(__xludf.DUMMYFUNCTION("""COMPUTED_VALUE"""),"DoYouWanttoLogOut?")</f>
        <v>DoYouWanttoLogOut?</v>
      </c>
      <c r="B1113" s="2" t="str">
        <f>IFERROR(__xludf.DUMMYFUNCTION("""COMPUTED_VALUE"""),"Do You Want to Log Out?")</f>
        <v>Do You Want to Log Out?</v>
      </c>
      <c r="C1113" s="2"/>
      <c r="D1113" s="2" t="str">
        <f>IFERROR(__xludf.DUMMYFUNCTION("""COMPUTED_VALUE"""),"আপনি কি লগ আউট করতে চান?")</f>
        <v>আপনি কি লগ আউট করতে চান?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</sheetData>
  <hyperlinks>
    <hyperlink r:id="rId1" ref="A983"/>
    <hyperlink r:id="rId2" ref="B983"/>
  </hyperlinks>
  <drawing r:id="rId3"/>
</worksheet>
</file>