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firstSheet="2" activeTab="2"/>
  </bookViews>
  <sheets>
    <sheet name="MECHANICAL" sheetId="2" r:id="rId1"/>
    <sheet name="ELECTRICAL" sheetId="3" r:id="rId2"/>
    <sheet name="MISCELLANEOUS" sheetId="4" r:id="rId3"/>
    <sheet name="LABORATORY" sheetId="6" r:id="rId4"/>
    <sheet name="SAFETY" sheetId="5" r:id="rId5"/>
    <sheet name="CIVIL" sheetId="7" r:id="rId6"/>
    <sheet name="PRODUCTION" sheetId="8" r:id="rId7"/>
    <sheet name="ABSTRACT" sheetId="10" r:id="rId8"/>
    <sheet name="OLD MECHANICAL" sheetId="11" r:id="rId9"/>
    <sheet name="Sheet1" sheetId="12" r:id="rId10"/>
  </sheets>
  <definedNames>
    <definedName name="_xlnm._FilterDatabase" localSheetId="1" hidden="1">ELECTRICAL!$A$4:$M$5</definedName>
    <definedName name="_xlnm._FilterDatabase" localSheetId="0" hidden="1">MECHANICAL!$K$1:$K$242</definedName>
    <definedName name="_xlnm._FilterDatabase" localSheetId="8" hidden="1">'OLD MECHANICAL'!$C$1:$C$104</definedName>
  </definedNames>
  <calcPr calcId="124519"/>
</workbook>
</file>

<file path=xl/calcChain.xml><?xml version="1.0" encoding="utf-8"?>
<calcChain xmlns="http://schemas.openxmlformats.org/spreadsheetml/2006/main">
  <c r="Q6" i="4"/>
  <c r="L62" i="6"/>
  <c r="L63"/>
  <c r="L64"/>
  <c r="L65"/>
  <c r="L66"/>
  <c r="L67"/>
  <c r="L68"/>
  <c r="L61"/>
  <c r="L60"/>
  <c r="O54"/>
  <c r="O55"/>
  <c r="O56"/>
  <c r="O57"/>
  <c r="O58"/>
  <c r="O59"/>
  <c r="O60"/>
  <c r="O61"/>
  <c r="O62"/>
  <c r="O47"/>
  <c r="O48"/>
  <c r="O49"/>
  <c r="O50"/>
  <c r="O51"/>
  <c r="O52"/>
  <c r="O53"/>
  <c r="O45"/>
  <c r="O46"/>
  <c r="O44"/>
  <c r="O43"/>
  <c r="O42"/>
  <c r="O41"/>
  <c r="O40"/>
  <c r="O26"/>
  <c r="L26"/>
  <c r="L59"/>
  <c r="L58"/>
  <c r="L57"/>
  <c r="A57"/>
  <c r="A58" s="1"/>
  <c r="A59" s="1"/>
  <c r="A60" s="1"/>
  <c r="A61" s="1"/>
  <c r="A62" s="1"/>
  <c r="L56"/>
  <c r="L55"/>
  <c r="L54"/>
  <c r="L53"/>
  <c r="L52"/>
  <c r="L51"/>
  <c r="L50"/>
  <c r="A47"/>
  <c r="A48" s="1"/>
  <c r="A49" s="1"/>
  <c r="A50" s="1"/>
  <c r="A51" s="1"/>
  <c r="A52" s="1"/>
  <c r="A53" s="1"/>
  <c r="A54" s="1"/>
  <c r="A55" s="1"/>
  <c r="A56" s="1"/>
  <c r="L49"/>
  <c r="L48"/>
  <c r="L47"/>
  <c r="L46"/>
  <c r="L45"/>
  <c r="L44"/>
  <c r="L41"/>
  <c r="L42"/>
  <c r="L43"/>
  <c r="L40"/>
  <c r="A40"/>
  <c r="A41"/>
  <c r="A42" s="1"/>
  <c r="A43" s="1"/>
  <c r="A44" s="1"/>
  <c r="A45" s="1"/>
  <c r="A46" s="1"/>
  <c r="O39"/>
  <c r="O38"/>
  <c r="O37"/>
  <c r="O36"/>
  <c r="O35"/>
  <c r="O34"/>
  <c r="O33"/>
  <c r="O32"/>
  <c r="O31"/>
  <c r="O30"/>
  <c r="O29"/>
  <c r="O28"/>
  <c r="O27"/>
  <c r="O25"/>
  <c r="O24"/>
  <c r="O23"/>
  <c r="O7"/>
  <c r="O8"/>
  <c r="O9"/>
  <c r="O10"/>
  <c r="O11"/>
  <c r="O12"/>
  <c r="O13"/>
  <c r="O14"/>
  <c r="O15"/>
  <c r="O16"/>
  <c r="O17"/>
  <c r="O18"/>
  <c r="O19"/>
  <c r="O20"/>
  <c r="O21"/>
  <c r="O6"/>
  <c r="L38"/>
  <c r="L37"/>
  <c r="L36"/>
  <c r="L35"/>
  <c r="L34"/>
  <c r="L33"/>
  <c r="L32"/>
  <c r="L31"/>
  <c r="L30"/>
  <c r="L29"/>
  <c r="L28"/>
  <c r="L27"/>
  <c r="L25"/>
  <c r="L24"/>
  <c r="L17"/>
  <c r="L18"/>
  <c r="L19"/>
  <c r="L20"/>
  <c r="L21"/>
  <c r="L16"/>
  <c r="L7"/>
  <c r="L8"/>
  <c r="L9"/>
  <c r="L10"/>
  <c r="L11"/>
  <c r="L12"/>
  <c r="L13"/>
  <c r="L14"/>
  <c r="L6"/>
  <c r="L15"/>
  <c r="L23"/>
  <c r="L39"/>
  <c r="O22" l="1"/>
  <c r="R22" s="1"/>
  <c r="L22"/>
  <c r="Q30" i="5" l="1"/>
  <c r="S30"/>
  <c r="Q31"/>
  <c r="S31" s="1"/>
  <c r="Q32"/>
  <c r="S32"/>
  <c r="S29"/>
  <c r="R33"/>
  <c r="R23"/>
  <c r="R24"/>
  <c r="R25"/>
  <c r="R26"/>
  <c r="R22"/>
  <c r="R20"/>
  <c r="R15"/>
  <c r="R16"/>
  <c r="R17"/>
  <c r="S17" s="1"/>
  <c r="R18"/>
  <c r="R14"/>
  <c r="S15"/>
  <c r="Q7"/>
  <c r="Q8"/>
  <c r="S8" s="1"/>
  <c r="Q9"/>
  <c r="Q10"/>
  <c r="S10" s="1"/>
  <c r="Q11"/>
  <c r="Q12"/>
  <c r="S12" s="1"/>
  <c r="Q13"/>
  <c r="Q14"/>
  <c r="S14" s="1"/>
  <c r="Q15"/>
  <c r="Q16"/>
  <c r="Q17"/>
  <c r="Q18"/>
  <c r="S18" s="1"/>
  <c r="Q19"/>
  <c r="Q20"/>
  <c r="S20" s="1"/>
  <c r="Q21"/>
  <c r="Q22"/>
  <c r="Q23"/>
  <c r="Q24"/>
  <c r="S24" s="1"/>
  <c r="Q25"/>
  <c r="Q26"/>
  <c r="Q27"/>
  <c r="Q28"/>
  <c r="Q29"/>
  <c r="Q33"/>
  <c r="Q6"/>
  <c r="P13"/>
  <c r="O13"/>
  <c r="P12"/>
  <c r="O12"/>
  <c r="P7"/>
  <c r="O7"/>
  <c r="P21"/>
  <c r="O21"/>
  <c r="P19"/>
  <c r="O19"/>
  <c r="R9"/>
  <c r="S9" s="1"/>
  <c r="R10"/>
  <c r="S11"/>
  <c r="R11"/>
  <c r="R12"/>
  <c r="S13"/>
  <c r="R13"/>
  <c r="S19"/>
  <c r="R19"/>
  <c r="R21"/>
  <c r="S22"/>
  <c r="S23"/>
  <c r="S26"/>
  <c r="S27"/>
  <c r="R27"/>
  <c r="S28"/>
  <c r="R28"/>
  <c r="S33"/>
  <c r="P11"/>
  <c r="O11"/>
  <c r="P28"/>
  <c r="O28"/>
  <c r="P27"/>
  <c r="O27"/>
  <c r="P30"/>
  <c r="P31"/>
  <c r="P29"/>
  <c r="O30"/>
  <c r="O31"/>
  <c r="O29"/>
  <c r="R8"/>
  <c r="P8"/>
  <c r="O8"/>
  <c r="P32"/>
  <c r="O32"/>
  <c r="L12"/>
  <c r="L33"/>
  <c r="L32"/>
  <c r="L31"/>
  <c r="L30"/>
  <c r="L29"/>
  <c r="L26"/>
  <c r="A32"/>
  <c r="A33"/>
  <c r="A29"/>
  <c r="A30" s="1"/>
  <c r="A31" s="1"/>
  <c r="L13"/>
  <c r="A297" i="3"/>
  <c r="J297"/>
  <c r="J242" i="2"/>
  <c r="A8" i="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J12"/>
  <c r="G234" i="3"/>
  <c r="G232"/>
  <c r="G229"/>
  <c r="G211"/>
  <c r="G210"/>
  <c r="J295"/>
  <c r="J296"/>
  <c r="G178"/>
  <c r="G150"/>
  <c r="J294"/>
  <c r="G133"/>
  <c r="J293"/>
  <c r="G45"/>
  <c r="H15" i="5"/>
  <c r="J148" i="4"/>
  <c r="J149"/>
  <c r="G132"/>
  <c r="G130"/>
  <c r="G59"/>
  <c r="G58"/>
  <c r="G55"/>
  <c r="G53"/>
  <c r="G40"/>
  <c r="G34"/>
  <c r="G27"/>
  <c r="G26"/>
  <c r="G19"/>
  <c r="G18"/>
  <c r="J103" i="11"/>
  <c r="G167" i="2"/>
  <c r="G153"/>
  <c r="G152"/>
  <c r="G151"/>
  <c r="G139"/>
  <c r="G138"/>
  <c r="G136"/>
  <c r="G135"/>
  <c r="G118"/>
  <c r="G40"/>
  <c r="J38" i="6"/>
  <c r="H7"/>
  <c r="G14" i="2"/>
  <c r="G98" i="4"/>
  <c r="H7" i="5"/>
  <c r="G214" i="2"/>
  <c r="G143"/>
  <c r="G41"/>
  <c r="G28" i="8"/>
  <c r="G61" i="3"/>
  <c r="G263"/>
  <c r="G122" i="4"/>
  <c r="H8" i="5"/>
  <c r="G12" i="4"/>
  <c r="G14"/>
  <c r="G100" i="2"/>
  <c r="G220"/>
  <c r="G39"/>
  <c r="G7" i="4"/>
  <c r="G112"/>
  <c r="G127"/>
  <c r="G271" i="3"/>
  <c r="G119" i="4"/>
  <c r="H6" i="6"/>
  <c r="G28" i="4"/>
  <c r="G266" i="3"/>
  <c r="G264"/>
  <c r="G237" i="2"/>
  <c r="G208"/>
  <c r="G58" i="3"/>
  <c r="G196"/>
  <c r="G151"/>
  <c r="G139"/>
  <c r="G147"/>
  <c r="G99"/>
  <c r="G136"/>
  <c r="G287"/>
  <c r="G20" i="4"/>
  <c r="H32" i="6"/>
  <c r="H13"/>
  <c r="H14"/>
  <c r="G236" i="2"/>
  <c r="H11" i="5"/>
  <c r="G46" i="4"/>
  <c r="G147"/>
  <c r="J240" i="2"/>
  <c r="G80"/>
  <c r="G131" i="4"/>
  <c r="G6"/>
  <c r="G8"/>
  <c r="G60" i="2"/>
  <c r="G59" i="3"/>
  <c r="G236"/>
  <c r="H16" i="5"/>
  <c r="H18"/>
  <c r="G134" i="4"/>
  <c r="G111"/>
  <c r="G291" i="3"/>
  <c r="G77"/>
  <c r="G166" i="2"/>
  <c r="G106"/>
  <c r="G94"/>
  <c r="G187"/>
  <c r="G23"/>
  <c r="G24" i="4"/>
  <c r="G25"/>
  <c r="G146"/>
  <c r="J292" i="3"/>
  <c r="G28" i="11"/>
  <c r="J241" i="2"/>
  <c r="J238"/>
  <c r="J239"/>
  <c r="J237"/>
  <c r="G135" i="4"/>
  <c r="H11" i="6"/>
  <c r="H35"/>
  <c r="H18"/>
  <c r="J236" i="2"/>
  <c r="J291" i="3"/>
  <c r="G69" i="4"/>
  <c r="J147"/>
  <c r="J290" i="3"/>
  <c r="J289"/>
  <c r="J288"/>
  <c r="J146" i="4"/>
  <c r="J287" i="3"/>
  <c r="G228" i="2"/>
  <c r="G227"/>
  <c r="G226"/>
  <c r="J235"/>
  <c r="J234"/>
  <c r="H27" i="6"/>
  <c r="H20"/>
  <c r="G110" i="3"/>
  <c r="G114"/>
  <c r="G43" i="4"/>
  <c r="G17" i="7"/>
  <c r="G116" i="2"/>
  <c r="G115"/>
  <c r="H17" i="6"/>
  <c r="G13" i="4"/>
  <c r="G284" i="3"/>
  <c r="G137" i="2"/>
  <c r="G61"/>
  <c r="G119" i="3"/>
  <c r="J43" i="4"/>
  <c r="G150" i="2"/>
  <c r="G233"/>
  <c r="J233"/>
  <c r="G136" i="4"/>
  <c r="G192" i="2"/>
  <c r="G85"/>
  <c r="G137" i="4"/>
  <c r="G44"/>
  <c r="G186" i="3"/>
  <c r="G113" i="4"/>
  <c r="J145"/>
  <c r="G228" i="3"/>
  <c r="G41" i="4"/>
  <c r="G36" i="2"/>
  <c r="G190" i="3"/>
  <c r="G11"/>
  <c r="J231" i="2"/>
  <c r="J232"/>
  <c r="J36" i="6"/>
  <c r="J37"/>
  <c r="J283" i="3"/>
  <c r="J284"/>
  <c r="J285"/>
  <c r="J286"/>
  <c r="J138" i="4"/>
  <c r="J139"/>
  <c r="G144"/>
  <c r="G143"/>
  <c r="G142"/>
  <c r="G141"/>
  <c r="G140"/>
  <c r="G133"/>
  <c r="G129"/>
  <c r="G128"/>
  <c r="G126"/>
  <c r="G125"/>
  <c r="G123"/>
  <c r="G120"/>
  <c r="G118"/>
  <c r="G117"/>
  <c r="G103"/>
  <c r="G96"/>
  <c r="G57"/>
  <c r="G50"/>
  <c r="G47"/>
  <c r="G45"/>
  <c r="G11"/>
  <c r="G282" i="3"/>
  <c r="G278"/>
  <c r="G277"/>
  <c r="G276"/>
  <c r="G275"/>
  <c r="G274"/>
  <c r="G273"/>
  <c r="G246"/>
  <c r="G227"/>
  <c r="G205"/>
  <c r="G187"/>
  <c r="G148"/>
  <c r="G145"/>
  <c r="G131"/>
  <c r="G109"/>
  <c r="G101"/>
  <c r="G100"/>
  <c r="G91"/>
  <c r="G60"/>
  <c r="G24"/>
  <c r="G19"/>
  <c r="H34" i="6"/>
  <c r="H33"/>
  <c r="H30"/>
  <c r="H22"/>
  <c r="Q22" s="1"/>
  <c r="S22" s="1"/>
  <c r="H16"/>
  <c r="H15"/>
  <c r="G25" i="7"/>
  <c r="G21"/>
  <c r="G20"/>
  <c r="G12"/>
  <c r="G11"/>
  <c r="G10"/>
  <c r="G9"/>
  <c r="G7"/>
  <c r="H26" i="5"/>
  <c r="H17"/>
  <c r="H13"/>
  <c r="H12"/>
  <c r="H6"/>
  <c r="G224" i="2"/>
  <c r="G223"/>
  <c r="G222"/>
  <c r="G221"/>
  <c r="G211"/>
  <c r="G184"/>
  <c r="G173"/>
  <c r="G149"/>
  <c r="G146"/>
  <c r="G144"/>
  <c r="G141"/>
  <c r="G97"/>
  <c r="G90"/>
  <c r="G87"/>
  <c r="G86"/>
  <c r="G72"/>
  <c r="G57"/>
  <c r="G53"/>
  <c r="G47"/>
  <c r="G38"/>
  <c r="G37"/>
  <c r="G26"/>
  <c r="G12"/>
  <c r="J228"/>
  <c r="J227"/>
  <c r="J226"/>
  <c r="J282" i="3"/>
  <c r="J281"/>
  <c r="J230" i="2"/>
  <c r="J280" i="3"/>
  <c r="S16" i="5" l="1"/>
  <c r="S25"/>
  <c r="S21"/>
  <c r="J144" i="4"/>
  <c r="J143"/>
  <c r="J142"/>
  <c r="J141"/>
  <c r="J35" i="6"/>
  <c r="J224" i="2"/>
  <c r="J279" i="3"/>
  <c r="J229" i="2"/>
  <c r="J225"/>
  <c r="J140" i="4"/>
  <c r="J278" i="3"/>
  <c r="J277"/>
  <c r="J276"/>
  <c r="J152" i="2"/>
  <c r="J275" i="3"/>
  <c r="J274"/>
  <c r="J273"/>
  <c r="J34" i="6"/>
  <c r="J33"/>
  <c r="J32"/>
  <c r="J31"/>
  <c r="J30"/>
  <c r="J28" i="5"/>
  <c r="J27"/>
  <c r="J272" i="3"/>
  <c r="J222" i="2"/>
  <c r="J223"/>
  <c r="J137" i="4"/>
  <c r="J271" i="3"/>
  <c r="J270"/>
  <c r="J28" i="6"/>
  <c r="J29"/>
  <c r="J136" i="4"/>
  <c r="J135"/>
  <c r="J134"/>
  <c r="J133"/>
  <c r="J132"/>
  <c r="J131"/>
  <c r="J130"/>
  <c r="J129"/>
  <c r="J128"/>
  <c r="J127"/>
  <c r="J269" i="3"/>
  <c r="J26" i="5"/>
  <c r="J126" i="4"/>
  <c r="J268" i="3"/>
  <c r="J125" i="4"/>
  <c r="G198" i="2"/>
  <c r="J221"/>
  <c r="J220"/>
  <c r="G209" l="1"/>
  <c r="G210"/>
  <c r="J219"/>
  <c r="J218"/>
  <c r="G213"/>
  <c r="G212"/>
  <c r="J217"/>
  <c r="J264" i="3"/>
  <c r="J265"/>
  <c r="J266"/>
  <c r="J267"/>
  <c r="G105" i="2"/>
  <c r="G206"/>
  <c r="J216"/>
  <c r="G101"/>
  <c r="J215"/>
  <c r="G28"/>
  <c r="G95"/>
  <c r="J214"/>
  <c r="J27" i="6"/>
  <c r="J26"/>
  <c r="J25"/>
  <c r="J24"/>
  <c r="J23"/>
  <c r="J22"/>
  <c r="G124" i="4"/>
  <c r="J124" s="1"/>
  <c r="J123"/>
  <c r="J122"/>
  <c r="G121"/>
  <c r="J121" s="1"/>
  <c r="J120"/>
  <c r="J119"/>
  <c r="J118"/>
  <c r="J117"/>
  <c r="G116"/>
  <c r="J116" s="1"/>
  <c r="G115"/>
  <c r="J115" s="1"/>
  <c r="G114"/>
  <c r="J114" s="1"/>
  <c r="J113"/>
  <c r="J112"/>
  <c r="G105"/>
  <c r="G95"/>
  <c r="G56"/>
  <c r="G52"/>
  <c r="G39"/>
  <c r="G37"/>
  <c r="G23"/>
  <c r="G22"/>
  <c r="H21" i="6"/>
  <c r="J21" s="1"/>
  <c r="H19"/>
  <c r="J20"/>
  <c r="J19"/>
  <c r="J18"/>
  <c r="H12"/>
  <c r="H10"/>
  <c r="H9"/>
  <c r="H25" i="5"/>
  <c r="J263" i="3"/>
  <c r="G259"/>
  <c r="G256"/>
  <c r="G252"/>
  <c r="G182"/>
  <c r="G98"/>
  <c r="G72"/>
  <c r="G71"/>
  <c r="G56"/>
  <c r="J213" i="2" l="1"/>
  <c r="J212"/>
  <c r="J211"/>
  <c r="J210"/>
  <c r="J209"/>
  <c r="G94" i="11"/>
  <c r="J208" i="2"/>
  <c r="G200"/>
  <c r="G113"/>
  <c r="G111"/>
  <c r="G110"/>
  <c r="G65"/>
  <c r="J65" s="1"/>
  <c r="G64"/>
  <c r="G52"/>
  <c r="G48"/>
  <c r="G29"/>
  <c r="G15"/>
  <c r="G7"/>
  <c r="J6" i="11"/>
  <c r="J5"/>
  <c r="J176" i="2"/>
  <c r="J82"/>
  <c r="J81"/>
  <c r="J80"/>
  <c r="J172"/>
  <c r="J142"/>
  <c r="J92"/>
  <c r="J140"/>
  <c r="J82" i="4"/>
  <c r="J83"/>
  <c r="J169" i="2"/>
  <c r="J206"/>
  <c r="J207"/>
  <c r="J204"/>
  <c r="J205"/>
  <c r="J201"/>
  <c r="J202"/>
  <c r="J203"/>
  <c r="J198"/>
  <c r="J199"/>
  <c r="J200"/>
  <c r="J90"/>
  <c r="J91"/>
  <c r="J196"/>
  <c r="J197"/>
  <c r="J69"/>
  <c r="J87"/>
  <c r="J86"/>
  <c r="J85"/>
  <c r="J84"/>
  <c r="J83"/>
  <c r="J79"/>
  <c r="J78"/>
  <c r="J77"/>
  <c r="J76"/>
  <c r="J75"/>
  <c r="J74"/>
  <c r="J73"/>
  <c r="J72"/>
  <c r="J71"/>
  <c r="J70"/>
  <c r="J68"/>
  <c r="J67"/>
  <c r="J66"/>
  <c r="J64"/>
  <c r="J63"/>
  <c r="J62"/>
  <c r="J61"/>
  <c r="J60"/>
  <c r="J59"/>
  <c r="J58"/>
  <c r="J57"/>
  <c r="J56"/>
  <c r="J55"/>
  <c r="J54"/>
  <c r="J262" i="3"/>
  <c r="J191" i="2"/>
  <c r="J192"/>
  <c r="J193"/>
  <c r="J194"/>
  <c r="J195"/>
  <c r="J190"/>
  <c r="J189"/>
  <c r="J188"/>
  <c r="J187"/>
  <c r="J186"/>
  <c r="J184"/>
  <c r="J185"/>
  <c r="J183"/>
  <c r="J180"/>
  <c r="J181"/>
  <c r="J182"/>
  <c r="J177"/>
  <c r="J178"/>
  <c r="J179"/>
  <c r="J173"/>
  <c r="J174"/>
  <c r="J175"/>
  <c r="J161"/>
  <c r="J162"/>
  <c r="J163"/>
  <c r="J164"/>
  <c r="J165"/>
  <c r="J166"/>
  <c r="J167"/>
  <c r="J168"/>
  <c r="J170"/>
  <c r="J171"/>
  <c r="J159"/>
  <c r="J160"/>
  <c r="J155"/>
  <c r="J156"/>
  <c r="J157"/>
  <c r="J158"/>
  <c r="J153"/>
  <c r="J154"/>
  <c r="J146"/>
  <c r="J147"/>
  <c r="J148"/>
  <c r="J149"/>
  <c r="J150"/>
  <c r="J151"/>
  <c r="J145"/>
  <c r="J144"/>
  <c r="J143"/>
  <c r="J141"/>
  <c r="J139"/>
  <c r="J138"/>
  <c r="J137"/>
  <c r="J136"/>
  <c r="J135"/>
  <c r="J134"/>
  <c r="J133"/>
  <c r="J132"/>
  <c r="J131"/>
  <c r="J130"/>
  <c r="J129"/>
  <c r="J128"/>
  <c r="J127"/>
  <c r="J126"/>
  <c r="J125"/>
  <c r="J124"/>
  <c r="J102" i="11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123" i="2"/>
  <c r="J21" i="4"/>
  <c r="J51" i="3"/>
  <c r="J111" i="4"/>
  <c r="J17" i="6"/>
  <c r="J110" i="4"/>
  <c r="J109"/>
  <c r="J108"/>
  <c r="I253" i="3"/>
  <c r="I257"/>
  <c r="I256"/>
  <c r="J6" i="8"/>
  <c r="J7"/>
  <c r="J8"/>
  <c r="J9"/>
  <c r="J10"/>
  <c r="J11"/>
  <c r="J13"/>
  <c r="J14"/>
  <c r="J15"/>
  <c r="J16"/>
  <c r="J17"/>
  <c r="J18"/>
  <c r="J19"/>
  <c r="J20"/>
  <c r="J21"/>
  <c r="J22"/>
  <c r="J23"/>
  <c r="J24"/>
  <c r="J25"/>
  <c r="J26"/>
  <c r="J27"/>
  <c r="J5"/>
  <c r="J28"/>
  <c r="J25" i="5"/>
  <c r="J24"/>
  <c r="J23"/>
  <c r="J22"/>
  <c r="J21"/>
  <c r="J20"/>
  <c r="J19"/>
  <c r="J17"/>
  <c r="J16"/>
  <c r="J15"/>
  <c r="J14"/>
  <c r="J13"/>
  <c r="J12"/>
  <c r="J11"/>
  <c r="J10"/>
  <c r="J9"/>
  <c r="J8"/>
  <c r="J7"/>
  <c r="J6"/>
  <c r="J107" i="4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0"/>
  <c r="J79"/>
  <c r="J78"/>
  <c r="J77"/>
  <c r="J76"/>
  <c r="J75"/>
  <c r="J74"/>
  <c r="J73"/>
  <c r="J72"/>
  <c r="J71"/>
  <c r="J70"/>
  <c r="J69"/>
  <c r="J67"/>
  <c r="J65"/>
  <c r="J64"/>
  <c r="J63"/>
  <c r="J62"/>
  <c r="J61"/>
  <c r="J60"/>
  <c r="J59"/>
  <c r="J58"/>
  <c r="J57"/>
  <c r="J56"/>
  <c r="J55"/>
  <c r="J54"/>
  <c r="J53"/>
  <c r="J51"/>
  <c r="J50"/>
  <c r="J49"/>
  <c r="J48"/>
  <c r="J47"/>
  <c r="J46"/>
  <c r="J45"/>
  <c r="J40"/>
  <c r="J39"/>
  <c r="J38"/>
  <c r="J37"/>
  <c r="J36"/>
  <c r="J35"/>
  <c r="J34"/>
  <c r="J33"/>
  <c r="J31"/>
  <c r="J30"/>
  <c r="J29"/>
  <c r="J28"/>
  <c r="J26"/>
  <c r="J25"/>
  <c r="J24"/>
  <c r="J23"/>
  <c r="J22"/>
  <c r="J20"/>
  <c r="J19"/>
  <c r="J18"/>
  <c r="J17"/>
  <c r="J15"/>
  <c r="J14"/>
  <c r="J13"/>
  <c r="J12"/>
  <c r="J11"/>
  <c r="J10"/>
  <c r="J8"/>
  <c r="J7"/>
  <c r="J6"/>
  <c r="J261" i="3"/>
  <c r="J260"/>
  <c r="J259"/>
  <c r="J258"/>
  <c r="J257"/>
  <c r="J256"/>
  <c r="J255"/>
  <c r="J252"/>
  <c r="J251"/>
  <c r="J249"/>
  <c r="J248"/>
  <c r="J247"/>
  <c r="J246"/>
  <c r="J245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48"/>
  <c r="J144"/>
  <c r="J143"/>
  <c r="J142"/>
  <c r="J141"/>
  <c r="J140"/>
  <c r="J139"/>
  <c r="J138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6"/>
  <c r="J115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7"/>
  <c r="J56"/>
  <c r="J55"/>
  <c r="J54"/>
  <c r="J53"/>
  <c r="J49"/>
  <c r="J46"/>
  <c r="J45"/>
  <c r="J40"/>
  <c r="J38"/>
  <c r="J37"/>
  <c r="J36"/>
  <c r="J35"/>
  <c r="J34"/>
  <c r="J29"/>
  <c r="J28"/>
  <c r="J27"/>
  <c r="J26"/>
  <c r="J25"/>
  <c r="J24"/>
  <c r="J23"/>
  <c r="J22"/>
  <c r="J15"/>
  <c r="J14"/>
  <c r="J13"/>
  <c r="J12"/>
  <c r="J10"/>
  <c r="J9"/>
  <c r="J8"/>
  <c r="J7"/>
  <c r="J6"/>
  <c r="J122" i="2"/>
  <c r="J120"/>
  <c r="J119"/>
  <c r="J118"/>
  <c r="J117"/>
  <c r="J114"/>
  <c r="J113"/>
  <c r="J112"/>
  <c r="J111"/>
  <c r="J103"/>
  <c r="J102"/>
  <c r="J101"/>
  <c r="J100"/>
  <c r="J99"/>
  <c r="J98"/>
  <c r="J97"/>
  <c r="J96"/>
  <c r="J95"/>
  <c r="J94"/>
  <c r="J89"/>
  <c r="J88"/>
  <c r="J53"/>
  <c r="J44"/>
  <c r="J43"/>
  <c r="J42"/>
  <c r="J41"/>
  <c r="J40"/>
  <c r="J39"/>
  <c r="J38"/>
  <c r="J37"/>
  <c r="J36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25" i="7"/>
  <c r="J24"/>
  <c r="J23"/>
  <c r="J22"/>
  <c r="J18"/>
  <c r="J6"/>
  <c r="J7"/>
  <c r="J8"/>
  <c r="J9"/>
  <c r="J10"/>
  <c r="J11"/>
  <c r="J12"/>
  <c r="J13"/>
  <c r="J14"/>
  <c r="J15"/>
  <c r="J16"/>
  <c r="J21"/>
  <c r="J20"/>
  <c r="J19"/>
  <c r="J17"/>
  <c r="J5"/>
  <c r="J18" i="5"/>
  <c r="J81" i="4"/>
  <c r="J68"/>
  <c r="J66"/>
  <c r="J9"/>
  <c r="I52"/>
  <c r="J52" s="1"/>
  <c r="J44"/>
  <c r="J42"/>
  <c r="I41"/>
  <c r="J41" s="1"/>
  <c r="I32"/>
  <c r="J32" s="1"/>
  <c r="I27"/>
  <c r="J27" s="1"/>
  <c r="I16"/>
  <c r="J16" s="1"/>
  <c r="J152" i="3"/>
  <c r="J151"/>
  <c r="J150"/>
  <c r="J149"/>
  <c r="J147"/>
  <c r="J146"/>
  <c r="J145"/>
  <c r="J137"/>
  <c r="J117"/>
  <c r="J114"/>
  <c r="J94"/>
  <c r="J52"/>
  <c r="J50"/>
  <c r="J48"/>
  <c r="J47"/>
  <c r="J44"/>
  <c r="J43"/>
  <c r="J42"/>
  <c r="J41"/>
  <c r="J39"/>
  <c r="J33"/>
  <c r="J32"/>
  <c r="J31"/>
  <c r="J30"/>
  <c r="J21"/>
  <c r="J20"/>
  <c r="J19"/>
  <c r="J18"/>
  <c r="J17"/>
  <c r="J16"/>
  <c r="J254"/>
  <c r="J253"/>
  <c r="J250"/>
  <c r="J241"/>
  <c r="J242"/>
  <c r="J243"/>
  <c r="J244"/>
  <c r="J240"/>
  <c r="J203"/>
  <c r="J58"/>
  <c r="J11"/>
  <c r="A6" i="10"/>
  <c r="A7" s="1"/>
  <c r="A8" s="1"/>
  <c r="A9" s="1"/>
  <c r="A10" s="1"/>
  <c r="A11" s="1"/>
  <c r="J34" i="5" l="1"/>
  <c r="C8" i="10"/>
  <c r="J200" i="4"/>
  <c r="C7" i="10" s="1"/>
  <c r="J354" i="3"/>
  <c r="C6" i="10" s="1"/>
  <c r="J26" i="7"/>
  <c r="C10" i="10" s="1"/>
  <c r="J104" i="11"/>
  <c r="J29" i="8"/>
  <c r="C11" i="10" s="1"/>
  <c r="J121" i="2"/>
  <c r="J116"/>
  <c r="J115"/>
  <c r="J110"/>
  <c r="J109"/>
  <c r="J108"/>
  <c r="J107"/>
  <c r="J106"/>
  <c r="J105"/>
  <c r="J104"/>
  <c r="J93"/>
  <c r="J52"/>
  <c r="J51"/>
  <c r="J50"/>
  <c r="J49"/>
  <c r="J48"/>
  <c r="J47"/>
  <c r="J46"/>
  <c r="J45"/>
  <c r="J35"/>
  <c r="J34"/>
  <c r="J33"/>
  <c r="J6" i="6"/>
  <c r="J7"/>
  <c r="J8"/>
  <c r="J9"/>
  <c r="J10"/>
  <c r="J11"/>
  <c r="J12"/>
  <c r="J13"/>
  <c r="J14"/>
  <c r="J15"/>
  <c r="J16"/>
  <c r="A7" i="8"/>
  <c r="A6"/>
  <c r="A9" i="7"/>
  <c r="A10" s="1"/>
  <c r="A7"/>
  <c r="A8" s="1"/>
  <c r="A6"/>
  <c r="A6" i="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7" i="5"/>
  <c r="A8" s="1"/>
  <c r="A9" s="1"/>
  <c r="A10" s="1"/>
  <c r="A11" s="1"/>
  <c r="A12" s="1"/>
  <c r="A13" s="1"/>
  <c r="A7" i="3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J69" i="6" l="1"/>
  <c r="C9" i="10" s="1"/>
  <c r="C5"/>
  <c r="A11" i="7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14" i="5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C12" i="10" l="1"/>
</calcChain>
</file>

<file path=xl/sharedStrings.xml><?xml version="1.0" encoding="utf-8"?>
<sst xmlns="http://schemas.openxmlformats.org/spreadsheetml/2006/main" count="5285" uniqueCount="2398">
  <si>
    <t>Lab</t>
  </si>
  <si>
    <t>KG</t>
  </si>
  <si>
    <t>LAB/002</t>
  </si>
  <si>
    <t>LTRS</t>
  </si>
  <si>
    <t>LAB/003</t>
  </si>
  <si>
    <t>25ML</t>
  </si>
  <si>
    <t>NOS</t>
  </si>
  <si>
    <t>LAB/004</t>
  </si>
  <si>
    <t>MAKER BURNER</t>
  </si>
  <si>
    <t>LAB/005</t>
  </si>
  <si>
    <t>FILTER PAPER</t>
  </si>
  <si>
    <t>PKTS</t>
  </si>
  <si>
    <t>LAB/006</t>
  </si>
  <si>
    <t>BDS INDICATOR</t>
  </si>
  <si>
    <t>LAB/007</t>
  </si>
  <si>
    <t>POTTASIUM DICHROMITE</t>
  </si>
  <si>
    <t>LAB/008</t>
  </si>
  <si>
    <t>SODIUM CARBONATE</t>
  </si>
  <si>
    <t>LAB/009</t>
  </si>
  <si>
    <t>AMMONIUM ACCETATE</t>
  </si>
  <si>
    <t>LAB/010</t>
  </si>
  <si>
    <t>HYDRO FLUORIC ACID</t>
  </si>
  <si>
    <t>LAB/011</t>
  </si>
  <si>
    <t>AMMONIUM SOLUTION</t>
  </si>
  <si>
    <t>LAB/012</t>
  </si>
  <si>
    <t>BALIAPAL FERRO CHROME PLANT</t>
  </si>
  <si>
    <t>OF M/S B.C.MOHANTY &amp; SONS (P) LTD</t>
  </si>
  <si>
    <t>Product code</t>
  </si>
  <si>
    <t>Product Name</t>
  </si>
  <si>
    <t>Specification</t>
  </si>
  <si>
    <t>Department</t>
  </si>
  <si>
    <t>Quantity</t>
  </si>
  <si>
    <t>Unit</t>
  </si>
  <si>
    <t>MECH/001</t>
  </si>
  <si>
    <t>CENTRE PUNCH</t>
  </si>
  <si>
    <t>TAPARIA - 1985</t>
  </si>
  <si>
    <t>Mechanical</t>
  </si>
  <si>
    <t>MECH/002</t>
  </si>
  <si>
    <t>BUFFING WHEEL</t>
  </si>
  <si>
    <t>AG-4</t>
  </si>
  <si>
    <t>MECH/003</t>
  </si>
  <si>
    <t>MS.BALL VALVE</t>
  </si>
  <si>
    <t>25MM</t>
  </si>
  <si>
    <t>12MM</t>
  </si>
  <si>
    <t xml:space="preserve"> NOS</t>
  </si>
  <si>
    <t>MECH/005</t>
  </si>
  <si>
    <t>40MM</t>
  </si>
  <si>
    <t>MECH/006</t>
  </si>
  <si>
    <t>LONG BEND</t>
  </si>
  <si>
    <t>MECH/007</t>
  </si>
  <si>
    <t>MECH/008</t>
  </si>
  <si>
    <t>MS NIPPLE</t>
  </si>
  <si>
    <t>40MM X 150MM</t>
  </si>
  <si>
    <t>MECH/009</t>
  </si>
  <si>
    <t>MS.NIPPLE</t>
  </si>
  <si>
    <t>12MM X 150MM</t>
  </si>
  <si>
    <t>MECH/010</t>
  </si>
  <si>
    <t>NA</t>
  </si>
  <si>
    <t>MECH/012</t>
  </si>
  <si>
    <t>SS202 (FLAT TYPE)  2 INCH</t>
  </si>
  <si>
    <t>MECH/014</t>
  </si>
  <si>
    <t>GI.PIPE</t>
  </si>
  <si>
    <t>25MM (M)</t>
  </si>
  <si>
    <t>MTRS</t>
  </si>
  <si>
    <t>MECH/015</t>
  </si>
  <si>
    <t>MS.PIPE</t>
  </si>
  <si>
    <t>40MM(H)</t>
  </si>
  <si>
    <t>MECH/016</t>
  </si>
  <si>
    <t>25MM  (H)</t>
  </si>
  <si>
    <t>MECH/017</t>
  </si>
  <si>
    <t>MECH/018</t>
  </si>
  <si>
    <t>ADJUSTING SCREW ROD</t>
  </si>
  <si>
    <t>DIA40MM X L420MM</t>
  </si>
  <si>
    <t>MECH/019</t>
  </si>
  <si>
    <t>MECH/020</t>
  </si>
  <si>
    <t>ASBESTOS ROPE</t>
  </si>
  <si>
    <t>75MM</t>
  </si>
  <si>
    <t>ROLL</t>
  </si>
  <si>
    <t>MECH/021</t>
  </si>
  <si>
    <t>MECH/022</t>
  </si>
  <si>
    <t>10MM</t>
  </si>
  <si>
    <t>MECH/023</t>
  </si>
  <si>
    <t>100MM</t>
  </si>
  <si>
    <t>MS.BEND</t>
  </si>
  <si>
    <t>MECH/025</t>
  </si>
  <si>
    <t>1.5 INCH</t>
  </si>
  <si>
    <t>MECH/026</t>
  </si>
  <si>
    <t>2 INCH</t>
  </si>
  <si>
    <t>MECH/027</t>
  </si>
  <si>
    <t>8 INCH</t>
  </si>
  <si>
    <t>MECH/028</t>
  </si>
  <si>
    <t>10 INCH</t>
  </si>
  <si>
    <t>MECH/029</t>
  </si>
  <si>
    <t>MECH/030</t>
  </si>
  <si>
    <t>MECH/031</t>
  </si>
  <si>
    <t>10MM X WIDTH 470MM</t>
  </si>
  <si>
    <t>MECH/032</t>
  </si>
  <si>
    <t>BRASS BUSH</t>
  </si>
  <si>
    <t>MECH/033</t>
  </si>
  <si>
    <t>BRASS BALL NOSE</t>
  </si>
  <si>
    <t>MECH/034</t>
  </si>
  <si>
    <t>BEARING</t>
  </si>
  <si>
    <t>MECH/035</t>
  </si>
  <si>
    <t>6308 2Z (SKF)</t>
  </si>
  <si>
    <t>MECH/036</t>
  </si>
  <si>
    <t>22215</t>
  </si>
  <si>
    <t>MECH/037</t>
  </si>
  <si>
    <t>6406</t>
  </si>
  <si>
    <t>MECH/038</t>
  </si>
  <si>
    <t>22213</t>
  </si>
  <si>
    <t>MECH/039</t>
  </si>
  <si>
    <t>BEARING BLOCK</t>
  </si>
  <si>
    <t>SN - 513</t>
  </si>
  <si>
    <t>MECH/040</t>
  </si>
  <si>
    <t>L202 X 167MM</t>
  </si>
  <si>
    <t>SET</t>
  </si>
  <si>
    <t>MECH/041</t>
  </si>
  <si>
    <t>6207  2Z</t>
  </si>
  <si>
    <t>MECH/042</t>
  </si>
  <si>
    <t>CI.CLAMP</t>
  </si>
  <si>
    <t>EOT.CRANE</t>
  </si>
  <si>
    <t>MECH/043</t>
  </si>
  <si>
    <t>CONTACT CLAMP (COPPER)</t>
  </si>
  <si>
    <t>MECH/044</t>
  </si>
  <si>
    <t>COPPER PIPE</t>
  </si>
  <si>
    <t>OD50 X ID30</t>
  </si>
  <si>
    <t>MECH/045</t>
  </si>
  <si>
    <t>CONVEYOR BELT</t>
  </si>
  <si>
    <t>MECH/046</t>
  </si>
  <si>
    <t>COUPLING</t>
  </si>
  <si>
    <t>5 INCH</t>
  </si>
  <si>
    <t>6 INCH</t>
  </si>
  <si>
    <t>7 INCH</t>
  </si>
  <si>
    <t>MECH/049</t>
  </si>
  <si>
    <t>08 INCH</t>
  </si>
  <si>
    <t>MECH/050</t>
  </si>
  <si>
    <t>MECH/051</t>
  </si>
  <si>
    <t>CHAIN PULLY BLOCK</t>
  </si>
  <si>
    <t>3 TON (20 MTRS)</t>
  </si>
  <si>
    <t>MECH/052</t>
  </si>
  <si>
    <t>5TON (30 MTRS)</t>
  </si>
  <si>
    <t>MECH/053</t>
  </si>
  <si>
    <t>CUTTING WHEEL</t>
  </si>
  <si>
    <t>4 INCH</t>
  </si>
  <si>
    <t>MECH/054</t>
  </si>
  <si>
    <t>MECH/057</t>
  </si>
  <si>
    <t>MECH/058</t>
  </si>
  <si>
    <t>2TON (10 MTRS)</t>
  </si>
  <si>
    <t>MECH/059</t>
  </si>
  <si>
    <t>16MM</t>
  </si>
  <si>
    <t>MECH/061</t>
  </si>
  <si>
    <t>MECH/62</t>
  </si>
  <si>
    <t>U.CLAMP</t>
  </si>
  <si>
    <t>20MM</t>
  </si>
  <si>
    <t>MECH/064</t>
  </si>
  <si>
    <t>3TON</t>
  </si>
  <si>
    <t>MECH/065</t>
  </si>
  <si>
    <t>4 TON</t>
  </si>
  <si>
    <t>MECH/066</t>
  </si>
  <si>
    <t>MS.FLANGE</t>
  </si>
  <si>
    <t>1.5 INCH  (OD 115 X ID 37)</t>
  </si>
  <si>
    <t>MECH/067</t>
  </si>
  <si>
    <t>(5") OD215 X ID117</t>
  </si>
  <si>
    <t>MECH/068</t>
  </si>
  <si>
    <t>(7") OD275 X ID170</t>
  </si>
  <si>
    <t>MECH/069</t>
  </si>
  <si>
    <t>(9") OD335 X ID222</t>
  </si>
  <si>
    <t>MECH/070</t>
  </si>
  <si>
    <t>(11")OD405 X ID277</t>
  </si>
  <si>
    <t>MECH/071</t>
  </si>
  <si>
    <t>(16")OD580 X ID412</t>
  </si>
  <si>
    <t>MECH/072</t>
  </si>
  <si>
    <t>FIBER WASHER</t>
  </si>
  <si>
    <t>OD55 X ID27 X 3MM</t>
  </si>
  <si>
    <t>MECH/073</t>
  </si>
  <si>
    <t>OD55 X ID27 X 5MM</t>
  </si>
  <si>
    <t>MECH/074</t>
  </si>
  <si>
    <t>OD60 X ID31 X 5MM</t>
  </si>
  <si>
    <t>MECH/075</t>
  </si>
  <si>
    <t>FIBER BUSH</t>
  </si>
  <si>
    <t>OD110 X ID93 X L200</t>
  </si>
  <si>
    <t>MECH/076</t>
  </si>
  <si>
    <t>OD145 X ID123 X L470</t>
  </si>
  <si>
    <t>MECH/077</t>
  </si>
  <si>
    <t>FIBER TUBE</t>
  </si>
  <si>
    <t>OD18 X ID12</t>
  </si>
  <si>
    <t>MECH/078</t>
  </si>
  <si>
    <t>OD21 X ID16</t>
  </si>
  <si>
    <t>MECH/079</t>
  </si>
  <si>
    <t>OD26 X ID20</t>
  </si>
  <si>
    <t>MECH/080</t>
  </si>
  <si>
    <t>OD30 X ID20</t>
  </si>
  <si>
    <t>MECH/082</t>
  </si>
  <si>
    <t>MECH/083</t>
  </si>
  <si>
    <t>FLEXIBLE CABLE</t>
  </si>
  <si>
    <t>ROLL (APX)</t>
  </si>
  <si>
    <t>MECH084</t>
  </si>
  <si>
    <t>200MM</t>
  </si>
  <si>
    <t>MECH/085</t>
  </si>
  <si>
    <t>FLOW CONTROL VALVE</t>
  </si>
  <si>
    <t>MODEL NO-FCG - 02 - 1500 - 50</t>
  </si>
  <si>
    <t>MECH/086</t>
  </si>
  <si>
    <t>MODEL NO - DG4V - 3S  OB - M - U1 - D5 - 60</t>
  </si>
  <si>
    <t>MECH/088</t>
  </si>
  <si>
    <t>MODEL NO - DG4V - 3S - 6C - M - U1 - D5 - 60</t>
  </si>
  <si>
    <t>MECH/089</t>
  </si>
  <si>
    <t>SS.BALL VALVE</t>
  </si>
  <si>
    <t>50MM</t>
  </si>
  <si>
    <t>MECH/090</t>
  </si>
  <si>
    <t>MS.GATE VALVE</t>
  </si>
  <si>
    <t>65MM</t>
  </si>
  <si>
    <t>MECH/092</t>
  </si>
  <si>
    <t>150MM</t>
  </si>
  <si>
    <t>MECH/093</t>
  </si>
  <si>
    <t>GM.GATE VALVE</t>
  </si>
  <si>
    <t>15MM</t>
  </si>
  <si>
    <t>MECH/094</t>
  </si>
  <si>
    <t>MECH/096</t>
  </si>
  <si>
    <t>MECH/097</t>
  </si>
  <si>
    <t>2.5INCH</t>
  </si>
  <si>
    <t>GEAR BOX</t>
  </si>
  <si>
    <t>MECH/099</t>
  </si>
  <si>
    <t>TYPE-U 400,RATIO - 60 / ILA 11, SL.NO.2BF  107328</t>
  </si>
  <si>
    <t>MECH/100</t>
  </si>
  <si>
    <t>TYPE-U 400,RATIO - 60 / ILA 11,SL.NO. 2BF 107329</t>
  </si>
  <si>
    <t>MECH/102</t>
  </si>
  <si>
    <t>CUTTING NOZZLE</t>
  </si>
  <si>
    <t>MECH/103</t>
  </si>
  <si>
    <t>GRINDING WHEEL</t>
  </si>
  <si>
    <t>MECH/104</t>
  </si>
  <si>
    <t>MECH/105</t>
  </si>
  <si>
    <t>GASKET SHEET RUBBER</t>
  </si>
  <si>
    <t>MECH/107</t>
  </si>
  <si>
    <t>SS.HANGING ROD</t>
  </si>
  <si>
    <t>40MM X L660</t>
  </si>
  <si>
    <t>MECH/109</t>
  </si>
  <si>
    <t>ASBESTOS HOSE PIPE</t>
  </si>
  <si>
    <t>OD45 X ID30</t>
  </si>
  <si>
    <t>MECH/110</t>
  </si>
  <si>
    <t>HOSE PIPE (LPG &amp; OXYGEN)</t>
  </si>
  <si>
    <t>MECH/111</t>
  </si>
  <si>
    <t>HAMMER</t>
  </si>
  <si>
    <t>LB - 1</t>
  </si>
  <si>
    <t>MECH/117</t>
  </si>
  <si>
    <t>HYDRAULIC HOSE PIPE</t>
  </si>
  <si>
    <t>3/8" X 2000MM</t>
  </si>
  <si>
    <t>MECH/118</t>
  </si>
  <si>
    <t>1" X 1500MM</t>
  </si>
  <si>
    <t>MECH/119</t>
  </si>
  <si>
    <t>MECH/122</t>
  </si>
  <si>
    <t>MECH/125</t>
  </si>
  <si>
    <t>3/4" (20MM)</t>
  </si>
  <si>
    <t>MECH/126</t>
  </si>
  <si>
    <t>LPG.REGULATOR</t>
  </si>
  <si>
    <t>MECH/127</t>
  </si>
  <si>
    <t>MICA TUBE</t>
  </si>
  <si>
    <t>OD18 X ID 12</t>
  </si>
  <si>
    <t>MECH/128</t>
  </si>
  <si>
    <t>MECH/129</t>
  </si>
  <si>
    <t>OD40 X ID30</t>
  </si>
  <si>
    <t>MECH/130</t>
  </si>
  <si>
    <t>MICA WASHER</t>
  </si>
  <si>
    <t>OD40 X ID19 X 3MM</t>
  </si>
  <si>
    <t>MECH/131</t>
  </si>
  <si>
    <t>OD40 X ID20 X 3MM</t>
  </si>
  <si>
    <t>MECH/132</t>
  </si>
  <si>
    <t>OD50 X ID27 X 3MM</t>
  </si>
  <si>
    <t>MECH/133</t>
  </si>
  <si>
    <t>MICA WSHER</t>
  </si>
  <si>
    <t>OD70 X ID41 X 5MM</t>
  </si>
  <si>
    <t>MECH/134</t>
  </si>
  <si>
    <t>MICA BUSH</t>
  </si>
  <si>
    <t>OD70 X ID50 X L50MM</t>
  </si>
  <si>
    <t>MECH/135</t>
  </si>
  <si>
    <t>OD70 X ID50 X L125MM</t>
  </si>
  <si>
    <t>MECH/136</t>
  </si>
  <si>
    <t>MICA SHEET</t>
  </si>
  <si>
    <t>500 X 1000 X 6MM</t>
  </si>
  <si>
    <t>MECH/137</t>
  </si>
  <si>
    <t>500 X 1000 X 12MM</t>
  </si>
  <si>
    <t>MECH/138</t>
  </si>
  <si>
    <t>500 X 1000 X 16MM</t>
  </si>
  <si>
    <t>MECH/139</t>
  </si>
  <si>
    <t>MECH/140</t>
  </si>
  <si>
    <t>OD100 X ID42 X L80</t>
  </si>
  <si>
    <t>MECH/141</t>
  </si>
  <si>
    <t>MOTOR JOINTING CLAMP</t>
  </si>
  <si>
    <t>MECH/143</t>
  </si>
  <si>
    <t>MEASURING TAPE</t>
  </si>
  <si>
    <t>3MTRS</t>
  </si>
  <si>
    <t>MECH/144</t>
  </si>
  <si>
    <t>5MTRS</t>
  </si>
  <si>
    <t>MECH/145</t>
  </si>
  <si>
    <t>OXYGEN KEY</t>
  </si>
  <si>
    <t>MECH/148</t>
  </si>
  <si>
    <t>SS.PLATE</t>
  </si>
  <si>
    <t>460 X 2751 X 16MM</t>
  </si>
  <si>
    <t>MECH/150</t>
  </si>
  <si>
    <t>SS.PIPE</t>
  </si>
  <si>
    <t>OD25 X ID17</t>
  </si>
  <si>
    <t>MECH/151</t>
  </si>
  <si>
    <t>OD40 X ID32</t>
  </si>
  <si>
    <t>MECH/152</t>
  </si>
  <si>
    <t>SS.PIN</t>
  </si>
  <si>
    <t>DIA30 X L135</t>
  </si>
  <si>
    <t>MECH/153</t>
  </si>
  <si>
    <t>MS.PIN</t>
  </si>
  <si>
    <t>DIA30 X L75</t>
  </si>
  <si>
    <t>MECH/154</t>
  </si>
  <si>
    <t>DIA30 X L250</t>
  </si>
  <si>
    <t>MECH/155</t>
  </si>
  <si>
    <t>MS.PIN (COPPER CLAMPING PIN (T 140)</t>
  </si>
  <si>
    <t>MECH/156</t>
  </si>
  <si>
    <t>MECH/157</t>
  </si>
  <si>
    <t>UCP - 210</t>
  </si>
  <si>
    <t>MECH/158</t>
  </si>
  <si>
    <t>MECH/159</t>
  </si>
  <si>
    <t>MECH/160</t>
  </si>
  <si>
    <t>DIA - 40 X L180MM</t>
  </si>
  <si>
    <t>MECH/161</t>
  </si>
  <si>
    <t>BRAIDED HOSE PIPE</t>
  </si>
  <si>
    <t>MECH/162</t>
  </si>
  <si>
    <t>SS.QUARTER PIN</t>
  </si>
  <si>
    <t>6MM</t>
  </si>
  <si>
    <t>MECH/163</t>
  </si>
  <si>
    <t>MECH/164</t>
  </si>
  <si>
    <t>MECH/165</t>
  </si>
  <si>
    <t>GI.NIPPLE</t>
  </si>
  <si>
    <t>30 X 145MM</t>
  </si>
  <si>
    <t>MECH/166</t>
  </si>
  <si>
    <t>30 X 150MM</t>
  </si>
  <si>
    <t>MECH/167</t>
  </si>
  <si>
    <t>45 X 140MM</t>
  </si>
  <si>
    <t>MECH/168</t>
  </si>
  <si>
    <t>55 X 275MM</t>
  </si>
  <si>
    <t>20 X 90MM</t>
  </si>
  <si>
    <t>MECH/172</t>
  </si>
  <si>
    <t>SCREW ROD (BRASS BUSH)</t>
  </si>
  <si>
    <t>MECH/173</t>
  </si>
  <si>
    <t>SKIP HANGING WHEEL</t>
  </si>
  <si>
    <t>MECH/174</t>
  </si>
  <si>
    <t>SHAFT (SKIP HANGING WHEEL)</t>
  </si>
  <si>
    <t>MECH/175</t>
  </si>
  <si>
    <t>SKIP BUCKET SHAFT</t>
  </si>
  <si>
    <t>MECH/176</t>
  </si>
  <si>
    <t>SKIP BUCKET HANDLE PIN</t>
  </si>
  <si>
    <t>MECH/178</t>
  </si>
  <si>
    <t>1000MM X 1000MM</t>
  </si>
  <si>
    <t>MECH/179</t>
  </si>
  <si>
    <t>SOCKET (COPPER)</t>
  </si>
  <si>
    <t>ID57 X OD65 X L200</t>
  </si>
  <si>
    <t>MECH/180</t>
  </si>
  <si>
    <t>SCREW TAKE UP BLOCK</t>
  </si>
  <si>
    <t>(VCT - 210)BEARING</t>
  </si>
  <si>
    <t>MECH/181</t>
  </si>
  <si>
    <t>MECH/182</t>
  </si>
  <si>
    <t>TROLLY WHEEL SHAFT(BQT.STACKING CONVEYOR)</t>
  </si>
  <si>
    <t>SETS</t>
  </si>
  <si>
    <t>MECH/183</t>
  </si>
  <si>
    <t>MECH/184</t>
  </si>
  <si>
    <t>L1530 X DIA60</t>
  </si>
  <si>
    <t>MECH/185</t>
  </si>
  <si>
    <t>MECH/186</t>
  </si>
  <si>
    <t>U.CLAMP(SS)</t>
  </si>
  <si>
    <t>55MM</t>
  </si>
  <si>
    <t>V.PULLY</t>
  </si>
  <si>
    <t>MECH/188</t>
  </si>
  <si>
    <t>V.BELT</t>
  </si>
  <si>
    <t>C-120</t>
  </si>
  <si>
    <t>MECH/190</t>
  </si>
  <si>
    <t>D-286</t>
  </si>
  <si>
    <t>MECH/191</t>
  </si>
  <si>
    <t>B-114 (H-PROOF)</t>
  </si>
  <si>
    <t>MECH/192</t>
  </si>
  <si>
    <t>C-220</t>
  </si>
  <si>
    <t>MECH/194</t>
  </si>
  <si>
    <t>B-186 (H-PROOF)</t>
  </si>
  <si>
    <t>MECH/195</t>
  </si>
  <si>
    <t>(4GROUP)8"</t>
  </si>
  <si>
    <t>MECH/197</t>
  </si>
  <si>
    <t>VARNIER CALIPER</t>
  </si>
  <si>
    <t>MECH/198</t>
  </si>
  <si>
    <t>FIRE BRICKS</t>
  </si>
  <si>
    <t>325 X 150 X 75 / 66SE / A - AL - 75</t>
  </si>
  <si>
    <t>MECH/199</t>
  </si>
  <si>
    <t>230 X 70 X 75 / 69E / A AL - 75</t>
  </si>
  <si>
    <t>MECH/200</t>
  </si>
  <si>
    <t>230 X 45 X 75 / 69E /A AL - 75</t>
  </si>
  <si>
    <t>MECH/201</t>
  </si>
  <si>
    <t>230 X 115 X 75 AL50,230 X 115 X 75 X 69E /A - AL 75</t>
  </si>
  <si>
    <t>MECH/203</t>
  </si>
  <si>
    <t>WELDING ELECTRODES</t>
  </si>
  <si>
    <t>2.5 X 350MM</t>
  </si>
  <si>
    <t>MECH/204</t>
  </si>
  <si>
    <t>3.15 X 450MM</t>
  </si>
  <si>
    <t>MECH/205</t>
  </si>
  <si>
    <t>4MM X 450MM</t>
  </si>
  <si>
    <t>MECH/206</t>
  </si>
  <si>
    <t>WELDING HOLDER</t>
  </si>
  <si>
    <t>MECH/207</t>
  </si>
  <si>
    <t>MECH/208</t>
  </si>
  <si>
    <t>WELDING GLASS WHITE</t>
  </si>
  <si>
    <t>MECH/209</t>
  </si>
  <si>
    <t>WELDING GLASS BLACK</t>
  </si>
  <si>
    <t>MECH/210</t>
  </si>
  <si>
    <t>WELDING HELMET</t>
  </si>
  <si>
    <t>MECH/211</t>
  </si>
  <si>
    <t>MECH/213</t>
  </si>
  <si>
    <t>3.15MM X 350MM(SS.308)</t>
  </si>
  <si>
    <t>MECH/214</t>
  </si>
  <si>
    <t>SSTO MS (309) 4MM</t>
  </si>
  <si>
    <t>MECH/215</t>
  </si>
  <si>
    <t>WELDING MACHINE</t>
  </si>
  <si>
    <t>ESAB</t>
  </si>
  <si>
    <t>MECH/216</t>
  </si>
  <si>
    <t>RECTIFIRE</t>
  </si>
  <si>
    <t>MECH/217</t>
  </si>
  <si>
    <t>B - 76</t>
  </si>
  <si>
    <t>4.0</t>
  </si>
  <si>
    <t>MECH/218</t>
  </si>
  <si>
    <t>V - PULLY</t>
  </si>
  <si>
    <t>SIZE 5" X 2B</t>
  </si>
  <si>
    <t>1.0</t>
  </si>
  <si>
    <t>MECH/220</t>
  </si>
  <si>
    <t>SIZE - 5/8"</t>
  </si>
  <si>
    <t>MECH/221</t>
  </si>
  <si>
    <t>WIRE ROPE</t>
  </si>
  <si>
    <t>MECH/222</t>
  </si>
  <si>
    <t>Miscellaneous</t>
  </si>
  <si>
    <t>MECH/223</t>
  </si>
  <si>
    <t>8800 X 3.15MM</t>
  </si>
  <si>
    <t>1.84</t>
  </si>
  <si>
    <t>MECH/224</t>
  </si>
  <si>
    <t>XUPER BRAZZING ROD</t>
  </si>
  <si>
    <t>16 X FC X 3.15MM</t>
  </si>
  <si>
    <t>5.0</t>
  </si>
  <si>
    <t>MECH/225</t>
  </si>
  <si>
    <t>CADIUM COMPOUND</t>
  </si>
  <si>
    <t>MS. NUT &amp; BOLT</t>
  </si>
  <si>
    <t>MECH/232</t>
  </si>
  <si>
    <t>8 X 40MM</t>
  </si>
  <si>
    <t>MECH/233</t>
  </si>
  <si>
    <t>8 X 50MM</t>
  </si>
  <si>
    <t>MECH/234</t>
  </si>
  <si>
    <t>8 X 75MM</t>
  </si>
  <si>
    <t>MECH/235</t>
  </si>
  <si>
    <t>8 X 100MM</t>
  </si>
  <si>
    <t>10 X 25MM</t>
  </si>
  <si>
    <t>MECH/237</t>
  </si>
  <si>
    <t>10 X 40MM</t>
  </si>
  <si>
    <t>MECH/238</t>
  </si>
  <si>
    <t>10 X 50MM</t>
  </si>
  <si>
    <t>MECH/239</t>
  </si>
  <si>
    <t>10 X 75MM</t>
  </si>
  <si>
    <t>MECH/240</t>
  </si>
  <si>
    <t>10 X 100MM</t>
  </si>
  <si>
    <t>MECH/243</t>
  </si>
  <si>
    <t>12 X 50MM</t>
  </si>
  <si>
    <t>12 X 65MM</t>
  </si>
  <si>
    <t>MECH/245</t>
  </si>
  <si>
    <t>12 X 75MM</t>
  </si>
  <si>
    <t>MECH/246</t>
  </si>
  <si>
    <t>12 X 100MM</t>
  </si>
  <si>
    <t>16 X 30MM</t>
  </si>
  <si>
    <t>MECH/249</t>
  </si>
  <si>
    <t>16 X 40MM</t>
  </si>
  <si>
    <t>MECH/250</t>
  </si>
  <si>
    <t>16 X 50MM</t>
  </si>
  <si>
    <t>MECH/251</t>
  </si>
  <si>
    <t>16 X 75MM</t>
  </si>
  <si>
    <t>MECH/252</t>
  </si>
  <si>
    <t>16 X 90MM</t>
  </si>
  <si>
    <t>16 X 130MM</t>
  </si>
  <si>
    <t>18 X 125MM</t>
  </si>
  <si>
    <t>20 X 70MM</t>
  </si>
  <si>
    <t>MECH/259</t>
  </si>
  <si>
    <t>MECH/261</t>
  </si>
  <si>
    <t>25 X 80 MM</t>
  </si>
  <si>
    <t>HT. NUT &amp; BOLT</t>
  </si>
  <si>
    <t>MECH/273</t>
  </si>
  <si>
    <t>MECH/275</t>
  </si>
  <si>
    <t>10 X 50 MM</t>
  </si>
  <si>
    <t>MECH/281</t>
  </si>
  <si>
    <t>MECH/282</t>
  </si>
  <si>
    <t>MECH/283</t>
  </si>
  <si>
    <t>MECH/285</t>
  </si>
  <si>
    <t>MECH/289</t>
  </si>
  <si>
    <t>MECH/291</t>
  </si>
  <si>
    <t>MECH/293</t>
  </si>
  <si>
    <t>MECH/294</t>
  </si>
  <si>
    <t>MECH/300</t>
  </si>
  <si>
    <t>SS. NUT &amp; BOLT</t>
  </si>
  <si>
    <t>12 X 60MM</t>
  </si>
  <si>
    <t>MECH/301</t>
  </si>
  <si>
    <t>MECH/304</t>
  </si>
  <si>
    <t>16 X 65MM</t>
  </si>
  <si>
    <t>MECH/305</t>
  </si>
  <si>
    <t>16 X 70MM</t>
  </si>
  <si>
    <t>MECH/306</t>
  </si>
  <si>
    <t>16 X 150MM</t>
  </si>
  <si>
    <t>MECH/307</t>
  </si>
  <si>
    <t>PACKING GLAND</t>
  </si>
  <si>
    <t>MECH/308</t>
  </si>
  <si>
    <t>ANABOND (666T - MAX)</t>
  </si>
  <si>
    <t>GM</t>
  </si>
  <si>
    <t>MECH/309</t>
  </si>
  <si>
    <t>MECH/310</t>
  </si>
  <si>
    <t>ROUND MICA</t>
  </si>
  <si>
    <t>DIA - 70MM X THIK 10MM</t>
  </si>
  <si>
    <t>MECH/311</t>
  </si>
  <si>
    <t>MECH/312</t>
  </si>
  <si>
    <t>24MM</t>
  </si>
  <si>
    <t>MECH/313</t>
  </si>
  <si>
    <t>18MM</t>
  </si>
  <si>
    <t>MECH/315</t>
  </si>
  <si>
    <t>1207EK TN9</t>
  </si>
  <si>
    <t>MECH/316</t>
  </si>
  <si>
    <t>6206 - 2Z</t>
  </si>
  <si>
    <t>MECH/317</t>
  </si>
  <si>
    <t>V. BELT</t>
  </si>
  <si>
    <t>XPB - 4250</t>
  </si>
  <si>
    <t>MECH/318</t>
  </si>
  <si>
    <t>BRAZING ROD</t>
  </si>
  <si>
    <t>3.15MM</t>
  </si>
  <si>
    <t>MECH/320</t>
  </si>
  <si>
    <t>CI.NRV</t>
  </si>
  <si>
    <t>MECH/321</t>
  </si>
  <si>
    <t>CI. FOOT VALVE</t>
  </si>
  <si>
    <t>MECH/322</t>
  </si>
  <si>
    <t>WELDING CABLE(COPPER)</t>
  </si>
  <si>
    <t>MECH/323</t>
  </si>
  <si>
    <t>WELDING CABLE (ALUMINIUM)</t>
  </si>
  <si>
    <t>MECH/324</t>
  </si>
  <si>
    <t>MECH/325</t>
  </si>
  <si>
    <t>MECH/326</t>
  </si>
  <si>
    <t>MECH/327</t>
  </si>
  <si>
    <t>MECH/328</t>
  </si>
  <si>
    <t>MECH/329</t>
  </si>
  <si>
    <t>(1.35 KG)</t>
  </si>
  <si>
    <t>MECH/330</t>
  </si>
  <si>
    <t>GI. WIRE ROPE</t>
  </si>
  <si>
    <t>8MM</t>
  </si>
  <si>
    <t>MECH/331</t>
  </si>
  <si>
    <t>MS. BUSH (60HP PUMP)</t>
  </si>
  <si>
    <t>MECH/332</t>
  </si>
  <si>
    <t>(4MM) 7018</t>
  </si>
  <si>
    <t>MECH/333</t>
  </si>
  <si>
    <t>MECH/335</t>
  </si>
  <si>
    <t>V. BELT (ID.FAN 6MVA FURNACE)</t>
  </si>
  <si>
    <t>B. GROUP  3000MM LENGTH (B - 120)</t>
  </si>
  <si>
    <t>MECH/334</t>
  </si>
  <si>
    <t>LB - 16</t>
  </si>
  <si>
    <t>MECH/336</t>
  </si>
  <si>
    <t>LB - 12</t>
  </si>
  <si>
    <t>MECH/337</t>
  </si>
  <si>
    <t>MODEL NO : TTFR - 06 - 115L - 25M. MAX - FLOW :115 LMP, MAX PR. 12 BAR.(MAKE - DEMCOM)</t>
  </si>
  <si>
    <t>MECH/338</t>
  </si>
  <si>
    <t>MECH/339</t>
  </si>
  <si>
    <t xml:space="preserve">BEARING </t>
  </si>
  <si>
    <t>6311 2Z</t>
  </si>
  <si>
    <t>MECH/341</t>
  </si>
  <si>
    <t>U. CLAMP</t>
  </si>
  <si>
    <t>MECH/342</t>
  </si>
  <si>
    <t>MISC/149</t>
  </si>
  <si>
    <t>THREAD (STITCHING BAG)</t>
  </si>
  <si>
    <t>MECH/343</t>
  </si>
  <si>
    <t>6MM X 10MM X 30 LENGTH</t>
  </si>
  <si>
    <t>MECH/344</t>
  </si>
  <si>
    <t>8MM X 12MM X 30MM LENGTH</t>
  </si>
  <si>
    <t>MECH/345</t>
  </si>
  <si>
    <t>STRAIGHT BELT GUIDE ROLLER</t>
  </si>
  <si>
    <t>60 X 50MM</t>
  </si>
  <si>
    <t>MECH/346</t>
  </si>
  <si>
    <t>MECH/348</t>
  </si>
  <si>
    <t>5 TON</t>
  </si>
  <si>
    <t>MECH/349</t>
  </si>
  <si>
    <t>MECH/351</t>
  </si>
  <si>
    <t>(3.15MM) 7018</t>
  </si>
  <si>
    <t>MECH/352</t>
  </si>
  <si>
    <t>(4MM) 308</t>
  </si>
  <si>
    <t>MECH/353</t>
  </si>
  <si>
    <t>(3.15MM) 309</t>
  </si>
  <si>
    <t>MECH/354</t>
  </si>
  <si>
    <t>(4MM) CI</t>
  </si>
  <si>
    <t>MECH/373</t>
  </si>
  <si>
    <t>RIGHT ANGLE</t>
  </si>
  <si>
    <t>MECH/374</t>
  </si>
  <si>
    <t>MECH/375</t>
  </si>
  <si>
    <t>MECH/376</t>
  </si>
  <si>
    <t>36 X 180MM</t>
  </si>
  <si>
    <t>MECH/377</t>
  </si>
  <si>
    <t>MS.NUT</t>
  </si>
  <si>
    <t>30MM</t>
  </si>
  <si>
    <t>MECH/379</t>
  </si>
  <si>
    <t>STEEL SCALE</t>
  </si>
  <si>
    <t>24 INCH</t>
  </si>
  <si>
    <t>MECH/363</t>
  </si>
  <si>
    <t>MECH/364</t>
  </si>
  <si>
    <t>TELFER HOIST WITH PULLY</t>
  </si>
  <si>
    <t>MECH/365</t>
  </si>
  <si>
    <t>SLEEVE</t>
  </si>
  <si>
    <t>H - 211</t>
  </si>
  <si>
    <t>MECH/366</t>
  </si>
  <si>
    <t>A - 30</t>
  </si>
  <si>
    <t>MECH/367</t>
  </si>
  <si>
    <t>H - 313</t>
  </si>
  <si>
    <t>MECH/368</t>
  </si>
  <si>
    <t>MS. PIPE</t>
  </si>
  <si>
    <t>50MM (M)</t>
  </si>
  <si>
    <t>MECH/369</t>
  </si>
  <si>
    <t>SIZE 380MM X 2B</t>
  </si>
  <si>
    <t>MECH/370</t>
  </si>
  <si>
    <t>SOLENOID VALVE</t>
  </si>
  <si>
    <t>CT5-060A-C-M-U-H5-100</t>
  </si>
  <si>
    <t>MECH/371</t>
  </si>
  <si>
    <t>NRV (HYDRAULIC)</t>
  </si>
  <si>
    <t>DT8P1-06-511-IN13</t>
  </si>
  <si>
    <t>MECH/372</t>
  </si>
  <si>
    <t>CI.FOOT VALVE</t>
  </si>
  <si>
    <t>MECH/355</t>
  </si>
  <si>
    <t>AIR COMPRESSOR OIL FILTER</t>
  </si>
  <si>
    <t>PART NO - 2710143250</t>
  </si>
  <si>
    <t>MECH/356</t>
  </si>
  <si>
    <t>125 KVA DG   HOSE PIPE</t>
  </si>
  <si>
    <t>PART NO - 4H.073.02.0.00</t>
  </si>
  <si>
    <t>MECH/357</t>
  </si>
  <si>
    <t>GASKET AIR COMPRESSOR
(FOR AIR OIL SEPARATOR)</t>
  </si>
  <si>
    <t>PART NO - 273.01.448.50</t>
  </si>
  <si>
    <t>MECH/358</t>
  </si>
  <si>
    <t>AIR COMPRESSOR (GASKET AIR IN TANK)</t>
  </si>
  <si>
    <t>PART NO - 273.01.044.50</t>
  </si>
  <si>
    <t>MECH/359</t>
  </si>
  <si>
    <t>GASKET (FOR AIR COMPRESSOR)</t>
  </si>
  <si>
    <t>MECH/360</t>
  </si>
  <si>
    <t>AIR COMPRESSOR (AIR FILTER)</t>
  </si>
  <si>
    <t>PART NO - 273.03772.50</t>
  </si>
  <si>
    <t>MECH/361</t>
  </si>
  <si>
    <t>AIR COMPRESSOR (AIR OIL SEPARATOR ELEMENT MANN  A)</t>
  </si>
  <si>
    <t>PART NO - 273.01.444.50</t>
  </si>
  <si>
    <t>MECH/388</t>
  </si>
  <si>
    <t>WIRE ROPE (PLASTIC COATED)</t>
  </si>
  <si>
    <t>6 MM</t>
  </si>
  <si>
    <t>MECH/380</t>
  </si>
  <si>
    <t>HT.ALLEN BOLT</t>
  </si>
  <si>
    <t>12 X 90MM</t>
  </si>
  <si>
    <t>MECH/381</t>
  </si>
  <si>
    <t>5 X 65MM</t>
  </si>
  <si>
    <t>MECH/382</t>
  </si>
  <si>
    <t>5 X 30MM</t>
  </si>
  <si>
    <t>MECH/383</t>
  </si>
  <si>
    <t>MECH/384</t>
  </si>
  <si>
    <t>24 X 120MM</t>
  </si>
  <si>
    <t>MECH/385</t>
  </si>
  <si>
    <t>MS.BEND (LONG)</t>
  </si>
  <si>
    <t>MECH/386</t>
  </si>
  <si>
    <t>SLATE PENCIL</t>
  </si>
  <si>
    <t>MECH/387</t>
  </si>
  <si>
    <t>CHALK</t>
  </si>
  <si>
    <t>MECH/389</t>
  </si>
  <si>
    <t>COUPLING RUBBER BUSH</t>
  </si>
  <si>
    <t>10 X 65MM</t>
  </si>
  <si>
    <t>MECH/390</t>
  </si>
  <si>
    <t>COUPLING RUBBER BUSH WITH 
NUT &amp; BOLT</t>
  </si>
  <si>
    <t>MECH/391</t>
  </si>
  <si>
    <t>12 X 80MM</t>
  </si>
  <si>
    <t>MECH/392</t>
  </si>
  <si>
    <t>LP BUTTER FLY VALVE</t>
  </si>
  <si>
    <t>Sl. No.</t>
  </si>
  <si>
    <t>Rate</t>
  </si>
  <si>
    <t>Amount</t>
  </si>
  <si>
    <t>BALIAPAL FERRO-CHROME PLANT</t>
  </si>
  <si>
    <t>OF M/S. B.C. MOHANTY &amp; SONS (P) LTD.</t>
  </si>
  <si>
    <t>ELE/028</t>
  </si>
  <si>
    <t>RELAY</t>
  </si>
  <si>
    <t>LRD-06 (1-1.6A)</t>
  </si>
  <si>
    <t>Electrical</t>
  </si>
  <si>
    <t>0.0</t>
  </si>
  <si>
    <t>ELE/029</t>
  </si>
  <si>
    <t>6.0</t>
  </si>
  <si>
    <t>ELE/030</t>
  </si>
  <si>
    <t>COIL-110V 50HZ/132V 60HZ(3TF-30,01-0A-0AFO)</t>
  </si>
  <si>
    <t>9.0</t>
  </si>
  <si>
    <t>ELE/031</t>
  </si>
  <si>
    <t>MN - 2</t>
  </si>
  <si>
    <t>RANGE-(6 - 10)</t>
  </si>
  <si>
    <t>ELE/032</t>
  </si>
  <si>
    <t>RANGE20 - 33A0</t>
  </si>
  <si>
    <t>2.0</t>
  </si>
  <si>
    <t>ELE/033</t>
  </si>
  <si>
    <t>RANGE1.4 - 2.3A</t>
  </si>
  <si>
    <t>ELE/034</t>
  </si>
  <si>
    <t>MN -2</t>
  </si>
  <si>
    <t>RANGE4.5 - 7.5A</t>
  </si>
  <si>
    <t>ELE/035</t>
  </si>
  <si>
    <t>RANGE(9 - 15)</t>
  </si>
  <si>
    <t>ELE/036</t>
  </si>
  <si>
    <t>RANGE(3.0 - 5.0A)</t>
  </si>
  <si>
    <t>ELE/037</t>
  </si>
  <si>
    <t>SMPS</t>
  </si>
  <si>
    <t>ELE/038</t>
  </si>
  <si>
    <t>MXO   22E</t>
  </si>
  <si>
    <t>CONTACTOR RELAY,UPTO   415V   50/60HZ</t>
  </si>
  <si>
    <t>ELE/039</t>
  </si>
  <si>
    <t>MNX - 12</t>
  </si>
  <si>
    <t>COIL VOLTAGE - 240V.50HZ</t>
  </si>
  <si>
    <t>8.0</t>
  </si>
  <si>
    <t>ELE/040</t>
  </si>
  <si>
    <t>MNX - 25</t>
  </si>
  <si>
    <t>COIL VOLTAGE - 240V</t>
  </si>
  <si>
    <t>ELE/041</t>
  </si>
  <si>
    <t>MNX - 18</t>
  </si>
  <si>
    <t>500V</t>
  </si>
  <si>
    <t>10.0</t>
  </si>
  <si>
    <t>ELE/042</t>
  </si>
  <si>
    <t>MNX - 32</t>
  </si>
  <si>
    <t>220V</t>
  </si>
  <si>
    <t>ELE/043</t>
  </si>
  <si>
    <t>AUXILIARY CONTACT BLOCK</t>
  </si>
  <si>
    <t>3TF3/3TH3,CONTACTOR  1NO(WITH BLUE SLIDER</t>
  </si>
  <si>
    <t>ELE/044</t>
  </si>
  <si>
    <t>MNX - A2</t>
  </si>
  <si>
    <t>ELE/045</t>
  </si>
  <si>
    <t>MX - A1 - 22E</t>
  </si>
  <si>
    <t>ELE/046</t>
  </si>
  <si>
    <t>ELE/047</t>
  </si>
  <si>
    <t>CONTACTOR</t>
  </si>
  <si>
    <t>ELE/048</t>
  </si>
  <si>
    <t>TERMINAL BLOCK MELAMINE</t>
  </si>
  <si>
    <t>2.5/4</t>
  </si>
  <si>
    <t>206.0</t>
  </si>
  <si>
    <t>ELE/049</t>
  </si>
  <si>
    <t>CLIP - ON  TYPE  TERMINAL</t>
  </si>
  <si>
    <t>1.5 - 6</t>
  </si>
  <si>
    <t>45.0</t>
  </si>
  <si>
    <t>ELE/050</t>
  </si>
  <si>
    <t>CONTACT BLOCK</t>
  </si>
  <si>
    <t>1 NC</t>
  </si>
  <si>
    <t>ELE/051</t>
  </si>
  <si>
    <t>1 NO</t>
  </si>
  <si>
    <t>18.0</t>
  </si>
  <si>
    <t>ELE/052</t>
  </si>
  <si>
    <t>MNX - 45</t>
  </si>
  <si>
    <t>240V, (2NO+2NC)</t>
  </si>
  <si>
    <t>3.0</t>
  </si>
  <si>
    <t>ELE/053</t>
  </si>
  <si>
    <t>MNX - 70</t>
  </si>
  <si>
    <t>240V,(2NO+2NC)</t>
  </si>
  <si>
    <t>ELE/054</t>
  </si>
  <si>
    <t>HRC FUSE LINK</t>
  </si>
  <si>
    <t>125 A</t>
  </si>
  <si>
    <t>15.0</t>
  </si>
  <si>
    <t>ELE/055</t>
  </si>
  <si>
    <t>160A</t>
  </si>
  <si>
    <t>ELE/056</t>
  </si>
  <si>
    <t>HBC FUSE LINK</t>
  </si>
  <si>
    <t>125A</t>
  </si>
  <si>
    <t>13.0</t>
  </si>
  <si>
    <t>ELE/057</t>
  </si>
  <si>
    <t>CUT OUT</t>
  </si>
  <si>
    <t>23A</t>
  </si>
  <si>
    <t>ELE/058</t>
  </si>
  <si>
    <t>400A</t>
  </si>
  <si>
    <t>ELE/059</t>
  </si>
  <si>
    <t>100A</t>
  </si>
  <si>
    <t>24.0</t>
  </si>
  <si>
    <t>ELE/060</t>
  </si>
  <si>
    <t>200A</t>
  </si>
  <si>
    <t>ELE/061</t>
  </si>
  <si>
    <t>ELE/062</t>
  </si>
  <si>
    <t>16.0</t>
  </si>
  <si>
    <t>ELE/063</t>
  </si>
  <si>
    <t>ELE/064</t>
  </si>
  <si>
    <t>63A(TYPE  HF)</t>
  </si>
  <si>
    <t>55.0</t>
  </si>
  <si>
    <t>ELE/065</t>
  </si>
  <si>
    <t>2A(TYPE HG)    BOLTED TYPE</t>
  </si>
  <si>
    <t>ELE/066</t>
  </si>
  <si>
    <t>4A(TYPE - HG)</t>
  </si>
  <si>
    <t>ELE/067</t>
  </si>
  <si>
    <t xml:space="preserve">HRC FUSE LINK </t>
  </si>
  <si>
    <t>32A (TYPE - HF)</t>
  </si>
  <si>
    <t>ELE/068</t>
  </si>
  <si>
    <t>32A (TYPE - HG)</t>
  </si>
  <si>
    <t>33.0</t>
  </si>
  <si>
    <t>ELE/069</t>
  </si>
  <si>
    <t>10A (TYPE - HG)</t>
  </si>
  <si>
    <t>ELE/070</t>
  </si>
  <si>
    <t>6A(TYPE - HG)</t>
  </si>
  <si>
    <t>ELE/071</t>
  </si>
  <si>
    <t>20A (TYPE - HG)</t>
  </si>
  <si>
    <t>ELE/072</t>
  </si>
  <si>
    <t>6A (TYPE - HF)</t>
  </si>
  <si>
    <t>ELE/073</t>
  </si>
  <si>
    <t>16A (TYPE - HG)</t>
  </si>
  <si>
    <t>ELE/074</t>
  </si>
  <si>
    <t>10A (TYPE - HF)</t>
  </si>
  <si>
    <t>ELE/075</t>
  </si>
  <si>
    <t>MCB - DISTRIBUTION BOARD</t>
  </si>
  <si>
    <t>240VAC,DB  SPN   12W,SD   QVE  (RG)</t>
  </si>
  <si>
    <t>ELE/076</t>
  </si>
  <si>
    <t>MCB  DISTRIBUTION BOARD</t>
  </si>
  <si>
    <t>DB - SPN  4W  DD  QVE(RG)</t>
  </si>
  <si>
    <t>ELE/077</t>
  </si>
  <si>
    <t xml:space="preserve">  ON  LOAD  CHANGE OVER</t>
  </si>
  <si>
    <t>100A/415V/4P</t>
  </si>
  <si>
    <t>ELE/078</t>
  </si>
  <si>
    <t>TPN   MAIN SWITCH</t>
  </si>
  <si>
    <t>63AMP</t>
  </si>
  <si>
    <t>ELE/079</t>
  </si>
  <si>
    <t>MCB BOX (12WAY)</t>
  </si>
  <si>
    <t>DOUBLE DOOR</t>
  </si>
  <si>
    <t>ELE/080</t>
  </si>
  <si>
    <t>2 CORE X 1.50 SQMM)</t>
  </si>
  <si>
    <t>ELE/081</t>
  </si>
  <si>
    <t>SERVICE WIRE</t>
  </si>
  <si>
    <t>4MM</t>
  </si>
  <si>
    <t>100.0</t>
  </si>
  <si>
    <t>ELE/082</t>
  </si>
  <si>
    <t>1.50SQMM</t>
  </si>
  <si>
    <t>900.0</t>
  </si>
  <si>
    <t>ELE/083</t>
  </si>
  <si>
    <t>MCB</t>
  </si>
  <si>
    <t>C10 (1P)</t>
  </si>
  <si>
    <t>7.0</t>
  </si>
  <si>
    <t>ELE/084</t>
  </si>
  <si>
    <t>C32 (2P)</t>
  </si>
  <si>
    <t>ELE/085</t>
  </si>
  <si>
    <t>ELE/086</t>
  </si>
  <si>
    <t>C40(3P)</t>
  </si>
  <si>
    <t>ELE/087</t>
  </si>
  <si>
    <t>RCCB</t>
  </si>
  <si>
    <t>32 AMP(2P)</t>
  </si>
  <si>
    <t>ELE/088</t>
  </si>
  <si>
    <t>C6 (2P)</t>
  </si>
  <si>
    <t>ELE/089</t>
  </si>
  <si>
    <t>63AMP(3P)10A</t>
  </si>
  <si>
    <t>ELE/090</t>
  </si>
  <si>
    <t>63AMP (4P)10A</t>
  </si>
  <si>
    <t>ELE/091</t>
  </si>
  <si>
    <t>C32 (3P)</t>
  </si>
  <si>
    <t>ELE/092</t>
  </si>
  <si>
    <t>C32 (4P)</t>
  </si>
  <si>
    <t>ELE/093</t>
  </si>
  <si>
    <t>C20(3P)</t>
  </si>
  <si>
    <t>ELE/094</t>
  </si>
  <si>
    <t>C10 (2P)</t>
  </si>
  <si>
    <t>ELE/095</t>
  </si>
  <si>
    <t>C10(3P)</t>
  </si>
  <si>
    <t>ELE/096</t>
  </si>
  <si>
    <t>63A (4P)</t>
  </si>
  <si>
    <t>ELE/097</t>
  </si>
  <si>
    <t>40A(4P)</t>
  </si>
  <si>
    <t>ELE/098</t>
  </si>
  <si>
    <t>ELECRTIC HAND GLOVES</t>
  </si>
  <si>
    <t>11000V</t>
  </si>
  <si>
    <t>pair</t>
  </si>
  <si>
    <t>ELE/099</t>
  </si>
  <si>
    <t>TYPE - BC-01-293-GGG</t>
  </si>
  <si>
    <t>ELE/100</t>
  </si>
  <si>
    <t>CLAMPING TOOLS</t>
  </si>
  <si>
    <t>0.5MM TO6MM</t>
  </si>
  <si>
    <t>ELE/101</t>
  </si>
  <si>
    <t>AMPIR MITTER</t>
  </si>
  <si>
    <t>500A</t>
  </si>
  <si>
    <t>ELE/102</t>
  </si>
  <si>
    <t>AMPIRE MITTER</t>
  </si>
  <si>
    <t>300A</t>
  </si>
  <si>
    <t>ELE/103</t>
  </si>
  <si>
    <t>VOLT MITTER</t>
  </si>
  <si>
    <t>ELE/104</t>
  </si>
  <si>
    <t>300V</t>
  </si>
  <si>
    <t>ELE/105</t>
  </si>
  <si>
    <t>PANNEL MITTER(132)  VAR</t>
  </si>
  <si>
    <t>ELE/106</t>
  </si>
  <si>
    <t>PANNEL MITTER (132)W</t>
  </si>
  <si>
    <t>ELE/107</t>
  </si>
  <si>
    <t>MULTI  FUNCTION MITTER</t>
  </si>
  <si>
    <t>CODE - WL4400</t>
  </si>
  <si>
    <t>ELE/108</t>
  </si>
  <si>
    <t>AMMETER (SINGLE FUNCTION MITTER)</t>
  </si>
  <si>
    <t>ELE/109</t>
  </si>
  <si>
    <t>MW   MITTER</t>
  </si>
  <si>
    <t>CODE - 30002568</t>
  </si>
  <si>
    <t>ELE/110</t>
  </si>
  <si>
    <t>PANNEL BUZZER</t>
  </si>
  <si>
    <t>ELE/111</t>
  </si>
  <si>
    <t>(C6)3P+N</t>
  </si>
  <si>
    <t>ELE/112</t>
  </si>
  <si>
    <t>C16(2P)</t>
  </si>
  <si>
    <t>ELE/113</t>
  </si>
  <si>
    <t>SCREW DRIVER</t>
  </si>
  <si>
    <t>ELE/114</t>
  </si>
  <si>
    <t>ELE/115</t>
  </si>
  <si>
    <t>CHOKE</t>
  </si>
  <si>
    <t>250W</t>
  </si>
  <si>
    <t>ELE/116</t>
  </si>
  <si>
    <t>70W</t>
  </si>
  <si>
    <t>ELE/117</t>
  </si>
  <si>
    <t>150W</t>
  </si>
  <si>
    <t>ELE/118</t>
  </si>
  <si>
    <t>CABLE TIES</t>
  </si>
  <si>
    <t>ELE/119</t>
  </si>
  <si>
    <t>ELE/120</t>
  </si>
  <si>
    <t>250MM</t>
  </si>
  <si>
    <t>ELE/121</t>
  </si>
  <si>
    <t>400W</t>
  </si>
  <si>
    <t>ELE/122</t>
  </si>
  <si>
    <t>STARTER (TUBE LIGHT)</t>
  </si>
  <si>
    <t>ELE/123</t>
  </si>
  <si>
    <t>CAPACITOR</t>
  </si>
  <si>
    <t>42MFD</t>
  </si>
  <si>
    <t>ELE/124</t>
  </si>
  <si>
    <t>20MFD</t>
  </si>
  <si>
    <t>11.0</t>
  </si>
  <si>
    <t>ELE/125</t>
  </si>
  <si>
    <t>33MFD</t>
  </si>
  <si>
    <t>ELE/126</t>
  </si>
  <si>
    <t>10 MFD</t>
  </si>
  <si>
    <t>ELE/127</t>
  </si>
  <si>
    <t>CARBON BRUSH SET</t>
  </si>
  <si>
    <t>AG - 4 (PART NO-1607.014.145)</t>
  </si>
  <si>
    <t>ELE/128</t>
  </si>
  <si>
    <t>AG - 7(1607.014.171)</t>
  </si>
  <si>
    <t>ELE129</t>
  </si>
  <si>
    <t>SATTO SWITCH</t>
  </si>
  <si>
    <t>ELE/130</t>
  </si>
  <si>
    <t>ROTARY  SWITCH</t>
  </si>
  <si>
    <t>AMP-6,TYPE-6,POLES-2,WAY-ON/OFF</t>
  </si>
  <si>
    <t>17.0</t>
  </si>
  <si>
    <t>ELE/131</t>
  </si>
  <si>
    <t>WAY-2</t>
  </si>
  <si>
    <t>ELE/132</t>
  </si>
  <si>
    <t>EMERGENCY SWITCH</t>
  </si>
  <si>
    <t>ELE/133</t>
  </si>
  <si>
    <t>ELECTRONICS CHOKE</t>
  </si>
  <si>
    <t>40W</t>
  </si>
  <si>
    <t>20.0</t>
  </si>
  <si>
    <t>ELE/134</t>
  </si>
  <si>
    <t>PUSH BOTTON STATION</t>
  </si>
  <si>
    <t>1 WAY</t>
  </si>
  <si>
    <t>ELE/135</t>
  </si>
  <si>
    <t>KEY TYPE</t>
  </si>
  <si>
    <t>ELE/136</t>
  </si>
  <si>
    <t>2.5 MFD</t>
  </si>
  <si>
    <t>ELE/137</t>
  </si>
  <si>
    <t>ELE/138</t>
  </si>
  <si>
    <t>30MFD</t>
  </si>
  <si>
    <t>ELE/139</t>
  </si>
  <si>
    <t>ELE/140</t>
  </si>
  <si>
    <t>PANNEL PUSH BOTTOM</t>
  </si>
  <si>
    <t>ELE/141</t>
  </si>
  <si>
    <t>IGNATOR</t>
  </si>
  <si>
    <t>ELE/142</t>
  </si>
  <si>
    <t>HOLDER</t>
  </si>
  <si>
    <t>400WATT</t>
  </si>
  <si>
    <t>ELE/143</t>
  </si>
  <si>
    <t>PANNEL PUSH BOTTOM SWITCH</t>
  </si>
  <si>
    <t>ELE/144</t>
  </si>
  <si>
    <t>ELE/145</t>
  </si>
  <si>
    <t>MODULAR CONTACT BLOCK</t>
  </si>
  <si>
    <t>ELE/146</t>
  </si>
  <si>
    <t>LED PANNEL INDICATOR</t>
  </si>
  <si>
    <t>AC - 220V (BLUE</t>
  </si>
  <si>
    <t>ELE/147</t>
  </si>
  <si>
    <t>220V  AC (GREEN)</t>
  </si>
  <si>
    <t>ELE/148</t>
  </si>
  <si>
    <t>AC - 240V</t>
  </si>
  <si>
    <t>22.0</t>
  </si>
  <si>
    <t>ELE/149</t>
  </si>
  <si>
    <t>220V (AC/DC)</t>
  </si>
  <si>
    <t>ELE/150</t>
  </si>
  <si>
    <t>110V  (ACDC)</t>
  </si>
  <si>
    <t>ELE/151</t>
  </si>
  <si>
    <t>ROTARY LIMIT SWITCH</t>
  </si>
  <si>
    <t>415V,AMP - 40 (TYPE-GRLS/48/2SH)</t>
  </si>
  <si>
    <t>ELE/152</t>
  </si>
  <si>
    <t>OIL TIGHT LIMIT SWITCH</t>
  </si>
  <si>
    <t>(AC - 15,DC - 13)</t>
  </si>
  <si>
    <t>ELE/153</t>
  </si>
  <si>
    <t>LIMIT SWITCH</t>
  </si>
  <si>
    <t>(TYPE - LS/2SH/2)</t>
  </si>
  <si>
    <t>ELE/154</t>
  </si>
  <si>
    <t>415V,AMP - 10 (TYPE - GRLS/48/2SH)</t>
  </si>
  <si>
    <t>ELE/155</t>
  </si>
  <si>
    <t>TUBE LIGHT</t>
  </si>
  <si>
    <t>20WATT</t>
  </si>
  <si>
    <t>ELE/156</t>
  </si>
  <si>
    <t>LED FLOOD LIGHT</t>
  </si>
  <si>
    <t>ELE/157</t>
  </si>
  <si>
    <t>LED RECESS PANEL</t>
  </si>
  <si>
    <t>18WATT</t>
  </si>
  <si>
    <t>ELE/158</t>
  </si>
  <si>
    <t>150WATT</t>
  </si>
  <si>
    <t>ELE/159</t>
  </si>
  <si>
    <t>H.P.S.V.  LAMP</t>
  </si>
  <si>
    <t>70 W</t>
  </si>
  <si>
    <t>ELE/160</t>
  </si>
  <si>
    <t>H.P.S.V  LAMP</t>
  </si>
  <si>
    <t>ELE/161</t>
  </si>
  <si>
    <t>ELE/162</t>
  </si>
  <si>
    <t>H.P.S.V-T    LAMP</t>
  </si>
  <si>
    <t>ELE/163</t>
  </si>
  <si>
    <t>H.P.S.V-T   LAMP</t>
  </si>
  <si>
    <t>ELE/164</t>
  </si>
  <si>
    <t>PL - C - 2P   LAMP</t>
  </si>
  <si>
    <t>18W</t>
  </si>
  <si>
    <t>ELE/165</t>
  </si>
  <si>
    <t>PL - S  2P   LAMP</t>
  </si>
  <si>
    <t>11W</t>
  </si>
  <si>
    <t>ELE/166</t>
  </si>
  <si>
    <t>PL-L   4P  LAMP</t>
  </si>
  <si>
    <t>36W</t>
  </si>
  <si>
    <t>ELE/167</t>
  </si>
  <si>
    <t>LED LIGHT</t>
  </si>
  <si>
    <t>9W (LENGTH - 60CM)</t>
  </si>
  <si>
    <t>ELE/168</t>
  </si>
  <si>
    <t>HALOGEN LAMP</t>
  </si>
  <si>
    <t>1000W</t>
  </si>
  <si>
    <t>ELE/169</t>
  </si>
  <si>
    <t>MH LAMP</t>
  </si>
  <si>
    <t>ELE/170</t>
  </si>
  <si>
    <t>CRC</t>
  </si>
  <si>
    <t>(2 - 26)</t>
  </si>
  <si>
    <t>ELE/171</t>
  </si>
  <si>
    <t>PL - L   4P    LAMP</t>
  </si>
  <si>
    <t>ELE/172</t>
  </si>
  <si>
    <t>TUBE LIGHT STAND</t>
  </si>
  <si>
    <t>36 W</t>
  </si>
  <si>
    <t>ELE/173</t>
  </si>
  <si>
    <t>ELE/174</t>
  </si>
  <si>
    <t xml:space="preserve">CELLING LIGHT </t>
  </si>
  <si>
    <t>18W  (PL-LAMP)</t>
  </si>
  <si>
    <t>ELE175</t>
  </si>
  <si>
    <t>SUN DOWN LIGHT</t>
  </si>
  <si>
    <t>ELE/176</t>
  </si>
  <si>
    <t>GLASS LIGHT</t>
  </si>
  <si>
    <t>ELE/177</t>
  </si>
  <si>
    <t>POWER PACK WITH BATTERY</t>
  </si>
  <si>
    <t>ELE/178</t>
  </si>
  <si>
    <t>TYPE-S-72M,SIZE-7INCH,DUTY-INTR,V-415,HZ-50</t>
  </si>
  <si>
    <t>ELE/179</t>
  </si>
  <si>
    <t>BRAKE DRUM  AC - 50D7</t>
  </si>
  <si>
    <t>BREAK SIZE - 7INCH</t>
  </si>
  <si>
    <t>ELE/180</t>
  </si>
  <si>
    <t>HEATLESS ADSORPTION DRYER</t>
  </si>
  <si>
    <t>SDC - 04</t>
  </si>
  <si>
    <t>ELE/181</t>
  </si>
  <si>
    <t>CABLE GLAND</t>
  </si>
  <si>
    <t>CBW-7</t>
  </si>
  <si>
    <t>ELE/182</t>
  </si>
  <si>
    <t>CBW-6</t>
  </si>
  <si>
    <t>ELE/183</t>
  </si>
  <si>
    <t>CBW - 01S</t>
  </si>
  <si>
    <t>69.0</t>
  </si>
  <si>
    <t>ELE/184</t>
  </si>
  <si>
    <t>CBW - 02</t>
  </si>
  <si>
    <t>ELE/185</t>
  </si>
  <si>
    <t>CBW - 013</t>
  </si>
  <si>
    <t>ELE/186</t>
  </si>
  <si>
    <t>CBW - 012</t>
  </si>
  <si>
    <t>ELE/187</t>
  </si>
  <si>
    <t>CBW - 011</t>
  </si>
  <si>
    <t>ELE/188</t>
  </si>
  <si>
    <t>MCI - 82MM</t>
  </si>
  <si>
    <t>ELE/189</t>
  </si>
  <si>
    <t>CBW - 03</t>
  </si>
  <si>
    <t>ELE/190</t>
  </si>
  <si>
    <t>CBW - 04</t>
  </si>
  <si>
    <t>ELE/191</t>
  </si>
  <si>
    <t>ELE/192</t>
  </si>
  <si>
    <t>MCI - 32MM</t>
  </si>
  <si>
    <t>ELE/193</t>
  </si>
  <si>
    <t>MCI - 25MM</t>
  </si>
  <si>
    <t>ELE/194</t>
  </si>
  <si>
    <t>MCI - 19MM</t>
  </si>
  <si>
    <t>180.0</t>
  </si>
  <si>
    <t>ELE/195</t>
  </si>
  <si>
    <t>MCI - 22MM</t>
  </si>
  <si>
    <t>ELE/196</t>
  </si>
  <si>
    <t>MCI - 70MM</t>
  </si>
  <si>
    <t>ELE/197</t>
  </si>
  <si>
    <t>MCI - 63MM</t>
  </si>
  <si>
    <t>ELE/198</t>
  </si>
  <si>
    <t>TRANSFORMER</t>
  </si>
  <si>
    <t>415VA/110VA</t>
  </si>
  <si>
    <t>ELE/199</t>
  </si>
  <si>
    <t>440VA/110VA</t>
  </si>
  <si>
    <t>ELE/200</t>
  </si>
  <si>
    <t>PVC GLAND</t>
  </si>
  <si>
    <t>PG - 16</t>
  </si>
  <si>
    <t>ELE/201</t>
  </si>
  <si>
    <t>PVC  GLAND</t>
  </si>
  <si>
    <t>PG - 21</t>
  </si>
  <si>
    <t>ELE/202</t>
  </si>
  <si>
    <t>PVC..GLAND</t>
  </si>
  <si>
    <t>PG-13.5</t>
  </si>
  <si>
    <t>ELE/203</t>
  </si>
  <si>
    <t>ALUMINIUM LUGS</t>
  </si>
  <si>
    <t>400</t>
  </si>
  <si>
    <t>ELE/204</t>
  </si>
  <si>
    <t>70</t>
  </si>
  <si>
    <t>ELE/205</t>
  </si>
  <si>
    <t>300</t>
  </si>
  <si>
    <t>ELE/206</t>
  </si>
  <si>
    <t>PVC.GLAND</t>
  </si>
  <si>
    <t>PG-11</t>
  </si>
  <si>
    <t>ELE/208</t>
  </si>
  <si>
    <t>COPPER LUGS  PIN TYPE</t>
  </si>
  <si>
    <t>25</t>
  </si>
  <si>
    <t>ELE/209</t>
  </si>
  <si>
    <t>35</t>
  </si>
  <si>
    <t>ELE/210</t>
  </si>
  <si>
    <t xml:space="preserve">COPPER LUGS  </t>
  </si>
  <si>
    <t>RING TYPE (25)</t>
  </si>
  <si>
    <t>ELE/211</t>
  </si>
  <si>
    <t>COPPER LUGS</t>
  </si>
  <si>
    <t>PIN TYPE (6)</t>
  </si>
  <si>
    <t>RING TYPE (16)</t>
  </si>
  <si>
    <t>ELE/213</t>
  </si>
  <si>
    <t>10</t>
  </si>
  <si>
    <t>ELE/214</t>
  </si>
  <si>
    <t>PIN TYPE  (1.5)</t>
  </si>
  <si>
    <t>65.0</t>
  </si>
  <si>
    <t>ELE/215</t>
  </si>
  <si>
    <t>RING TYPE  (2.5)</t>
  </si>
  <si>
    <t>ELE/216</t>
  </si>
  <si>
    <t>ANNUNCIATATOR</t>
  </si>
  <si>
    <t>ELE/217</t>
  </si>
  <si>
    <t>SOLEN OIL VALVE(AIR COM PRESSOR)</t>
  </si>
  <si>
    <t>PART - NO-246.02.043.50 (KIRLOSKAR)</t>
  </si>
  <si>
    <t>ELE/218</t>
  </si>
  <si>
    <t>TEMPRETURE SENSOR (AIR COMPRESSOR)</t>
  </si>
  <si>
    <t>PART-NO-2740527650 (KIRLOSKAR)</t>
  </si>
  <si>
    <t>ELE/219</t>
  </si>
  <si>
    <t>CELLING FAN</t>
  </si>
  <si>
    <t>ELE/220</t>
  </si>
  <si>
    <t>3 CORE X 2.50 SQMM</t>
  </si>
  <si>
    <t>ELE/221</t>
  </si>
  <si>
    <t>3 CORE X 1.5 SQMM</t>
  </si>
  <si>
    <t>50.0</t>
  </si>
  <si>
    <t>ELE/222</t>
  </si>
  <si>
    <t>1 CORE X 25 SQMM</t>
  </si>
  <si>
    <t>ELE/223</t>
  </si>
  <si>
    <t>COIL - 415V</t>
  </si>
  <si>
    <t>ELE/224</t>
  </si>
  <si>
    <t>SFU  TPN</t>
  </si>
  <si>
    <t>32AMP</t>
  </si>
  <si>
    <t>ELE/225</t>
  </si>
  <si>
    <t>DL.STARTER</t>
  </si>
  <si>
    <t>5.5  TO7.5</t>
  </si>
  <si>
    <t>ELE/227</t>
  </si>
  <si>
    <t>CASING PIPE</t>
  </si>
  <si>
    <t>ELE/228</t>
  </si>
  <si>
    <t>PVC PIPE</t>
  </si>
  <si>
    <t>ELE/229</t>
  </si>
  <si>
    <t>LA</t>
  </si>
  <si>
    <t>120/3ELA  C  3625  (CG  MAKE  120KV  40KA   CLASS - 111</t>
  </si>
  <si>
    <t>ELE/230</t>
  </si>
  <si>
    <t>MX - A1</t>
  </si>
  <si>
    <t>4NO+4NC</t>
  </si>
  <si>
    <t>ELE/231</t>
  </si>
  <si>
    <t>SOC  PENDENT : SV/12D</t>
  </si>
  <si>
    <t>SAFE -LIFT(10+2) WITH MECH.INERLOCK +1EMG STOP+  START/ALARM,DOUBLE ROW</t>
  </si>
  <si>
    <t>ELE/001</t>
  </si>
  <si>
    <t>PVC.BOX</t>
  </si>
  <si>
    <t>8" X 10"</t>
  </si>
  <si>
    <t>ELE/002</t>
  </si>
  <si>
    <t>4" X 10"</t>
  </si>
  <si>
    <t>ELE/003</t>
  </si>
  <si>
    <t>4"X 4"</t>
  </si>
  <si>
    <t>ELE/004</t>
  </si>
  <si>
    <t>3.5"X 6"</t>
  </si>
  <si>
    <t>ELE/005</t>
  </si>
  <si>
    <t>MODULAR PVC BOX</t>
  </si>
  <si>
    <t>8 OR9</t>
  </si>
  <si>
    <t>ELE/006</t>
  </si>
  <si>
    <t>MODULAR COVER PLATE</t>
  </si>
  <si>
    <t>2M</t>
  </si>
  <si>
    <t>12.0</t>
  </si>
  <si>
    <t>ELE/007</t>
  </si>
  <si>
    <t>3M</t>
  </si>
  <si>
    <t>ELE/008</t>
  </si>
  <si>
    <t>4M</t>
  </si>
  <si>
    <t>ELE/009</t>
  </si>
  <si>
    <t>MODULAR OUTER PLATE</t>
  </si>
  <si>
    <t>1 - 2M</t>
  </si>
  <si>
    <t>ELE/010</t>
  </si>
  <si>
    <t>MODULAR SOCKET</t>
  </si>
  <si>
    <t>16AMP</t>
  </si>
  <si>
    <t>ELE/011</t>
  </si>
  <si>
    <t>MODULAR 10AX SWITCH</t>
  </si>
  <si>
    <t>TWO WAY</t>
  </si>
  <si>
    <t>ELE/012</t>
  </si>
  <si>
    <t>MODULAR TV SOCKET</t>
  </si>
  <si>
    <t>ELE/013</t>
  </si>
  <si>
    <t>8M</t>
  </si>
  <si>
    <t>ELE/014</t>
  </si>
  <si>
    <t>WOODEN BOX</t>
  </si>
  <si>
    <t>3.5" X 6"</t>
  </si>
  <si>
    <t>ELE/015</t>
  </si>
  <si>
    <t>12" X 8"</t>
  </si>
  <si>
    <t>ELE/016</t>
  </si>
  <si>
    <t>RJ. COVER BOX</t>
  </si>
  <si>
    <t>23.0</t>
  </si>
  <si>
    <t>ELE/017</t>
  </si>
  <si>
    <t>COVER PLATE (PLY)</t>
  </si>
  <si>
    <t>4.5" X 4.5"</t>
  </si>
  <si>
    <t>ELE/018</t>
  </si>
  <si>
    <t>7"X 4.5"</t>
  </si>
  <si>
    <t>ELE/019</t>
  </si>
  <si>
    <t xml:space="preserve">3 PIN PLUG TOP </t>
  </si>
  <si>
    <t>6A</t>
  </si>
  <si>
    <t>ELE/020</t>
  </si>
  <si>
    <t>FAN REGULATOR</t>
  </si>
  <si>
    <t>ELE/021</t>
  </si>
  <si>
    <t>SWITCH</t>
  </si>
  <si>
    <t>ELE/022</t>
  </si>
  <si>
    <t>SOCKET</t>
  </si>
  <si>
    <t>ELE/023</t>
  </si>
  <si>
    <t>CELLING ROSE</t>
  </si>
  <si>
    <t>ELE/024</t>
  </si>
  <si>
    <t>20A</t>
  </si>
  <si>
    <t>ELE/025</t>
  </si>
  <si>
    <t>ELE/026</t>
  </si>
  <si>
    <t>ANGLE HOLDER</t>
  </si>
  <si>
    <t>ELE/027</t>
  </si>
  <si>
    <t>3 PIN PLUG TOP</t>
  </si>
  <si>
    <t>ELE/238</t>
  </si>
  <si>
    <t>200.0</t>
  </si>
  <si>
    <t>ELE/239</t>
  </si>
  <si>
    <t>XLPE ARMOURED CABLE</t>
  </si>
  <si>
    <t>3CORE X 1.5SQMM X COPPER X 1100V</t>
  </si>
  <si>
    <t>247.0</t>
  </si>
  <si>
    <t>ELE/240</t>
  </si>
  <si>
    <t>HAND BLOYER</t>
  </si>
  <si>
    <t>ELE/241</t>
  </si>
  <si>
    <t>CT (CURRENT TRANSFORMER 11KV (INDOOR)</t>
  </si>
  <si>
    <t>ELE/242</t>
  </si>
  <si>
    <t>ALUMINIUM XLPE CABLE</t>
  </si>
  <si>
    <t>150SQMM X 3.5 CORE</t>
  </si>
  <si>
    <t>ELE/243</t>
  </si>
  <si>
    <t>PIEZOMETER</t>
  </si>
  <si>
    <t>CAPACITY - 200 k Pa</t>
  </si>
  <si>
    <t>ELE/244</t>
  </si>
  <si>
    <t>INDUCTION MOTOR</t>
  </si>
  <si>
    <t>3PH,KW-7.50,RPM - 960</t>
  </si>
  <si>
    <t>ELE/245</t>
  </si>
  <si>
    <t>ELE/246</t>
  </si>
  <si>
    <t>3PH,KW-3.70,RPM-1430</t>
  </si>
  <si>
    <t>ELE/247</t>
  </si>
  <si>
    <t>ELECTRIC VIBRATOR MOTOR</t>
  </si>
  <si>
    <t>ELE/248</t>
  </si>
  <si>
    <t>PANNEL BOX</t>
  </si>
  <si>
    <t>100AMP,INDUSTRIAL SOCKET</t>
  </si>
  <si>
    <t>ELE/249</t>
  </si>
  <si>
    <t>200AMP,INDUSTRIAL SOCKET</t>
  </si>
  <si>
    <t>ELE/250</t>
  </si>
  <si>
    <t>ELE/251</t>
  </si>
  <si>
    <t>ELE/252</t>
  </si>
  <si>
    <t>ELECTRIC BULB</t>
  </si>
  <si>
    <t>100 WATT</t>
  </si>
  <si>
    <t>ELE/253</t>
  </si>
  <si>
    <t>150 SQMM</t>
  </si>
  <si>
    <t>ELE/254</t>
  </si>
  <si>
    <t>120 SQMM</t>
  </si>
  <si>
    <t>ELE/255</t>
  </si>
  <si>
    <t>95 SQMM</t>
  </si>
  <si>
    <t>ELE/256</t>
  </si>
  <si>
    <t>50 SQMM</t>
  </si>
  <si>
    <t>ELE/257</t>
  </si>
  <si>
    <t>AIRCRAFT LIGHT</t>
  </si>
  <si>
    <t>ELE/258</t>
  </si>
  <si>
    <t>COPPER FLAT</t>
  </si>
  <si>
    <t>40 MM</t>
  </si>
  <si>
    <t>99.96</t>
  </si>
  <si>
    <t>Stock</t>
  </si>
  <si>
    <t>MECH/393</t>
  </si>
  <si>
    <t xml:space="preserve">DOUBLE SHEAVE WIRE ROPE PULLY
BLOCK </t>
  </si>
  <si>
    <t>CAPACITY - 5.000MT</t>
  </si>
  <si>
    <t>MISC/001</t>
  </si>
  <si>
    <t>TARPENTIN OIL</t>
  </si>
  <si>
    <t>MISC/003</t>
  </si>
  <si>
    <t>CATRIDGE</t>
  </si>
  <si>
    <t>1020</t>
  </si>
  <si>
    <t>MISC/005</t>
  </si>
  <si>
    <t>RED OXIDE</t>
  </si>
  <si>
    <t>MISC/006</t>
  </si>
  <si>
    <t>ALUMINIUM PAINTS</t>
  </si>
  <si>
    <t>600*C</t>
  </si>
  <si>
    <t>MISC/007</t>
  </si>
  <si>
    <t>TRANS MISSION OIL</t>
  </si>
  <si>
    <t>80W - 90</t>
  </si>
  <si>
    <t>MISC/008</t>
  </si>
  <si>
    <t>MISC/009</t>
  </si>
  <si>
    <t>REGISTER</t>
  </si>
  <si>
    <t>NO - 8</t>
  </si>
  <si>
    <t>NO - 10</t>
  </si>
  <si>
    <t>MISC/011</t>
  </si>
  <si>
    <t>NO - 12</t>
  </si>
  <si>
    <t>MISC/012</t>
  </si>
  <si>
    <t>NO - 14</t>
  </si>
  <si>
    <t>MISC/015</t>
  </si>
  <si>
    <t>ARCH FILE</t>
  </si>
  <si>
    <t>MISC/016</t>
  </si>
  <si>
    <t>COBRA FILE</t>
  </si>
  <si>
    <t>MISC/017</t>
  </si>
  <si>
    <t>COVER FILE</t>
  </si>
  <si>
    <t>MISC/018</t>
  </si>
  <si>
    <t>PLASTIC COVER FILE</t>
  </si>
  <si>
    <t>MISC/019</t>
  </si>
  <si>
    <t>STAPLER</t>
  </si>
  <si>
    <t>MISC/020</t>
  </si>
  <si>
    <t>STAPLER PIN</t>
  </si>
  <si>
    <t>MISC/021</t>
  </si>
  <si>
    <t>PUNCHING MACHINE</t>
  </si>
  <si>
    <t>MISC/022</t>
  </si>
  <si>
    <t>ERASER</t>
  </si>
  <si>
    <t>NS</t>
  </si>
  <si>
    <t>MISC/023</t>
  </si>
  <si>
    <t>CUTTER</t>
  </si>
  <si>
    <t>MISC/024</t>
  </si>
  <si>
    <t>PENCIL</t>
  </si>
  <si>
    <t>MISC/025</t>
  </si>
  <si>
    <t>PEN</t>
  </si>
  <si>
    <t>MISC/026</t>
  </si>
  <si>
    <t>NOTE BOOK</t>
  </si>
  <si>
    <t>MISC/028</t>
  </si>
  <si>
    <t>PAGE  - 144</t>
  </si>
  <si>
    <t>MISC/030</t>
  </si>
  <si>
    <t>MISC/031</t>
  </si>
  <si>
    <t>ELECTRONIC WEIGH MACHINE</t>
  </si>
  <si>
    <t>100 KG</t>
  </si>
  <si>
    <t>MISC/032</t>
  </si>
  <si>
    <t>ELECTRONIC WEIGHT MACHINE</t>
  </si>
  <si>
    <t>200KG</t>
  </si>
  <si>
    <t>MISC/033</t>
  </si>
  <si>
    <t>STITCHING MACHINE</t>
  </si>
  <si>
    <t>MISC/034</t>
  </si>
  <si>
    <t>MISC/035</t>
  </si>
  <si>
    <t>1FT</t>
  </si>
  <si>
    <t>DIESEL</t>
  </si>
  <si>
    <t>MISC/037</t>
  </si>
  <si>
    <t>MOBIL</t>
  </si>
  <si>
    <t>MISC/038</t>
  </si>
  <si>
    <t>HYDRAULIC OIL</t>
  </si>
  <si>
    <t>68</t>
  </si>
  <si>
    <t>MISC/039</t>
  </si>
  <si>
    <t>GEAR OIL</t>
  </si>
  <si>
    <t>320</t>
  </si>
  <si>
    <t>MISC/040</t>
  </si>
  <si>
    <t>GREASE</t>
  </si>
  <si>
    <t>MISC/041</t>
  </si>
  <si>
    <t>COOLANT</t>
  </si>
  <si>
    <t>MISC/042</t>
  </si>
  <si>
    <t>DISTIL WATER</t>
  </si>
  <si>
    <t>MISC/044</t>
  </si>
  <si>
    <t>CALCULATOR</t>
  </si>
  <si>
    <t>ORPAT</t>
  </si>
  <si>
    <t>MISC/045</t>
  </si>
  <si>
    <t>CARBON PAPER</t>
  </si>
  <si>
    <t>3 INCH</t>
  </si>
  <si>
    <t>1 INCH</t>
  </si>
  <si>
    <t>MISC/051</t>
  </si>
  <si>
    <t>PAD LOCK</t>
  </si>
  <si>
    <t>NO-31</t>
  </si>
  <si>
    <t>MISC/058</t>
  </si>
  <si>
    <t>BATTERY</t>
  </si>
  <si>
    <t>AA</t>
  </si>
  <si>
    <t>MISC/060</t>
  </si>
  <si>
    <t>LOCK STRAP</t>
  </si>
  <si>
    <t>MISC/061</t>
  </si>
  <si>
    <t>AGROSHADE NETTING</t>
  </si>
  <si>
    <t>MISC/063</t>
  </si>
  <si>
    <t>P1007</t>
  </si>
  <si>
    <t>MISC/064</t>
  </si>
  <si>
    <t>COIR ROPE</t>
  </si>
  <si>
    <t>MISC/066</t>
  </si>
  <si>
    <t>CORRECTION PEN</t>
  </si>
  <si>
    <t>MISC/067</t>
  </si>
  <si>
    <t>ENVOLUP</t>
  </si>
  <si>
    <t>MISC/068</t>
  </si>
  <si>
    <t>GARDEN PIPE CONNECTOR</t>
  </si>
  <si>
    <t>MISC/071</t>
  </si>
  <si>
    <t>HARPIC</t>
  </si>
  <si>
    <t>Safety</t>
  </si>
  <si>
    <t>MISC/075</t>
  </si>
  <si>
    <t>NIDDLE</t>
  </si>
  <si>
    <t>MISC/078</t>
  </si>
  <si>
    <t>BLACK PHENYLE</t>
  </si>
  <si>
    <t>MISC/079</t>
  </si>
  <si>
    <t>WHITE PAPER</t>
  </si>
  <si>
    <t>DISTA</t>
  </si>
  <si>
    <t>MISC/083</t>
  </si>
  <si>
    <t>MISC/084</t>
  </si>
  <si>
    <t>WIRE BRUSH</t>
  </si>
  <si>
    <t>MISC/085</t>
  </si>
  <si>
    <t>A4 PAPER</t>
  </si>
  <si>
    <t>MISC/088</t>
  </si>
  <si>
    <t>GRASS CUTTER</t>
  </si>
  <si>
    <t>MAKE - FATEM,B C - 4350DW,2HP/4</t>
  </si>
  <si>
    <t>MISC/090</t>
  </si>
  <si>
    <t>1HP</t>
  </si>
  <si>
    <t>MISC/94</t>
  </si>
  <si>
    <t>BASIN</t>
  </si>
  <si>
    <t>MISC/095</t>
  </si>
  <si>
    <t>URIN PEAN</t>
  </si>
  <si>
    <t>MISC/096</t>
  </si>
  <si>
    <t>BASIN LEG</t>
  </si>
  <si>
    <t>MISC/097</t>
  </si>
  <si>
    <t>WESTERN PEAN</t>
  </si>
  <si>
    <t>Production</t>
  </si>
  <si>
    <t>MISC/103</t>
  </si>
  <si>
    <t>IRON PANJHA</t>
  </si>
  <si>
    <t>MISC/106</t>
  </si>
  <si>
    <t>DUSTBIN BUCKET</t>
  </si>
  <si>
    <t>MISC/107</t>
  </si>
  <si>
    <t>LATIN BRUSH</t>
  </si>
  <si>
    <t>PVC.PIPE</t>
  </si>
  <si>
    <t>PVC.GREEN PIPE</t>
  </si>
  <si>
    <t>MISC/110</t>
  </si>
  <si>
    <t>2"</t>
  </si>
  <si>
    <t>MISC/112</t>
  </si>
  <si>
    <t>1.5"</t>
  </si>
  <si>
    <t>MISC/113</t>
  </si>
  <si>
    <t>PVC.BEND</t>
  </si>
  <si>
    <t>MISC/114</t>
  </si>
  <si>
    <t>MISC/115</t>
  </si>
  <si>
    <t>PVC.TEE</t>
  </si>
  <si>
    <t>MISC/117</t>
  </si>
  <si>
    <t>110MM</t>
  </si>
  <si>
    <t>MISC/118</t>
  </si>
  <si>
    <t>MISC/119</t>
  </si>
  <si>
    <t>MISC/120</t>
  </si>
  <si>
    <t>MISC/121</t>
  </si>
  <si>
    <t>PVC.P.TRAP</t>
  </si>
  <si>
    <t>MISC/122</t>
  </si>
  <si>
    <t>PVC.HONY TRAP</t>
  </si>
  <si>
    <t>MISC/123</t>
  </si>
  <si>
    <t>PVC.WYE</t>
  </si>
  <si>
    <t>MISC/124</t>
  </si>
  <si>
    <t>MISC/129</t>
  </si>
  <si>
    <t>DRILL MACHINE</t>
  </si>
  <si>
    <t>BOSCH</t>
  </si>
  <si>
    <t>MISC/130</t>
  </si>
  <si>
    <t>ALFA</t>
  </si>
  <si>
    <t>MISC/131</t>
  </si>
  <si>
    <t>LADDER (ALUMINIUM)</t>
  </si>
  <si>
    <t>MISC/133</t>
  </si>
  <si>
    <t>HAND GRASS CUTTER(STEEL SHEET CUTTING)</t>
  </si>
  <si>
    <t>MISC/134</t>
  </si>
  <si>
    <t>DOOR BANDHA (SAALA-WOOD)</t>
  </si>
  <si>
    <t>2.5" X 5" X 6'.7"</t>
  </si>
  <si>
    <t>MISC/135</t>
  </si>
  <si>
    <t>2.5" X 5" X 7'.4"</t>
  </si>
  <si>
    <t>MISC/136</t>
  </si>
  <si>
    <t>2.5" X 5" X 7'.2"</t>
  </si>
  <si>
    <t>MISC/137</t>
  </si>
  <si>
    <t>2.5' X 5" X 5'.10"</t>
  </si>
  <si>
    <t>MISC/138</t>
  </si>
  <si>
    <t>2.5" X 5" X 5'</t>
  </si>
  <si>
    <t>MISC/139</t>
  </si>
  <si>
    <t>2.5" X 5" X 4'</t>
  </si>
  <si>
    <t>MISC/140</t>
  </si>
  <si>
    <t>2.5" X 5" X 3'.6"</t>
  </si>
  <si>
    <t>MISC/141</t>
  </si>
  <si>
    <t>2.5" X 5" X 3'</t>
  </si>
  <si>
    <t>MISC/142</t>
  </si>
  <si>
    <t>2.5" X 5" X 2'.10"</t>
  </si>
  <si>
    <t>MISC/146</t>
  </si>
  <si>
    <t>ARRALDITE</t>
  </si>
  <si>
    <t>MISC/147</t>
  </si>
  <si>
    <t>TARPOLIN</t>
  </si>
  <si>
    <t>30 X 40 FT</t>
  </si>
  <si>
    <t>MISC/148</t>
  </si>
  <si>
    <t>STITCHING BAG (1 TON)</t>
  </si>
  <si>
    <t>MISC/152</t>
  </si>
  <si>
    <t>SPIRIT LABLE</t>
  </si>
  <si>
    <t>MISC/153</t>
  </si>
  <si>
    <t>PLASTIC MUG</t>
  </si>
  <si>
    <t>MISC/154</t>
  </si>
  <si>
    <t>PLASTIC BUCKET</t>
  </si>
  <si>
    <t>MISC/155</t>
  </si>
  <si>
    <t>FLOOR ACID</t>
  </si>
  <si>
    <t>MISC/156</t>
  </si>
  <si>
    <t>LIGOL (FLOOR WASH)</t>
  </si>
  <si>
    <t>MISC/157</t>
  </si>
  <si>
    <t>PLY</t>
  </si>
  <si>
    <t>MISC/160</t>
  </si>
  <si>
    <t>SAND PAPER</t>
  </si>
  <si>
    <t>MISC/159</t>
  </si>
  <si>
    <t>GI. WIRE</t>
  </si>
  <si>
    <t>MISC/158</t>
  </si>
  <si>
    <t>RADIUM TAPE</t>
  </si>
  <si>
    <t xml:space="preserve"> M/S. B.C. MOHANTY &amp; SONS (P) LTD.</t>
  </si>
  <si>
    <t>SAFE/001</t>
  </si>
  <si>
    <t>DUSTER CLOTH</t>
  </si>
  <si>
    <t>SAFE/002</t>
  </si>
  <si>
    <t>SAFETY GOGGLES (WHITE)</t>
  </si>
  <si>
    <t>SAFE/003</t>
  </si>
  <si>
    <t>HAND GLOVES</t>
  </si>
  <si>
    <t>LEATHER</t>
  </si>
  <si>
    <t>PAIR</t>
  </si>
  <si>
    <t>SAFE/004</t>
  </si>
  <si>
    <t>RUBBER</t>
  </si>
  <si>
    <t>SAFE/005</t>
  </si>
  <si>
    <t>METAL HANDLING</t>
  </si>
  <si>
    <t>SAFE/008</t>
  </si>
  <si>
    <t>SAFETY SHOE</t>
  </si>
  <si>
    <t>SAFE/009</t>
  </si>
  <si>
    <t>SAFETY BELT</t>
  </si>
  <si>
    <t>SAFE/010</t>
  </si>
  <si>
    <t>TAPPING</t>
  </si>
  <si>
    <t>SAFE/011</t>
  </si>
  <si>
    <t>COTTON</t>
  </si>
  <si>
    <t>SAFE/012</t>
  </si>
  <si>
    <t>TAPPER APPRON</t>
  </si>
  <si>
    <t>SAFE/013</t>
  </si>
  <si>
    <t>LEG GUARD (TAPPER)</t>
  </si>
  <si>
    <t>SAFE/014</t>
  </si>
  <si>
    <t>RADIUM JACKET</t>
  </si>
  <si>
    <t>SAFE/015</t>
  </si>
  <si>
    <t>FACE SHIELD</t>
  </si>
  <si>
    <t>SAFETY</t>
  </si>
  <si>
    <t>SAFE/016</t>
  </si>
  <si>
    <t>SAFETY GOGGLES (BLUE)</t>
  </si>
  <si>
    <t>SAFE/017</t>
  </si>
  <si>
    <t>FIRE EXTINGUISHER</t>
  </si>
  <si>
    <t>(ABC) 4KG</t>
  </si>
  <si>
    <t>SAFE/018</t>
  </si>
  <si>
    <t>(ABC) 1KG</t>
  </si>
  <si>
    <t>SAFE/019</t>
  </si>
  <si>
    <t>WATER TYPE  (9 LTRS)</t>
  </si>
  <si>
    <t>SAFE/020</t>
  </si>
  <si>
    <t>FIRE BUCKET</t>
  </si>
  <si>
    <t>SAFE/006</t>
  </si>
  <si>
    <t>NOSE MASK</t>
  </si>
  <si>
    <t>SAFE/007</t>
  </si>
  <si>
    <t>SAFETY HELMET</t>
  </si>
  <si>
    <t>CIV/001</t>
  </si>
  <si>
    <t>CEMENT</t>
  </si>
  <si>
    <t>Civil</t>
  </si>
  <si>
    <t>BAGS</t>
  </si>
  <si>
    <t>CIV/002</t>
  </si>
  <si>
    <t>METAL</t>
  </si>
  <si>
    <t>CIV/003</t>
  </si>
  <si>
    <t>CHIPS</t>
  </si>
  <si>
    <t>3/4  INCH</t>
  </si>
  <si>
    <t>CIV/004</t>
  </si>
  <si>
    <t>IRON ROD</t>
  </si>
  <si>
    <t>MT</t>
  </si>
  <si>
    <t>CIV/006</t>
  </si>
  <si>
    <t>CIV/007</t>
  </si>
  <si>
    <t>CIV/008</t>
  </si>
  <si>
    <t>CIV/009</t>
  </si>
  <si>
    <t>CIV/010</t>
  </si>
  <si>
    <t>CIV/011</t>
  </si>
  <si>
    <t>CIV/012</t>
  </si>
  <si>
    <t>32MM</t>
  </si>
  <si>
    <t>CIV/013</t>
  </si>
  <si>
    <t>BINDING WIRE</t>
  </si>
  <si>
    <t>CIV/014</t>
  </si>
  <si>
    <t>NAIL</t>
  </si>
  <si>
    <t>CIV/015</t>
  </si>
  <si>
    <t>CIV/016</t>
  </si>
  <si>
    <t>CIV/017</t>
  </si>
  <si>
    <t>2.5 INCH</t>
  </si>
  <si>
    <t>CIV/018</t>
  </si>
  <si>
    <t>CIV/019</t>
  </si>
  <si>
    <t>3.5 INCH</t>
  </si>
  <si>
    <t>CIV/020</t>
  </si>
  <si>
    <t>CIV/021</t>
  </si>
  <si>
    <t>SAND</t>
  </si>
  <si>
    <t>CIV/005</t>
  </si>
  <si>
    <t>PROD/001</t>
  </si>
  <si>
    <t>QUARTZITE</t>
  </si>
  <si>
    <t>LUMPS</t>
  </si>
  <si>
    <t>PROD/002</t>
  </si>
  <si>
    <t>BAUXITE</t>
  </si>
  <si>
    <t>PROD/003</t>
  </si>
  <si>
    <t>HYDRATED LIME</t>
  </si>
  <si>
    <t>FLUX</t>
  </si>
  <si>
    <t>PROD/004</t>
  </si>
  <si>
    <t>CHROME FINES (BCM)</t>
  </si>
  <si>
    <t>FRIABLES(FINES)</t>
  </si>
  <si>
    <t>PROD/005</t>
  </si>
  <si>
    <t>CHROME ORE -CONC (BCM)</t>
  </si>
  <si>
    <t>CONCENTRATE</t>
  </si>
  <si>
    <t>PROD/006</t>
  </si>
  <si>
    <t>CHROME ORE (OMC)</t>
  </si>
  <si>
    <t>FRIABLE (FINES)</t>
  </si>
  <si>
    <t>PROD/007</t>
  </si>
  <si>
    <t>CHROME ORE- FINES (MMPL)</t>
  </si>
  <si>
    <t>PROD/008</t>
  </si>
  <si>
    <t>HR SHEET</t>
  </si>
  <si>
    <t>CASHING SHEET</t>
  </si>
  <si>
    <t>PROD/009</t>
  </si>
  <si>
    <t>ROUND BAR</t>
  </si>
  <si>
    <t>PROD/010</t>
  </si>
  <si>
    <t>SODIUM SILICATE</t>
  </si>
  <si>
    <t>PROD/011</t>
  </si>
  <si>
    <t>CARBON PASTE (ECA)</t>
  </si>
  <si>
    <t>ECA</t>
  </si>
  <si>
    <t>PROD/012</t>
  </si>
  <si>
    <t>TAPPING PASTE</t>
  </si>
  <si>
    <t>PROD/013</t>
  </si>
  <si>
    <t>MAGNESITE</t>
  </si>
  <si>
    <t>PROD/014</t>
  </si>
  <si>
    <t>MOLASSES</t>
  </si>
  <si>
    <t>PROD/015</t>
  </si>
  <si>
    <t>ANTHRACITE COAL</t>
  </si>
  <si>
    <t>PROD/016</t>
  </si>
  <si>
    <t>LAM COKE</t>
  </si>
  <si>
    <t>PROD/017</t>
  </si>
  <si>
    <t>LANCING PIPE</t>
  </si>
  <si>
    <t>PROD/018</t>
  </si>
  <si>
    <t>DOLOMITE</t>
  </si>
  <si>
    <t>PROD/019</t>
  </si>
  <si>
    <t>PROD/020</t>
  </si>
  <si>
    <t>BRIQUETTE (BCM)</t>
  </si>
  <si>
    <t>PROD/021</t>
  </si>
  <si>
    <t>OXYGEN</t>
  </si>
  <si>
    <t>CYLINDER</t>
  </si>
  <si>
    <t>PROD/022</t>
  </si>
  <si>
    <t>LPG</t>
  </si>
  <si>
    <t>ELE/226</t>
  </si>
  <si>
    <t>200 HP,MOTOR SL NO-L1803974</t>
  </si>
  <si>
    <t>ELE/232</t>
  </si>
  <si>
    <t>PVC.TAPE</t>
  </si>
  <si>
    <t>ELE/234</t>
  </si>
  <si>
    <t>4C X 2.50</t>
  </si>
  <si>
    <t>ELE/235</t>
  </si>
  <si>
    <t>ELE/236</t>
  </si>
  <si>
    <t>ALUMINIUM ARMOURED CABLE</t>
  </si>
  <si>
    <t>3.5CORE X 150SQMM , XLPE (1100V)</t>
  </si>
  <si>
    <t>300.0</t>
  </si>
  <si>
    <t>ELE/237</t>
  </si>
  <si>
    <t>RANGE (0.9 TO 1.5)</t>
  </si>
  <si>
    <t>TOTAL AMOUNT</t>
  </si>
  <si>
    <t>MECH/394</t>
  </si>
  <si>
    <t>SN - 511</t>
  </si>
  <si>
    <t>SN - 515</t>
  </si>
  <si>
    <t>MECH/395</t>
  </si>
  <si>
    <t>MECH/396</t>
  </si>
  <si>
    <t>AMOUNT</t>
  </si>
  <si>
    <t>SULPHURIC ACID (5 LTRS)</t>
  </si>
  <si>
    <t>JAR</t>
  </si>
  <si>
    <t>5 LTRS</t>
  </si>
  <si>
    <t>HYDROCHLORIC ACID(5 LTRS)</t>
  </si>
  <si>
    <t>500 GM</t>
  </si>
  <si>
    <t>100/PKTS</t>
  </si>
  <si>
    <t>SL. NO</t>
  </si>
  <si>
    <t>DEPT. NAME</t>
  </si>
  <si>
    <t>REMARKS</t>
  </si>
  <si>
    <t>MECHANICAL</t>
  </si>
  <si>
    <t>ELECTRICAL</t>
  </si>
  <si>
    <t>MEISCELLANEOUS</t>
  </si>
  <si>
    <t>LABORATORY</t>
  </si>
  <si>
    <t>CIVIL</t>
  </si>
  <si>
    <t>PRODUCTION</t>
  </si>
  <si>
    <t>TOTAL</t>
  </si>
  <si>
    <t>PROD/023</t>
  </si>
  <si>
    <t>CI PAN (LADDLE)</t>
  </si>
  <si>
    <t>MS WELDED MESH</t>
  </si>
  <si>
    <t>MISC/161</t>
  </si>
  <si>
    <t>MISC/162</t>
  </si>
  <si>
    <t>MISC/163</t>
  </si>
  <si>
    <t>MULTI PURPOSE OIL</t>
  </si>
  <si>
    <t>STITCHING MACHINE OIL</t>
  </si>
  <si>
    <t>C25 (3P)</t>
  </si>
  <si>
    <t>BRAKE OIL</t>
  </si>
  <si>
    <t>LAB/013</t>
  </si>
  <si>
    <t>1500W</t>
  </si>
  <si>
    <t>MISC/164</t>
  </si>
  <si>
    <t>NOTE PAD PLAIN</t>
  </si>
  <si>
    <t>21 X 15 (80 PAGE)</t>
  </si>
  <si>
    <t>PCS</t>
  </si>
  <si>
    <t>NO - 24/6</t>
  </si>
  <si>
    <t>MISC/165</t>
  </si>
  <si>
    <t>5.5 KW, RPM - 1455</t>
  </si>
  <si>
    <t>CBW - 05</t>
  </si>
  <si>
    <t>WL - 1110</t>
  </si>
  <si>
    <t>KETTLE ELEMENT COIL</t>
  </si>
  <si>
    <t>KW - 3.70/RPM - 1455</t>
  </si>
  <si>
    <t>MECH/397</t>
  </si>
  <si>
    <t>PRESSURE GAUGE</t>
  </si>
  <si>
    <t>RANGE(0 - 10.6 KG/CM2)</t>
  </si>
  <si>
    <t>1.5MM</t>
  </si>
  <si>
    <t>MNX - A1 (ADD ON BLOCK)</t>
  </si>
  <si>
    <t>UP TO 415V  50/60 HZ</t>
  </si>
  <si>
    <t>UP TO 415V</t>
  </si>
  <si>
    <t>ADDON BLOCK,UP TO 415V  50/60 HZ</t>
  </si>
  <si>
    <t>MECH/398</t>
  </si>
  <si>
    <t>(1/2" X 2000MM)</t>
  </si>
  <si>
    <t>3TON (HANGER)</t>
  </si>
  <si>
    <t>COIL-110V 50HZ/132V 60HZ(3TF-32,01-0A-0AFO)</t>
  </si>
  <si>
    <t>CODE - HC61A2  (NO)- PUSH BOTTON</t>
  </si>
  <si>
    <t>CODE - HC61B2 (NC)- PUSH BOTTON</t>
  </si>
  <si>
    <t>CI.GATE VALVE</t>
  </si>
  <si>
    <t>70 sqmm</t>
  </si>
  <si>
    <t>95 sqmm</t>
  </si>
  <si>
    <t>STAMP PAD INK (100 ML)</t>
  </si>
  <si>
    <t>TULLU PUMP (OLD) 1HP</t>
  </si>
  <si>
    <t>NO - 60</t>
  </si>
  <si>
    <t>25 MM</t>
  </si>
  <si>
    <t>ELE/260</t>
  </si>
  <si>
    <t>MVE - 700/15(kw0.62/Rpm - 500)</t>
  </si>
  <si>
    <t>HARDENER &amp; SOLUTION</t>
  </si>
  <si>
    <t>JUBILEE CLAMP</t>
  </si>
  <si>
    <t>ANTI-VIBRATION PAD</t>
  </si>
  <si>
    <t>ALUMINIUM RIVET</t>
  </si>
  <si>
    <t>BRAKE SHOE</t>
  </si>
  <si>
    <t>BELT FASTENER</t>
  </si>
  <si>
    <t>OXYGEN CHECK NUT</t>
  </si>
  <si>
    <t xml:space="preserve">XUPER DRILL TEC </t>
  </si>
  <si>
    <t>OIL SEAL KIT (CLAMPING &amp; SLIPING)</t>
  </si>
  <si>
    <t>OIL SEAL KIT (HOISTING CYLINDER)</t>
  </si>
  <si>
    <t>OIL SEAL KIT (PNEUMATIC CYLINDER)</t>
  </si>
  <si>
    <t>BELLOW CLOTH</t>
  </si>
  <si>
    <t>WASTE COTTON</t>
  </si>
  <si>
    <t>CIRCLIP (SKIP BUCKET WHEEL SHAFT)</t>
  </si>
  <si>
    <t>PLUMMER BLOCK</t>
  </si>
  <si>
    <t>COPPER CLAMP (BUS BAR)</t>
  </si>
  <si>
    <t>SEALING ROPE</t>
  </si>
  <si>
    <t>TEFLON TAPE</t>
  </si>
  <si>
    <t>GATE VALVE (FLANGE TYPE)</t>
  </si>
  <si>
    <t>D.SHACKLE</t>
  </si>
  <si>
    <t>MS.FLANGE DUMMY</t>
  </si>
  <si>
    <t>JUBILEE CLAMP (SS)</t>
  </si>
  <si>
    <t>SS. JUBILEE CLAMP (HOSE PIPE)</t>
  </si>
  <si>
    <t>FLASH BACK ARRESTOR</t>
  </si>
  <si>
    <t>BUNKER HOUSE TROLLY WHEEL</t>
  </si>
  <si>
    <t>BUNKER HOUSE TROLLY SHAFT</t>
  </si>
  <si>
    <t>FEEDER HANGING PAD WITH SEALING ROPE</t>
  </si>
  <si>
    <t>IDLER ROLLER FRAME</t>
  </si>
  <si>
    <t>MILL BOARD</t>
  </si>
  <si>
    <t>MANTLE GUIDE ROLLER</t>
  </si>
  <si>
    <t>PNEUMETIC CYLINDER</t>
  </si>
  <si>
    <t>PRESSURE RING SPRING (SMALL SIZE)</t>
  </si>
  <si>
    <t>PRESSURE RING SPRING (BIG SIZE)</t>
  </si>
  <si>
    <t>RETURNING IDLER ROLLER</t>
  </si>
  <si>
    <t>IMPACT IDLER ROLLER</t>
  </si>
  <si>
    <t>SYNDANIO</t>
  </si>
  <si>
    <t>TELFER BUCKET ROD</t>
  </si>
  <si>
    <t>TURN BUCKLE(16MM)</t>
  </si>
  <si>
    <t>WELDING HELMET HEAD RING</t>
  </si>
  <si>
    <t>OIL SEAL KIT (BQT. PRESS)</t>
  </si>
  <si>
    <t>HOIST BRAKE</t>
  </si>
  <si>
    <t>RETURN LINE FILTER (HYDRAULIC)</t>
  </si>
  <si>
    <t>D. SHACKLE</t>
  </si>
  <si>
    <t>(4MM X 450MM)duroid - 350</t>
  </si>
  <si>
    <t>MECH/202</t>
  </si>
  <si>
    <t>WASTE JUTE</t>
  </si>
  <si>
    <t>MECH/400</t>
  </si>
  <si>
    <t>MECH/401</t>
  </si>
  <si>
    <t>WIRE ROPE PULLEY FLAT MOUNT(8MM)</t>
  </si>
  <si>
    <t>MECH/095</t>
  </si>
  <si>
    <t>GM. GATE VALVE</t>
  </si>
  <si>
    <t>MECH/402</t>
  </si>
  <si>
    <t>MECH/403</t>
  </si>
  <si>
    <t xml:space="preserve">UNICHEM </t>
  </si>
  <si>
    <t>50F</t>
  </si>
  <si>
    <t>KGS</t>
  </si>
  <si>
    <t>ELE/259</t>
  </si>
  <si>
    <t>LED CEILLING LAMP</t>
  </si>
  <si>
    <t>24W</t>
  </si>
  <si>
    <t>LAB/014</t>
  </si>
  <si>
    <t>ORTHO PHOSHPORIC ACID</t>
  </si>
  <si>
    <t>FILTER PAPER GRADE-1 SHEET</t>
  </si>
  <si>
    <t>460X570MM (100PCS)</t>
  </si>
  <si>
    <t>LAB/015</t>
  </si>
  <si>
    <t>ZIPPER LOCK BAG</t>
  </si>
  <si>
    <t>4 X 6 INCH</t>
  </si>
  <si>
    <t>LAB/017</t>
  </si>
  <si>
    <t>LAB/016</t>
  </si>
  <si>
    <t xml:space="preserve">PORTABLE OIL FREE VACUME PUMP </t>
  </si>
  <si>
    <t>MISC/087</t>
  </si>
  <si>
    <t>PHOOL JHADU</t>
  </si>
  <si>
    <t>PVC - 5MT</t>
  </si>
  <si>
    <t>MISC/168</t>
  </si>
  <si>
    <t>TABLE</t>
  </si>
  <si>
    <t xml:space="preserve">3' X 2' </t>
  </si>
  <si>
    <t>MISC/169</t>
  </si>
  <si>
    <t>MIXER GRINDER</t>
  </si>
  <si>
    <t>HAVELLS - 750W</t>
  </si>
  <si>
    <t>MISC/170</t>
  </si>
  <si>
    <t>IDLLI MAKER</t>
  </si>
  <si>
    <t>ALMN</t>
  </si>
  <si>
    <t>MISC/056</t>
  </si>
  <si>
    <t>CUP SET</t>
  </si>
  <si>
    <t>LAOPALLO</t>
  </si>
  <si>
    <t>MISC/057</t>
  </si>
  <si>
    <t>DRINKING GLASS</t>
  </si>
  <si>
    <t>GLASS</t>
  </si>
  <si>
    <t>MISC/171</t>
  </si>
  <si>
    <t>JHADU (BROOM STICK)</t>
  </si>
  <si>
    <t>MISC/172</t>
  </si>
  <si>
    <t>HI LIGHTER MARKER</t>
  </si>
  <si>
    <t>LIGHT YELLO</t>
  </si>
  <si>
    <t>MISC/173</t>
  </si>
  <si>
    <t>PRESSURE COOKER</t>
  </si>
  <si>
    <t>5LTRS</t>
  </si>
  <si>
    <t>MISC/069</t>
  </si>
  <si>
    <t xml:space="preserve">GARDEN PIPE </t>
  </si>
  <si>
    <t>MISC/174</t>
  </si>
  <si>
    <t>POLYTHINE</t>
  </si>
  <si>
    <t>MISC/175</t>
  </si>
  <si>
    <t>SUBMERSIBLE PUMP</t>
  </si>
  <si>
    <t>5.5 HP</t>
  </si>
  <si>
    <t>LAB/020</t>
  </si>
  <si>
    <t>LAB/021</t>
  </si>
  <si>
    <t>AMMONIA PERSULPHATE</t>
  </si>
  <si>
    <t>LAB/022</t>
  </si>
  <si>
    <t>MERCURIC CHLORIDE</t>
  </si>
  <si>
    <t>LAB/023</t>
  </si>
  <si>
    <t>50 ML CYLINDER</t>
  </si>
  <si>
    <t>LAB/024</t>
  </si>
  <si>
    <t>PATIDISH</t>
  </si>
  <si>
    <t>LAB/025</t>
  </si>
  <si>
    <t>PER CHLORIC ACID</t>
  </si>
  <si>
    <t>MECH/404</t>
  </si>
  <si>
    <t>GI. NIPPLE</t>
  </si>
  <si>
    <t>MECH/405</t>
  </si>
  <si>
    <t>22213 EX</t>
  </si>
  <si>
    <t>ELE/262</t>
  </si>
  <si>
    <t>ELE/263</t>
  </si>
  <si>
    <t>ELE/264</t>
  </si>
  <si>
    <t>ELE/265</t>
  </si>
  <si>
    <t>PANNEL INDICATOR</t>
  </si>
  <si>
    <t>110V. DC (RED)</t>
  </si>
  <si>
    <t>110V. DC (YELLOW)</t>
  </si>
  <si>
    <t>110V. DC (BLUE)</t>
  </si>
  <si>
    <t>110V. DC (GREEN)</t>
  </si>
  <si>
    <t>MECH/406</t>
  </si>
  <si>
    <t>SHUT OFF VALVE</t>
  </si>
  <si>
    <t>3/4" - SLG 06</t>
  </si>
  <si>
    <t>MECH/407</t>
  </si>
  <si>
    <t>MECH/408</t>
  </si>
  <si>
    <t>MECH/409</t>
  </si>
  <si>
    <t>25 X 100MM</t>
  </si>
  <si>
    <t>MECH/410</t>
  </si>
  <si>
    <t>CRANE SCALE</t>
  </si>
  <si>
    <t>CAPACITY - 10 MT</t>
  </si>
  <si>
    <t>MISC/101</t>
  </si>
  <si>
    <t>NAIL PHAUDA</t>
  </si>
  <si>
    <t>ELE/274</t>
  </si>
  <si>
    <t>PLUG</t>
  </si>
  <si>
    <t>16 AMP (KETTLE ELEMENT)</t>
  </si>
  <si>
    <t>MISC/181</t>
  </si>
  <si>
    <t>GI. WIRE NETT</t>
  </si>
  <si>
    <t>THERMOCOL</t>
  </si>
  <si>
    <t>SAFE/023</t>
  </si>
  <si>
    <t>PVC HIGH GUN BOOT</t>
  </si>
  <si>
    <t>ELE/261</t>
  </si>
  <si>
    <t>RING TYPE (35 SQMM)</t>
  </si>
  <si>
    <t>MISC/027</t>
  </si>
  <si>
    <t>LONG REGISTER</t>
  </si>
  <si>
    <t>PAGE - 288</t>
  </si>
  <si>
    <t>MISC/182</t>
  </si>
  <si>
    <t>PEN STAND</t>
  </si>
  <si>
    <t>MISC/029</t>
  </si>
  <si>
    <t>STAMP PAD</t>
  </si>
  <si>
    <t>MISC/183</t>
  </si>
  <si>
    <t>NO - 08</t>
  </si>
  <si>
    <t>MISC/184</t>
  </si>
  <si>
    <t>SPRING FILE</t>
  </si>
  <si>
    <t>MISC/185</t>
  </si>
  <si>
    <t>BINDER CLIPS</t>
  </si>
  <si>
    <t>MISC/186</t>
  </si>
  <si>
    <t>SCISSER</t>
  </si>
  <si>
    <t>BIG</t>
  </si>
  <si>
    <t>MISC/049</t>
  </si>
  <si>
    <t>PAINTING BRUSH</t>
  </si>
  <si>
    <t>MISC/048</t>
  </si>
  <si>
    <t>MISC/047</t>
  </si>
  <si>
    <t>LAB/018</t>
  </si>
  <si>
    <t>METHANOL(500ML)</t>
  </si>
  <si>
    <t>500 ML</t>
  </si>
  <si>
    <t>LAB/019</t>
  </si>
  <si>
    <t>TRIETHANOL AMINE(500ML)</t>
  </si>
  <si>
    <t>4' X 50MM</t>
  </si>
  <si>
    <t>5' X 50MM</t>
  </si>
  <si>
    <t>ELE/266</t>
  </si>
  <si>
    <t>SILIKA GEL</t>
  </si>
  <si>
    <t>ELE/273</t>
  </si>
  <si>
    <t>ALUMINIUM FOIL TAPE</t>
  </si>
  <si>
    <t>MISC/073</t>
  </si>
  <si>
    <t xml:space="preserve">M. SEAL </t>
  </si>
  <si>
    <t>100 GM</t>
  </si>
  <si>
    <t>MECH/411</t>
  </si>
  <si>
    <t>MECH/412</t>
  </si>
  <si>
    <t>ELE/268</t>
  </si>
  <si>
    <t>GI. FLAT</t>
  </si>
  <si>
    <t>25 X 3MM</t>
  </si>
  <si>
    <t>SAFE/021</t>
  </si>
  <si>
    <t>LAB APPRON</t>
  </si>
  <si>
    <t>SAFE/022</t>
  </si>
  <si>
    <t>LAB HANDGLOVES</t>
  </si>
  <si>
    <t>LAB/026</t>
  </si>
  <si>
    <t>POTASSIUM HYDROXIDE LR GRADE (500 GM)</t>
  </si>
  <si>
    <t>LAB/027</t>
  </si>
  <si>
    <t>BOROSIL GLASS ROD</t>
  </si>
  <si>
    <t xml:space="preserve"> 7 - 8MM  DIA, LENGTH 450MM  MIN (01 KG)</t>
  </si>
  <si>
    <t>LAB/028</t>
  </si>
  <si>
    <t>SODIUM CARBONATE ANHYDROUS, GR GRADE</t>
  </si>
  <si>
    <t>LAB/029</t>
  </si>
  <si>
    <t>BEAKER 500CC,TALL FORM, BOROSIL WITH SPOUT</t>
  </si>
  <si>
    <t>LAB/030</t>
  </si>
  <si>
    <t>BEAKER - 250CC, NORMAL WITH SPOUT</t>
  </si>
  <si>
    <t>ELE/275</t>
  </si>
  <si>
    <t>SIZE - 903 I</t>
  </si>
  <si>
    <t>ELE/276</t>
  </si>
  <si>
    <t>SIZE - 905 I</t>
  </si>
  <si>
    <t>ELE/272</t>
  </si>
  <si>
    <t>TESTER</t>
  </si>
  <si>
    <t>MECH/121</t>
  </si>
  <si>
    <t>ELE/270</t>
  </si>
  <si>
    <t>SCREW DRIVER SET</t>
  </si>
  <si>
    <t>ELE/269</t>
  </si>
  <si>
    <t>PLIERS</t>
  </si>
  <si>
    <t>1621 -8</t>
  </si>
  <si>
    <t>WIRE CUTTER</t>
  </si>
  <si>
    <t>MISC/178</t>
  </si>
  <si>
    <t>COMPUTER KEY BOARD</t>
  </si>
  <si>
    <t>MECH/413</t>
  </si>
  <si>
    <t>REFRACTORY CASTABLE</t>
  </si>
  <si>
    <r>
      <t>WHEATE 60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
ALUMINA</t>
    </r>
  </si>
  <si>
    <t>MECH/414</t>
  </si>
  <si>
    <t>BARE PUMP</t>
  </si>
  <si>
    <t>R - 50- SL (H) 
MAKE - TUSHAKO</t>
  </si>
  <si>
    <t>MISC/167</t>
  </si>
  <si>
    <t>AC FAN BLADE (5 TON)</t>
  </si>
  <si>
    <t>2.2KW/3HP (RPM-1435)</t>
  </si>
  <si>
    <t>15KW/20HP(RPM-1465)</t>
  </si>
  <si>
    <t>ELE/279</t>
  </si>
  <si>
    <t>15KW/20HP(RPM-0977)</t>
  </si>
  <si>
    <t>PART NO - HM02590437</t>
  </si>
  <si>
    <t>FILTER EM (FORKLIFT MACHINE)</t>
  </si>
  <si>
    <t>PART NO - HM02590479</t>
  </si>
  <si>
    <t>FELT FILTER INSERT (FORKLIFMACHINE)</t>
  </si>
  <si>
    <t>PART NO - 59036537</t>
  </si>
  <si>
    <t>S4 ENG LUB OILFILTER (DE005996)
(FORKLIFT MACHINE)</t>
  </si>
  <si>
    <t>LAB/032</t>
  </si>
  <si>
    <t>SODIUM CHLORIDE</t>
  </si>
  <si>
    <t>GEAR PINION</t>
  </si>
  <si>
    <t>BORE 23MM X 30 NO OF TEETH X OD 81 MM X 32MM THIK</t>
  </si>
  <si>
    <t>AMMONIUM CHLORIDE</t>
  </si>
  <si>
    <t>MISC/188</t>
  </si>
  <si>
    <t>WHITE BOARD</t>
  </si>
  <si>
    <t>3 FT X 4 FT</t>
  </si>
  <si>
    <t>MISC/074</t>
  </si>
  <si>
    <t>MARKER</t>
  </si>
  <si>
    <t>MISC/004</t>
  </si>
  <si>
    <t>PLASTIC CHAIR</t>
  </si>
  <si>
    <t>0.25 MFD, 18 KV, 1PH, 50HZ SURGE CAPACITOR</t>
  </si>
  <si>
    <t>HOIST CYLINDER</t>
  </si>
  <si>
    <t>150 - 90 - 1200</t>
  </si>
  <si>
    <t>ELE/278</t>
  </si>
  <si>
    <t>KW - 1.5/HP - 2,SINGLE PHASE</t>
  </si>
  <si>
    <t>ELE/267</t>
  </si>
  <si>
    <t>CLAMP METER</t>
  </si>
  <si>
    <t>0 - 1000 AMP</t>
  </si>
  <si>
    <t>HOSE PIPE NIPPLE (OXYGEN &amp; LPG)</t>
  </si>
  <si>
    <t>MECH/415</t>
  </si>
  <si>
    <t>MECH/416</t>
  </si>
  <si>
    <t>MECH/417</t>
  </si>
  <si>
    <t>MECH/418</t>
  </si>
  <si>
    <t>MECH/419</t>
  </si>
  <si>
    <t>MISC/177</t>
  </si>
  <si>
    <t>DIESEL HAND PUMP</t>
  </si>
  <si>
    <t>MISC/076</t>
  </si>
  <si>
    <t>COMPUTER TABLE</t>
  </si>
  <si>
    <t>MISC/187</t>
  </si>
  <si>
    <t>WHITE BOARD DUSTER</t>
  </si>
  <si>
    <t>DOWTY SEAL</t>
  </si>
  <si>
    <t>ELE/280</t>
  </si>
  <si>
    <t>Mechanical stock position at store as on 31 - 03 - 2019</t>
  </si>
  <si>
    <t>Miscellaneous stock position at store as on 31 - 03 - 2019</t>
  </si>
  <si>
    <t>Civil stock position at store as on 31 - 03 - 2019</t>
  </si>
  <si>
    <t>Production stock position at store as on 31 - 03 - 2019</t>
  </si>
  <si>
    <t>Stock Position (Value) at store as on 31 - 03 - 2019</t>
  </si>
  <si>
    <t>Old mechanical stock position at store as on 31 - 03 - 2019</t>
  </si>
  <si>
    <t>MISC/180</t>
  </si>
  <si>
    <t>NOTICE BOARD</t>
  </si>
  <si>
    <t>4 FT X 3FT</t>
  </si>
  <si>
    <t>ELE/283</t>
  </si>
  <si>
    <t>HAND LAMP</t>
  </si>
  <si>
    <t>SLY WRENCH</t>
  </si>
  <si>
    <t>ELE/285</t>
  </si>
  <si>
    <t>MECH/423</t>
  </si>
  <si>
    <t>HALF ROUND FILE</t>
  </si>
  <si>
    <t>ELE/286</t>
  </si>
  <si>
    <t>NO  PUSH BOTTON WITH ELEMENT</t>
  </si>
  <si>
    <t>240 V</t>
  </si>
  <si>
    <t>ELE/287</t>
  </si>
  <si>
    <t>NC  PUSH BOTTON WITH ELEMENT</t>
  </si>
  <si>
    <t>LAB/035</t>
  </si>
  <si>
    <t>SS. PIPE</t>
  </si>
  <si>
    <t>19MM DIA X LENGTH-20 FT</t>
  </si>
  <si>
    <t>THERMOMETER</t>
  </si>
  <si>
    <t>360 DEGREE X 1 DEGREE  DIV</t>
  </si>
  <si>
    <t>FT</t>
  </si>
  <si>
    <t>MECH/424</t>
  </si>
  <si>
    <t>BORE 19MM X OD81 MM X TEETH 30 NOS X THIK 32 MM</t>
  </si>
  <si>
    <t>MECH/425</t>
  </si>
  <si>
    <t>8 MM</t>
  </si>
  <si>
    <t>MISC/046</t>
  </si>
  <si>
    <t>OIL PAINTS</t>
  </si>
  <si>
    <t xml:space="preserve"> ADAPTER</t>
  </si>
  <si>
    <t>HACK SAW BLADE</t>
  </si>
  <si>
    <t>3/4" X 3/4"</t>
  </si>
  <si>
    <t>3/4 INCH X  1INCH</t>
  </si>
  <si>
    <t>3/4 INCH</t>
  </si>
  <si>
    <t>1 INCH X 1 INCH</t>
  </si>
  <si>
    <t>SINGLE PHASE PREVENTOR</t>
  </si>
  <si>
    <t>3 PHASE, 415 VOLT</t>
  </si>
  <si>
    <t>PVC STICK FILE</t>
  </si>
  <si>
    <t>SELECTOR SWITCH</t>
  </si>
  <si>
    <t>MODEL- S6-61026-B13
2P 2W WITH OFF
AC21A, 440V-6A,MAKE L &amp; T</t>
  </si>
  <si>
    <t>GLASS TAPE</t>
  </si>
  <si>
    <t>HT RUBBER TAPE</t>
  </si>
  <si>
    <t xml:space="preserve"> ROLL</t>
  </si>
  <si>
    <t>PVC WATER TANK</t>
  </si>
  <si>
    <t>1000 LTRS</t>
  </si>
  <si>
    <t>LOAD CELL INDICATOR</t>
  </si>
  <si>
    <t xml:space="preserve">LOAD CELL </t>
  </si>
  <si>
    <t>ITEM COAD - 65023-2T25-NC-00X</t>
  </si>
  <si>
    <t>HT. ALLEN BOLT</t>
  </si>
  <si>
    <t>12 X 75 MM</t>
  </si>
  <si>
    <t>8 X 16 MM</t>
  </si>
  <si>
    <t>10 X 16 MM</t>
  </si>
  <si>
    <t>KNURLING NIPPLE</t>
  </si>
  <si>
    <t>PULL CORD SWITCH</t>
  </si>
  <si>
    <t>SW 4030H22</t>
  </si>
  <si>
    <t>50 MM DIA</t>
  </si>
  <si>
    <t>WASTE PIPE</t>
  </si>
  <si>
    <t>6 X 20 MM</t>
  </si>
  <si>
    <t>LAB/036</t>
  </si>
  <si>
    <t>NICKEL CRUCIBLE</t>
  </si>
  <si>
    <t>QUARTZ CRUCIBLE</t>
  </si>
  <si>
    <t>50 ML</t>
  </si>
  <si>
    <t>LAB/037</t>
  </si>
  <si>
    <t>MECH/426</t>
  </si>
  <si>
    <t>MECH/427</t>
  </si>
  <si>
    <t>MECH/428</t>
  </si>
  <si>
    <t>MECH/429</t>
  </si>
  <si>
    <t>MECH/430</t>
  </si>
  <si>
    <t>MECH/431</t>
  </si>
  <si>
    <t>MECH/432</t>
  </si>
  <si>
    <t>MECH/433</t>
  </si>
  <si>
    <t>MECH/434</t>
  </si>
  <si>
    <t>PAPER WEIGHT</t>
  </si>
  <si>
    <t>PIN O CLIP</t>
  </si>
  <si>
    <t>24 BS  24AD  4E(SUPPLY - 100V    240V   AC(+/-10%)50/60HZ  ,OUT PUT - 24V/2.5A</t>
  </si>
  <si>
    <t>HRC FUSE</t>
  </si>
  <si>
    <t>16AMP (TYPE-HF)</t>
  </si>
  <si>
    <t>9W</t>
  </si>
  <si>
    <t>ELE/212</t>
  </si>
  <si>
    <t>STAND FAN</t>
  </si>
  <si>
    <t>CBW - 35</t>
  </si>
  <si>
    <t>PG - 25</t>
  </si>
  <si>
    <t>PROD/024</t>
  </si>
  <si>
    <t>CHROME ORE- FINES (TATA)</t>
  </si>
  <si>
    <t>Make</t>
  </si>
  <si>
    <t>TAPARIA</t>
  </si>
  <si>
    <t>FEVICOL</t>
  </si>
  <si>
    <t>SKF</t>
  </si>
  <si>
    <t>LION BRAND</t>
  </si>
  <si>
    <t>EATON</t>
  </si>
  <si>
    <t>FEREE MANS</t>
  </si>
  <si>
    <t>L &amp; T</t>
  </si>
  <si>
    <t xml:space="preserve">1211 EK TN9 </t>
  </si>
  <si>
    <t>VIRAT</t>
  </si>
  <si>
    <t xml:space="preserve">6310 2Z  </t>
  </si>
  <si>
    <t>GREAVES</t>
  </si>
  <si>
    <t>6208  2Z</t>
  </si>
  <si>
    <t>SIEMENS</t>
  </si>
  <si>
    <t>HAVELLS</t>
  </si>
  <si>
    <t>EASTERN
AUTOMATION</t>
  </si>
  <si>
    <t>JAINSON</t>
  </si>
  <si>
    <t>CODE3SB5000 - 0AD01</t>
  </si>
  <si>
    <t>SPEED-O-CONTROLS
PVT. LTD</t>
  </si>
  <si>
    <t>SPEEGAGE</t>
  </si>
  <si>
    <t>ALLAN</t>
  </si>
  <si>
    <t>BACK UP  INPUT-230VAC,OUT PUT-110VBC(MODEL NO-AOPZ3011O)</t>
  </si>
  <si>
    <t>BCH</t>
  </si>
  <si>
    <t xml:space="preserve">  AC  BREAK</t>
  </si>
  <si>
    <t>COMET</t>
  </si>
  <si>
    <t>KIRLOSKAR</t>
  </si>
  <si>
    <t>BBL</t>
  </si>
  <si>
    <t>OLI</t>
  </si>
  <si>
    <t>MINILEC</t>
  </si>
  <si>
    <t>SALZER</t>
  </si>
  <si>
    <t>ISS</t>
  </si>
  <si>
    <t>ELE/288</t>
  </si>
  <si>
    <t>ELE/289</t>
  </si>
  <si>
    <t>ELE/290</t>
  </si>
  <si>
    <t>ELE/291</t>
  </si>
  <si>
    <t>ELE/292</t>
  </si>
  <si>
    <t>ELE/293</t>
  </si>
  <si>
    <t>ASIAN PAINTS</t>
  </si>
  <si>
    <t>CASTROL</t>
  </si>
  <si>
    <t>NAVNEET</t>
  </si>
  <si>
    <t xml:space="preserve"> CONTACTOR</t>
  </si>
  <si>
    <t>230V 2NO+2NC
NO-3TF53 02-0APO</t>
  </si>
  <si>
    <t>MOBAJ</t>
  </si>
  <si>
    <t>CAMLIN</t>
  </si>
  <si>
    <t>REVO</t>
  </si>
  <si>
    <t>GIC</t>
  </si>
  <si>
    <t>JIGO</t>
  </si>
  <si>
    <t>RANGE (14 TO 23)</t>
  </si>
  <si>
    <t>ELE/294</t>
  </si>
  <si>
    <t>SELF NO</t>
  </si>
  <si>
    <t>MAIN STORE SIDE</t>
  </si>
  <si>
    <t>R-7(S-2)</t>
  </si>
  <si>
    <t>R-7(S-3)</t>
  </si>
  <si>
    <t>BLOCK-A/9</t>
  </si>
  <si>
    <t xml:space="preserve">MAIN STORE </t>
  </si>
  <si>
    <t>WORK SHOP</t>
  </si>
  <si>
    <t>STACK NO</t>
  </si>
  <si>
    <t>MAIN STORE FRONT</t>
  </si>
  <si>
    <t>R-5 (S-3)</t>
  </si>
  <si>
    <t>R-7</t>
  </si>
  <si>
    <t>R-8</t>
  </si>
  <si>
    <t>R-9</t>
  </si>
  <si>
    <t>R-10</t>
  </si>
  <si>
    <t>R-11</t>
  </si>
  <si>
    <t>R-12</t>
  </si>
  <si>
    <t>R-13</t>
  </si>
  <si>
    <t>R-14</t>
  </si>
  <si>
    <t>R-15</t>
  </si>
  <si>
    <t>R-16</t>
  </si>
  <si>
    <t>R-17</t>
  </si>
  <si>
    <t>R-18</t>
  </si>
  <si>
    <t>R-19</t>
  </si>
  <si>
    <t>R-20</t>
  </si>
  <si>
    <t>R-21</t>
  </si>
  <si>
    <t>R-22</t>
  </si>
  <si>
    <t>R-23</t>
  </si>
  <si>
    <t>R-24</t>
  </si>
  <si>
    <t>R-25</t>
  </si>
  <si>
    <t>R-26</t>
  </si>
  <si>
    <t>R-27</t>
  </si>
  <si>
    <t>R-28</t>
  </si>
  <si>
    <t>R-29</t>
  </si>
  <si>
    <t>R-30</t>
  </si>
  <si>
    <t>R-31</t>
  </si>
  <si>
    <t>R-32</t>
  </si>
  <si>
    <t>R-33</t>
  </si>
  <si>
    <t>R-34</t>
  </si>
  <si>
    <t>R-35</t>
  </si>
  <si>
    <t>R-36</t>
  </si>
  <si>
    <t>R-37</t>
  </si>
  <si>
    <t>R-38</t>
  </si>
  <si>
    <t>R-39</t>
  </si>
  <si>
    <t>KYCEE</t>
  </si>
  <si>
    <t>TFC</t>
  </si>
  <si>
    <t>ANCHOR</t>
  </si>
  <si>
    <t>JYOT</t>
  </si>
  <si>
    <t>AE</t>
  </si>
  <si>
    <t>COSMO</t>
  </si>
  <si>
    <t>LOTUS</t>
  </si>
  <si>
    <t>BSS</t>
  </si>
  <si>
    <t>C &amp; S</t>
  </si>
  <si>
    <t>SUMMITH</t>
  </si>
  <si>
    <t>PECO</t>
  </si>
  <si>
    <t xml:space="preserve">CONTACTOR </t>
  </si>
  <si>
    <t>R-6 (S-1)</t>
  </si>
  <si>
    <t>INDUSTRIAL FIRE PROOF JACKET</t>
  </si>
  <si>
    <t>SAF/IND/893</t>
  </si>
  <si>
    <t>DENIM JACKET</t>
  </si>
  <si>
    <t>SAF/DEN/1221</t>
  </si>
  <si>
    <t>BIKE HELMET</t>
  </si>
  <si>
    <t>SAF/BIK/1225</t>
  </si>
  <si>
    <t>OPENING STOCK</t>
  </si>
  <si>
    <t>PURCHASE</t>
  </si>
  <si>
    <t>CONSUMED</t>
  </si>
  <si>
    <t>CLOSING STOCK</t>
  </si>
  <si>
    <t>Safety stock position at store from 01-04-2019 to 31-12-2020</t>
  </si>
  <si>
    <t>LAB/AMM/903</t>
  </si>
  <si>
    <t>AMMONIUM IRON SULPHATE</t>
  </si>
  <si>
    <t>LAB/ASH/1127</t>
  </si>
  <si>
    <t>SILICA ASH DISC CIRCULAR (48 MM) 20 ML</t>
  </si>
  <si>
    <t>LAB/BEA/1129</t>
  </si>
  <si>
    <t>BEAKER - 600 CC</t>
  </si>
  <si>
    <t>BURNER STAND</t>
  </si>
  <si>
    <t>LAB/BUR/1145</t>
  </si>
  <si>
    <t>CHROME ORE STANDARD</t>
  </si>
  <si>
    <t>LAB/CHR/1063</t>
  </si>
  <si>
    <t>CONICAL FLASK (1 LTRS)</t>
  </si>
  <si>
    <t>LAB/CON/1172</t>
  </si>
  <si>
    <t>FILTER PAPER 150 MM</t>
  </si>
  <si>
    <t>LAB/FIL/1001</t>
  </si>
  <si>
    <t>FILTER FLASK BUCHNER FLASK (500 ML)</t>
  </si>
  <si>
    <t>LAB/FIL/1262</t>
  </si>
  <si>
    <t>FUNEL</t>
  </si>
  <si>
    <t>LAB/FUN/967</t>
  </si>
  <si>
    <t>HIGH CARBON FEROCHROME STANDARD (NCS  HC)</t>
  </si>
  <si>
    <t>LAB/HIG/1062</t>
  </si>
  <si>
    <t>LAB HOT PLATE RECTANGULAR(DIA 12 X 18")</t>
  </si>
  <si>
    <t>LAB/LAB/1068</t>
  </si>
  <si>
    <t>MUFFLE FURNACE</t>
  </si>
  <si>
    <t>LAB/MUF/1094</t>
  </si>
  <si>
    <t>PERPORATE DISC</t>
  </si>
  <si>
    <t>LAB/PER/904</t>
  </si>
  <si>
    <t>PLANTINUM CRUSIBLE</t>
  </si>
  <si>
    <t>LAB/PLA/964</t>
  </si>
  <si>
    <t>POTASSIUM IODIDE</t>
  </si>
  <si>
    <t>LAB/POT/910</t>
  </si>
  <si>
    <t>SODIUM HYDROXIDE</t>
  </si>
  <si>
    <t>LAB/SOD/905</t>
  </si>
  <si>
    <t>TIN CHLORIDE</t>
  </si>
  <si>
    <t>LAB/TIN/906</t>
  </si>
  <si>
    <t>UREA</t>
  </si>
  <si>
    <t>LAB/URE/911</t>
  </si>
  <si>
    <t>WATCH GLASS</t>
  </si>
  <si>
    <t>LAB/WAT/965</t>
  </si>
  <si>
    <t>WATCH GLASS (100 MM)</t>
  </si>
  <si>
    <t>LAB/WAT/966</t>
  </si>
  <si>
    <t>SODIUM PEROXIDE</t>
  </si>
  <si>
    <t>LAB/001</t>
  </si>
  <si>
    <t>LAB/FIL/937</t>
  </si>
  <si>
    <t>FILTER PAPER - 540</t>
  </si>
  <si>
    <t>LAB/SOD/910</t>
  </si>
  <si>
    <t>SODIUM THIOSULPHATE</t>
  </si>
  <si>
    <t>LAB/GLA/913</t>
  </si>
  <si>
    <t>GLACICAL ACETIC ACID</t>
  </si>
  <si>
    <t>LAB/STA/914</t>
  </si>
  <si>
    <t>STARCH SOLUBLE</t>
  </si>
  <si>
    <t>LAB/IOD/915</t>
  </si>
  <si>
    <t>IODINE FLASK</t>
  </si>
  <si>
    <t>Laboratory stock position at store as on 01.04.19 TO 31.01.20</t>
  </si>
  <si>
    <t>Electrical stock position at store as on 01.04.19 TO 31.01.20</t>
  </si>
  <si>
    <t>RCCB (32 AMP,DP)</t>
  </si>
  <si>
    <t>ELE/ RC/1134</t>
  </si>
  <si>
    <t>SERVICE WIRE(2 CORE 6 SQMM)</t>
  </si>
  <si>
    <t>ELE/ SE/1243</t>
  </si>
  <si>
    <t>ELE/11 /1244</t>
  </si>
  <si>
    <t>11 KV HT CABLE</t>
  </si>
  <si>
    <t>9 VOLT BATTERY</t>
  </si>
  <si>
    <t>ELE/9 V/1170</t>
  </si>
  <si>
    <t>BEARING(6202 ZZ)</t>
  </si>
  <si>
    <t>ELE/BEA/1066</t>
  </si>
  <si>
    <t>BEARING (6213   ZZ)</t>
  </si>
  <si>
    <t>ELE/BEA/1136</t>
  </si>
  <si>
    <t>BUISHING FOR 132/11 KV.20/25 MVA
 TRANSFORMER</t>
  </si>
  <si>
    <t>ELE/BUI/1007</t>
  </si>
  <si>
    <t>ELE/COP/898</t>
  </si>
  <si>
    <t>DIESEL FILTER</t>
  </si>
  <si>
    <t>ELE/DIE/1065</t>
  </si>
  <si>
    <t>DOUBLE COMPRESSOR CABLE GLAND</t>
  </si>
  <si>
    <t>ELE/DOU/900</t>
  </si>
  <si>
    <t>ELE/DOU/901</t>
  </si>
  <si>
    <t>DOUBLE COMPRESOR CABLE GLAND</t>
  </si>
  <si>
    <t>ELE/DOU/902</t>
  </si>
  <si>
    <t>DRY TYPE TRANSFORMER</t>
  </si>
  <si>
    <t>ELE/DRY/1160</t>
  </si>
  <si>
    <t>GI. PIPE EARTH ELECTRODE</t>
  </si>
  <si>
    <t>ELE/GI./896</t>
  </si>
  <si>
    <t>HBC FUSE LINK (125 A)</t>
  </si>
  <si>
    <t>ELE/HBC/1184</t>
  </si>
  <si>
    <t>HOLE SAW CUTTER ( 51 MM)</t>
  </si>
  <si>
    <t>ELE/HOL/1086</t>
  </si>
  <si>
    <t>HOLE SAW CUTTER (25 MM)</t>
  </si>
  <si>
    <t>ELE/HOL/1092</t>
  </si>
  <si>
    <t>HOLE SAW CUTTER (16 MM)</t>
  </si>
  <si>
    <t>ELE/HOL/1093</t>
  </si>
  <si>
    <t>ELE/IND/1039</t>
  </si>
  <si>
    <t>ELE/IND/1040</t>
  </si>
  <si>
    <t>INSULATOR</t>
  </si>
  <si>
    <t>ELE/INS/888</t>
  </si>
  <si>
    <t>JUNCTION BOX</t>
  </si>
  <si>
    <t>ELE/JUN/1030</t>
  </si>
  <si>
    <t>ELE/JUN/887</t>
  </si>
  <si>
    <t>LCJ - 2 GREASE (PAIL)</t>
  </si>
  <si>
    <t>ELE/LCJ/945</t>
  </si>
  <si>
    <t>LED  HIGHMAST LIGHT (200 WATT)</t>
  </si>
  <si>
    <t>ELE/LED/1232</t>
  </si>
  <si>
    <t>LED ENDURA  WELGLASS LIGHT</t>
  </si>
  <si>
    <t>ELE/LED/940</t>
  </si>
  <si>
    <t>MACHINE SCREW. MS (4 X 30 MM)</t>
  </si>
  <si>
    <t>ELE/MAC/1147</t>
  </si>
  <si>
    <t>MAIN SWITCH SFU</t>
  </si>
  <si>
    <t>ELE/MAI/885</t>
  </si>
  <si>
    <t>ELE/MCB/885</t>
  </si>
  <si>
    <t>MCC PANEL</t>
  </si>
  <si>
    <t>ELE/MCC/929</t>
  </si>
  <si>
    <t>MOBILE FILTER</t>
  </si>
  <si>
    <t>ELE/MOB/1064</t>
  </si>
  <si>
    <t>MPCB( 2.5 - 4) AMP, 415 VOLT, 3 PHASE</t>
  </si>
  <si>
    <t>ELE/MPC/1095</t>
  </si>
  <si>
    <t>MPCB( 19 - 25) AMP, 415 VOLT, 3 PHASE</t>
  </si>
  <si>
    <t>ELE/MPC/1096</t>
  </si>
  <si>
    <t>MS ANGLE</t>
  </si>
  <si>
    <t>ELE/MS /1027</t>
  </si>
  <si>
    <t>NUT &amp; BOLT (GOLDEN COATED)
 MS. 10 X 40 MM</t>
  </si>
  <si>
    <t>ELE/NUT/1148</t>
  </si>
  <si>
    <t>PEN DRIVE</t>
  </si>
  <si>
    <t>ELE/PEN/1161</t>
  </si>
  <si>
    <t>POWER CONTACTOR</t>
  </si>
  <si>
    <t>ELE/POW/1002</t>
  </si>
  <si>
    <t>Power Contactor Kits</t>
  </si>
  <si>
    <t>ELE/POW/1069</t>
  </si>
  <si>
    <t>ELE/POW/1070</t>
  </si>
  <si>
    <t>POWER CABLE</t>
  </si>
  <si>
    <t>ELE/POW/897</t>
  </si>
  <si>
    <t>ELE/POW/898</t>
  </si>
  <si>
    <t>PT FUSE</t>
  </si>
  <si>
    <t>ELE/PT /1004</t>
  </si>
  <si>
    <t>SALT</t>
  </si>
  <si>
    <t>ELE/SAL/894</t>
  </si>
  <si>
    <t>TON</t>
  </si>
  <si>
    <t>SNAP ACTION SWITCH ASSY</t>
  </si>
  <si>
    <t>ELE/SNA/1038</t>
  </si>
  <si>
    <t>STATIC WATTHOUR METER WITH TEST 
CERTIFICATE</t>
  </si>
  <si>
    <t>ELE/STA/1087</t>
  </si>
  <si>
    <t>TRANSFORMER OIL</t>
  </si>
  <si>
    <t>ELE/TRA/1216</t>
  </si>
  <si>
    <t>TRANSMISSION RUBBER BELT</t>
  </si>
  <si>
    <t>ELE/TRA/1217</t>
  </si>
  <si>
    <t>VARIABLE FREQUENCY DRIVE (VFD)</t>
  </si>
  <si>
    <t>ELE/VAR/1020</t>
  </si>
  <si>
    <t>ELE/LED/949</t>
  </si>
  <si>
    <t>LED TUBE LIGHT</t>
  </si>
  <si>
    <t>MIS/BEL/1219</t>
  </si>
  <si>
    <t>BELCHA</t>
  </si>
  <si>
    <t>BLOW LAMP</t>
  </si>
  <si>
    <t>MIS/BLO/1226</t>
  </si>
  <si>
    <t>CARBOLIC ACID</t>
  </si>
  <si>
    <t>MIS/CAR/1080</t>
  </si>
  <si>
    <t>MIS/CAT/962</t>
  </si>
  <si>
    <t>CELLO TAPE (BIG SIZE)</t>
  </si>
  <si>
    <t>MIS/CEL/1135</t>
  </si>
  <si>
    <t>MIS/DIE/1033</t>
  </si>
  <si>
    <t>DIESEL FILTER KIT (TRACTOR NEW)</t>
  </si>
  <si>
    <t>MIS/DIE/1113</t>
  </si>
  <si>
    <t>EARTHING PIT COVER</t>
  </si>
  <si>
    <t>MIS/EAR/1073</t>
  </si>
  <si>
    <t>FILTER SPIN ON (TRACTOR NEW)</t>
  </si>
  <si>
    <t>MIS/FIL/1110</t>
  </si>
  <si>
    <t>FILTER HYDRAULIC (TRACTOR NEW)</t>
  </si>
  <si>
    <t>MIS/FIL/1111</t>
  </si>
  <si>
    <t>FILTER ELEMENT (TRACTOR NEW)</t>
  </si>
  <si>
    <t>MIS/FIL/1112</t>
  </si>
  <si>
    <t>GAS LIGHTER</t>
  </si>
  <si>
    <t>MIS/GAS/904</t>
  </si>
  <si>
    <t>GOLF XM OIL (TRACTOR NEW)</t>
  </si>
  <si>
    <t>MIS/GOL/1114</t>
  </si>
  <si>
    <t>GUNNY BAG</t>
  </si>
  <si>
    <t>MIS/GUN/995</t>
  </si>
  <si>
    <t>HAND WASH</t>
  </si>
  <si>
    <t>MIS/HAN/909</t>
  </si>
  <si>
    <t>MIS/IRO/1220</t>
  </si>
  <si>
    <t>IRON KADAI</t>
  </si>
  <si>
    <t>MIS/LPG/951</t>
  </si>
  <si>
    <t>MAIL FEMALE (TRACTOR NEW)</t>
  </si>
  <si>
    <t>MIS/MAI/1108</t>
  </si>
  <si>
    <t>MAIL FEMALE ORING (TRACTOR NEW)</t>
  </si>
  <si>
    <t>MIS/MAI/1109</t>
  </si>
  <si>
    <t>NAIL BELCHA</t>
  </si>
  <si>
    <t>MIS/NAI/1263</t>
  </si>
  <si>
    <t>MIS/NON/1223</t>
  </si>
  <si>
    <t>NONSTICK TAWA</t>
  </si>
  <si>
    <t>MIS/NOT/963</t>
  </si>
  <si>
    <t>MIS/NYL/1006</t>
  </si>
  <si>
    <t>NYLON THREAD</t>
  </si>
  <si>
    <t>MIS/OXY/950</t>
  </si>
  <si>
    <t>MIS/PHE/972</t>
  </si>
  <si>
    <t>PHENYLE (WHITE)</t>
  </si>
  <si>
    <t>MIS/PIP/1107</t>
  </si>
  <si>
    <t>PIPE JACK (TRACTOR NEW)</t>
  </si>
  <si>
    <t>MIS/PVC/1222</t>
  </si>
  <si>
    <t>PVC.TAP</t>
  </si>
  <si>
    <t>MIS/RAI/1025</t>
  </si>
  <si>
    <t>RAINCOAT</t>
  </si>
  <si>
    <t>MIS/SOA/973</t>
  </si>
  <si>
    <t>SOAP</t>
  </si>
  <si>
    <t>MIS/STE/974</t>
  </si>
  <si>
    <t>STEEL GLASS</t>
  </si>
  <si>
    <t>MIS/SUR/908</t>
  </si>
  <si>
    <t>SURF</t>
  </si>
  <si>
    <t>MIS/TAB/1088</t>
  </si>
  <si>
    <t>TABLE GLASS (8 MM)</t>
  </si>
  <si>
    <t>MIS/TEA/968</t>
  </si>
  <si>
    <t>TEAK ENAMEL PAINTS</t>
  </si>
  <si>
    <t>MIS/WAL/1132</t>
  </si>
  <si>
    <t>WALL CLOCK</t>
  </si>
  <si>
    <t>MIS/WAL/969</t>
  </si>
  <si>
    <t>WALL PRIMER</t>
  </si>
  <si>
    <t>MIS/WEA/969</t>
  </si>
  <si>
    <t>WEATHER COAT</t>
  </si>
  <si>
    <t>MIS/WOO/1037</t>
  </si>
  <si>
    <t>WOOD PRIMER</t>
  </si>
  <si>
    <t>WOODEN SPATULA</t>
  </si>
  <si>
    <t>MIS/WOO/1224</t>
  </si>
  <si>
    <t>MISC/189</t>
  </si>
  <si>
    <t xml:space="preserve">DIESEL </t>
  </si>
  <si>
    <t>124.674.80</t>
  </si>
  <si>
    <t>AVAILABLE/ OPENING STOCK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</si>
</sst>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0.000"/>
    <numFmt numFmtId="165" formatCode="[$Rs.-4009]\ #,##0.00"/>
    <numFmt numFmtId="166" formatCode="[$Rs.-4009]\ #,##0.00;[$Rs.-4009]\ \-#,##0.00"/>
    <numFmt numFmtId="167" formatCode="00"/>
    <numFmt numFmtId="168" formatCode="_(* #,##0.000_);_(* \(#,##0.000\);_(* &quot;-&quot;??_);_(@_)"/>
    <numFmt numFmtId="169" formatCode="_(* #,##0_);_(* \(#,##0\);_(* &quot;-&quot;??_);_(@_)"/>
    <numFmt numFmtId="170" formatCode="00.00"/>
    <numFmt numFmtId="171" formatCode="0.0"/>
    <numFmt numFmtId="172" formatCode="[$Rs.-849]\ #,##0.00"/>
  </numFmts>
  <fonts count="14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9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164" fontId="0" fillId="0" borderId="1" xfId="0" applyNumberFormat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" fontId="0" fillId="0" borderId="1" xfId="0" applyNumberFormat="1" applyBorder="1"/>
    <xf numFmtId="0" fontId="2" fillId="0" borderId="1" xfId="0" applyFont="1" applyBorder="1" applyAlignment="1">
      <alignment vertic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2" fillId="2" borderId="1" xfId="0" applyFont="1" applyFill="1" applyBorder="1"/>
    <xf numFmtId="164" fontId="0" fillId="0" borderId="1" xfId="0" applyNumberFormat="1" applyFont="1" applyBorder="1"/>
    <xf numFmtId="164" fontId="0" fillId="0" borderId="1" xfId="1" applyNumberFormat="1" applyFont="1" applyBorder="1"/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165" fontId="0" fillId="0" borderId="1" xfId="0" applyNumberFormat="1" applyBorder="1"/>
    <xf numFmtId="165" fontId="0" fillId="0" borderId="1" xfId="0" applyNumberFormat="1" applyBorder="1" applyAlignment="1">
      <alignment vertical="center"/>
    </xf>
    <xf numFmtId="165" fontId="3" fillId="0" borderId="1" xfId="0" applyNumberFormat="1" applyFont="1" applyBorder="1"/>
    <xf numFmtId="166" fontId="8" fillId="0" borderId="1" xfId="1" applyNumberFormat="1" applyFont="1" applyBorder="1"/>
    <xf numFmtId="166" fontId="3" fillId="0" borderId="1" xfId="1" applyNumberFormat="1" applyFont="1" applyBorder="1"/>
    <xf numFmtId="165" fontId="6" fillId="0" borderId="1" xfId="0" applyNumberFormat="1" applyFont="1" applyBorder="1"/>
    <xf numFmtId="0" fontId="2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65" fontId="0" fillId="0" borderId="1" xfId="0" applyNumberFormat="1" applyFill="1" applyBorder="1"/>
    <xf numFmtId="0" fontId="0" fillId="0" borderId="1" xfId="0" applyFill="1" applyBorder="1" applyAlignment="1">
      <alignment wrapText="1"/>
    </xf>
    <xf numFmtId="0" fontId="0" fillId="2" borderId="1" xfId="0" applyFill="1" applyBorder="1" applyAlignment="1"/>
    <xf numFmtId="0" fontId="0" fillId="3" borderId="1" xfId="0" applyFill="1" applyBorder="1"/>
    <xf numFmtId="165" fontId="0" fillId="3" borderId="1" xfId="0" applyNumberFormat="1" applyFill="1" applyBorder="1"/>
    <xf numFmtId="0" fontId="0" fillId="3" borderId="1" xfId="0" applyFill="1" applyBorder="1" applyAlignment="1">
      <alignment wrapText="1"/>
    </xf>
    <xf numFmtId="165" fontId="0" fillId="2" borderId="1" xfId="0" applyNumberFormat="1" applyFill="1" applyBorder="1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164" fontId="0" fillId="2" borderId="1" xfId="0" applyNumberFormat="1" applyFill="1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1" fontId="0" fillId="2" borderId="1" xfId="0" applyNumberFormat="1" applyFill="1" applyBorder="1"/>
    <xf numFmtId="0" fontId="2" fillId="2" borderId="1" xfId="0" applyFont="1" applyFill="1" applyBorder="1" applyAlignment="1">
      <alignment vertical="center"/>
    </xf>
    <xf numFmtId="165" fontId="3" fillId="2" borderId="1" xfId="0" applyNumberFormat="1" applyFont="1" applyFill="1" applyBorder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167" fontId="0" fillId="0" borderId="1" xfId="0" applyNumberFormat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/>
    <xf numFmtId="1" fontId="0" fillId="2" borderId="1" xfId="0" applyNumberFormat="1" applyFill="1" applyBorder="1" applyAlignment="1"/>
    <xf numFmtId="0" fontId="0" fillId="2" borderId="1" xfId="0" applyFill="1" applyBorder="1" applyAlignment="1">
      <alignment horizontal="left" wrapText="1"/>
    </xf>
    <xf numFmtId="0" fontId="0" fillId="0" borderId="1" xfId="0" applyFill="1" applyBorder="1"/>
    <xf numFmtId="1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5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2" fontId="0" fillId="2" borderId="1" xfId="0" quotePrefix="1" applyNumberFormat="1" applyFill="1" applyBorder="1" applyAlignment="1">
      <alignment horizontal="left" wrapText="1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left" vertical="top" wrapText="1"/>
    </xf>
    <xf numFmtId="1" fontId="0" fillId="2" borderId="1" xfId="0" applyNumberForma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165" fontId="0" fillId="2" borderId="1" xfId="0" applyNumberFormat="1" applyFill="1" applyBorder="1" applyAlignment="1">
      <alignment vertical="top"/>
    </xf>
    <xf numFmtId="170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17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wrapText="1"/>
    </xf>
    <xf numFmtId="0" fontId="11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171" fontId="0" fillId="0" borderId="1" xfId="0" applyNumberFormat="1" applyBorder="1"/>
    <xf numFmtId="0" fontId="0" fillId="2" borderId="1" xfId="0" applyNumberFormat="1" applyFill="1" applyBorder="1"/>
    <xf numFmtId="164" fontId="0" fillId="2" borderId="1" xfId="0" applyNumberFormat="1" applyFill="1" applyBorder="1" applyAlignment="1">
      <alignment horizontal="center"/>
    </xf>
    <xf numFmtId="43" fontId="0" fillId="2" borderId="1" xfId="1" applyFont="1" applyFill="1" applyBorder="1"/>
    <xf numFmtId="43" fontId="0" fillId="2" borderId="1" xfId="1" applyFont="1" applyFill="1" applyBorder="1" applyAlignment="1"/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168" fontId="0" fillId="2" borderId="1" xfId="1" applyNumberFormat="1" applyFont="1" applyFill="1" applyBorder="1"/>
    <xf numFmtId="169" fontId="0" fillId="2" borderId="1" xfId="1" applyNumberFormat="1" applyFont="1" applyFill="1" applyBorder="1"/>
    <xf numFmtId="165" fontId="3" fillId="0" borderId="11" xfId="0" applyNumberFormat="1" applyFont="1" applyBorder="1"/>
    <xf numFmtId="0" fontId="6" fillId="0" borderId="1" xfId="0" applyFont="1" applyBorder="1" applyAlignment="1">
      <alignment vertical="center"/>
    </xf>
    <xf numFmtId="0" fontId="6" fillId="0" borderId="1" xfId="0" applyFont="1" applyBorder="1"/>
    <xf numFmtId="9" fontId="0" fillId="0" borderId="0" xfId="0" applyNumberFormat="1"/>
    <xf numFmtId="2" fontId="0" fillId="0" borderId="0" xfId="0" applyNumberFormat="1"/>
    <xf numFmtId="0" fontId="6" fillId="0" borderId="1" xfId="0" applyFont="1" applyBorder="1" applyAlignment="1">
      <alignment horizontal="center" vertical="center"/>
    </xf>
    <xf numFmtId="0" fontId="0" fillId="0" borderId="0" xfId="0" applyFont="1" applyFill="1" applyBorder="1"/>
    <xf numFmtId="1" fontId="0" fillId="0" borderId="0" xfId="0" applyNumberFormat="1" applyFont="1" applyFill="1" applyBorder="1"/>
    <xf numFmtId="4" fontId="0" fillId="0" borderId="0" xfId="0" applyNumberFormat="1" applyFont="1" applyFill="1" applyBorder="1"/>
    <xf numFmtId="0" fontId="0" fillId="0" borderId="1" xfId="0" applyFont="1" applyFill="1" applyBorder="1"/>
    <xf numFmtId="1" fontId="0" fillId="0" borderId="1" xfId="0" applyNumberFormat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1" fontId="0" fillId="0" borderId="1" xfId="0" applyNumberFormat="1" applyFont="1" applyFill="1" applyBorder="1"/>
    <xf numFmtId="43" fontId="0" fillId="0" borderId="1" xfId="1" applyFont="1" applyBorder="1"/>
    <xf numFmtId="172" fontId="0" fillId="0" borderId="1" xfId="0" applyNumberFormat="1" applyFont="1" applyFill="1" applyBorder="1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2" fontId="0" fillId="0" borderId="0" xfId="0" applyNumberFormat="1" applyFont="1" applyFill="1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wrapText="1"/>
    </xf>
    <xf numFmtId="0" fontId="0" fillId="0" borderId="12" xfId="0" applyBorder="1"/>
    <xf numFmtId="1" fontId="0" fillId="0" borderId="12" xfId="0" applyNumberFormat="1" applyBorder="1"/>
    <xf numFmtId="165" fontId="0" fillId="0" borderId="12" xfId="0" applyNumberFormat="1" applyBorder="1"/>
    <xf numFmtId="2" fontId="0" fillId="0" borderId="1" xfId="0" applyNumberFormat="1" applyBorder="1"/>
    <xf numFmtId="2" fontId="0" fillId="0" borderId="1" xfId="0" applyNumberFormat="1" applyFont="1" applyFill="1" applyBorder="1"/>
    <xf numFmtId="43" fontId="0" fillId="0" borderId="1" xfId="1" applyFont="1" applyFill="1" applyBorder="1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Border="1"/>
    <xf numFmtId="43" fontId="0" fillId="0" borderId="0" xfId="1" applyFont="1" applyBorder="1"/>
    <xf numFmtId="0" fontId="0" fillId="0" borderId="0" xfId="0" applyBorder="1" applyAlignment="1">
      <alignment horizontal="center"/>
    </xf>
    <xf numFmtId="0" fontId="0" fillId="0" borderId="13" xfId="0" applyFill="1" applyBorder="1"/>
    <xf numFmtId="0" fontId="0" fillId="0" borderId="0" xfId="0" applyFill="1" applyBorder="1" applyAlignment="1">
      <alignment wrapText="1"/>
    </xf>
    <xf numFmtId="4" fontId="0" fillId="0" borderId="1" xfId="0" applyNumberFormat="1" applyFont="1" applyFill="1" applyBorder="1"/>
    <xf numFmtId="4" fontId="0" fillId="2" borderId="1" xfId="0" applyNumberFormat="1" applyFont="1" applyFill="1" applyBorder="1"/>
    <xf numFmtId="4" fontId="0" fillId="0" borderId="1" xfId="0" applyNumberFormat="1" applyBorder="1"/>
    <xf numFmtId="4" fontId="0" fillId="2" borderId="1" xfId="0" applyNumberFormat="1" applyFill="1" applyBorder="1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2"/>
  <sheetViews>
    <sheetView topLeftCell="A124" workbookViewId="0">
      <selection activeCell="K140" sqref="K140"/>
    </sheetView>
  </sheetViews>
  <sheetFormatPr defaultColWidth="17" defaultRowHeight="15"/>
  <cols>
    <col min="1" max="1" width="8.28515625" style="15" bestFit="1" customWidth="1"/>
    <col min="2" max="2" width="16.140625" bestFit="1" customWidth="1"/>
    <col min="3" max="3" width="31.7109375" style="1" bestFit="1" customWidth="1"/>
    <col min="4" max="4" width="17" style="1"/>
    <col min="5" max="5" width="11.7109375" style="1" customWidth="1"/>
    <col min="6" max="6" width="14.140625" bestFit="1" customWidth="1"/>
    <col min="7" max="7" width="10.42578125" bestFit="1" customWidth="1"/>
    <col min="8" max="8" width="11" bestFit="1" customWidth="1"/>
    <col min="9" max="9" width="13.85546875" bestFit="1" customWidth="1"/>
    <col min="10" max="10" width="17" bestFit="1" customWidth="1"/>
    <col min="11" max="11" width="11.28515625" customWidth="1"/>
  </cols>
  <sheetData>
    <row r="1" spans="1:11" ht="15.75">
      <c r="A1" s="172" t="s">
        <v>25</v>
      </c>
      <c r="B1" s="173"/>
      <c r="C1" s="173"/>
      <c r="D1" s="173"/>
      <c r="E1" s="173"/>
      <c r="F1" s="173"/>
      <c r="G1" s="173"/>
      <c r="H1" s="173"/>
      <c r="I1" s="173"/>
      <c r="J1" s="174"/>
    </row>
    <row r="2" spans="1:11" ht="15.75">
      <c r="A2" s="172" t="s">
        <v>26</v>
      </c>
      <c r="B2" s="173"/>
      <c r="C2" s="173"/>
      <c r="D2" s="173"/>
      <c r="E2" s="173"/>
      <c r="F2" s="173"/>
      <c r="G2" s="173"/>
      <c r="H2" s="173"/>
      <c r="I2" s="173"/>
      <c r="J2" s="174"/>
    </row>
    <row r="3" spans="1:11" ht="15.75">
      <c r="A3" s="172" t="s">
        <v>1975</v>
      </c>
      <c r="B3" s="173"/>
      <c r="C3" s="173"/>
      <c r="D3" s="173"/>
      <c r="E3" s="173"/>
      <c r="F3" s="173"/>
      <c r="G3" s="173"/>
      <c r="H3" s="173"/>
      <c r="I3" s="173"/>
      <c r="J3" s="174"/>
    </row>
    <row r="4" spans="1:11" s="19" customFormat="1" ht="15.75">
      <c r="A4" s="16" t="s">
        <v>667</v>
      </c>
      <c r="B4" s="16" t="s">
        <v>27</v>
      </c>
      <c r="C4" s="17" t="s">
        <v>28</v>
      </c>
      <c r="D4" s="17" t="s">
        <v>29</v>
      </c>
      <c r="E4" s="17" t="s">
        <v>2062</v>
      </c>
      <c r="F4" s="16" t="s">
        <v>30</v>
      </c>
      <c r="G4" s="16" t="s">
        <v>31</v>
      </c>
      <c r="H4" s="16" t="s">
        <v>32</v>
      </c>
      <c r="I4" s="18" t="s">
        <v>668</v>
      </c>
      <c r="J4" s="18" t="s">
        <v>669</v>
      </c>
      <c r="K4" s="119" t="s">
        <v>2111</v>
      </c>
    </row>
    <row r="5" spans="1:11">
      <c r="A5" s="13">
        <v>1</v>
      </c>
      <c r="B5" s="3" t="s">
        <v>33</v>
      </c>
      <c r="C5" s="4" t="s">
        <v>34</v>
      </c>
      <c r="D5" s="4" t="s">
        <v>35</v>
      </c>
      <c r="E5" s="4" t="s">
        <v>2063</v>
      </c>
      <c r="F5" s="3" t="s">
        <v>36</v>
      </c>
      <c r="G5" s="70">
        <v>1</v>
      </c>
      <c r="H5" s="3" t="s">
        <v>6</v>
      </c>
      <c r="I5" s="35">
        <v>50.74</v>
      </c>
      <c r="J5" s="35">
        <f t="shared" ref="J5:J29" si="0">G5*I5</f>
        <v>50.74</v>
      </c>
      <c r="K5" s="23">
        <v>4</v>
      </c>
    </row>
    <row r="6" spans="1:11">
      <c r="A6" s="13">
        <v>2</v>
      </c>
      <c r="B6" s="3" t="s">
        <v>37</v>
      </c>
      <c r="C6" s="4" t="s">
        <v>38</v>
      </c>
      <c r="D6" s="4" t="s">
        <v>39</v>
      </c>
      <c r="E6" s="4" t="s">
        <v>1442</v>
      </c>
      <c r="F6" s="3" t="s">
        <v>36</v>
      </c>
      <c r="G6" s="70">
        <v>2</v>
      </c>
      <c r="H6" s="3" t="s">
        <v>6</v>
      </c>
      <c r="I6" s="35">
        <v>35.4</v>
      </c>
      <c r="J6" s="35">
        <f t="shared" si="0"/>
        <v>70.8</v>
      </c>
      <c r="K6" s="23">
        <v>4</v>
      </c>
    </row>
    <row r="7" spans="1:11">
      <c r="A7" s="13">
        <v>3</v>
      </c>
      <c r="B7" s="3" t="s">
        <v>40</v>
      </c>
      <c r="C7" s="4" t="s">
        <v>41</v>
      </c>
      <c r="D7" s="4" t="s">
        <v>42</v>
      </c>
      <c r="E7" s="4"/>
      <c r="F7" s="3" t="s">
        <v>36</v>
      </c>
      <c r="G7" s="70">
        <f>3-1</f>
        <v>2</v>
      </c>
      <c r="H7" s="3" t="s">
        <v>6</v>
      </c>
      <c r="I7" s="35">
        <v>607.70000000000005</v>
      </c>
      <c r="J7" s="35">
        <f t="shared" si="0"/>
        <v>1215.4000000000001</v>
      </c>
      <c r="K7" s="23">
        <v>11</v>
      </c>
    </row>
    <row r="8" spans="1:11">
      <c r="A8" s="13">
        <v>4</v>
      </c>
      <c r="B8" s="3" t="s">
        <v>45</v>
      </c>
      <c r="C8" s="4" t="s">
        <v>41</v>
      </c>
      <c r="D8" s="4" t="s">
        <v>46</v>
      </c>
      <c r="E8" s="4"/>
      <c r="F8" s="3" t="s">
        <v>36</v>
      </c>
      <c r="G8" s="70">
        <v>4</v>
      </c>
      <c r="H8" s="3" t="s">
        <v>6</v>
      </c>
      <c r="I8" s="35">
        <v>938.1</v>
      </c>
      <c r="J8" s="35">
        <f t="shared" si="0"/>
        <v>3752.4</v>
      </c>
      <c r="K8" s="23">
        <v>11</v>
      </c>
    </row>
    <row r="9" spans="1:11">
      <c r="A9" s="13">
        <v>5</v>
      </c>
      <c r="B9" s="3" t="s">
        <v>47</v>
      </c>
      <c r="C9" s="4" t="s">
        <v>48</v>
      </c>
      <c r="D9" s="4" t="s">
        <v>42</v>
      </c>
      <c r="E9" s="4"/>
      <c r="F9" s="3" t="s">
        <v>36</v>
      </c>
      <c r="G9" s="70">
        <v>6</v>
      </c>
      <c r="H9" s="3" t="s">
        <v>6</v>
      </c>
      <c r="I9" s="35">
        <v>64.900000000000006</v>
      </c>
      <c r="J9" s="35">
        <f t="shared" si="0"/>
        <v>389.40000000000003</v>
      </c>
      <c r="K9" s="23">
        <v>39</v>
      </c>
    </row>
    <row r="10" spans="1:11">
      <c r="A10" s="13">
        <v>6</v>
      </c>
      <c r="B10" s="3" t="s">
        <v>49</v>
      </c>
      <c r="C10" s="4" t="s">
        <v>48</v>
      </c>
      <c r="D10" s="4" t="s">
        <v>46</v>
      </c>
      <c r="E10" s="4"/>
      <c r="F10" s="3" t="s">
        <v>36</v>
      </c>
      <c r="G10" s="70">
        <v>11</v>
      </c>
      <c r="H10" s="3" t="s">
        <v>6</v>
      </c>
      <c r="I10" s="35">
        <v>88.5</v>
      </c>
      <c r="J10" s="35">
        <f t="shared" si="0"/>
        <v>973.5</v>
      </c>
      <c r="K10" s="23">
        <v>39</v>
      </c>
    </row>
    <row r="11" spans="1:11">
      <c r="A11" s="13">
        <v>7</v>
      </c>
      <c r="B11" s="3" t="s">
        <v>50</v>
      </c>
      <c r="C11" s="4" t="s">
        <v>51</v>
      </c>
      <c r="D11" s="4" t="s">
        <v>52</v>
      </c>
      <c r="E11" s="4"/>
      <c r="F11" s="3" t="s">
        <v>36</v>
      </c>
      <c r="G11" s="70">
        <v>8</v>
      </c>
      <c r="H11" s="3" t="s">
        <v>6</v>
      </c>
      <c r="I11" s="35">
        <v>88.5</v>
      </c>
      <c r="J11" s="35">
        <f t="shared" si="0"/>
        <v>708</v>
      </c>
      <c r="K11" s="23">
        <v>35</v>
      </c>
    </row>
    <row r="12" spans="1:11">
      <c r="A12" s="13">
        <v>8</v>
      </c>
      <c r="B12" s="3" t="s">
        <v>53</v>
      </c>
      <c r="C12" s="4" t="s">
        <v>54</v>
      </c>
      <c r="D12" s="4" t="s">
        <v>55</v>
      </c>
      <c r="E12" s="4"/>
      <c r="F12" s="3" t="s">
        <v>36</v>
      </c>
      <c r="G12" s="70">
        <f>3-1</f>
        <v>2</v>
      </c>
      <c r="H12" s="3" t="s">
        <v>6</v>
      </c>
      <c r="I12" s="35">
        <v>29.5</v>
      </c>
      <c r="J12" s="35">
        <f t="shared" si="0"/>
        <v>59</v>
      </c>
      <c r="K12" s="23">
        <v>35</v>
      </c>
    </row>
    <row r="13" spans="1:11">
      <c r="A13" s="13">
        <v>9</v>
      </c>
      <c r="B13" s="3" t="s">
        <v>56</v>
      </c>
      <c r="C13" s="4" t="s">
        <v>1706</v>
      </c>
      <c r="D13" s="4" t="s">
        <v>57</v>
      </c>
      <c r="E13" s="4" t="s">
        <v>2064</v>
      </c>
      <c r="F13" s="3" t="s">
        <v>36</v>
      </c>
      <c r="G13" s="70">
        <v>2</v>
      </c>
      <c r="H13" s="3" t="s">
        <v>3</v>
      </c>
      <c r="I13" s="35">
        <v>29.5</v>
      </c>
      <c r="J13" s="35">
        <f t="shared" si="0"/>
        <v>59</v>
      </c>
      <c r="K13" s="23">
        <v>3</v>
      </c>
    </row>
    <row r="14" spans="1:11" ht="30">
      <c r="A14" s="13">
        <v>10</v>
      </c>
      <c r="B14" s="3" t="s">
        <v>58</v>
      </c>
      <c r="C14" s="4" t="s">
        <v>1707</v>
      </c>
      <c r="D14" s="4" t="s">
        <v>59</v>
      </c>
      <c r="E14" s="4"/>
      <c r="F14" s="3" t="s">
        <v>36</v>
      </c>
      <c r="G14" s="70">
        <f>21-10+100-18-10-5-5-10</f>
        <v>63</v>
      </c>
      <c r="H14" s="3" t="s">
        <v>6</v>
      </c>
      <c r="I14" s="35">
        <v>82.6</v>
      </c>
      <c r="J14" s="35">
        <f t="shared" si="0"/>
        <v>5203.7999999999993</v>
      </c>
      <c r="K14" s="23">
        <v>4</v>
      </c>
    </row>
    <row r="15" spans="1:11" ht="30">
      <c r="A15" s="13">
        <v>11</v>
      </c>
      <c r="B15" s="3" t="s">
        <v>60</v>
      </c>
      <c r="C15" s="4" t="s">
        <v>61</v>
      </c>
      <c r="D15" s="4" t="s">
        <v>62</v>
      </c>
      <c r="E15" s="4"/>
      <c r="F15" s="3" t="s">
        <v>36</v>
      </c>
      <c r="G15" s="70">
        <f>66-6</f>
        <v>60</v>
      </c>
      <c r="H15" s="3" t="s">
        <v>63</v>
      </c>
      <c r="I15" s="35">
        <v>300</v>
      </c>
      <c r="J15" s="35">
        <f t="shared" si="0"/>
        <v>18000</v>
      </c>
      <c r="K15" s="120" t="s">
        <v>2112</v>
      </c>
    </row>
    <row r="16" spans="1:11" ht="30">
      <c r="A16" s="13">
        <v>12</v>
      </c>
      <c r="B16" s="3" t="s">
        <v>64</v>
      </c>
      <c r="C16" s="4" t="s">
        <v>65</v>
      </c>
      <c r="D16" s="4" t="s">
        <v>66</v>
      </c>
      <c r="E16" s="4"/>
      <c r="F16" s="3" t="s">
        <v>36</v>
      </c>
      <c r="G16" s="70">
        <v>36</v>
      </c>
      <c r="H16" s="3" t="s">
        <v>63</v>
      </c>
      <c r="I16" s="35">
        <v>267.45999999999998</v>
      </c>
      <c r="J16" s="35">
        <f t="shared" si="0"/>
        <v>9628.56</v>
      </c>
      <c r="K16" s="120" t="s">
        <v>2112</v>
      </c>
    </row>
    <row r="17" spans="1:11" ht="30">
      <c r="A17" s="13">
        <v>13</v>
      </c>
      <c r="B17" s="3" t="s">
        <v>67</v>
      </c>
      <c r="C17" s="4" t="s">
        <v>65</v>
      </c>
      <c r="D17" s="4" t="s">
        <v>68</v>
      </c>
      <c r="E17" s="4"/>
      <c r="F17" s="3" t="s">
        <v>36</v>
      </c>
      <c r="G17" s="70">
        <v>36</v>
      </c>
      <c r="H17" s="3" t="s">
        <v>63</v>
      </c>
      <c r="I17" s="35">
        <v>184.25</v>
      </c>
      <c r="J17" s="35">
        <f t="shared" si="0"/>
        <v>6633</v>
      </c>
      <c r="K17" s="120" t="s">
        <v>2112</v>
      </c>
    </row>
    <row r="18" spans="1:11">
      <c r="A18" s="13">
        <v>14</v>
      </c>
      <c r="B18" s="3" t="s">
        <v>73</v>
      </c>
      <c r="C18" s="4" t="s">
        <v>1709</v>
      </c>
      <c r="D18" s="4" t="s">
        <v>57</v>
      </c>
      <c r="E18" s="4"/>
      <c r="F18" s="3" t="s">
        <v>36</v>
      </c>
      <c r="G18" s="70">
        <v>454</v>
      </c>
      <c r="H18" s="3" t="s">
        <v>6</v>
      </c>
      <c r="I18" s="35">
        <v>59</v>
      </c>
      <c r="J18" s="35">
        <f t="shared" si="0"/>
        <v>26786</v>
      </c>
      <c r="K18" s="23">
        <v>79</v>
      </c>
    </row>
    <row r="19" spans="1:11">
      <c r="A19" s="13">
        <v>15</v>
      </c>
      <c r="B19" s="3" t="s">
        <v>86</v>
      </c>
      <c r="C19" s="4" t="s">
        <v>83</v>
      </c>
      <c r="D19" s="4" t="s">
        <v>87</v>
      </c>
      <c r="E19" s="4"/>
      <c r="F19" s="3" t="s">
        <v>36</v>
      </c>
      <c r="G19" s="70">
        <v>11</v>
      </c>
      <c r="H19" s="3" t="s">
        <v>6</v>
      </c>
      <c r="I19" s="35">
        <v>188.8</v>
      </c>
      <c r="J19" s="35">
        <f t="shared" si="0"/>
        <v>2076.8000000000002</v>
      </c>
      <c r="K19" s="23">
        <v>39</v>
      </c>
    </row>
    <row r="20" spans="1:11" ht="30">
      <c r="A20" s="13">
        <v>16</v>
      </c>
      <c r="B20" s="3" t="s">
        <v>94</v>
      </c>
      <c r="C20" s="4" t="s">
        <v>1710</v>
      </c>
      <c r="D20" s="6" t="s">
        <v>95</v>
      </c>
      <c r="E20" s="6"/>
      <c r="F20" s="3" t="s">
        <v>36</v>
      </c>
      <c r="G20" s="70">
        <v>19.5</v>
      </c>
      <c r="H20" s="3" t="s">
        <v>63</v>
      </c>
      <c r="I20" s="35">
        <v>15576</v>
      </c>
      <c r="J20" s="35">
        <f t="shared" si="0"/>
        <v>303732</v>
      </c>
      <c r="K20" s="120" t="s">
        <v>2112</v>
      </c>
    </row>
    <row r="21" spans="1:11">
      <c r="A21" s="13">
        <v>17</v>
      </c>
      <c r="B21" s="3" t="s">
        <v>102</v>
      </c>
      <c r="C21" s="4" t="s">
        <v>101</v>
      </c>
      <c r="D21" s="4" t="s">
        <v>103</v>
      </c>
      <c r="E21" s="4" t="s">
        <v>2065</v>
      </c>
      <c r="F21" s="3" t="s">
        <v>36</v>
      </c>
      <c r="G21" s="70">
        <v>4</v>
      </c>
      <c r="H21" s="3" t="s">
        <v>6</v>
      </c>
      <c r="I21" s="35">
        <v>2039.04</v>
      </c>
      <c r="J21" s="35">
        <f t="shared" si="0"/>
        <v>8156.16</v>
      </c>
      <c r="K21" s="23">
        <v>3</v>
      </c>
    </row>
    <row r="22" spans="1:11">
      <c r="A22" s="13">
        <v>18</v>
      </c>
      <c r="B22" s="3" t="s">
        <v>104</v>
      </c>
      <c r="C22" s="4" t="s">
        <v>101</v>
      </c>
      <c r="D22" s="4" t="s">
        <v>105</v>
      </c>
      <c r="E22" s="4" t="s">
        <v>2065</v>
      </c>
      <c r="F22" s="3" t="s">
        <v>36</v>
      </c>
      <c r="G22" s="70">
        <v>2</v>
      </c>
      <c r="H22" s="3" t="s">
        <v>6</v>
      </c>
      <c r="I22" s="35">
        <v>8272.27</v>
      </c>
      <c r="J22" s="35">
        <f t="shared" si="0"/>
        <v>16544.54</v>
      </c>
      <c r="K22" s="23">
        <v>3</v>
      </c>
    </row>
    <row r="23" spans="1:11">
      <c r="A23" s="13">
        <v>19</v>
      </c>
      <c r="B23" s="3" t="s">
        <v>106</v>
      </c>
      <c r="C23" s="4" t="s">
        <v>101</v>
      </c>
      <c r="D23" s="4" t="s">
        <v>107</v>
      </c>
      <c r="E23" s="4" t="s">
        <v>2065</v>
      </c>
      <c r="F23" s="3" t="s">
        <v>36</v>
      </c>
      <c r="G23" s="70">
        <f>5+8-4</f>
        <v>9</v>
      </c>
      <c r="H23" s="3" t="s">
        <v>6</v>
      </c>
      <c r="I23" s="35">
        <v>772.19</v>
      </c>
      <c r="J23" s="35">
        <f t="shared" si="0"/>
        <v>6949.7100000000009</v>
      </c>
      <c r="K23" s="23">
        <v>3</v>
      </c>
    </row>
    <row r="24" spans="1:11">
      <c r="A24" s="13">
        <v>20</v>
      </c>
      <c r="B24" s="3" t="s">
        <v>108</v>
      </c>
      <c r="C24" s="4" t="s">
        <v>101</v>
      </c>
      <c r="D24" s="4" t="s">
        <v>109</v>
      </c>
      <c r="E24" s="4" t="s">
        <v>2065</v>
      </c>
      <c r="F24" s="3" t="s">
        <v>36</v>
      </c>
      <c r="G24" s="70">
        <v>4</v>
      </c>
      <c r="H24" s="3" t="s">
        <v>6</v>
      </c>
      <c r="I24" s="35">
        <v>7077.17</v>
      </c>
      <c r="J24" s="35">
        <f t="shared" si="0"/>
        <v>28308.68</v>
      </c>
      <c r="K24" s="23">
        <v>3</v>
      </c>
    </row>
    <row r="25" spans="1:11">
      <c r="A25" s="13">
        <v>21</v>
      </c>
      <c r="B25" s="3" t="s">
        <v>116</v>
      </c>
      <c r="C25" s="4" t="s">
        <v>101</v>
      </c>
      <c r="D25" s="4" t="s">
        <v>117</v>
      </c>
      <c r="E25" s="4" t="s">
        <v>2065</v>
      </c>
      <c r="F25" s="3" t="s">
        <v>36</v>
      </c>
      <c r="G25" s="70">
        <v>6</v>
      </c>
      <c r="H25" s="3" t="s">
        <v>6</v>
      </c>
      <c r="I25" s="35">
        <v>440.85</v>
      </c>
      <c r="J25" s="35">
        <f t="shared" si="0"/>
        <v>2645.1000000000004</v>
      </c>
      <c r="K25" s="23">
        <v>3</v>
      </c>
    </row>
    <row r="26" spans="1:11">
      <c r="A26" s="13">
        <v>22</v>
      </c>
      <c r="B26" s="3" t="s">
        <v>145</v>
      </c>
      <c r="C26" s="4" t="s">
        <v>1712</v>
      </c>
      <c r="D26" s="4" t="s">
        <v>57</v>
      </c>
      <c r="E26" s="4"/>
      <c r="F26" s="3" t="s">
        <v>36</v>
      </c>
      <c r="G26" s="70">
        <f>20-4+10-12</f>
        <v>14</v>
      </c>
      <c r="H26" s="3" t="s">
        <v>6</v>
      </c>
      <c r="I26" s="35">
        <v>64.900000000000006</v>
      </c>
      <c r="J26" s="35">
        <f t="shared" si="0"/>
        <v>908.60000000000014</v>
      </c>
      <c r="K26" s="23">
        <v>1</v>
      </c>
    </row>
    <row r="27" spans="1:11" ht="30">
      <c r="A27" s="13">
        <v>23</v>
      </c>
      <c r="B27" s="3" t="s">
        <v>148</v>
      </c>
      <c r="C27" s="4" t="s">
        <v>1711</v>
      </c>
      <c r="D27" s="4" t="s">
        <v>87</v>
      </c>
      <c r="E27" s="4" t="s">
        <v>2066</v>
      </c>
      <c r="F27" s="3" t="s">
        <v>36</v>
      </c>
      <c r="G27" s="70">
        <v>4</v>
      </c>
      <c r="H27" s="3" t="s">
        <v>11</v>
      </c>
      <c r="I27" s="35">
        <v>330.4</v>
      </c>
      <c r="J27" s="35">
        <f t="shared" si="0"/>
        <v>1321.6</v>
      </c>
      <c r="K27" s="23">
        <v>1</v>
      </c>
    </row>
    <row r="28" spans="1:11">
      <c r="A28" s="13">
        <v>24</v>
      </c>
      <c r="B28" s="3" t="s">
        <v>150</v>
      </c>
      <c r="C28" s="4" t="s">
        <v>152</v>
      </c>
      <c r="D28" s="4" t="s">
        <v>43</v>
      </c>
      <c r="E28" s="4"/>
      <c r="F28" s="3" t="s">
        <v>36</v>
      </c>
      <c r="G28" s="70">
        <f>10-6+20</f>
        <v>24</v>
      </c>
      <c r="H28" s="3" t="s">
        <v>6</v>
      </c>
      <c r="I28" s="35">
        <v>29.5</v>
      </c>
      <c r="J28" s="35">
        <f t="shared" si="0"/>
        <v>708</v>
      </c>
      <c r="K28" s="23">
        <v>12</v>
      </c>
    </row>
    <row r="29" spans="1:11">
      <c r="A29" s="13">
        <v>25</v>
      </c>
      <c r="B29" s="3" t="s">
        <v>151</v>
      </c>
      <c r="C29" s="4" t="s">
        <v>152</v>
      </c>
      <c r="D29" s="4" t="s">
        <v>149</v>
      </c>
      <c r="E29" s="4"/>
      <c r="F29" s="3" t="s">
        <v>36</v>
      </c>
      <c r="G29" s="70">
        <f>7-7</f>
        <v>0</v>
      </c>
      <c r="H29" s="3" t="s">
        <v>6</v>
      </c>
      <c r="I29" s="35">
        <v>35.4</v>
      </c>
      <c r="J29" s="35">
        <f t="shared" si="0"/>
        <v>0</v>
      </c>
      <c r="K29" s="23">
        <v>12</v>
      </c>
    </row>
    <row r="30" spans="1:11" ht="26.25">
      <c r="A30" s="13">
        <v>26</v>
      </c>
      <c r="B30" s="3" t="s">
        <v>158</v>
      </c>
      <c r="C30" s="4" t="s">
        <v>159</v>
      </c>
      <c r="D30" s="6" t="s">
        <v>160</v>
      </c>
      <c r="E30" s="6"/>
      <c r="F30" s="3" t="s">
        <v>36</v>
      </c>
      <c r="G30" s="70">
        <v>50</v>
      </c>
      <c r="H30" s="3" t="s">
        <v>6</v>
      </c>
      <c r="I30" s="35">
        <v>112.1</v>
      </c>
      <c r="J30" s="35">
        <f t="shared" ref="J30:J32" si="1">G30*I30</f>
        <v>5605</v>
      </c>
      <c r="K30" s="23">
        <v>93</v>
      </c>
    </row>
    <row r="31" spans="1:11" ht="30">
      <c r="A31" s="13">
        <v>27</v>
      </c>
      <c r="B31" s="3" t="s">
        <v>161</v>
      </c>
      <c r="C31" s="4" t="s">
        <v>159</v>
      </c>
      <c r="D31" s="4" t="s">
        <v>162</v>
      </c>
      <c r="E31" s="4"/>
      <c r="F31" s="3" t="s">
        <v>36</v>
      </c>
      <c r="G31" s="70">
        <v>15</v>
      </c>
      <c r="H31" s="3" t="s">
        <v>6</v>
      </c>
      <c r="I31" s="35">
        <v>271.39999999999998</v>
      </c>
      <c r="J31" s="35">
        <f t="shared" si="1"/>
        <v>4070.9999999999995</v>
      </c>
      <c r="K31" s="23">
        <v>93</v>
      </c>
    </row>
    <row r="32" spans="1:11" ht="30">
      <c r="A32" s="13">
        <v>28</v>
      </c>
      <c r="B32" s="3" t="s">
        <v>163</v>
      </c>
      <c r="C32" s="4" t="s">
        <v>159</v>
      </c>
      <c r="D32" s="4" t="s">
        <v>164</v>
      </c>
      <c r="E32" s="4"/>
      <c r="F32" s="3" t="s">
        <v>36</v>
      </c>
      <c r="G32" s="70">
        <v>10</v>
      </c>
      <c r="H32" s="3" t="s">
        <v>6</v>
      </c>
      <c r="I32" s="35">
        <v>401.2</v>
      </c>
      <c r="J32" s="35">
        <f t="shared" si="1"/>
        <v>4012</v>
      </c>
      <c r="K32" s="23">
        <v>93</v>
      </c>
    </row>
    <row r="33" spans="1:11" ht="30">
      <c r="A33" s="13">
        <v>29</v>
      </c>
      <c r="B33" s="3" t="s">
        <v>198</v>
      </c>
      <c r="C33" s="4" t="s">
        <v>199</v>
      </c>
      <c r="D33" s="4" t="s">
        <v>200</v>
      </c>
      <c r="E33" s="4" t="s">
        <v>2067</v>
      </c>
      <c r="F33" s="3" t="s">
        <v>36</v>
      </c>
      <c r="G33" s="70">
        <v>3</v>
      </c>
      <c r="H33" s="3" t="s">
        <v>6</v>
      </c>
      <c r="I33" s="35">
        <v>14074</v>
      </c>
      <c r="J33" s="35">
        <f>G33*I33</f>
        <v>42222</v>
      </c>
      <c r="K33" s="23">
        <v>2</v>
      </c>
    </row>
    <row r="34" spans="1:11" ht="45">
      <c r="A34" s="13">
        <v>30</v>
      </c>
      <c r="B34" s="3" t="s">
        <v>201</v>
      </c>
      <c r="C34" s="4" t="s">
        <v>199</v>
      </c>
      <c r="D34" s="4" t="s">
        <v>202</v>
      </c>
      <c r="E34" s="4" t="s">
        <v>2067</v>
      </c>
      <c r="F34" s="3" t="s">
        <v>36</v>
      </c>
      <c r="G34" s="70">
        <v>1</v>
      </c>
      <c r="H34" s="3" t="s">
        <v>6</v>
      </c>
      <c r="I34" s="35">
        <v>6583</v>
      </c>
      <c r="J34" s="35">
        <f>G34*I34</f>
        <v>6583</v>
      </c>
      <c r="K34" s="23">
        <v>2</v>
      </c>
    </row>
    <row r="35" spans="1:11" ht="45">
      <c r="A35" s="13">
        <v>31</v>
      </c>
      <c r="B35" s="3" t="s">
        <v>203</v>
      </c>
      <c r="C35" s="4" t="s">
        <v>199</v>
      </c>
      <c r="D35" s="4" t="s">
        <v>204</v>
      </c>
      <c r="E35" s="4" t="s">
        <v>2067</v>
      </c>
      <c r="F35" s="3" t="s">
        <v>36</v>
      </c>
      <c r="G35" s="70">
        <v>1</v>
      </c>
      <c r="H35" s="3" t="s">
        <v>6</v>
      </c>
      <c r="I35" s="35">
        <v>7150</v>
      </c>
      <c r="J35" s="35">
        <f>G35*I35</f>
        <v>7150</v>
      </c>
      <c r="K35" s="23">
        <v>2</v>
      </c>
    </row>
    <row r="36" spans="1:11">
      <c r="A36" s="13">
        <v>32</v>
      </c>
      <c r="B36" s="3" t="s">
        <v>213</v>
      </c>
      <c r="C36" s="4" t="s">
        <v>214</v>
      </c>
      <c r="D36" s="4" t="s">
        <v>215</v>
      </c>
      <c r="E36" s="4"/>
      <c r="F36" s="3" t="s">
        <v>36</v>
      </c>
      <c r="G36" s="70">
        <f>13-3+4-1-1</f>
        <v>12</v>
      </c>
      <c r="H36" s="3" t="s">
        <v>6</v>
      </c>
      <c r="I36" s="35">
        <v>338.98</v>
      </c>
      <c r="J36" s="35">
        <f t="shared" ref="J36:J37" si="2">G36*I36</f>
        <v>4067.76</v>
      </c>
      <c r="K36" s="23">
        <v>11</v>
      </c>
    </row>
    <row r="37" spans="1:11">
      <c r="A37" s="13">
        <v>33</v>
      </c>
      <c r="B37" s="3" t="s">
        <v>216</v>
      </c>
      <c r="C37" s="4" t="s">
        <v>214</v>
      </c>
      <c r="D37" s="4" t="s">
        <v>153</v>
      </c>
      <c r="E37" s="4"/>
      <c r="F37" s="3" t="s">
        <v>36</v>
      </c>
      <c r="G37" s="70">
        <f>10-2</f>
        <v>8</v>
      </c>
      <c r="H37" s="3" t="s">
        <v>6</v>
      </c>
      <c r="I37" s="35">
        <v>548.70000000000005</v>
      </c>
      <c r="J37" s="35">
        <f t="shared" si="2"/>
        <v>4389.6000000000004</v>
      </c>
      <c r="K37" s="23">
        <v>11</v>
      </c>
    </row>
    <row r="38" spans="1:11">
      <c r="A38" s="13">
        <v>34</v>
      </c>
      <c r="B38" s="3" t="s">
        <v>225</v>
      </c>
      <c r="C38" s="8" t="s">
        <v>226</v>
      </c>
      <c r="D38" s="8" t="s">
        <v>57</v>
      </c>
      <c r="E38" s="8"/>
      <c r="F38" s="28" t="s">
        <v>36</v>
      </c>
      <c r="G38" s="71">
        <f>30-1</f>
        <v>29</v>
      </c>
      <c r="H38" s="28" t="s">
        <v>6</v>
      </c>
      <c r="I38" s="54">
        <v>165.2</v>
      </c>
      <c r="J38" s="35">
        <f t="shared" ref="J38:J42" si="3">G38*I38</f>
        <v>4790.7999999999993</v>
      </c>
      <c r="K38" s="23">
        <v>1</v>
      </c>
    </row>
    <row r="39" spans="1:11">
      <c r="A39" s="13">
        <v>35</v>
      </c>
      <c r="B39" s="3" t="s">
        <v>229</v>
      </c>
      <c r="C39" s="8" t="s">
        <v>228</v>
      </c>
      <c r="D39" s="8" t="s">
        <v>132</v>
      </c>
      <c r="E39" s="8" t="s">
        <v>1442</v>
      </c>
      <c r="F39" s="28" t="s">
        <v>36</v>
      </c>
      <c r="G39" s="71">
        <f>70-7-9-1-2-2-1</f>
        <v>48</v>
      </c>
      <c r="H39" s="28" t="s">
        <v>6</v>
      </c>
      <c r="I39" s="54">
        <v>67</v>
      </c>
      <c r="J39" s="54">
        <f t="shared" si="3"/>
        <v>3216</v>
      </c>
      <c r="K39" s="23">
        <v>17</v>
      </c>
    </row>
    <row r="40" spans="1:11" ht="30">
      <c r="A40" s="13">
        <v>36</v>
      </c>
      <c r="B40" s="3" t="s">
        <v>287</v>
      </c>
      <c r="C40" s="4" t="s">
        <v>288</v>
      </c>
      <c r="D40" s="4" t="s">
        <v>289</v>
      </c>
      <c r="E40" s="4" t="s">
        <v>2068</v>
      </c>
      <c r="F40" s="3" t="s">
        <v>36</v>
      </c>
      <c r="G40" s="70">
        <f>4-1-1</f>
        <v>2</v>
      </c>
      <c r="H40" s="3" t="s">
        <v>6</v>
      </c>
      <c r="I40" s="35">
        <v>38.94</v>
      </c>
      <c r="J40" s="35">
        <f t="shared" si="3"/>
        <v>77.88</v>
      </c>
      <c r="K40" s="23">
        <v>1</v>
      </c>
    </row>
    <row r="41" spans="1:11" ht="30">
      <c r="A41" s="13">
        <v>37</v>
      </c>
      <c r="B41" s="3" t="s">
        <v>290</v>
      </c>
      <c r="C41" s="4" t="s">
        <v>288</v>
      </c>
      <c r="D41" s="4" t="s">
        <v>291</v>
      </c>
      <c r="E41" s="4" t="s">
        <v>2068</v>
      </c>
      <c r="F41" s="3" t="s">
        <v>36</v>
      </c>
      <c r="G41" s="70">
        <f>5-1-1</f>
        <v>3</v>
      </c>
      <c r="H41" s="3" t="s">
        <v>6</v>
      </c>
      <c r="I41" s="35">
        <v>106.2</v>
      </c>
      <c r="J41" s="35">
        <f t="shared" si="3"/>
        <v>318.60000000000002</v>
      </c>
      <c r="K41" s="23">
        <v>1</v>
      </c>
    </row>
    <row r="42" spans="1:11">
      <c r="A42" s="13">
        <v>38</v>
      </c>
      <c r="B42" s="3" t="s">
        <v>313</v>
      </c>
      <c r="C42" s="4" t="s">
        <v>111</v>
      </c>
      <c r="D42" s="4" t="s">
        <v>314</v>
      </c>
      <c r="E42" s="4"/>
      <c r="F42" s="3" t="s">
        <v>36</v>
      </c>
      <c r="G42" s="70">
        <v>7</v>
      </c>
      <c r="H42" s="3" t="s">
        <v>6</v>
      </c>
      <c r="I42" s="35">
        <v>3115.2</v>
      </c>
      <c r="J42" s="35">
        <f t="shared" si="3"/>
        <v>21806.399999999998</v>
      </c>
      <c r="K42" s="23">
        <v>3</v>
      </c>
    </row>
    <row r="43" spans="1:11" ht="30">
      <c r="A43" s="13">
        <v>39</v>
      </c>
      <c r="B43" s="3" t="s">
        <v>407</v>
      </c>
      <c r="C43" s="4" t="s">
        <v>391</v>
      </c>
      <c r="D43" s="4" t="s">
        <v>408</v>
      </c>
      <c r="E43" s="4" t="s">
        <v>413</v>
      </c>
      <c r="F43" s="3" t="s">
        <v>36</v>
      </c>
      <c r="G43" s="70">
        <v>16</v>
      </c>
      <c r="H43" s="3" t="s">
        <v>11</v>
      </c>
      <c r="I43" s="35">
        <v>1699.2</v>
      </c>
      <c r="J43" s="35">
        <f t="shared" ref="J43:J44" si="4">G43*I43</f>
        <v>27187.200000000001</v>
      </c>
      <c r="K43" s="23" t="s">
        <v>2114</v>
      </c>
    </row>
    <row r="44" spans="1:11" ht="30">
      <c r="A44" s="13">
        <v>40</v>
      </c>
      <c r="B44" s="3" t="s">
        <v>409</v>
      </c>
      <c r="C44" s="4" t="s">
        <v>391</v>
      </c>
      <c r="D44" s="4" t="s">
        <v>410</v>
      </c>
      <c r="E44" s="4" t="s">
        <v>413</v>
      </c>
      <c r="F44" s="3" t="s">
        <v>36</v>
      </c>
      <c r="G44" s="70">
        <v>15</v>
      </c>
      <c r="H44" s="3" t="s">
        <v>11</v>
      </c>
      <c r="I44" s="35">
        <v>1486.8</v>
      </c>
      <c r="J44" s="35">
        <f t="shared" si="4"/>
        <v>22302</v>
      </c>
      <c r="K44" s="23" t="s">
        <v>2113</v>
      </c>
    </row>
    <row r="45" spans="1:11">
      <c r="A45" s="13">
        <v>41</v>
      </c>
      <c r="B45" s="3" t="s">
        <v>416</v>
      </c>
      <c r="C45" s="4" t="s">
        <v>367</v>
      </c>
      <c r="D45" s="4" t="s">
        <v>417</v>
      </c>
      <c r="E45" s="4"/>
      <c r="F45" s="3" t="s">
        <v>36</v>
      </c>
      <c r="G45" s="70" t="s">
        <v>418</v>
      </c>
      <c r="H45" s="3" t="s">
        <v>6</v>
      </c>
      <c r="I45" s="35">
        <v>388.87</v>
      </c>
      <c r="J45" s="35">
        <f t="shared" ref="J45:J88" si="5">G45*I45</f>
        <v>1555.48</v>
      </c>
      <c r="K45" s="23">
        <v>21</v>
      </c>
    </row>
    <row r="46" spans="1:11">
      <c r="A46" s="13">
        <v>42</v>
      </c>
      <c r="B46" s="3" t="s">
        <v>419</v>
      </c>
      <c r="C46" s="4" t="s">
        <v>420</v>
      </c>
      <c r="D46" s="4" t="s">
        <v>421</v>
      </c>
      <c r="E46" s="4"/>
      <c r="F46" s="3" t="s">
        <v>36</v>
      </c>
      <c r="G46" s="70" t="s">
        <v>422</v>
      </c>
      <c r="H46" s="3" t="s">
        <v>6</v>
      </c>
      <c r="I46" s="35">
        <v>767</v>
      </c>
      <c r="J46" s="35">
        <f t="shared" si="5"/>
        <v>767</v>
      </c>
      <c r="K46" s="23">
        <v>3</v>
      </c>
    </row>
    <row r="47" spans="1:11">
      <c r="A47" s="13">
        <v>43</v>
      </c>
      <c r="B47" s="28" t="s">
        <v>423</v>
      </c>
      <c r="C47" s="4" t="s">
        <v>1707</v>
      </c>
      <c r="D47" s="4" t="s">
        <v>424</v>
      </c>
      <c r="E47" s="4"/>
      <c r="F47" s="3" t="s">
        <v>36</v>
      </c>
      <c r="G47" s="70">
        <f>44-6-18</f>
        <v>20</v>
      </c>
      <c r="H47" s="3" t="s">
        <v>6</v>
      </c>
      <c r="I47" s="35">
        <v>68.44</v>
      </c>
      <c r="J47" s="35">
        <f t="shared" si="5"/>
        <v>1368.8</v>
      </c>
      <c r="K47" s="23">
        <v>4</v>
      </c>
    </row>
    <row r="48" spans="1:11">
      <c r="A48" s="13">
        <v>44</v>
      </c>
      <c r="B48" s="3" t="s">
        <v>425</v>
      </c>
      <c r="C48" s="4" t="s">
        <v>426</v>
      </c>
      <c r="D48" s="4" t="s">
        <v>80</v>
      </c>
      <c r="E48" s="4"/>
      <c r="F48" s="3" t="s">
        <v>36</v>
      </c>
      <c r="G48" s="70">
        <f>50-3</f>
        <v>47</v>
      </c>
      <c r="H48" s="3" t="s">
        <v>63</v>
      </c>
      <c r="I48" s="35">
        <v>95.58</v>
      </c>
      <c r="J48" s="35">
        <f t="shared" si="5"/>
        <v>4492.26</v>
      </c>
      <c r="K48" s="23">
        <v>96</v>
      </c>
    </row>
    <row r="49" spans="1:11">
      <c r="A49" s="13">
        <v>45</v>
      </c>
      <c r="B49" s="3" t="s">
        <v>427</v>
      </c>
      <c r="C49" s="4" t="s">
        <v>426</v>
      </c>
      <c r="D49" s="4" t="s">
        <v>43</v>
      </c>
      <c r="E49" s="4"/>
      <c r="F49" s="3" t="s">
        <v>36</v>
      </c>
      <c r="G49" s="70">
        <v>100</v>
      </c>
      <c r="H49" s="3" t="s">
        <v>63</v>
      </c>
      <c r="I49" s="35">
        <v>138.06</v>
      </c>
      <c r="J49" s="35">
        <f t="shared" si="5"/>
        <v>13806</v>
      </c>
      <c r="K49" s="23">
        <v>96</v>
      </c>
    </row>
    <row r="50" spans="1:11">
      <c r="A50" s="13">
        <v>46</v>
      </c>
      <c r="B50" s="3" t="s">
        <v>429</v>
      </c>
      <c r="C50" s="4" t="s">
        <v>1713</v>
      </c>
      <c r="D50" s="4" t="s">
        <v>430</v>
      </c>
      <c r="E50" s="4" t="s">
        <v>2069</v>
      </c>
      <c r="F50" s="3" t="s">
        <v>36</v>
      </c>
      <c r="G50" s="70" t="s">
        <v>431</v>
      </c>
      <c r="H50" s="3" t="s">
        <v>1</v>
      </c>
      <c r="I50" s="35">
        <v>31423.91</v>
      </c>
      <c r="J50" s="35">
        <f t="shared" si="5"/>
        <v>57819.994400000003</v>
      </c>
      <c r="K50" s="23">
        <v>1</v>
      </c>
    </row>
    <row r="51" spans="1:11">
      <c r="A51" s="13">
        <v>47</v>
      </c>
      <c r="B51" s="3" t="s">
        <v>432</v>
      </c>
      <c r="C51" s="4" t="s">
        <v>433</v>
      </c>
      <c r="D51" s="4" t="s">
        <v>434</v>
      </c>
      <c r="E51" s="4" t="s">
        <v>2069</v>
      </c>
      <c r="F51" s="3" t="s">
        <v>36</v>
      </c>
      <c r="G51" s="70" t="s">
        <v>435</v>
      </c>
      <c r="H51" s="3" t="s">
        <v>1</v>
      </c>
      <c r="I51" s="35">
        <v>5900</v>
      </c>
      <c r="J51" s="35">
        <f t="shared" si="5"/>
        <v>29500</v>
      </c>
      <c r="K51" s="23">
        <v>1</v>
      </c>
    </row>
    <row r="52" spans="1:11">
      <c r="A52" s="13">
        <v>48</v>
      </c>
      <c r="B52" s="3" t="s">
        <v>436</v>
      </c>
      <c r="C52" s="4" t="s">
        <v>437</v>
      </c>
      <c r="D52" s="4" t="s">
        <v>57</v>
      </c>
      <c r="E52" s="4"/>
      <c r="F52" s="3" t="s">
        <v>36</v>
      </c>
      <c r="G52" s="70">
        <f>30-15</f>
        <v>15</v>
      </c>
      <c r="H52" s="3" t="s">
        <v>1</v>
      </c>
      <c r="I52" s="35">
        <v>118</v>
      </c>
      <c r="J52" s="35">
        <f t="shared" si="5"/>
        <v>1770</v>
      </c>
      <c r="K52" s="23">
        <v>95</v>
      </c>
    </row>
    <row r="53" spans="1:11">
      <c r="A53" s="13">
        <v>49</v>
      </c>
      <c r="B53" s="3" t="s">
        <v>439</v>
      </c>
      <c r="C53" s="4" t="s">
        <v>438</v>
      </c>
      <c r="D53" s="4" t="s">
        <v>440</v>
      </c>
      <c r="E53" s="4"/>
      <c r="F53" s="3" t="s">
        <v>36</v>
      </c>
      <c r="G53" s="70">
        <f>50-15</f>
        <v>35</v>
      </c>
      <c r="H53" s="3" t="s">
        <v>6</v>
      </c>
      <c r="I53" s="35">
        <v>3.54</v>
      </c>
      <c r="J53" s="35">
        <f t="shared" si="5"/>
        <v>123.9</v>
      </c>
      <c r="K53" s="23">
        <v>97</v>
      </c>
    </row>
    <row r="54" spans="1:11" s="55" customFormat="1">
      <c r="A54" s="13">
        <v>50</v>
      </c>
      <c r="B54" s="28" t="s">
        <v>443</v>
      </c>
      <c r="C54" s="8" t="s">
        <v>438</v>
      </c>
      <c r="D54" s="8" t="s">
        <v>444</v>
      </c>
      <c r="E54" s="8"/>
      <c r="F54" s="28" t="s">
        <v>36</v>
      </c>
      <c r="G54" s="28">
        <v>100</v>
      </c>
      <c r="H54" s="28" t="s">
        <v>6</v>
      </c>
      <c r="I54" s="54">
        <v>4.25</v>
      </c>
      <c r="J54" s="54">
        <f t="shared" ref="J54:J87" si="6">G54*I54</f>
        <v>425</v>
      </c>
      <c r="K54" s="23">
        <v>97</v>
      </c>
    </row>
    <row r="55" spans="1:11" s="55" customFormat="1">
      <c r="A55" s="13">
        <v>51</v>
      </c>
      <c r="B55" s="28" t="s">
        <v>445</v>
      </c>
      <c r="C55" s="8" t="s">
        <v>438</v>
      </c>
      <c r="D55" s="8" t="s">
        <v>446</v>
      </c>
      <c r="E55" s="8"/>
      <c r="F55" s="28" t="s">
        <v>36</v>
      </c>
      <c r="G55" s="28">
        <v>90</v>
      </c>
      <c r="H55" s="28" t="s">
        <v>6</v>
      </c>
      <c r="I55" s="54">
        <v>5.66</v>
      </c>
      <c r="J55" s="54">
        <f t="shared" si="6"/>
        <v>509.40000000000003</v>
      </c>
      <c r="K55" s="23">
        <v>97</v>
      </c>
    </row>
    <row r="56" spans="1:11" s="55" customFormat="1">
      <c r="A56" s="13">
        <v>52</v>
      </c>
      <c r="B56" s="28" t="s">
        <v>448</v>
      </c>
      <c r="C56" s="8" t="s">
        <v>438</v>
      </c>
      <c r="D56" s="8" t="s">
        <v>449</v>
      </c>
      <c r="E56" s="8"/>
      <c r="F56" s="28" t="s">
        <v>36</v>
      </c>
      <c r="G56" s="28">
        <v>50</v>
      </c>
      <c r="H56" s="28" t="s">
        <v>6</v>
      </c>
      <c r="I56" s="54">
        <v>3.4</v>
      </c>
      <c r="J56" s="54">
        <f t="shared" si="6"/>
        <v>170</v>
      </c>
      <c r="K56" s="23">
        <v>97</v>
      </c>
    </row>
    <row r="57" spans="1:11" s="55" customFormat="1">
      <c r="A57" s="13">
        <v>53</v>
      </c>
      <c r="B57" s="28" t="s">
        <v>450</v>
      </c>
      <c r="C57" s="8" t="s">
        <v>438</v>
      </c>
      <c r="D57" s="8" t="s">
        <v>451</v>
      </c>
      <c r="E57" s="8"/>
      <c r="F57" s="28" t="s">
        <v>36</v>
      </c>
      <c r="G57" s="28">
        <f>281-62-15</f>
        <v>204</v>
      </c>
      <c r="H57" s="28" t="s">
        <v>6</v>
      </c>
      <c r="I57" s="54">
        <v>2.83</v>
      </c>
      <c r="J57" s="54">
        <f t="shared" si="6"/>
        <v>577.32000000000005</v>
      </c>
      <c r="K57" s="23">
        <v>97</v>
      </c>
    </row>
    <row r="58" spans="1:11" s="55" customFormat="1">
      <c r="A58" s="13">
        <v>54</v>
      </c>
      <c r="B58" s="28" t="s">
        <v>452</v>
      </c>
      <c r="C58" s="8" t="s">
        <v>438</v>
      </c>
      <c r="D58" s="8" t="s">
        <v>453</v>
      </c>
      <c r="E58" s="8"/>
      <c r="F58" s="28" t="s">
        <v>36</v>
      </c>
      <c r="G58" s="28">
        <v>88</v>
      </c>
      <c r="H58" s="28" t="s">
        <v>6</v>
      </c>
      <c r="I58" s="54">
        <v>3.4</v>
      </c>
      <c r="J58" s="54">
        <f t="shared" si="6"/>
        <v>299.2</v>
      </c>
      <c r="K58" s="23">
        <v>97</v>
      </c>
    </row>
    <row r="59" spans="1:11" s="55" customFormat="1">
      <c r="A59" s="13">
        <v>55</v>
      </c>
      <c r="B59" s="28" t="s">
        <v>454</v>
      </c>
      <c r="C59" s="8" t="s">
        <v>438</v>
      </c>
      <c r="D59" s="8" t="s">
        <v>455</v>
      </c>
      <c r="E59" s="8"/>
      <c r="F59" s="28" t="s">
        <v>36</v>
      </c>
      <c r="G59" s="28">
        <v>100</v>
      </c>
      <c r="H59" s="28" t="s">
        <v>6</v>
      </c>
      <c r="I59" s="54">
        <v>4.72</v>
      </c>
      <c r="J59" s="54">
        <f t="shared" si="6"/>
        <v>472</v>
      </c>
      <c r="K59" s="23">
        <v>97</v>
      </c>
    </row>
    <row r="60" spans="1:11" s="55" customFormat="1">
      <c r="A60" s="13">
        <v>56</v>
      </c>
      <c r="B60" s="28" t="s">
        <v>456</v>
      </c>
      <c r="C60" s="8" t="s">
        <v>438</v>
      </c>
      <c r="D60" s="8" t="s">
        <v>457</v>
      </c>
      <c r="E60" s="8"/>
      <c r="F60" s="28" t="s">
        <v>36</v>
      </c>
      <c r="G60" s="28">
        <f>381-38-12+700-50-50</f>
        <v>931</v>
      </c>
      <c r="H60" s="28" t="s">
        <v>6</v>
      </c>
      <c r="I60" s="54">
        <v>8.5</v>
      </c>
      <c r="J60" s="54">
        <f t="shared" si="6"/>
        <v>7913.5</v>
      </c>
      <c r="K60" s="23">
        <v>97</v>
      </c>
    </row>
    <row r="61" spans="1:11" s="55" customFormat="1">
      <c r="A61" s="13">
        <v>57</v>
      </c>
      <c r="B61" s="28" t="s">
        <v>459</v>
      </c>
      <c r="C61" s="8" t="s">
        <v>438</v>
      </c>
      <c r="D61" s="8" t="s">
        <v>460</v>
      </c>
      <c r="E61" s="8"/>
      <c r="F61" s="28" t="s">
        <v>36</v>
      </c>
      <c r="G61" s="28">
        <f>230-70</f>
        <v>160</v>
      </c>
      <c r="H61" s="28" t="s">
        <v>6</v>
      </c>
      <c r="I61" s="54">
        <v>10.62</v>
      </c>
      <c r="J61" s="54">
        <f t="shared" si="6"/>
        <v>1699.1999999999998</v>
      </c>
      <c r="K61" s="23">
        <v>97</v>
      </c>
    </row>
    <row r="62" spans="1:11" s="55" customFormat="1">
      <c r="A62" s="13">
        <v>58</v>
      </c>
      <c r="B62" s="28" t="s">
        <v>461</v>
      </c>
      <c r="C62" s="8" t="s">
        <v>438</v>
      </c>
      <c r="D62" s="8" t="s">
        <v>462</v>
      </c>
      <c r="E62" s="8"/>
      <c r="F62" s="28" t="s">
        <v>36</v>
      </c>
      <c r="G62" s="28">
        <v>39</v>
      </c>
      <c r="H62" s="28" t="s">
        <v>6</v>
      </c>
      <c r="I62" s="54">
        <v>10.62</v>
      </c>
      <c r="J62" s="54">
        <f t="shared" si="6"/>
        <v>414.17999999999995</v>
      </c>
      <c r="K62" s="23">
        <v>97</v>
      </c>
    </row>
    <row r="63" spans="1:11" s="55" customFormat="1">
      <c r="A63" s="13">
        <v>59</v>
      </c>
      <c r="B63" s="28" t="s">
        <v>464</v>
      </c>
      <c r="C63" s="8" t="s">
        <v>438</v>
      </c>
      <c r="D63" s="8" t="s">
        <v>465</v>
      </c>
      <c r="E63" s="8"/>
      <c r="F63" s="28" t="s">
        <v>36</v>
      </c>
      <c r="G63" s="28">
        <v>7</v>
      </c>
      <c r="H63" s="28" t="s">
        <v>6</v>
      </c>
      <c r="I63" s="54">
        <v>12.14</v>
      </c>
      <c r="J63" s="54">
        <f t="shared" si="6"/>
        <v>84.98</v>
      </c>
      <c r="K63" s="23">
        <v>97</v>
      </c>
    </row>
    <row r="64" spans="1:11" s="55" customFormat="1">
      <c r="A64" s="13">
        <v>60</v>
      </c>
      <c r="B64" s="28" t="s">
        <v>466</v>
      </c>
      <c r="C64" s="8" t="s">
        <v>438</v>
      </c>
      <c r="D64" s="8" t="s">
        <v>467</v>
      </c>
      <c r="E64" s="8"/>
      <c r="F64" s="28" t="s">
        <v>36</v>
      </c>
      <c r="G64" s="28">
        <f>150-20</f>
        <v>130</v>
      </c>
      <c r="H64" s="28" t="s">
        <v>6</v>
      </c>
      <c r="I64" s="54">
        <v>14.16</v>
      </c>
      <c r="J64" s="54">
        <f t="shared" si="6"/>
        <v>1840.8</v>
      </c>
      <c r="K64" s="23">
        <v>97</v>
      </c>
    </row>
    <row r="65" spans="1:11" s="55" customFormat="1">
      <c r="A65" s="13">
        <v>61</v>
      </c>
      <c r="B65" s="28" t="s">
        <v>468</v>
      </c>
      <c r="C65" s="8" t="s">
        <v>438</v>
      </c>
      <c r="D65" s="8" t="s">
        <v>469</v>
      </c>
      <c r="E65" s="8"/>
      <c r="F65" s="28" t="s">
        <v>36</v>
      </c>
      <c r="G65" s="28">
        <f>59-10</f>
        <v>49</v>
      </c>
      <c r="H65" s="28" t="s">
        <v>6</v>
      </c>
      <c r="I65" s="54">
        <v>17</v>
      </c>
      <c r="J65" s="54">
        <f t="shared" si="6"/>
        <v>833</v>
      </c>
      <c r="K65" s="23">
        <v>97</v>
      </c>
    </row>
    <row r="66" spans="1:11" s="55" customFormat="1">
      <c r="A66" s="13">
        <v>62</v>
      </c>
      <c r="B66" s="28" t="s">
        <v>470</v>
      </c>
      <c r="C66" s="8" t="s">
        <v>438</v>
      </c>
      <c r="D66" s="8" t="s">
        <v>471</v>
      </c>
      <c r="E66" s="8"/>
      <c r="F66" s="28" t="s">
        <v>36</v>
      </c>
      <c r="G66" s="28">
        <v>26</v>
      </c>
      <c r="H66" s="28" t="s">
        <v>6</v>
      </c>
      <c r="I66" s="54">
        <v>21.25</v>
      </c>
      <c r="J66" s="54">
        <f t="shared" si="6"/>
        <v>552.5</v>
      </c>
      <c r="K66" s="23">
        <v>97</v>
      </c>
    </row>
    <row r="67" spans="1:11" s="55" customFormat="1">
      <c r="A67" s="13">
        <v>63</v>
      </c>
      <c r="B67" s="28" t="s">
        <v>475</v>
      </c>
      <c r="C67" s="8" t="s">
        <v>438</v>
      </c>
      <c r="D67" s="8" t="s">
        <v>335</v>
      </c>
      <c r="E67" s="8"/>
      <c r="F67" s="28" t="s">
        <v>36</v>
      </c>
      <c r="G67" s="28">
        <v>15</v>
      </c>
      <c r="H67" s="28" t="s">
        <v>6</v>
      </c>
      <c r="I67" s="54">
        <v>21.25</v>
      </c>
      <c r="J67" s="54">
        <f t="shared" si="6"/>
        <v>318.75</v>
      </c>
      <c r="K67" s="23">
        <v>97</v>
      </c>
    </row>
    <row r="68" spans="1:11" s="55" customFormat="1">
      <c r="A68" s="13">
        <v>64</v>
      </c>
      <c r="B68" s="28" t="s">
        <v>476</v>
      </c>
      <c r="C68" s="8" t="s">
        <v>438</v>
      </c>
      <c r="D68" s="8" t="s">
        <v>477</v>
      </c>
      <c r="E68" s="8"/>
      <c r="F68" s="28" t="s">
        <v>36</v>
      </c>
      <c r="G68" s="28">
        <v>71</v>
      </c>
      <c r="H68" s="28" t="s">
        <v>6</v>
      </c>
      <c r="I68" s="54">
        <v>28.33</v>
      </c>
      <c r="J68" s="54">
        <f t="shared" si="6"/>
        <v>2011.4299999999998</v>
      </c>
      <c r="K68" s="23">
        <v>97</v>
      </c>
    </row>
    <row r="69" spans="1:11" s="55" customFormat="1">
      <c r="A69" s="13">
        <v>65</v>
      </c>
      <c r="B69" s="28" t="s">
        <v>588</v>
      </c>
      <c r="C69" s="8" t="s">
        <v>438</v>
      </c>
      <c r="D69" s="8" t="s">
        <v>589</v>
      </c>
      <c r="E69" s="8"/>
      <c r="F69" s="28" t="s">
        <v>36</v>
      </c>
      <c r="G69" s="28">
        <v>10</v>
      </c>
      <c r="H69" s="29" t="s">
        <v>6</v>
      </c>
      <c r="I69" s="54">
        <v>208.25</v>
      </c>
      <c r="J69" s="54">
        <f t="shared" si="6"/>
        <v>2082.5</v>
      </c>
      <c r="K69" s="23">
        <v>97</v>
      </c>
    </row>
    <row r="70" spans="1:11" s="55" customFormat="1">
      <c r="A70" s="13">
        <v>66</v>
      </c>
      <c r="B70" s="28" t="s">
        <v>479</v>
      </c>
      <c r="C70" s="8" t="s">
        <v>478</v>
      </c>
      <c r="D70" s="8" t="s">
        <v>447</v>
      </c>
      <c r="E70" s="8"/>
      <c r="F70" s="28" t="s">
        <v>36</v>
      </c>
      <c r="G70" s="28">
        <v>10</v>
      </c>
      <c r="H70" s="28" t="s">
        <v>6</v>
      </c>
      <c r="I70" s="54">
        <v>16</v>
      </c>
      <c r="J70" s="54">
        <f t="shared" si="6"/>
        <v>160</v>
      </c>
      <c r="K70" s="89">
        <v>33</v>
      </c>
    </row>
    <row r="71" spans="1:11" s="55" customFormat="1">
      <c r="A71" s="13">
        <v>67</v>
      </c>
      <c r="B71" s="28" t="s">
        <v>480</v>
      </c>
      <c r="C71" s="8" t="s">
        <v>478</v>
      </c>
      <c r="D71" s="8" t="s">
        <v>481</v>
      </c>
      <c r="E71" s="8"/>
      <c r="F71" s="28" t="s">
        <v>36</v>
      </c>
      <c r="G71" s="28">
        <v>20</v>
      </c>
      <c r="H71" s="28" t="s">
        <v>6</v>
      </c>
      <c r="I71" s="54">
        <v>19</v>
      </c>
      <c r="J71" s="54">
        <f t="shared" si="6"/>
        <v>380</v>
      </c>
      <c r="K71" s="89">
        <v>33</v>
      </c>
    </row>
    <row r="72" spans="1:11" s="55" customFormat="1">
      <c r="A72" s="13">
        <v>68</v>
      </c>
      <c r="B72" s="28" t="s">
        <v>482</v>
      </c>
      <c r="C72" s="8" t="s">
        <v>478</v>
      </c>
      <c r="D72" s="8" t="s">
        <v>458</v>
      </c>
      <c r="E72" s="8"/>
      <c r="F72" s="28" t="s">
        <v>36</v>
      </c>
      <c r="G72" s="28">
        <f>6+20-4</f>
        <v>22</v>
      </c>
      <c r="H72" s="28" t="s">
        <v>6</v>
      </c>
      <c r="I72" s="54">
        <v>25</v>
      </c>
      <c r="J72" s="54">
        <f t="shared" si="6"/>
        <v>550</v>
      </c>
      <c r="K72" s="89">
        <v>33</v>
      </c>
    </row>
    <row r="73" spans="1:11" s="55" customFormat="1">
      <c r="A73" s="13">
        <v>69</v>
      </c>
      <c r="B73" s="28" t="s">
        <v>483</v>
      </c>
      <c r="C73" s="8" t="s">
        <v>478</v>
      </c>
      <c r="D73" s="8" t="s">
        <v>460</v>
      </c>
      <c r="E73" s="8"/>
      <c r="F73" s="28" t="s">
        <v>36</v>
      </c>
      <c r="G73" s="28">
        <v>45</v>
      </c>
      <c r="H73" s="28" t="s">
        <v>6</v>
      </c>
      <c r="I73" s="54">
        <v>28</v>
      </c>
      <c r="J73" s="54">
        <f t="shared" si="6"/>
        <v>1260</v>
      </c>
      <c r="K73" s="89">
        <v>33</v>
      </c>
    </row>
    <row r="74" spans="1:11" s="55" customFormat="1">
      <c r="A74" s="13">
        <v>70</v>
      </c>
      <c r="B74" s="28" t="s">
        <v>484</v>
      </c>
      <c r="C74" s="8" t="s">
        <v>478</v>
      </c>
      <c r="D74" s="8" t="s">
        <v>462</v>
      </c>
      <c r="E74" s="8"/>
      <c r="F74" s="28" t="s">
        <v>36</v>
      </c>
      <c r="G74" s="28">
        <v>50</v>
      </c>
      <c r="H74" s="28" t="s">
        <v>6</v>
      </c>
      <c r="I74" s="54">
        <v>48</v>
      </c>
      <c r="J74" s="54">
        <f t="shared" si="6"/>
        <v>2400</v>
      </c>
      <c r="K74" s="89">
        <v>33</v>
      </c>
    </row>
    <row r="75" spans="1:11" s="55" customFormat="1">
      <c r="A75" s="13">
        <v>71</v>
      </c>
      <c r="B75" s="28" t="s">
        <v>485</v>
      </c>
      <c r="C75" s="8" t="s">
        <v>478</v>
      </c>
      <c r="D75" s="8" t="s">
        <v>463</v>
      </c>
      <c r="E75" s="8"/>
      <c r="F75" s="28" t="s">
        <v>36</v>
      </c>
      <c r="G75" s="28">
        <v>8</v>
      </c>
      <c r="H75" s="28" t="s">
        <v>6</v>
      </c>
      <c r="I75" s="54">
        <v>59</v>
      </c>
      <c r="J75" s="54">
        <f t="shared" si="6"/>
        <v>472</v>
      </c>
      <c r="K75" s="89">
        <v>33</v>
      </c>
    </row>
    <row r="76" spans="1:11" s="55" customFormat="1">
      <c r="A76" s="13">
        <v>72</v>
      </c>
      <c r="B76" s="28" t="s">
        <v>486</v>
      </c>
      <c r="C76" s="8" t="s">
        <v>478</v>
      </c>
      <c r="D76" s="8" t="s">
        <v>471</v>
      </c>
      <c r="E76" s="8"/>
      <c r="F76" s="28" t="s">
        <v>36</v>
      </c>
      <c r="G76" s="28">
        <v>48</v>
      </c>
      <c r="H76" s="28" t="s">
        <v>6</v>
      </c>
      <c r="I76" s="54">
        <v>75</v>
      </c>
      <c r="J76" s="54">
        <f t="shared" si="6"/>
        <v>3600</v>
      </c>
      <c r="K76" s="89">
        <v>33</v>
      </c>
    </row>
    <row r="77" spans="1:11" s="55" customFormat="1">
      <c r="A77" s="13">
        <v>73</v>
      </c>
      <c r="B77" s="28" t="s">
        <v>487</v>
      </c>
      <c r="C77" s="8" t="s">
        <v>478</v>
      </c>
      <c r="D77" s="8" t="s">
        <v>472</v>
      </c>
      <c r="E77" s="8"/>
      <c r="F77" s="28" t="s">
        <v>36</v>
      </c>
      <c r="G77" s="28">
        <v>7</v>
      </c>
      <c r="H77" s="28" t="s">
        <v>6</v>
      </c>
      <c r="I77" s="54">
        <v>110</v>
      </c>
      <c r="J77" s="54">
        <f t="shared" si="6"/>
        <v>770</v>
      </c>
      <c r="K77" s="89">
        <v>33</v>
      </c>
    </row>
    <row r="78" spans="1:11" s="55" customFormat="1">
      <c r="A78" s="13">
        <v>74</v>
      </c>
      <c r="B78" s="28" t="s">
        <v>488</v>
      </c>
      <c r="C78" s="8" t="s">
        <v>478</v>
      </c>
      <c r="D78" s="8" t="s">
        <v>473</v>
      </c>
      <c r="E78" s="8"/>
      <c r="F78" s="28" t="s">
        <v>36</v>
      </c>
      <c r="G78" s="28">
        <v>25</v>
      </c>
      <c r="H78" s="28" t="s">
        <v>6</v>
      </c>
      <c r="I78" s="54">
        <v>170</v>
      </c>
      <c r="J78" s="54">
        <f t="shared" si="6"/>
        <v>4250</v>
      </c>
      <c r="K78" s="89">
        <v>33</v>
      </c>
    </row>
    <row r="79" spans="1:11" s="55" customFormat="1">
      <c r="A79" s="13">
        <v>75</v>
      </c>
      <c r="B79" s="28" t="s">
        <v>489</v>
      </c>
      <c r="C79" s="8" t="s">
        <v>478</v>
      </c>
      <c r="D79" s="8" t="s">
        <v>474</v>
      </c>
      <c r="E79" s="8"/>
      <c r="F79" s="28" t="s">
        <v>36</v>
      </c>
      <c r="G79" s="28">
        <v>92</v>
      </c>
      <c r="H79" s="28" t="s">
        <v>6</v>
      </c>
      <c r="I79" s="54">
        <v>115</v>
      </c>
      <c r="J79" s="54">
        <f t="shared" si="6"/>
        <v>10580</v>
      </c>
      <c r="K79" s="89">
        <v>33</v>
      </c>
    </row>
    <row r="80" spans="1:11" s="55" customFormat="1">
      <c r="A80" s="13">
        <v>76</v>
      </c>
      <c r="B80" s="28" t="s">
        <v>642</v>
      </c>
      <c r="C80" s="8" t="s">
        <v>643</v>
      </c>
      <c r="D80" s="8" t="s">
        <v>644</v>
      </c>
      <c r="E80" s="8"/>
      <c r="F80" s="28" t="s">
        <v>36</v>
      </c>
      <c r="G80" s="65">
        <f>4-4</f>
        <v>0</v>
      </c>
      <c r="H80" s="28" t="s">
        <v>6</v>
      </c>
      <c r="I80" s="54">
        <v>50</v>
      </c>
      <c r="J80" s="54">
        <f>G80*I80</f>
        <v>0</v>
      </c>
      <c r="K80" s="89">
        <v>33</v>
      </c>
    </row>
    <row r="81" spans="1:11" s="55" customFormat="1">
      <c r="A81" s="13">
        <v>77</v>
      </c>
      <c r="B81" s="28" t="s">
        <v>645</v>
      </c>
      <c r="C81" s="8" t="s">
        <v>643</v>
      </c>
      <c r="D81" s="8" t="s">
        <v>646</v>
      </c>
      <c r="E81" s="8"/>
      <c r="F81" s="28" t="s">
        <v>36</v>
      </c>
      <c r="G81" s="65">
        <v>28</v>
      </c>
      <c r="H81" s="28" t="s">
        <v>6</v>
      </c>
      <c r="I81" s="54">
        <v>25</v>
      </c>
      <c r="J81" s="54">
        <f>G81*I81</f>
        <v>700</v>
      </c>
      <c r="K81" s="89">
        <v>33</v>
      </c>
    </row>
    <row r="82" spans="1:11" s="55" customFormat="1">
      <c r="A82" s="13">
        <v>78</v>
      </c>
      <c r="B82" s="28" t="s">
        <v>647</v>
      </c>
      <c r="C82" s="8" t="s">
        <v>643</v>
      </c>
      <c r="D82" s="8" t="s">
        <v>648</v>
      </c>
      <c r="E82" s="8"/>
      <c r="F82" s="28" t="s">
        <v>36</v>
      </c>
      <c r="G82" s="65">
        <v>18</v>
      </c>
      <c r="H82" s="28" t="s">
        <v>6</v>
      </c>
      <c r="I82" s="54">
        <v>5.5</v>
      </c>
      <c r="J82" s="54">
        <f>G82*I82</f>
        <v>99</v>
      </c>
      <c r="K82" s="89">
        <v>33</v>
      </c>
    </row>
    <row r="83" spans="1:11" s="55" customFormat="1">
      <c r="A83" s="13">
        <v>79</v>
      </c>
      <c r="B83" s="28" t="s">
        <v>490</v>
      </c>
      <c r="C83" s="8" t="s">
        <v>491</v>
      </c>
      <c r="D83" s="8" t="s">
        <v>492</v>
      </c>
      <c r="E83" s="8"/>
      <c r="F83" s="28" t="s">
        <v>36</v>
      </c>
      <c r="G83" s="28">
        <v>8</v>
      </c>
      <c r="H83" s="28" t="s">
        <v>6</v>
      </c>
      <c r="I83" s="54">
        <v>52</v>
      </c>
      <c r="J83" s="54">
        <f t="shared" si="6"/>
        <v>416</v>
      </c>
      <c r="K83" s="89">
        <v>32</v>
      </c>
    </row>
    <row r="84" spans="1:11" s="55" customFormat="1">
      <c r="A84" s="13">
        <v>80</v>
      </c>
      <c r="B84" s="28" t="s">
        <v>493</v>
      </c>
      <c r="C84" s="8" t="s">
        <v>491</v>
      </c>
      <c r="D84" s="8" t="s">
        <v>460</v>
      </c>
      <c r="E84" s="8"/>
      <c r="F84" s="28" t="s">
        <v>36</v>
      </c>
      <c r="G84" s="28">
        <v>104</v>
      </c>
      <c r="H84" s="28" t="s">
        <v>6</v>
      </c>
      <c r="I84" s="54">
        <v>88.5</v>
      </c>
      <c r="J84" s="54">
        <f t="shared" si="6"/>
        <v>9204</v>
      </c>
      <c r="K84" s="89">
        <v>32</v>
      </c>
    </row>
    <row r="85" spans="1:11" s="55" customFormat="1">
      <c r="A85" s="13">
        <v>81</v>
      </c>
      <c r="B85" s="28" t="s">
        <v>494</v>
      </c>
      <c r="C85" s="8" t="s">
        <v>491</v>
      </c>
      <c r="D85" s="8" t="s">
        <v>495</v>
      </c>
      <c r="E85" s="8"/>
      <c r="F85" s="28" t="s">
        <v>36</v>
      </c>
      <c r="G85" s="28">
        <f>25-15</f>
        <v>10</v>
      </c>
      <c r="H85" s="28" t="s">
        <v>6</v>
      </c>
      <c r="I85" s="54">
        <v>100</v>
      </c>
      <c r="J85" s="54">
        <f t="shared" si="6"/>
        <v>1000</v>
      </c>
      <c r="K85" s="89">
        <v>32</v>
      </c>
    </row>
    <row r="86" spans="1:11" s="55" customFormat="1">
      <c r="A86" s="13">
        <v>82</v>
      </c>
      <c r="B86" s="28" t="s">
        <v>496</v>
      </c>
      <c r="C86" s="8" t="s">
        <v>491</v>
      </c>
      <c r="D86" s="8" t="s">
        <v>497</v>
      </c>
      <c r="E86" s="8"/>
      <c r="F86" s="28" t="s">
        <v>36</v>
      </c>
      <c r="G86" s="28">
        <f>174-4</f>
        <v>170</v>
      </c>
      <c r="H86" s="28" t="s">
        <v>6</v>
      </c>
      <c r="I86" s="54">
        <v>110</v>
      </c>
      <c r="J86" s="54">
        <f t="shared" si="6"/>
        <v>18700</v>
      </c>
      <c r="K86" s="89">
        <v>32</v>
      </c>
    </row>
    <row r="87" spans="1:11" s="55" customFormat="1">
      <c r="A87" s="13">
        <v>83</v>
      </c>
      <c r="B87" s="28" t="s">
        <v>498</v>
      </c>
      <c r="C87" s="8" t="s">
        <v>491</v>
      </c>
      <c r="D87" s="8" t="s">
        <v>499</v>
      </c>
      <c r="E87" s="8"/>
      <c r="F87" s="28" t="s">
        <v>36</v>
      </c>
      <c r="G87" s="28">
        <f>51-3</f>
        <v>48</v>
      </c>
      <c r="H87" s="28" t="s">
        <v>6</v>
      </c>
      <c r="I87" s="54">
        <v>147.5</v>
      </c>
      <c r="J87" s="54">
        <f t="shared" si="6"/>
        <v>7080</v>
      </c>
      <c r="K87" s="89">
        <v>32</v>
      </c>
    </row>
    <row r="88" spans="1:11">
      <c r="A88" s="13">
        <v>84</v>
      </c>
      <c r="B88" s="3" t="s">
        <v>441</v>
      </c>
      <c r="C88" s="4" t="s">
        <v>438</v>
      </c>
      <c r="D88" s="4" t="s">
        <v>442</v>
      </c>
      <c r="E88" s="4"/>
      <c r="F88" s="3" t="s">
        <v>36</v>
      </c>
      <c r="G88" s="70">
        <v>112</v>
      </c>
      <c r="H88" s="3" t="s">
        <v>6</v>
      </c>
      <c r="I88" s="35">
        <v>2.13</v>
      </c>
      <c r="J88" s="35">
        <f t="shared" si="5"/>
        <v>238.56</v>
      </c>
      <c r="K88" s="89">
        <v>97</v>
      </c>
    </row>
    <row r="89" spans="1:11">
      <c r="A89" s="13">
        <v>85</v>
      </c>
      <c r="B89" s="3" t="s">
        <v>534</v>
      </c>
      <c r="C89" s="4" t="s">
        <v>1715</v>
      </c>
      <c r="D89" s="4" t="s">
        <v>57</v>
      </c>
      <c r="E89" s="4"/>
      <c r="F89" s="3" t="s">
        <v>36</v>
      </c>
      <c r="G89" s="70">
        <v>5</v>
      </c>
      <c r="H89" s="3" t="s">
        <v>115</v>
      </c>
      <c r="I89" s="35">
        <v>3363</v>
      </c>
      <c r="J89" s="35">
        <f t="shared" ref="J89" si="7">G89*I89</f>
        <v>16815</v>
      </c>
      <c r="K89" s="89">
        <v>2</v>
      </c>
    </row>
    <row r="90" spans="1:11" s="55" customFormat="1" ht="30">
      <c r="A90" s="13">
        <v>86</v>
      </c>
      <c r="B90" s="63" t="s">
        <v>533</v>
      </c>
      <c r="C90" s="64" t="s">
        <v>1714</v>
      </c>
      <c r="D90" s="64" t="s">
        <v>57</v>
      </c>
      <c r="E90" s="64"/>
      <c r="F90" s="63" t="s">
        <v>36</v>
      </c>
      <c r="G90" s="63">
        <f>3+4-3</f>
        <v>4</v>
      </c>
      <c r="H90" s="63" t="s">
        <v>115</v>
      </c>
      <c r="I90" s="75">
        <v>2678.6</v>
      </c>
      <c r="J90" s="75">
        <f>G90*I90</f>
        <v>10714.4</v>
      </c>
      <c r="K90" s="89">
        <v>2</v>
      </c>
    </row>
    <row r="91" spans="1:11" s="55" customFormat="1" ht="30">
      <c r="A91" s="13">
        <v>87</v>
      </c>
      <c r="B91" s="28" t="s">
        <v>535</v>
      </c>
      <c r="C91" s="8" t="s">
        <v>1716</v>
      </c>
      <c r="D91" s="8" t="s">
        <v>57</v>
      </c>
      <c r="E91" s="8"/>
      <c r="F91" s="28" t="s">
        <v>36</v>
      </c>
      <c r="G91" s="28">
        <v>7</v>
      </c>
      <c r="H91" s="28" t="s">
        <v>115</v>
      </c>
      <c r="I91" s="54">
        <v>1829</v>
      </c>
      <c r="J91" s="54">
        <f>G91*I91</f>
        <v>12803</v>
      </c>
      <c r="K91" s="89">
        <v>2</v>
      </c>
    </row>
    <row r="92" spans="1:11" s="55" customFormat="1">
      <c r="A92" s="13">
        <v>88</v>
      </c>
      <c r="B92" s="28" t="s">
        <v>532</v>
      </c>
      <c r="C92" s="8" t="s">
        <v>1745</v>
      </c>
      <c r="D92" s="8" t="s">
        <v>57</v>
      </c>
      <c r="E92" s="8"/>
      <c r="F92" s="28" t="s">
        <v>36</v>
      </c>
      <c r="G92" s="28">
        <v>2</v>
      </c>
      <c r="H92" s="28" t="s">
        <v>115</v>
      </c>
      <c r="I92" s="54">
        <v>1850</v>
      </c>
      <c r="J92" s="54">
        <f>G92*I92</f>
        <v>3700</v>
      </c>
      <c r="K92" s="89">
        <v>2</v>
      </c>
    </row>
    <row r="93" spans="1:11">
      <c r="A93" s="13">
        <v>89</v>
      </c>
      <c r="B93" s="3" t="s">
        <v>539</v>
      </c>
      <c r="C93" s="4" t="s">
        <v>540</v>
      </c>
      <c r="D93" s="4" t="s">
        <v>541</v>
      </c>
      <c r="E93" s="4"/>
      <c r="F93" s="3" t="s">
        <v>36</v>
      </c>
      <c r="G93" s="70">
        <v>40</v>
      </c>
      <c r="H93" s="3" t="s">
        <v>63</v>
      </c>
      <c r="I93" s="35">
        <v>70.8</v>
      </c>
      <c r="J93" s="35">
        <f t="shared" ref="J93:J103" si="8">G93*I93</f>
        <v>2832</v>
      </c>
      <c r="K93" s="89">
        <v>96</v>
      </c>
    </row>
    <row r="94" spans="1:11">
      <c r="A94" s="13">
        <v>90</v>
      </c>
      <c r="B94" s="3" t="s">
        <v>544</v>
      </c>
      <c r="C94" s="4" t="s">
        <v>391</v>
      </c>
      <c r="D94" s="4" t="s">
        <v>545</v>
      </c>
      <c r="E94" s="4" t="s">
        <v>413</v>
      </c>
      <c r="F94" s="3" t="s">
        <v>36</v>
      </c>
      <c r="G94" s="70">
        <f>17-5-2-1-1</f>
        <v>8</v>
      </c>
      <c r="H94" s="3" t="s">
        <v>11</v>
      </c>
      <c r="I94" s="35">
        <v>885</v>
      </c>
      <c r="J94" s="35">
        <f t="shared" si="8"/>
        <v>7080</v>
      </c>
      <c r="K94" s="23" t="s">
        <v>2113</v>
      </c>
    </row>
    <row r="95" spans="1:11">
      <c r="A95" s="13">
        <v>91</v>
      </c>
      <c r="B95" s="3" t="s">
        <v>560</v>
      </c>
      <c r="C95" s="4" t="s">
        <v>561</v>
      </c>
      <c r="D95" s="4" t="s">
        <v>80</v>
      </c>
      <c r="E95" s="4"/>
      <c r="F95" s="3" t="s">
        <v>36</v>
      </c>
      <c r="G95" s="70">
        <f>10-15+20</f>
        <v>15</v>
      </c>
      <c r="H95" s="3" t="s">
        <v>6</v>
      </c>
      <c r="I95" s="35">
        <v>23.6</v>
      </c>
      <c r="J95" s="35">
        <f t="shared" si="8"/>
        <v>354</v>
      </c>
      <c r="K95" s="89">
        <v>12</v>
      </c>
    </row>
    <row r="96" spans="1:11">
      <c r="A96" s="13">
        <v>92</v>
      </c>
      <c r="B96" s="3" t="s">
        <v>562</v>
      </c>
      <c r="C96" s="4" t="s">
        <v>1717</v>
      </c>
      <c r="D96" s="4" t="s">
        <v>57</v>
      </c>
      <c r="E96" s="4"/>
      <c r="F96" s="3" t="s">
        <v>36</v>
      </c>
      <c r="G96" s="70">
        <v>9.8000000000000007</v>
      </c>
      <c r="H96" s="3" t="s">
        <v>1</v>
      </c>
      <c r="I96" s="35">
        <v>1416</v>
      </c>
      <c r="J96" s="35">
        <f t="shared" si="8"/>
        <v>13876.800000000001</v>
      </c>
      <c r="K96" s="89">
        <v>96</v>
      </c>
    </row>
    <row r="97" spans="1:11" ht="30">
      <c r="A97" s="13">
        <v>93</v>
      </c>
      <c r="B97" s="3" t="s">
        <v>565</v>
      </c>
      <c r="C97" s="4" t="s">
        <v>1709</v>
      </c>
      <c r="D97" s="4" t="s">
        <v>566</v>
      </c>
      <c r="E97" s="4"/>
      <c r="F97" s="3" t="s">
        <v>36</v>
      </c>
      <c r="G97" s="70">
        <f>85-20-12</f>
        <v>53</v>
      </c>
      <c r="H97" s="3" t="s">
        <v>6</v>
      </c>
      <c r="I97" s="35">
        <v>3.56</v>
      </c>
      <c r="J97" s="35">
        <f t="shared" si="8"/>
        <v>188.68</v>
      </c>
      <c r="K97" s="89">
        <v>79</v>
      </c>
    </row>
    <row r="98" spans="1:11" ht="30">
      <c r="A98" s="13">
        <v>94</v>
      </c>
      <c r="B98" s="3" t="s">
        <v>567</v>
      </c>
      <c r="C98" s="4" t="s">
        <v>1709</v>
      </c>
      <c r="D98" s="4" t="s">
        <v>568</v>
      </c>
      <c r="E98" s="4"/>
      <c r="F98" s="3" t="s">
        <v>36</v>
      </c>
      <c r="G98" s="70">
        <v>100</v>
      </c>
      <c r="H98" s="3" t="s">
        <v>6</v>
      </c>
      <c r="I98" s="35">
        <v>4.28</v>
      </c>
      <c r="J98" s="35">
        <f t="shared" si="8"/>
        <v>428</v>
      </c>
      <c r="K98" s="89">
        <v>79</v>
      </c>
    </row>
    <row r="99" spans="1:11">
      <c r="A99" s="13">
        <v>95</v>
      </c>
      <c r="B99" s="3" t="s">
        <v>569</v>
      </c>
      <c r="C99" s="4" t="s">
        <v>570</v>
      </c>
      <c r="D99" s="4" t="s">
        <v>571</v>
      </c>
      <c r="E99" s="4"/>
      <c r="F99" s="3" t="s">
        <v>36</v>
      </c>
      <c r="G99" s="70">
        <v>6</v>
      </c>
      <c r="H99" s="3" t="s">
        <v>6</v>
      </c>
      <c r="I99" s="35">
        <v>300</v>
      </c>
      <c r="J99" s="35">
        <f t="shared" si="8"/>
        <v>1800</v>
      </c>
      <c r="K99" s="89">
        <v>4</v>
      </c>
    </row>
    <row r="100" spans="1:11">
      <c r="A100" s="13">
        <v>96</v>
      </c>
      <c r="B100" s="3" t="s">
        <v>572</v>
      </c>
      <c r="C100" s="4" t="s">
        <v>1718</v>
      </c>
      <c r="D100" s="4" t="s">
        <v>57</v>
      </c>
      <c r="E100" s="4"/>
      <c r="F100" s="3" t="s">
        <v>36</v>
      </c>
      <c r="G100" s="104">
        <f>23.5-8.5+50-15-0.5-0.5-1-1-0.25-0.5-1-2</f>
        <v>43.25</v>
      </c>
      <c r="H100" s="3" t="s">
        <v>1</v>
      </c>
      <c r="I100" s="35">
        <v>50</v>
      </c>
      <c r="J100" s="35">
        <f t="shared" si="8"/>
        <v>2162.5</v>
      </c>
      <c r="K100" s="89">
        <v>94</v>
      </c>
    </row>
    <row r="101" spans="1:11">
      <c r="A101" s="13">
        <v>97</v>
      </c>
      <c r="B101" s="3" t="s">
        <v>575</v>
      </c>
      <c r="C101" s="4" t="s">
        <v>561</v>
      </c>
      <c r="D101" s="4" t="s">
        <v>153</v>
      </c>
      <c r="E101" s="4"/>
      <c r="F101" s="3" t="s">
        <v>36</v>
      </c>
      <c r="G101" s="70">
        <f>4+20</f>
        <v>24</v>
      </c>
      <c r="H101" s="3" t="s">
        <v>6</v>
      </c>
      <c r="I101" s="35">
        <v>41.3</v>
      </c>
      <c r="J101" s="35">
        <f t="shared" si="8"/>
        <v>991.19999999999993</v>
      </c>
      <c r="K101" s="89">
        <v>12</v>
      </c>
    </row>
    <row r="102" spans="1:11">
      <c r="A102" s="13">
        <v>98</v>
      </c>
      <c r="B102" s="3" t="s">
        <v>576</v>
      </c>
      <c r="C102" s="4" t="s">
        <v>391</v>
      </c>
      <c r="D102" s="4" t="s">
        <v>577</v>
      </c>
      <c r="E102" s="4" t="s">
        <v>413</v>
      </c>
      <c r="F102" s="3" t="s">
        <v>36</v>
      </c>
      <c r="G102" s="70">
        <v>19</v>
      </c>
      <c r="H102" s="3" t="s">
        <v>11</v>
      </c>
      <c r="I102" s="35">
        <v>885</v>
      </c>
      <c r="J102" s="35">
        <f t="shared" si="8"/>
        <v>16815</v>
      </c>
      <c r="K102" s="23" t="s">
        <v>2113</v>
      </c>
    </row>
    <row r="103" spans="1:11">
      <c r="A103" s="13">
        <v>99</v>
      </c>
      <c r="B103" s="3" t="s">
        <v>582</v>
      </c>
      <c r="C103" s="4" t="s">
        <v>391</v>
      </c>
      <c r="D103" s="4" t="s">
        <v>583</v>
      </c>
      <c r="E103" s="4" t="s">
        <v>413</v>
      </c>
      <c r="F103" s="3" t="s">
        <v>36</v>
      </c>
      <c r="G103" s="70">
        <v>12.5</v>
      </c>
      <c r="H103" s="3" t="s">
        <v>1</v>
      </c>
      <c r="I103" s="35">
        <v>3823.2</v>
      </c>
      <c r="J103" s="35">
        <f t="shared" si="8"/>
        <v>47790</v>
      </c>
      <c r="K103" s="23" t="s">
        <v>2114</v>
      </c>
    </row>
    <row r="104" spans="1:11">
      <c r="A104" s="13">
        <v>100</v>
      </c>
      <c r="B104" s="3" t="s">
        <v>596</v>
      </c>
      <c r="C104" s="4" t="s">
        <v>101</v>
      </c>
      <c r="D104" s="4" t="s">
        <v>2070</v>
      </c>
      <c r="E104" s="4" t="s">
        <v>2065</v>
      </c>
      <c r="F104" s="3" t="s">
        <v>36</v>
      </c>
      <c r="G104" s="70">
        <v>4</v>
      </c>
      <c r="H104" s="5" t="s">
        <v>6</v>
      </c>
      <c r="I104" s="35">
        <v>2509.15</v>
      </c>
      <c r="J104" s="35">
        <f t="shared" ref="J104:J114" si="9">G104*I104</f>
        <v>10036.6</v>
      </c>
      <c r="K104" s="89">
        <v>3</v>
      </c>
    </row>
    <row r="105" spans="1:11">
      <c r="A105" s="13">
        <v>101</v>
      </c>
      <c r="B105" s="3" t="s">
        <v>599</v>
      </c>
      <c r="C105" s="4" t="s">
        <v>600</v>
      </c>
      <c r="D105" s="4" t="s">
        <v>601</v>
      </c>
      <c r="E105" s="4" t="s">
        <v>2071</v>
      </c>
      <c r="F105" s="3" t="s">
        <v>36</v>
      </c>
      <c r="G105" s="70">
        <f>4-4+4</f>
        <v>4</v>
      </c>
      <c r="H105" s="5" t="s">
        <v>6</v>
      </c>
      <c r="I105" s="35">
        <v>232.46</v>
      </c>
      <c r="J105" s="35">
        <f t="shared" si="9"/>
        <v>929.84</v>
      </c>
      <c r="K105" s="89">
        <v>3</v>
      </c>
    </row>
    <row r="106" spans="1:11" ht="30">
      <c r="A106" s="13">
        <v>102</v>
      </c>
      <c r="B106" s="3" t="s">
        <v>602</v>
      </c>
      <c r="C106" s="4" t="s">
        <v>1719</v>
      </c>
      <c r="D106" s="4" t="s">
        <v>603</v>
      </c>
      <c r="E106" s="4"/>
      <c r="F106" s="3" t="s">
        <v>36</v>
      </c>
      <c r="G106" s="70">
        <f>12+4-2</f>
        <v>14</v>
      </c>
      <c r="H106" s="5" t="s">
        <v>6</v>
      </c>
      <c r="I106" s="35">
        <v>14.16</v>
      </c>
      <c r="J106" s="35">
        <f t="shared" si="9"/>
        <v>198.24</v>
      </c>
      <c r="K106" s="89">
        <v>3</v>
      </c>
    </row>
    <row r="107" spans="1:11">
      <c r="A107" s="13">
        <v>103</v>
      </c>
      <c r="B107" s="3" t="s">
        <v>609</v>
      </c>
      <c r="C107" s="4" t="s">
        <v>420</v>
      </c>
      <c r="D107" s="4" t="s">
        <v>610</v>
      </c>
      <c r="E107" s="4"/>
      <c r="F107" s="3" t="s">
        <v>36</v>
      </c>
      <c r="G107" s="70">
        <v>1</v>
      </c>
      <c r="H107" s="5" t="s">
        <v>6</v>
      </c>
      <c r="I107" s="35">
        <v>1984</v>
      </c>
      <c r="J107" s="35">
        <f t="shared" si="9"/>
        <v>1984</v>
      </c>
      <c r="K107" s="89">
        <v>5</v>
      </c>
    </row>
    <row r="108" spans="1:11" ht="30">
      <c r="A108" s="13">
        <v>104</v>
      </c>
      <c r="B108" s="3" t="s">
        <v>611</v>
      </c>
      <c r="C108" s="4" t="s">
        <v>612</v>
      </c>
      <c r="D108" s="4" t="s">
        <v>613</v>
      </c>
      <c r="E108" s="4" t="s">
        <v>2067</v>
      </c>
      <c r="F108" s="3" t="s">
        <v>36</v>
      </c>
      <c r="G108" s="70">
        <v>1</v>
      </c>
      <c r="H108" s="5" t="s">
        <v>6</v>
      </c>
      <c r="I108" s="35">
        <v>40420</v>
      </c>
      <c r="J108" s="35">
        <f t="shared" si="9"/>
        <v>40420</v>
      </c>
      <c r="K108" s="89">
        <v>2</v>
      </c>
    </row>
    <row r="109" spans="1:11" ht="30">
      <c r="A109" s="13">
        <v>105</v>
      </c>
      <c r="B109" s="3" t="s">
        <v>614</v>
      </c>
      <c r="C109" s="4" t="s">
        <v>615</v>
      </c>
      <c r="D109" s="4" t="s">
        <v>616</v>
      </c>
      <c r="E109" s="4" t="s">
        <v>2067</v>
      </c>
      <c r="F109" s="3" t="s">
        <v>36</v>
      </c>
      <c r="G109" s="70">
        <v>2</v>
      </c>
      <c r="H109" s="5" t="s">
        <v>6</v>
      </c>
      <c r="I109" s="35">
        <v>3970.5</v>
      </c>
      <c r="J109" s="35">
        <f t="shared" si="9"/>
        <v>7941</v>
      </c>
      <c r="K109" s="89">
        <v>2</v>
      </c>
    </row>
    <row r="110" spans="1:11">
      <c r="A110" s="13">
        <v>106</v>
      </c>
      <c r="B110" s="3" t="s">
        <v>617</v>
      </c>
      <c r="C110" s="4" t="s">
        <v>618</v>
      </c>
      <c r="D110" s="4" t="s">
        <v>82</v>
      </c>
      <c r="E110" s="4"/>
      <c r="F110" s="3" t="s">
        <v>36</v>
      </c>
      <c r="G110" s="70">
        <f>2-1</f>
        <v>1</v>
      </c>
      <c r="H110" s="5" t="s">
        <v>6</v>
      </c>
      <c r="I110" s="35">
        <v>2714</v>
      </c>
      <c r="J110" s="35">
        <f t="shared" si="9"/>
        <v>2714</v>
      </c>
      <c r="K110" s="89">
        <v>93</v>
      </c>
    </row>
    <row r="111" spans="1:11">
      <c r="A111" s="13">
        <v>107</v>
      </c>
      <c r="B111" s="28" t="s">
        <v>639</v>
      </c>
      <c r="C111" s="8" t="s">
        <v>640</v>
      </c>
      <c r="D111" s="8" t="s">
        <v>641</v>
      </c>
      <c r="E111" s="8"/>
      <c r="F111" s="28" t="s">
        <v>36</v>
      </c>
      <c r="G111" s="71">
        <f>250-122</f>
        <v>128</v>
      </c>
      <c r="H111" s="29" t="s">
        <v>63</v>
      </c>
      <c r="I111" s="54">
        <v>21.24</v>
      </c>
      <c r="J111" s="35">
        <f t="shared" si="9"/>
        <v>2718.72</v>
      </c>
      <c r="K111" s="89">
        <v>4</v>
      </c>
    </row>
    <row r="112" spans="1:11">
      <c r="A112" s="13">
        <v>108</v>
      </c>
      <c r="B112" s="3" t="s">
        <v>649</v>
      </c>
      <c r="C112" s="4" t="s">
        <v>643</v>
      </c>
      <c r="D112" s="4" t="s">
        <v>455</v>
      </c>
      <c r="E112" s="4"/>
      <c r="F112" s="3" t="s">
        <v>36</v>
      </c>
      <c r="G112" s="70">
        <v>6</v>
      </c>
      <c r="H112" s="3" t="s">
        <v>6</v>
      </c>
      <c r="I112" s="35">
        <v>51.92</v>
      </c>
      <c r="J112" s="35">
        <f t="shared" si="9"/>
        <v>311.52</v>
      </c>
      <c r="K112" s="89">
        <v>33</v>
      </c>
    </row>
    <row r="113" spans="1:11">
      <c r="A113" s="13">
        <v>109</v>
      </c>
      <c r="B113" s="3" t="s">
        <v>650</v>
      </c>
      <c r="C113" s="4" t="s">
        <v>478</v>
      </c>
      <c r="D113" s="4" t="s">
        <v>651</v>
      </c>
      <c r="E113" s="4"/>
      <c r="F113" s="3" t="s">
        <v>36</v>
      </c>
      <c r="G113" s="70">
        <f>25-1</f>
        <v>24</v>
      </c>
      <c r="H113" s="3" t="s">
        <v>6</v>
      </c>
      <c r="I113" s="35">
        <v>325.68</v>
      </c>
      <c r="J113" s="35">
        <f t="shared" si="9"/>
        <v>7816.32</v>
      </c>
      <c r="K113" s="89">
        <v>33</v>
      </c>
    </row>
    <row r="114" spans="1:11">
      <c r="A114" s="13">
        <v>110</v>
      </c>
      <c r="B114" s="5" t="s">
        <v>652</v>
      </c>
      <c r="C114" s="6" t="s">
        <v>653</v>
      </c>
      <c r="D114" s="6" t="s">
        <v>207</v>
      </c>
      <c r="E114" s="6"/>
      <c r="F114" s="5" t="s">
        <v>36</v>
      </c>
      <c r="G114" s="70">
        <v>11</v>
      </c>
      <c r="H114" s="5" t="s">
        <v>6</v>
      </c>
      <c r="I114" s="35">
        <v>112.1</v>
      </c>
      <c r="J114" s="35">
        <f t="shared" si="9"/>
        <v>1233.0999999999999</v>
      </c>
      <c r="K114" s="89">
        <v>39</v>
      </c>
    </row>
    <row r="115" spans="1:11">
      <c r="A115" s="13">
        <v>111</v>
      </c>
      <c r="B115" s="5" t="s">
        <v>654</v>
      </c>
      <c r="C115" s="6" t="s">
        <v>655</v>
      </c>
      <c r="D115" s="6" t="s">
        <v>57</v>
      </c>
      <c r="E115" s="6"/>
      <c r="F115" s="5" t="s">
        <v>36</v>
      </c>
      <c r="G115" s="70">
        <f>20-2-1-1</f>
        <v>16</v>
      </c>
      <c r="H115" s="5" t="s">
        <v>11</v>
      </c>
      <c r="I115" s="35">
        <v>5</v>
      </c>
      <c r="J115" s="35">
        <f t="shared" ref="J115:J120" si="10">G115*I115</f>
        <v>80</v>
      </c>
      <c r="K115" s="89">
        <v>1</v>
      </c>
    </row>
    <row r="116" spans="1:11">
      <c r="A116" s="13">
        <v>112</v>
      </c>
      <c r="B116" s="5" t="s">
        <v>656</v>
      </c>
      <c r="C116" s="6" t="s">
        <v>657</v>
      </c>
      <c r="D116" s="6" t="s">
        <v>57</v>
      </c>
      <c r="E116" s="6"/>
      <c r="F116" s="5" t="s">
        <v>36</v>
      </c>
      <c r="G116" s="70">
        <f>15-2-2-1</f>
        <v>10</v>
      </c>
      <c r="H116" s="5" t="s">
        <v>11</v>
      </c>
      <c r="I116" s="35">
        <v>7</v>
      </c>
      <c r="J116" s="35">
        <f t="shared" si="10"/>
        <v>70</v>
      </c>
      <c r="K116" s="89">
        <v>1</v>
      </c>
    </row>
    <row r="117" spans="1:11">
      <c r="A117" s="13">
        <v>113</v>
      </c>
      <c r="B117" s="3" t="s">
        <v>658</v>
      </c>
      <c r="C117" s="4" t="s">
        <v>659</v>
      </c>
      <c r="D117" s="4" t="s">
        <v>660</v>
      </c>
      <c r="E117" s="4"/>
      <c r="F117" s="5" t="s">
        <v>36</v>
      </c>
      <c r="G117" s="70">
        <v>50</v>
      </c>
      <c r="H117" s="5" t="s">
        <v>6</v>
      </c>
      <c r="I117" s="35">
        <v>41.3</v>
      </c>
      <c r="J117" s="35">
        <f t="shared" si="10"/>
        <v>2065</v>
      </c>
      <c r="K117" s="89">
        <v>10</v>
      </c>
    </row>
    <row r="118" spans="1:11" s="2" customFormat="1" ht="30">
      <c r="A118" s="13">
        <v>114</v>
      </c>
      <c r="B118" s="9" t="s">
        <v>661</v>
      </c>
      <c r="C118" s="10" t="s">
        <v>662</v>
      </c>
      <c r="D118" s="10" t="s">
        <v>660</v>
      </c>
      <c r="E118" s="10"/>
      <c r="F118" s="12" t="s">
        <v>36</v>
      </c>
      <c r="G118" s="72">
        <f>17-6-5+4</f>
        <v>10</v>
      </c>
      <c r="H118" s="12" t="s">
        <v>6</v>
      </c>
      <c r="I118" s="36">
        <v>206.5</v>
      </c>
      <c r="J118" s="35">
        <f t="shared" si="10"/>
        <v>2065</v>
      </c>
      <c r="K118" s="91">
        <v>10</v>
      </c>
    </row>
    <row r="119" spans="1:11" ht="30">
      <c r="A119" s="13">
        <v>115</v>
      </c>
      <c r="B119" s="3" t="s">
        <v>663</v>
      </c>
      <c r="C119" s="4" t="s">
        <v>662</v>
      </c>
      <c r="D119" s="4" t="s">
        <v>664</v>
      </c>
      <c r="E119" s="4"/>
      <c r="F119" s="5" t="s">
        <v>36</v>
      </c>
      <c r="G119" s="70">
        <v>15</v>
      </c>
      <c r="H119" s="5" t="s">
        <v>6</v>
      </c>
      <c r="I119" s="35">
        <v>265.5</v>
      </c>
      <c r="J119" s="35">
        <f t="shared" si="10"/>
        <v>3982.5</v>
      </c>
      <c r="K119" s="89">
        <v>10</v>
      </c>
    </row>
    <row r="120" spans="1:11" ht="31.5" customHeight="1">
      <c r="A120" s="13">
        <v>116</v>
      </c>
      <c r="B120" s="25" t="s">
        <v>1276</v>
      </c>
      <c r="C120" s="10" t="s">
        <v>1277</v>
      </c>
      <c r="D120" s="10" t="s">
        <v>1278</v>
      </c>
      <c r="E120" s="10"/>
      <c r="F120" s="12" t="s">
        <v>36</v>
      </c>
      <c r="G120" s="73">
        <v>1</v>
      </c>
      <c r="H120" s="26" t="s">
        <v>6</v>
      </c>
      <c r="I120" s="36">
        <v>32804</v>
      </c>
      <c r="J120" s="35">
        <f t="shared" si="10"/>
        <v>32804</v>
      </c>
      <c r="K120" s="89">
        <v>93</v>
      </c>
    </row>
    <row r="121" spans="1:11">
      <c r="A121" s="13">
        <v>117</v>
      </c>
      <c r="B121" s="25" t="s">
        <v>1638</v>
      </c>
      <c r="C121" s="4" t="s">
        <v>1720</v>
      </c>
      <c r="D121" s="4" t="s">
        <v>1639</v>
      </c>
      <c r="E121" s="4"/>
      <c r="F121" s="12" t="s">
        <v>36</v>
      </c>
      <c r="G121" s="74">
        <v>4</v>
      </c>
      <c r="H121" s="26" t="s">
        <v>6</v>
      </c>
      <c r="I121" s="35">
        <v>1221.3</v>
      </c>
      <c r="J121" s="35">
        <f t="shared" ref="J121:J124" si="11">G121*I121</f>
        <v>4885.2</v>
      </c>
      <c r="K121" s="89">
        <v>34</v>
      </c>
    </row>
    <row r="122" spans="1:11">
      <c r="A122" s="13">
        <v>118</v>
      </c>
      <c r="B122" s="25" t="s">
        <v>1641</v>
      </c>
      <c r="C122" s="8" t="s">
        <v>1720</v>
      </c>
      <c r="D122" s="8" t="s">
        <v>112</v>
      </c>
      <c r="E122" s="8"/>
      <c r="F122" s="66" t="s">
        <v>36</v>
      </c>
      <c r="G122" s="71">
        <v>4</v>
      </c>
      <c r="H122" s="66" t="s">
        <v>6</v>
      </c>
      <c r="I122" s="54">
        <v>1350</v>
      </c>
      <c r="J122" s="35">
        <f t="shared" si="11"/>
        <v>5400</v>
      </c>
      <c r="K122" s="89">
        <v>34</v>
      </c>
    </row>
    <row r="123" spans="1:11" ht="30">
      <c r="A123" s="13">
        <v>119</v>
      </c>
      <c r="B123" s="25" t="s">
        <v>1683</v>
      </c>
      <c r="C123" s="10" t="s">
        <v>1684</v>
      </c>
      <c r="D123" s="10" t="s">
        <v>1685</v>
      </c>
      <c r="E123" s="10"/>
      <c r="F123" s="12" t="s">
        <v>36</v>
      </c>
      <c r="G123" s="73">
        <v>1</v>
      </c>
      <c r="H123" s="26" t="s">
        <v>6</v>
      </c>
      <c r="I123" s="36">
        <v>649</v>
      </c>
      <c r="J123" s="36">
        <f t="shared" si="11"/>
        <v>649</v>
      </c>
      <c r="K123" s="89">
        <v>1</v>
      </c>
    </row>
    <row r="124" spans="1:11">
      <c r="A124" s="13">
        <v>120</v>
      </c>
      <c r="B124" s="25" t="s">
        <v>1691</v>
      </c>
      <c r="C124" s="10" t="s">
        <v>244</v>
      </c>
      <c r="D124" s="10" t="s">
        <v>1692</v>
      </c>
      <c r="E124" s="10"/>
      <c r="F124" s="12" t="s">
        <v>36</v>
      </c>
      <c r="G124" s="73">
        <v>8</v>
      </c>
      <c r="H124" s="26" t="s">
        <v>6</v>
      </c>
      <c r="I124" s="36">
        <v>1000</v>
      </c>
      <c r="J124" s="35">
        <f t="shared" si="11"/>
        <v>8000</v>
      </c>
      <c r="K124" s="89">
        <v>94</v>
      </c>
    </row>
    <row r="125" spans="1:11" s="55" customFormat="1">
      <c r="A125" s="13">
        <v>121</v>
      </c>
      <c r="B125" s="28" t="s">
        <v>556</v>
      </c>
      <c r="C125" s="8" t="s">
        <v>101</v>
      </c>
      <c r="D125" s="8" t="s">
        <v>2072</v>
      </c>
      <c r="E125" s="8" t="s">
        <v>2065</v>
      </c>
      <c r="F125" s="28" t="s">
        <v>36</v>
      </c>
      <c r="G125" s="28">
        <v>3</v>
      </c>
      <c r="H125" s="28" t="s">
        <v>6</v>
      </c>
      <c r="I125" s="54">
        <v>1324</v>
      </c>
      <c r="J125" s="54">
        <f t="shared" ref="J125:J159" si="12">G125*I125</f>
        <v>3972</v>
      </c>
      <c r="K125" s="89">
        <v>3</v>
      </c>
    </row>
    <row r="126" spans="1:11" s="55" customFormat="1">
      <c r="A126" s="13">
        <v>122</v>
      </c>
      <c r="B126" s="28" t="s">
        <v>557</v>
      </c>
      <c r="C126" s="8" t="s">
        <v>558</v>
      </c>
      <c r="D126" s="8" t="s">
        <v>559</v>
      </c>
      <c r="E126" s="8" t="s">
        <v>2065</v>
      </c>
      <c r="F126" s="28" t="s">
        <v>36</v>
      </c>
      <c r="G126" s="28">
        <v>3</v>
      </c>
      <c r="H126" s="28" t="s">
        <v>6</v>
      </c>
      <c r="I126" s="54">
        <v>1918</v>
      </c>
      <c r="J126" s="54">
        <f t="shared" si="12"/>
        <v>5754</v>
      </c>
      <c r="K126" s="89">
        <v>3</v>
      </c>
    </row>
    <row r="127" spans="1:11" s="55" customFormat="1" ht="30">
      <c r="A127" s="13">
        <v>123</v>
      </c>
      <c r="B127" s="63" t="s">
        <v>506</v>
      </c>
      <c r="C127" s="64" t="s">
        <v>507</v>
      </c>
      <c r="D127" s="64" t="s">
        <v>508</v>
      </c>
      <c r="E127" s="64"/>
      <c r="F127" s="63" t="s">
        <v>36</v>
      </c>
      <c r="G127" s="63">
        <v>66</v>
      </c>
      <c r="H127" s="63" t="s">
        <v>6</v>
      </c>
      <c r="I127" s="75">
        <v>165</v>
      </c>
      <c r="J127" s="75">
        <f t="shared" si="12"/>
        <v>10890</v>
      </c>
      <c r="K127" s="89">
        <v>42</v>
      </c>
    </row>
    <row r="128" spans="1:11" s="55" customFormat="1">
      <c r="A128" s="13">
        <v>124</v>
      </c>
      <c r="B128" s="28" t="s">
        <v>509</v>
      </c>
      <c r="C128" s="8" t="s">
        <v>1721</v>
      </c>
      <c r="D128" s="8" t="s">
        <v>57</v>
      </c>
      <c r="E128" s="8"/>
      <c r="F128" s="28" t="s">
        <v>36</v>
      </c>
      <c r="G128" s="28">
        <v>3</v>
      </c>
      <c r="H128" s="28" t="s">
        <v>6</v>
      </c>
      <c r="I128" s="54">
        <v>14125</v>
      </c>
      <c r="J128" s="54">
        <f t="shared" si="12"/>
        <v>42375</v>
      </c>
      <c r="K128" s="89">
        <v>75</v>
      </c>
    </row>
    <row r="129" spans="1:11" s="55" customFormat="1">
      <c r="A129" s="13">
        <v>125</v>
      </c>
      <c r="B129" s="28" t="s">
        <v>510</v>
      </c>
      <c r="C129" s="8" t="s">
        <v>1722</v>
      </c>
      <c r="D129" s="8" t="s">
        <v>511</v>
      </c>
      <c r="E129" s="8"/>
      <c r="F129" s="28" t="s">
        <v>36</v>
      </c>
      <c r="G129" s="28">
        <v>105</v>
      </c>
      <c r="H129" s="28" t="s">
        <v>63</v>
      </c>
      <c r="I129" s="54">
        <v>501.5</v>
      </c>
      <c r="J129" s="54">
        <f t="shared" si="12"/>
        <v>52657.5</v>
      </c>
      <c r="K129" s="89">
        <v>96</v>
      </c>
    </row>
    <row r="130" spans="1:11" s="55" customFormat="1">
      <c r="A130" s="13">
        <v>126</v>
      </c>
      <c r="B130" s="28" t="s">
        <v>512</v>
      </c>
      <c r="C130" s="8" t="s">
        <v>1722</v>
      </c>
      <c r="D130" s="8" t="s">
        <v>513</v>
      </c>
      <c r="E130" s="8"/>
      <c r="F130" s="28" t="s">
        <v>36</v>
      </c>
      <c r="G130" s="28">
        <v>25</v>
      </c>
      <c r="H130" s="28" t="s">
        <v>63</v>
      </c>
      <c r="I130" s="54">
        <v>277.3</v>
      </c>
      <c r="J130" s="54">
        <f t="shared" si="12"/>
        <v>6932.5</v>
      </c>
      <c r="K130" s="89">
        <v>96</v>
      </c>
    </row>
    <row r="131" spans="1:11" s="55" customFormat="1">
      <c r="A131" s="13">
        <v>127</v>
      </c>
      <c r="B131" s="28" t="s">
        <v>514</v>
      </c>
      <c r="C131" s="8" t="s">
        <v>101</v>
      </c>
      <c r="D131" s="8" t="s">
        <v>515</v>
      </c>
      <c r="E131" s="8" t="s">
        <v>2065</v>
      </c>
      <c r="F131" s="28" t="s">
        <v>36</v>
      </c>
      <c r="G131" s="28">
        <v>2</v>
      </c>
      <c r="H131" s="28" t="s">
        <v>6</v>
      </c>
      <c r="I131" s="54">
        <v>1661</v>
      </c>
      <c r="J131" s="54">
        <f t="shared" si="12"/>
        <v>3322</v>
      </c>
      <c r="K131" s="89">
        <v>3</v>
      </c>
    </row>
    <row r="132" spans="1:11" s="55" customFormat="1">
      <c r="A132" s="13">
        <v>128</v>
      </c>
      <c r="B132" s="28" t="s">
        <v>516</v>
      </c>
      <c r="C132" s="8" t="s">
        <v>101</v>
      </c>
      <c r="D132" s="8" t="s">
        <v>517</v>
      </c>
      <c r="E132" s="8" t="s">
        <v>2065</v>
      </c>
      <c r="F132" s="28" t="s">
        <v>36</v>
      </c>
      <c r="G132" s="28">
        <v>1</v>
      </c>
      <c r="H132" s="28" t="s">
        <v>6</v>
      </c>
      <c r="I132" s="54">
        <v>476</v>
      </c>
      <c r="J132" s="54">
        <f t="shared" si="12"/>
        <v>476</v>
      </c>
      <c r="K132" s="89">
        <v>3</v>
      </c>
    </row>
    <row r="133" spans="1:11" s="55" customFormat="1">
      <c r="A133" s="13">
        <v>129</v>
      </c>
      <c r="B133" s="28" t="s">
        <v>521</v>
      </c>
      <c r="C133" s="8" t="s">
        <v>522</v>
      </c>
      <c r="D133" s="8" t="s">
        <v>523</v>
      </c>
      <c r="E133" s="8" t="s">
        <v>2069</v>
      </c>
      <c r="F133" s="28" t="s">
        <v>36</v>
      </c>
      <c r="G133" s="28">
        <v>5</v>
      </c>
      <c r="H133" s="28" t="s">
        <v>1</v>
      </c>
      <c r="I133" s="54">
        <v>4720</v>
      </c>
      <c r="J133" s="54">
        <f t="shared" si="12"/>
        <v>23600</v>
      </c>
      <c r="K133" s="89">
        <v>1</v>
      </c>
    </row>
    <row r="134" spans="1:11" s="55" customFormat="1">
      <c r="A134" s="13">
        <v>130</v>
      </c>
      <c r="B134" s="28" t="s">
        <v>502</v>
      </c>
      <c r="C134" s="8" t="s">
        <v>503</v>
      </c>
      <c r="D134" s="8" t="s">
        <v>57</v>
      </c>
      <c r="E134" s="8"/>
      <c r="F134" s="28" t="s">
        <v>36</v>
      </c>
      <c r="G134" s="28">
        <v>150</v>
      </c>
      <c r="H134" s="28" t="s">
        <v>504</v>
      </c>
      <c r="I134" s="54">
        <v>2</v>
      </c>
      <c r="J134" s="54">
        <f t="shared" si="12"/>
        <v>300</v>
      </c>
      <c r="K134" s="89">
        <v>42</v>
      </c>
    </row>
    <row r="135" spans="1:11" s="55" customFormat="1">
      <c r="A135" s="13">
        <v>131</v>
      </c>
      <c r="B135" s="28" t="s">
        <v>400</v>
      </c>
      <c r="C135" s="8" t="s">
        <v>401</v>
      </c>
      <c r="D135" s="8" t="s">
        <v>57</v>
      </c>
      <c r="E135" s="8"/>
      <c r="F135" s="28" t="s">
        <v>36</v>
      </c>
      <c r="G135" s="28">
        <f>69-1-1-5</f>
        <v>62</v>
      </c>
      <c r="H135" s="28" t="s">
        <v>6</v>
      </c>
      <c r="I135" s="54">
        <v>7</v>
      </c>
      <c r="J135" s="54">
        <f t="shared" si="12"/>
        <v>434</v>
      </c>
      <c r="K135" s="89">
        <v>17</v>
      </c>
    </row>
    <row r="136" spans="1:11" s="55" customFormat="1">
      <c r="A136" s="13">
        <v>132</v>
      </c>
      <c r="B136" s="28" t="s">
        <v>402</v>
      </c>
      <c r="C136" s="8" t="s">
        <v>403</v>
      </c>
      <c r="D136" s="8" t="s">
        <v>57</v>
      </c>
      <c r="E136" s="8"/>
      <c r="F136" s="28" t="s">
        <v>36</v>
      </c>
      <c r="G136" s="28">
        <f>20-1-2+2</f>
        <v>19</v>
      </c>
      <c r="H136" s="28" t="s">
        <v>6</v>
      </c>
      <c r="I136" s="54">
        <v>18.88</v>
      </c>
      <c r="J136" s="54">
        <f t="shared" si="12"/>
        <v>358.71999999999997</v>
      </c>
      <c r="K136" s="89">
        <v>17</v>
      </c>
    </row>
    <row r="137" spans="1:11" s="55" customFormat="1">
      <c r="A137" s="13">
        <v>133</v>
      </c>
      <c r="B137" s="28" t="s">
        <v>390</v>
      </c>
      <c r="C137" s="8" t="s">
        <v>391</v>
      </c>
      <c r="D137" s="8" t="s">
        <v>392</v>
      </c>
      <c r="E137" s="8" t="s">
        <v>413</v>
      </c>
      <c r="F137" s="28" t="s">
        <v>36</v>
      </c>
      <c r="G137" s="28">
        <f>38-4-4-1</f>
        <v>29</v>
      </c>
      <c r="H137" s="28" t="s">
        <v>11</v>
      </c>
      <c r="I137" s="54">
        <v>507.4</v>
      </c>
      <c r="J137" s="54">
        <f t="shared" si="12"/>
        <v>14714.599999999999</v>
      </c>
      <c r="K137" s="89">
        <v>9</v>
      </c>
    </row>
    <row r="138" spans="1:11" s="55" customFormat="1">
      <c r="A138" s="13">
        <v>134</v>
      </c>
      <c r="B138" s="28" t="s">
        <v>393</v>
      </c>
      <c r="C138" s="8" t="s">
        <v>391</v>
      </c>
      <c r="D138" s="8" t="s">
        <v>394</v>
      </c>
      <c r="E138" s="8" t="s">
        <v>413</v>
      </c>
      <c r="F138" s="28" t="s">
        <v>36</v>
      </c>
      <c r="G138" s="28">
        <f>29-11-13+20-1-1-2-1-2-3+1</f>
        <v>16</v>
      </c>
      <c r="H138" s="28" t="s">
        <v>11</v>
      </c>
      <c r="I138" s="54">
        <v>649</v>
      </c>
      <c r="J138" s="54">
        <f t="shared" si="12"/>
        <v>10384</v>
      </c>
      <c r="K138" s="89">
        <v>8</v>
      </c>
    </row>
    <row r="139" spans="1:11" s="55" customFormat="1">
      <c r="A139" s="13">
        <v>135</v>
      </c>
      <c r="B139" s="28" t="s">
        <v>395</v>
      </c>
      <c r="C139" s="8" t="s">
        <v>391</v>
      </c>
      <c r="D139" s="8" t="s">
        <v>396</v>
      </c>
      <c r="E139" s="8" t="s">
        <v>413</v>
      </c>
      <c r="F139" s="28" t="s">
        <v>36</v>
      </c>
      <c r="G139" s="28">
        <f>28-8-2-1-2-2</f>
        <v>13</v>
      </c>
      <c r="H139" s="28" t="s">
        <v>11</v>
      </c>
      <c r="I139" s="54">
        <v>650</v>
      </c>
      <c r="J139" s="54">
        <f t="shared" si="12"/>
        <v>8450</v>
      </c>
      <c r="K139" s="89">
        <v>7</v>
      </c>
    </row>
    <row r="140" spans="1:11" s="55" customFormat="1" ht="45">
      <c r="A140" s="13">
        <v>136</v>
      </c>
      <c r="B140" s="63" t="s">
        <v>406</v>
      </c>
      <c r="C140" s="64" t="s">
        <v>391</v>
      </c>
      <c r="D140" s="64" t="s">
        <v>1749</v>
      </c>
      <c r="E140" s="8" t="s">
        <v>413</v>
      </c>
      <c r="F140" s="63" t="s">
        <v>36</v>
      </c>
      <c r="G140" s="63">
        <v>1</v>
      </c>
      <c r="H140" s="63" t="s">
        <v>11</v>
      </c>
      <c r="I140" s="75">
        <v>1500</v>
      </c>
      <c r="J140" s="75">
        <f>G140*I140</f>
        <v>1500</v>
      </c>
      <c r="K140" s="23" t="s">
        <v>2114</v>
      </c>
    </row>
    <row r="141" spans="1:11" s="55" customFormat="1">
      <c r="A141" s="13">
        <v>137</v>
      </c>
      <c r="B141" s="28" t="s">
        <v>397</v>
      </c>
      <c r="C141" s="8" t="s">
        <v>398</v>
      </c>
      <c r="D141" s="8" t="s">
        <v>57</v>
      </c>
      <c r="E141" s="8"/>
      <c r="F141" s="28" t="s">
        <v>36</v>
      </c>
      <c r="G141" s="28">
        <f>3-1-1</f>
        <v>1</v>
      </c>
      <c r="H141" s="28" t="s">
        <v>6</v>
      </c>
      <c r="I141" s="54">
        <v>330</v>
      </c>
      <c r="J141" s="54">
        <f t="shared" si="12"/>
        <v>330</v>
      </c>
      <c r="K141" s="89">
        <v>18</v>
      </c>
    </row>
    <row r="142" spans="1:11" s="55" customFormat="1">
      <c r="A142" s="13">
        <v>138</v>
      </c>
      <c r="B142" s="28" t="s">
        <v>399</v>
      </c>
      <c r="C142" s="8" t="s">
        <v>1744</v>
      </c>
      <c r="D142" s="8" t="s">
        <v>57</v>
      </c>
      <c r="E142" s="8"/>
      <c r="F142" s="28" t="s">
        <v>36</v>
      </c>
      <c r="G142" s="28">
        <v>4</v>
      </c>
      <c r="H142" s="28" t="s">
        <v>6</v>
      </c>
      <c r="I142" s="54">
        <v>120</v>
      </c>
      <c r="J142" s="54">
        <f>G142*I142</f>
        <v>480</v>
      </c>
      <c r="K142" s="89">
        <v>16</v>
      </c>
    </row>
    <row r="143" spans="1:11" s="55" customFormat="1">
      <c r="A143" s="13">
        <v>139</v>
      </c>
      <c r="B143" s="28" t="s">
        <v>361</v>
      </c>
      <c r="C143" s="8" t="s">
        <v>1723</v>
      </c>
      <c r="D143" s="8" t="s">
        <v>57</v>
      </c>
      <c r="E143" s="8"/>
      <c r="F143" s="28" t="s">
        <v>36</v>
      </c>
      <c r="G143" s="28">
        <f>23-6-5+100-5-2</f>
        <v>105</v>
      </c>
      <c r="H143" s="28" t="s">
        <v>6</v>
      </c>
      <c r="I143" s="54">
        <v>14.16</v>
      </c>
      <c r="J143" s="54">
        <f t="shared" si="12"/>
        <v>1486.8</v>
      </c>
      <c r="K143" s="89">
        <v>1</v>
      </c>
    </row>
    <row r="144" spans="1:11" s="55" customFormat="1">
      <c r="A144" s="13">
        <v>140</v>
      </c>
      <c r="B144" s="28" t="s">
        <v>319</v>
      </c>
      <c r="C144" s="8" t="s">
        <v>320</v>
      </c>
      <c r="D144" s="8" t="s">
        <v>43</v>
      </c>
      <c r="E144" s="8"/>
      <c r="F144" s="28" t="s">
        <v>36</v>
      </c>
      <c r="G144" s="28">
        <f>70-30</f>
        <v>40</v>
      </c>
      <c r="H144" s="28" t="s">
        <v>63</v>
      </c>
      <c r="I144" s="54">
        <v>70.8</v>
      </c>
      <c r="J144" s="54">
        <f t="shared" si="12"/>
        <v>2832</v>
      </c>
      <c r="K144" s="89">
        <v>37</v>
      </c>
    </row>
    <row r="145" spans="1:11" s="55" customFormat="1">
      <c r="A145" s="13">
        <v>141</v>
      </c>
      <c r="B145" s="28" t="s">
        <v>292</v>
      </c>
      <c r="C145" s="8" t="s">
        <v>293</v>
      </c>
      <c r="D145" s="8" t="s">
        <v>57</v>
      </c>
      <c r="E145" s="8"/>
      <c r="F145" s="28" t="s">
        <v>36</v>
      </c>
      <c r="G145" s="28">
        <v>6</v>
      </c>
      <c r="H145" s="28" t="s">
        <v>6</v>
      </c>
      <c r="I145" s="54">
        <v>47.2</v>
      </c>
      <c r="J145" s="54">
        <f t="shared" si="12"/>
        <v>283.20000000000005</v>
      </c>
      <c r="K145" s="89">
        <v>1</v>
      </c>
    </row>
    <row r="146" spans="1:11" s="55" customFormat="1">
      <c r="A146" s="13">
        <v>142</v>
      </c>
      <c r="B146" s="28" t="s">
        <v>235</v>
      </c>
      <c r="C146" s="8" t="s">
        <v>236</v>
      </c>
      <c r="D146" s="8" t="s">
        <v>237</v>
      </c>
      <c r="E146" s="8"/>
      <c r="F146" s="28" t="s">
        <v>36</v>
      </c>
      <c r="G146" s="28">
        <f>73.8-15</f>
        <v>58.8</v>
      </c>
      <c r="H146" s="28" t="s">
        <v>63</v>
      </c>
      <c r="I146" s="54">
        <v>500</v>
      </c>
      <c r="J146" s="54">
        <f t="shared" si="12"/>
        <v>29400</v>
      </c>
      <c r="K146" s="89">
        <v>96</v>
      </c>
    </row>
    <row r="147" spans="1:11" s="55" customFormat="1">
      <c r="A147" s="13">
        <v>143</v>
      </c>
      <c r="B147" s="28" t="s">
        <v>238</v>
      </c>
      <c r="C147" s="8" t="s">
        <v>239</v>
      </c>
      <c r="D147" s="8" t="s">
        <v>57</v>
      </c>
      <c r="E147" s="8"/>
      <c r="F147" s="28" t="s">
        <v>36</v>
      </c>
      <c r="G147" s="28">
        <v>75</v>
      </c>
      <c r="H147" s="28" t="s">
        <v>63</v>
      </c>
      <c r="I147" s="54">
        <v>65</v>
      </c>
      <c r="J147" s="54">
        <f t="shared" si="12"/>
        <v>4875</v>
      </c>
      <c r="K147" s="89">
        <v>16</v>
      </c>
    </row>
    <row r="148" spans="1:11" s="55" customFormat="1">
      <c r="A148" s="13">
        <v>144</v>
      </c>
      <c r="B148" s="28" t="s">
        <v>240</v>
      </c>
      <c r="C148" s="8" t="s">
        <v>241</v>
      </c>
      <c r="D148" s="8" t="s">
        <v>242</v>
      </c>
      <c r="E148" s="8"/>
      <c r="F148" s="28" t="s">
        <v>36</v>
      </c>
      <c r="G148" s="28">
        <v>4</v>
      </c>
      <c r="H148" s="28" t="s">
        <v>6</v>
      </c>
      <c r="I148" s="54">
        <v>200</v>
      </c>
      <c r="J148" s="54">
        <f t="shared" si="12"/>
        <v>800</v>
      </c>
      <c r="K148" s="89">
        <v>5</v>
      </c>
    </row>
    <row r="149" spans="1:11" s="55" customFormat="1">
      <c r="A149" s="13">
        <v>145</v>
      </c>
      <c r="B149" s="28" t="s">
        <v>243</v>
      </c>
      <c r="C149" s="8" t="s">
        <v>244</v>
      </c>
      <c r="D149" s="61" t="s">
        <v>245</v>
      </c>
      <c r="E149" s="61"/>
      <c r="F149" s="28" t="s">
        <v>36</v>
      </c>
      <c r="G149" s="28">
        <f>15-1</f>
        <v>14</v>
      </c>
      <c r="H149" s="28" t="s">
        <v>6</v>
      </c>
      <c r="I149" s="54">
        <v>826</v>
      </c>
      <c r="J149" s="54">
        <f t="shared" si="12"/>
        <v>11564</v>
      </c>
      <c r="K149" s="89">
        <v>93</v>
      </c>
    </row>
    <row r="150" spans="1:11" s="55" customFormat="1">
      <c r="A150" s="13">
        <v>146</v>
      </c>
      <c r="B150" s="28" t="s">
        <v>246</v>
      </c>
      <c r="C150" s="8" t="s">
        <v>244</v>
      </c>
      <c r="D150" s="8" t="s">
        <v>247</v>
      </c>
      <c r="E150" s="8"/>
      <c r="F150" s="28" t="s">
        <v>36</v>
      </c>
      <c r="G150" s="28">
        <f>21-4</f>
        <v>17</v>
      </c>
      <c r="H150" s="28" t="s">
        <v>6</v>
      </c>
      <c r="I150" s="54">
        <v>2200</v>
      </c>
      <c r="J150" s="54">
        <f t="shared" si="12"/>
        <v>37400</v>
      </c>
      <c r="K150" s="89">
        <v>93</v>
      </c>
    </row>
    <row r="151" spans="1:11" s="55" customFormat="1" ht="18.75" customHeight="1">
      <c r="A151" s="13">
        <v>147</v>
      </c>
      <c r="B151" s="28" t="s">
        <v>248</v>
      </c>
      <c r="C151" s="8" t="s">
        <v>1961</v>
      </c>
      <c r="D151" s="8" t="s">
        <v>57</v>
      </c>
      <c r="E151" s="8"/>
      <c r="F151" s="28" t="s">
        <v>36</v>
      </c>
      <c r="G151" s="28">
        <f>4+10-1+1</f>
        <v>14</v>
      </c>
      <c r="H151" s="28" t="s">
        <v>6</v>
      </c>
      <c r="I151" s="54">
        <v>20</v>
      </c>
      <c r="J151" s="54">
        <f t="shared" si="12"/>
        <v>280</v>
      </c>
      <c r="K151" s="89">
        <v>1</v>
      </c>
    </row>
    <row r="152" spans="1:11" s="55" customFormat="1">
      <c r="A152" s="13">
        <v>148</v>
      </c>
      <c r="B152" s="28" t="s">
        <v>1914</v>
      </c>
      <c r="C152" s="8" t="s">
        <v>2008</v>
      </c>
      <c r="D152" s="8"/>
      <c r="E152" s="8"/>
      <c r="F152" s="28" t="s">
        <v>36</v>
      </c>
      <c r="G152" s="28">
        <f>100-7-2-6-2-2-4+10</f>
        <v>87</v>
      </c>
      <c r="H152" s="28" t="s">
        <v>6</v>
      </c>
      <c r="I152" s="54">
        <v>7.91</v>
      </c>
      <c r="J152" s="54">
        <f t="shared" si="12"/>
        <v>688.17</v>
      </c>
      <c r="K152" s="89">
        <v>1</v>
      </c>
    </row>
    <row r="153" spans="1:11" s="55" customFormat="1">
      <c r="A153" s="13">
        <v>149</v>
      </c>
      <c r="B153" s="28" t="s">
        <v>227</v>
      </c>
      <c r="C153" s="8" t="s">
        <v>228</v>
      </c>
      <c r="D153" s="8" t="s">
        <v>143</v>
      </c>
      <c r="E153" s="8" t="s">
        <v>1442</v>
      </c>
      <c r="F153" s="28" t="s">
        <v>36</v>
      </c>
      <c r="G153" s="28">
        <f>29-2+2</f>
        <v>29</v>
      </c>
      <c r="H153" s="28" t="s">
        <v>6</v>
      </c>
      <c r="I153" s="54">
        <v>32</v>
      </c>
      <c r="J153" s="54">
        <f t="shared" si="12"/>
        <v>928</v>
      </c>
      <c r="K153" s="89">
        <v>17</v>
      </c>
    </row>
    <row r="154" spans="1:11" s="55" customFormat="1">
      <c r="A154" s="13">
        <v>150</v>
      </c>
      <c r="B154" s="28" t="s">
        <v>230</v>
      </c>
      <c r="C154" s="8" t="s">
        <v>231</v>
      </c>
      <c r="D154" s="8" t="s">
        <v>1686</v>
      </c>
      <c r="E154" s="8"/>
      <c r="F154" s="28" t="s">
        <v>36</v>
      </c>
      <c r="G154" s="28">
        <v>20</v>
      </c>
      <c r="H154" s="28" t="s">
        <v>1</v>
      </c>
      <c r="I154" s="54">
        <v>236</v>
      </c>
      <c r="J154" s="54">
        <f t="shared" si="12"/>
        <v>4720</v>
      </c>
      <c r="K154" s="89">
        <v>96</v>
      </c>
    </row>
    <row r="155" spans="1:11" s="55" customFormat="1">
      <c r="A155" s="13">
        <v>151</v>
      </c>
      <c r="B155" s="28" t="s">
        <v>217</v>
      </c>
      <c r="C155" s="8" t="s">
        <v>1724</v>
      </c>
      <c r="D155" s="8" t="s">
        <v>42</v>
      </c>
      <c r="E155" s="8"/>
      <c r="F155" s="28" t="s">
        <v>36</v>
      </c>
      <c r="G155" s="28">
        <v>6</v>
      </c>
      <c r="H155" s="28" t="s">
        <v>6</v>
      </c>
      <c r="I155" s="54">
        <v>600</v>
      </c>
      <c r="J155" s="54">
        <f t="shared" si="12"/>
        <v>3600</v>
      </c>
      <c r="K155" s="89">
        <v>11</v>
      </c>
    </row>
    <row r="156" spans="1:11" s="55" customFormat="1">
      <c r="A156" s="13">
        <v>152</v>
      </c>
      <c r="B156" s="28" t="s">
        <v>218</v>
      </c>
      <c r="C156" s="8" t="s">
        <v>1724</v>
      </c>
      <c r="D156" s="8" t="s">
        <v>219</v>
      </c>
      <c r="E156" s="8"/>
      <c r="F156" s="28" t="s">
        <v>36</v>
      </c>
      <c r="G156" s="28">
        <v>5</v>
      </c>
      <c r="H156" s="28" t="s">
        <v>6</v>
      </c>
      <c r="I156" s="54">
        <v>1500</v>
      </c>
      <c r="J156" s="54">
        <f t="shared" si="12"/>
        <v>7500</v>
      </c>
      <c r="K156" s="89">
        <v>11</v>
      </c>
    </row>
    <row r="157" spans="1:11" s="55" customFormat="1" ht="45">
      <c r="A157" s="13">
        <v>153</v>
      </c>
      <c r="B157" s="63" t="s">
        <v>221</v>
      </c>
      <c r="C157" s="64" t="s">
        <v>220</v>
      </c>
      <c r="D157" s="64" t="s">
        <v>222</v>
      </c>
      <c r="E157" s="64" t="s">
        <v>2073</v>
      </c>
      <c r="F157" s="63" t="s">
        <v>36</v>
      </c>
      <c r="G157" s="63">
        <v>1</v>
      </c>
      <c r="H157" s="63" t="s">
        <v>6</v>
      </c>
      <c r="I157" s="75">
        <v>15000</v>
      </c>
      <c r="J157" s="75">
        <f t="shared" si="12"/>
        <v>15000</v>
      </c>
      <c r="K157" s="89">
        <v>93</v>
      </c>
    </row>
    <row r="158" spans="1:11" s="55" customFormat="1" ht="60">
      <c r="A158" s="13">
        <v>154</v>
      </c>
      <c r="B158" s="63" t="s">
        <v>223</v>
      </c>
      <c r="C158" s="64" t="s">
        <v>220</v>
      </c>
      <c r="D158" s="64" t="s">
        <v>224</v>
      </c>
      <c r="E158" s="64" t="s">
        <v>2073</v>
      </c>
      <c r="F158" s="63" t="s">
        <v>36</v>
      </c>
      <c r="G158" s="63">
        <v>1</v>
      </c>
      <c r="H158" s="63" t="s">
        <v>6</v>
      </c>
      <c r="I158" s="75">
        <v>15000</v>
      </c>
      <c r="J158" s="75">
        <f t="shared" si="12"/>
        <v>15000</v>
      </c>
      <c r="K158" s="89">
        <v>93</v>
      </c>
    </row>
    <row r="159" spans="1:11" s="55" customFormat="1">
      <c r="A159" s="13">
        <v>155</v>
      </c>
      <c r="B159" s="28" t="s">
        <v>205</v>
      </c>
      <c r="C159" s="8" t="s">
        <v>206</v>
      </c>
      <c r="D159" s="8" t="s">
        <v>207</v>
      </c>
      <c r="E159" s="8"/>
      <c r="F159" s="28" t="s">
        <v>36</v>
      </c>
      <c r="G159" s="28">
        <v>3</v>
      </c>
      <c r="H159" s="28" t="s">
        <v>6</v>
      </c>
      <c r="I159" s="54">
        <v>3000</v>
      </c>
      <c r="J159" s="54">
        <f t="shared" si="12"/>
        <v>9000</v>
      </c>
      <c r="K159" s="89">
        <v>11</v>
      </c>
    </row>
    <row r="160" spans="1:11" s="55" customFormat="1">
      <c r="A160" s="13">
        <v>156</v>
      </c>
      <c r="B160" s="28" t="s">
        <v>208</v>
      </c>
      <c r="C160" s="8" t="s">
        <v>209</v>
      </c>
      <c r="D160" s="8" t="s">
        <v>210</v>
      </c>
      <c r="E160" s="8"/>
      <c r="F160" s="28" t="s">
        <v>36</v>
      </c>
      <c r="G160" s="28">
        <v>1</v>
      </c>
      <c r="H160" s="28" t="s">
        <v>6</v>
      </c>
      <c r="I160" s="54">
        <v>1650</v>
      </c>
      <c r="J160" s="54">
        <f t="shared" ref="J160:J194" si="13">G160*I160</f>
        <v>1650</v>
      </c>
      <c r="K160" s="89">
        <v>93</v>
      </c>
    </row>
    <row r="161" spans="1:11" s="55" customFormat="1">
      <c r="A161" s="13">
        <v>157</v>
      </c>
      <c r="B161" s="28" t="s">
        <v>128</v>
      </c>
      <c r="C161" s="8" t="s">
        <v>129</v>
      </c>
      <c r="D161" s="8" t="s">
        <v>130</v>
      </c>
      <c r="E161" s="8"/>
      <c r="F161" s="28" t="s">
        <v>36</v>
      </c>
      <c r="G161" s="28">
        <v>4</v>
      </c>
      <c r="H161" s="28" t="s">
        <v>6</v>
      </c>
      <c r="I161" s="54">
        <v>1000</v>
      </c>
      <c r="J161" s="54">
        <f t="shared" si="13"/>
        <v>4000</v>
      </c>
      <c r="K161" s="89">
        <v>10</v>
      </c>
    </row>
    <row r="162" spans="1:11" s="55" customFormat="1">
      <c r="A162" s="13">
        <v>158</v>
      </c>
      <c r="B162" s="28" t="s">
        <v>133</v>
      </c>
      <c r="C162" s="8" t="s">
        <v>129</v>
      </c>
      <c r="D162" s="8" t="s">
        <v>134</v>
      </c>
      <c r="E162" s="8"/>
      <c r="F162" s="28" t="s">
        <v>36</v>
      </c>
      <c r="G162" s="28"/>
      <c r="H162" s="28" t="s">
        <v>6</v>
      </c>
      <c r="I162" s="54">
        <v>1600</v>
      </c>
      <c r="J162" s="54">
        <f t="shared" si="13"/>
        <v>0</v>
      </c>
      <c r="K162" s="89">
        <v>10</v>
      </c>
    </row>
    <row r="163" spans="1:11" s="55" customFormat="1">
      <c r="A163" s="13">
        <v>159</v>
      </c>
      <c r="B163" s="28" t="s">
        <v>135</v>
      </c>
      <c r="C163" s="8" t="s">
        <v>129</v>
      </c>
      <c r="D163" s="8" t="s">
        <v>91</v>
      </c>
      <c r="E163" s="8"/>
      <c r="F163" s="28" t="s">
        <v>36</v>
      </c>
      <c r="G163" s="28">
        <v>1</v>
      </c>
      <c r="H163" s="28" t="s">
        <v>6</v>
      </c>
      <c r="I163" s="54">
        <v>1800</v>
      </c>
      <c r="J163" s="54">
        <f t="shared" si="13"/>
        <v>1800</v>
      </c>
      <c r="K163" s="89">
        <v>10</v>
      </c>
    </row>
    <row r="164" spans="1:11" s="55" customFormat="1">
      <c r="A164" s="13">
        <v>160</v>
      </c>
      <c r="B164" s="28" t="s">
        <v>136</v>
      </c>
      <c r="C164" s="8" t="s">
        <v>137</v>
      </c>
      <c r="D164" s="8" t="s">
        <v>138</v>
      </c>
      <c r="E164" s="8"/>
      <c r="F164" s="28" t="s">
        <v>36</v>
      </c>
      <c r="G164" s="28">
        <v>2</v>
      </c>
      <c r="H164" s="28" t="s">
        <v>6</v>
      </c>
      <c r="I164" s="54">
        <v>20000</v>
      </c>
      <c r="J164" s="54">
        <f t="shared" si="13"/>
        <v>40000</v>
      </c>
      <c r="K164" s="89">
        <v>96</v>
      </c>
    </row>
    <row r="165" spans="1:11" s="55" customFormat="1">
      <c r="A165" s="13">
        <v>161</v>
      </c>
      <c r="B165" s="28" t="s">
        <v>139</v>
      </c>
      <c r="C165" s="8" t="s">
        <v>137</v>
      </c>
      <c r="D165" s="8" t="s">
        <v>140</v>
      </c>
      <c r="E165" s="8"/>
      <c r="F165" s="28" t="s">
        <v>36</v>
      </c>
      <c r="G165" s="28">
        <v>1</v>
      </c>
      <c r="H165" s="28" t="s">
        <v>6</v>
      </c>
      <c r="I165" s="54">
        <v>35000</v>
      </c>
      <c r="J165" s="54">
        <f t="shared" si="13"/>
        <v>35000</v>
      </c>
      <c r="K165" s="89">
        <v>96</v>
      </c>
    </row>
    <row r="166" spans="1:11" s="55" customFormat="1">
      <c r="A166" s="13">
        <v>162</v>
      </c>
      <c r="B166" s="28" t="s">
        <v>141</v>
      </c>
      <c r="C166" s="8" t="s">
        <v>142</v>
      </c>
      <c r="D166" s="8" t="s">
        <v>143</v>
      </c>
      <c r="E166" s="8" t="s">
        <v>1442</v>
      </c>
      <c r="F166" s="28" t="s">
        <v>36</v>
      </c>
      <c r="G166" s="28">
        <f>110-1-1</f>
        <v>108</v>
      </c>
      <c r="H166" s="28" t="s">
        <v>6</v>
      </c>
      <c r="I166" s="54">
        <v>20</v>
      </c>
      <c r="J166" s="54">
        <f t="shared" si="13"/>
        <v>2160</v>
      </c>
      <c r="K166" s="89">
        <v>17</v>
      </c>
    </row>
    <row r="167" spans="1:11" s="55" customFormat="1">
      <c r="A167" s="13">
        <v>163</v>
      </c>
      <c r="B167" s="28" t="s">
        <v>144</v>
      </c>
      <c r="C167" s="8" t="s">
        <v>142</v>
      </c>
      <c r="D167" s="8" t="s">
        <v>132</v>
      </c>
      <c r="E167" s="8" t="s">
        <v>1442</v>
      </c>
      <c r="F167" s="28" t="s">
        <v>36</v>
      </c>
      <c r="G167" s="28">
        <f>27-1-2-1-1-1-1</f>
        <v>20</v>
      </c>
      <c r="H167" s="28" t="s">
        <v>6</v>
      </c>
      <c r="I167" s="54">
        <v>120</v>
      </c>
      <c r="J167" s="54">
        <f t="shared" si="13"/>
        <v>2400</v>
      </c>
      <c r="K167" s="89">
        <v>17</v>
      </c>
    </row>
    <row r="168" spans="1:11" s="55" customFormat="1">
      <c r="A168" s="13">
        <v>164</v>
      </c>
      <c r="B168" s="28" t="s">
        <v>146</v>
      </c>
      <c r="C168" s="8" t="s">
        <v>137</v>
      </c>
      <c r="D168" s="8" t="s">
        <v>147</v>
      </c>
      <c r="E168" s="8"/>
      <c r="F168" s="28" t="s">
        <v>36</v>
      </c>
      <c r="G168" s="28">
        <v>1</v>
      </c>
      <c r="H168" s="28" t="s">
        <v>6</v>
      </c>
      <c r="I168" s="54">
        <v>15000</v>
      </c>
      <c r="J168" s="54">
        <f t="shared" si="13"/>
        <v>15000</v>
      </c>
      <c r="K168" s="89">
        <v>96</v>
      </c>
    </row>
    <row r="169" spans="1:11" s="55" customFormat="1">
      <c r="A169" s="13">
        <v>165</v>
      </c>
      <c r="B169" s="28" t="s">
        <v>211</v>
      </c>
      <c r="C169" s="8" t="s">
        <v>1697</v>
      </c>
      <c r="D169" s="8" t="s">
        <v>212</v>
      </c>
      <c r="E169" s="8"/>
      <c r="F169" s="28" t="s">
        <v>36</v>
      </c>
      <c r="G169" s="28">
        <v>2</v>
      </c>
      <c r="H169" s="28" t="s">
        <v>6</v>
      </c>
      <c r="I169" s="54">
        <v>16048</v>
      </c>
      <c r="J169" s="54">
        <f>G169*I169</f>
        <v>32096</v>
      </c>
      <c r="K169" s="89">
        <v>38</v>
      </c>
    </row>
    <row r="170" spans="1:11" s="55" customFormat="1">
      <c r="A170" s="13">
        <v>166</v>
      </c>
      <c r="B170" s="28" t="s">
        <v>154</v>
      </c>
      <c r="C170" s="8" t="s">
        <v>1725</v>
      </c>
      <c r="D170" s="8" t="s">
        <v>155</v>
      </c>
      <c r="E170" s="8"/>
      <c r="F170" s="28" t="s">
        <v>36</v>
      </c>
      <c r="G170" s="28">
        <v>3</v>
      </c>
      <c r="H170" s="28" t="s">
        <v>6</v>
      </c>
      <c r="I170" s="54">
        <v>153.5</v>
      </c>
      <c r="J170" s="54">
        <f t="shared" si="13"/>
        <v>460.5</v>
      </c>
      <c r="K170" s="89">
        <v>12</v>
      </c>
    </row>
    <row r="171" spans="1:11" s="55" customFormat="1">
      <c r="A171" s="13">
        <v>167</v>
      </c>
      <c r="B171" s="28" t="s">
        <v>156</v>
      </c>
      <c r="C171" s="8" t="s">
        <v>1725</v>
      </c>
      <c r="D171" s="8" t="s">
        <v>157</v>
      </c>
      <c r="E171" s="8"/>
      <c r="F171" s="28" t="s">
        <v>36</v>
      </c>
      <c r="G171" s="28">
        <v>3</v>
      </c>
      <c r="H171" s="28" t="s">
        <v>6</v>
      </c>
      <c r="I171" s="54">
        <v>250</v>
      </c>
      <c r="J171" s="54">
        <f t="shared" si="13"/>
        <v>750</v>
      </c>
      <c r="K171" s="89">
        <v>12</v>
      </c>
    </row>
    <row r="172" spans="1:11" s="55" customFormat="1">
      <c r="A172" s="13">
        <v>168</v>
      </c>
      <c r="B172" s="28" t="s">
        <v>573</v>
      </c>
      <c r="C172" s="8" t="s">
        <v>1748</v>
      </c>
      <c r="D172" s="8" t="s">
        <v>574</v>
      </c>
      <c r="E172" s="8"/>
      <c r="F172" s="28" t="s">
        <v>36</v>
      </c>
      <c r="G172" s="28">
        <v>4</v>
      </c>
      <c r="H172" s="28" t="s">
        <v>6</v>
      </c>
      <c r="I172" s="54">
        <v>280</v>
      </c>
      <c r="J172" s="54">
        <f>G172*I172</f>
        <v>1120</v>
      </c>
      <c r="K172" s="89">
        <v>12</v>
      </c>
    </row>
    <row r="173" spans="1:11" s="55" customFormat="1">
      <c r="A173" s="13">
        <v>169</v>
      </c>
      <c r="B173" s="28" t="s">
        <v>98</v>
      </c>
      <c r="C173" s="8" t="s">
        <v>99</v>
      </c>
      <c r="D173" s="8" t="s">
        <v>57</v>
      </c>
      <c r="E173" s="8"/>
      <c r="F173" s="28" t="s">
        <v>36</v>
      </c>
      <c r="G173" s="28">
        <f>31-6</f>
        <v>25</v>
      </c>
      <c r="H173" s="28" t="s">
        <v>6</v>
      </c>
      <c r="I173" s="54">
        <v>60</v>
      </c>
      <c r="J173" s="54">
        <f t="shared" si="13"/>
        <v>1500</v>
      </c>
      <c r="K173" s="89">
        <v>1</v>
      </c>
    </row>
    <row r="174" spans="1:11" s="55" customFormat="1">
      <c r="A174" s="13">
        <v>170</v>
      </c>
      <c r="B174" s="28" t="s">
        <v>100</v>
      </c>
      <c r="C174" s="8" t="s">
        <v>101</v>
      </c>
      <c r="D174" s="8" t="s">
        <v>2074</v>
      </c>
      <c r="E174" s="8" t="s">
        <v>2065</v>
      </c>
      <c r="F174" s="28" t="s">
        <v>36</v>
      </c>
      <c r="G174" s="28">
        <v>1</v>
      </c>
      <c r="H174" s="28" t="s">
        <v>6</v>
      </c>
      <c r="I174" s="54">
        <v>559</v>
      </c>
      <c r="J174" s="54">
        <f t="shared" si="13"/>
        <v>559</v>
      </c>
      <c r="K174" s="89">
        <v>3</v>
      </c>
    </row>
    <row r="175" spans="1:11" s="55" customFormat="1">
      <c r="A175" s="13">
        <v>171</v>
      </c>
      <c r="B175" s="28" t="s">
        <v>110</v>
      </c>
      <c r="C175" s="8" t="s">
        <v>1720</v>
      </c>
      <c r="D175" s="8" t="s">
        <v>112</v>
      </c>
      <c r="E175" s="8"/>
      <c r="F175" s="28" t="s">
        <v>36</v>
      </c>
      <c r="G175" s="28">
        <v>4</v>
      </c>
      <c r="H175" s="28" t="s">
        <v>6</v>
      </c>
      <c r="I175" s="54">
        <v>1350</v>
      </c>
      <c r="J175" s="54">
        <f t="shared" si="13"/>
        <v>5400</v>
      </c>
      <c r="K175" s="89">
        <v>34</v>
      </c>
    </row>
    <row r="176" spans="1:11" s="55" customFormat="1">
      <c r="A176" s="13">
        <v>172</v>
      </c>
      <c r="B176" s="50" t="s">
        <v>1642</v>
      </c>
      <c r="C176" s="8" t="s">
        <v>1720</v>
      </c>
      <c r="D176" s="8" t="s">
        <v>1640</v>
      </c>
      <c r="E176" s="8"/>
      <c r="F176" s="77" t="s">
        <v>36</v>
      </c>
      <c r="G176" s="78">
        <v>2</v>
      </c>
      <c r="H176" s="77" t="s">
        <v>6</v>
      </c>
      <c r="I176" s="54">
        <v>1519</v>
      </c>
      <c r="J176" s="54">
        <f>G176*I176</f>
        <v>3038</v>
      </c>
      <c r="K176" s="89">
        <v>34</v>
      </c>
    </row>
    <row r="177" spans="1:11" s="55" customFormat="1">
      <c r="A177" s="13">
        <v>173</v>
      </c>
      <c r="B177" s="28" t="s">
        <v>84</v>
      </c>
      <c r="C177" s="8" t="s">
        <v>83</v>
      </c>
      <c r="D177" s="8" t="s">
        <v>85</v>
      </c>
      <c r="E177" s="8"/>
      <c r="F177" s="28" t="s">
        <v>36</v>
      </c>
      <c r="G177" s="28">
        <v>230</v>
      </c>
      <c r="H177" s="28" t="s">
        <v>6</v>
      </c>
      <c r="I177" s="54">
        <v>100</v>
      </c>
      <c r="J177" s="54">
        <f t="shared" si="13"/>
        <v>23000</v>
      </c>
      <c r="K177" s="89">
        <v>69</v>
      </c>
    </row>
    <row r="178" spans="1:11" s="55" customFormat="1">
      <c r="A178" s="13">
        <v>174</v>
      </c>
      <c r="B178" s="28" t="s">
        <v>88</v>
      </c>
      <c r="C178" s="8" t="s">
        <v>83</v>
      </c>
      <c r="D178" s="8" t="s">
        <v>89</v>
      </c>
      <c r="E178" s="8"/>
      <c r="F178" s="28" t="s">
        <v>36</v>
      </c>
      <c r="G178" s="28">
        <v>51</v>
      </c>
      <c r="H178" s="28" t="s">
        <v>6</v>
      </c>
      <c r="I178" s="54">
        <v>2500</v>
      </c>
      <c r="J178" s="54">
        <f t="shared" si="13"/>
        <v>127500</v>
      </c>
      <c r="K178" s="89" t="s">
        <v>2115</v>
      </c>
    </row>
    <row r="179" spans="1:11" s="55" customFormat="1">
      <c r="A179" s="13">
        <v>175</v>
      </c>
      <c r="B179" s="28" t="s">
        <v>90</v>
      </c>
      <c r="C179" s="8" t="s">
        <v>83</v>
      </c>
      <c r="D179" s="8" t="s">
        <v>91</v>
      </c>
      <c r="E179" s="8"/>
      <c r="F179" s="28" t="s">
        <v>36</v>
      </c>
      <c r="G179" s="28">
        <v>4</v>
      </c>
      <c r="H179" s="28" t="s">
        <v>6</v>
      </c>
      <c r="I179" s="54">
        <v>4000</v>
      </c>
      <c r="J179" s="54">
        <f t="shared" si="13"/>
        <v>16000</v>
      </c>
      <c r="K179" s="89" t="s">
        <v>2115</v>
      </c>
    </row>
    <row r="180" spans="1:11" s="55" customFormat="1" ht="30">
      <c r="A180" s="13">
        <v>176</v>
      </c>
      <c r="B180" s="28" t="s">
        <v>165</v>
      </c>
      <c r="C180" s="8" t="s">
        <v>159</v>
      </c>
      <c r="D180" s="8" t="s">
        <v>166</v>
      </c>
      <c r="E180" s="8"/>
      <c r="F180" s="28" t="s">
        <v>36</v>
      </c>
      <c r="G180" s="28">
        <v>14</v>
      </c>
      <c r="H180" s="28" t="s">
        <v>6</v>
      </c>
      <c r="I180" s="54">
        <v>1400</v>
      </c>
      <c r="J180" s="54">
        <f t="shared" si="13"/>
        <v>19600</v>
      </c>
      <c r="K180" s="89">
        <v>93</v>
      </c>
    </row>
    <row r="181" spans="1:11" s="55" customFormat="1" ht="30">
      <c r="A181" s="13">
        <v>177</v>
      </c>
      <c r="B181" s="28" t="s">
        <v>167</v>
      </c>
      <c r="C181" s="8" t="s">
        <v>159</v>
      </c>
      <c r="D181" s="8" t="s">
        <v>168</v>
      </c>
      <c r="E181" s="8"/>
      <c r="F181" s="28" t="s">
        <v>36</v>
      </c>
      <c r="G181" s="28">
        <v>10</v>
      </c>
      <c r="H181" s="28" t="s">
        <v>6</v>
      </c>
      <c r="I181" s="54">
        <v>1800</v>
      </c>
      <c r="J181" s="54">
        <f t="shared" si="13"/>
        <v>18000</v>
      </c>
      <c r="K181" s="89">
        <v>93</v>
      </c>
    </row>
    <row r="182" spans="1:11" s="55" customFormat="1" ht="30">
      <c r="A182" s="13">
        <v>178</v>
      </c>
      <c r="B182" s="28" t="s">
        <v>169</v>
      </c>
      <c r="C182" s="8" t="s">
        <v>159</v>
      </c>
      <c r="D182" s="8" t="s">
        <v>170</v>
      </c>
      <c r="E182" s="8"/>
      <c r="F182" s="28" t="s">
        <v>36</v>
      </c>
      <c r="G182" s="28">
        <v>2</v>
      </c>
      <c r="H182" s="28" t="s">
        <v>6</v>
      </c>
      <c r="I182" s="54">
        <v>2500</v>
      </c>
      <c r="J182" s="54">
        <f t="shared" si="13"/>
        <v>5000</v>
      </c>
      <c r="K182" s="89">
        <v>93</v>
      </c>
    </row>
    <row r="183" spans="1:11" s="55" customFormat="1">
      <c r="A183" s="13">
        <v>179</v>
      </c>
      <c r="B183" s="28" t="s">
        <v>196</v>
      </c>
      <c r="C183" s="8" t="s">
        <v>1726</v>
      </c>
      <c r="D183" s="8" t="s">
        <v>197</v>
      </c>
      <c r="E183" s="8"/>
      <c r="F183" s="28" t="s">
        <v>36</v>
      </c>
      <c r="G183" s="28">
        <v>2</v>
      </c>
      <c r="H183" s="28" t="s">
        <v>6</v>
      </c>
      <c r="I183" s="54">
        <v>300</v>
      </c>
      <c r="J183" s="54">
        <f t="shared" si="13"/>
        <v>600</v>
      </c>
      <c r="K183" s="89">
        <v>93</v>
      </c>
    </row>
    <row r="184" spans="1:11" s="55" customFormat="1">
      <c r="A184" s="13">
        <v>180</v>
      </c>
      <c r="B184" s="28" t="s">
        <v>250</v>
      </c>
      <c r="C184" s="8" t="s">
        <v>1727</v>
      </c>
      <c r="D184" s="8" t="s">
        <v>251</v>
      </c>
      <c r="E184" s="8"/>
      <c r="F184" s="28" t="s">
        <v>36</v>
      </c>
      <c r="G184" s="28">
        <f>381-2</f>
        <v>379</v>
      </c>
      <c r="H184" s="28" t="s">
        <v>6</v>
      </c>
      <c r="I184" s="54">
        <v>42.48</v>
      </c>
      <c r="J184" s="54">
        <f t="shared" si="13"/>
        <v>16099.919999999998</v>
      </c>
      <c r="K184" s="89">
        <v>4</v>
      </c>
    </row>
    <row r="185" spans="1:11" s="55" customFormat="1">
      <c r="A185" s="13">
        <v>181</v>
      </c>
      <c r="B185" s="28" t="s">
        <v>252</v>
      </c>
      <c r="C185" s="8" t="s">
        <v>253</v>
      </c>
      <c r="D185" s="8" t="s">
        <v>57</v>
      </c>
      <c r="E185" s="8"/>
      <c r="F185" s="28" t="s">
        <v>36</v>
      </c>
      <c r="G185" s="28">
        <v>1</v>
      </c>
      <c r="H185" s="28" t="s">
        <v>6</v>
      </c>
      <c r="I185" s="54">
        <v>389.4</v>
      </c>
      <c r="J185" s="54">
        <f t="shared" si="13"/>
        <v>389.4</v>
      </c>
      <c r="K185" s="89">
        <v>1</v>
      </c>
    </row>
    <row r="186" spans="1:11" s="55" customFormat="1">
      <c r="A186" s="13">
        <v>182</v>
      </c>
      <c r="B186" s="28" t="s">
        <v>336</v>
      </c>
      <c r="C186" s="8" t="s">
        <v>337</v>
      </c>
      <c r="D186" s="8" t="s">
        <v>57</v>
      </c>
      <c r="E186" s="8"/>
      <c r="F186" s="28" t="s">
        <v>36</v>
      </c>
      <c r="G186" s="28">
        <v>6</v>
      </c>
      <c r="H186" s="28" t="s">
        <v>6</v>
      </c>
      <c r="I186" s="54">
        <v>5310</v>
      </c>
      <c r="J186" s="54">
        <f t="shared" si="13"/>
        <v>31860</v>
      </c>
      <c r="K186" s="89">
        <v>75</v>
      </c>
    </row>
    <row r="187" spans="1:11" s="55" customFormat="1">
      <c r="A187" s="13">
        <v>183</v>
      </c>
      <c r="B187" s="28" t="s">
        <v>342</v>
      </c>
      <c r="C187" s="8" t="s">
        <v>343</v>
      </c>
      <c r="D187" s="8" t="s">
        <v>57</v>
      </c>
      <c r="E187" s="8"/>
      <c r="F187" s="28" t="s">
        <v>36</v>
      </c>
      <c r="G187" s="28">
        <f>3+4-2</f>
        <v>5</v>
      </c>
      <c r="H187" s="28" t="s">
        <v>6</v>
      </c>
      <c r="I187" s="54">
        <v>1000</v>
      </c>
      <c r="J187" s="54">
        <f t="shared" si="13"/>
        <v>5000</v>
      </c>
      <c r="K187" s="89">
        <v>43</v>
      </c>
    </row>
    <row r="188" spans="1:11" s="55" customFormat="1">
      <c r="A188" s="13">
        <v>184</v>
      </c>
      <c r="B188" s="28" t="s">
        <v>354</v>
      </c>
      <c r="C188" s="8" t="s">
        <v>1728</v>
      </c>
      <c r="D188" s="8" t="s">
        <v>87</v>
      </c>
      <c r="E188" s="8"/>
      <c r="F188" s="28" t="s">
        <v>36</v>
      </c>
      <c r="G188" s="28">
        <v>93</v>
      </c>
      <c r="H188" s="28" t="s">
        <v>6</v>
      </c>
      <c r="I188" s="54">
        <v>83</v>
      </c>
      <c r="J188" s="54">
        <f t="shared" si="13"/>
        <v>7719</v>
      </c>
      <c r="K188" s="89">
        <v>4</v>
      </c>
    </row>
    <row r="189" spans="1:11" s="55" customFormat="1">
      <c r="A189" s="13">
        <v>185</v>
      </c>
      <c r="B189" s="28" t="s">
        <v>404</v>
      </c>
      <c r="C189" s="8" t="s">
        <v>405</v>
      </c>
      <c r="D189" s="8" t="s">
        <v>57</v>
      </c>
      <c r="E189" s="8"/>
      <c r="F189" s="28" t="s">
        <v>36</v>
      </c>
      <c r="G189" s="28">
        <v>7</v>
      </c>
      <c r="H189" s="28" t="s">
        <v>6</v>
      </c>
      <c r="I189" s="54">
        <v>188.8</v>
      </c>
      <c r="J189" s="54">
        <f t="shared" si="13"/>
        <v>1321.6000000000001</v>
      </c>
      <c r="K189" s="89">
        <v>94</v>
      </c>
    </row>
    <row r="190" spans="1:11" s="55" customFormat="1">
      <c r="A190" s="13">
        <v>186</v>
      </c>
      <c r="B190" s="28" t="s">
        <v>414</v>
      </c>
      <c r="C190" s="8" t="s">
        <v>412</v>
      </c>
      <c r="D190" s="8" t="s">
        <v>415</v>
      </c>
      <c r="E190" s="8"/>
      <c r="F190" s="28" t="s">
        <v>36</v>
      </c>
      <c r="G190" s="28">
        <v>2</v>
      </c>
      <c r="H190" s="28" t="s">
        <v>6</v>
      </c>
      <c r="I190" s="54">
        <v>50000</v>
      </c>
      <c r="J190" s="54">
        <f t="shared" si="13"/>
        <v>100000</v>
      </c>
      <c r="K190" s="89">
        <v>94</v>
      </c>
    </row>
    <row r="191" spans="1:11" s="55" customFormat="1">
      <c r="A191" s="13">
        <v>187</v>
      </c>
      <c r="B191" s="28" t="s">
        <v>500</v>
      </c>
      <c r="C191" s="8" t="s">
        <v>501</v>
      </c>
      <c r="D191" s="8" t="s">
        <v>323</v>
      </c>
      <c r="E191" s="8"/>
      <c r="F191" s="28" t="s">
        <v>36</v>
      </c>
      <c r="G191" s="28">
        <v>5</v>
      </c>
      <c r="H191" s="28" t="s">
        <v>1</v>
      </c>
      <c r="I191" s="54">
        <v>300</v>
      </c>
      <c r="J191" s="54">
        <f t="shared" si="13"/>
        <v>1500</v>
      </c>
      <c r="K191" s="89">
        <v>4</v>
      </c>
    </row>
    <row r="192" spans="1:11" s="55" customFormat="1">
      <c r="A192" s="13">
        <v>188</v>
      </c>
      <c r="B192" s="28" t="s">
        <v>505</v>
      </c>
      <c r="C192" s="8" t="s">
        <v>75</v>
      </c>
      <c r="D192" s="8" t="s">
        <v>149</v>
      </c>
      <c r="E192" s="8"/>
      <c r="F192" s="28" t="s">
        <v>36</v>
      </c>
      <c r="G192" s="28">
        <f>40-5</f>
        <v>35</v>
      </c>
      <c r="H192" s="28" t="s">
        <v>1</v>
      </c>
      <c r="I192" s="54">
        <v>354</v>
      </c>
      <c r="J192" s="54">
        <f t="shared" si="13"/>
        <v>12390</v>
      </c>
      <c r="K192" s="89">
        <v>4</v>
      </c>
    </row>
    <row r="193" spans="1:11" s="55" customFormat="1">
      <c r="A193" s="13">
        <v>189</v>
      </c>
      <c r="B193" s="28" t="s">
        <v>518</v>
      </c>
      <c r="C193" s="8" t="s">
        <v>519</v>
      </c>
      <c r="D193" s="8" t="s">
        <v>520</v>
      </c>
      <c r="E193" s="8"/>
      <c r="F193" s="28" t="s">
        <v>36</v>
      </c>
      <c r="G193" s="28">
        <v>8</v>
      </c>
      <c r="H193" s="28" t="s">
        <v>6</v>
      </c>
      <c r="I193" s="54">
        <v>789.42</v>
      </c>
      <c r="J193" s="54">
        <f t="shared" si="13"/>
        <v>6315.36</v>
      </c>
      <c r="K193" s="89">
        <v>21</v>
      </c>
    </row>
    <row r="194" spans="1:11" s="55" customFormat="1">
      <c r="A194" s="13">
        <v>190</v>
      </c>
      <c r="B194" s="28" t="s">
        <v>524</v>
      </c>
      <c r="C194" s="8" t="s">
        <v>525</v>
      </c>
      <c r="D194" s="8" t="s">
        <v>131</v>
      </c>
      <c r="E194" s="8"/>
      <c r="F194" s="28" t="s">
        <v>36</v>
      </c>
      <c r="G194" s="28">
        <v>1</v>
      </c>
      <c r="H194" s="28" t="s">
        <v>6</v>
      </c>
      <c r="I194" s="54">
        <v>13570</v>
      </c>
      <c r="J194" s="54">
        <f t="shared" si="13"/>
        <v>13570</v>
      </c>
      <c r="K194" s="89">
        <v>93</v>
      </c>
    </row>
    <row r="195" spans="1:11" s="55" customFormat="1">
      <c r="A195" s="13">
        <v>191</v>
      </c>
      <c r="B195" s="28" t="s">
        <v>526</v>
      </c>
      <c r="C195" s="8" t="s">
        <v>527</v>
      </c>
      <c r="D195" s="8" t="s">
        <v>89</v>
      </c>
      <c r="E195" s="8"/>
      <c r="F195" s="28" t="s">
        <v>36</v>
      </c>
      <c r="G195" s="28">
        <v>1</v>
      </c>
      <c r="H195" s="28" t="s">
        <v>6</v>
      </c>
      <c r="I195" s="54">
        <v>12980</v>
      </c>
      <c r="J195" s="54">
        <f t="shared" ref="J195" si="14">G195*I195</f>
        <v>12980</v>
      </c>
      <c r="K195" s="89">
        <v>93</v>
      </c>
    </row>
    <row r="196" spans="1:11" s="55" customFormat="1">
      <c r="A196" s="13">
        <v>192</v>
      </c>
      <c r="B196" s="28" t="s">
        <v>528</v>
      </c>
      <c r="C196" s="8" t="s">
        <v>529</v>
      </c>
      <c r="D196" s="8" t="s">
        <v>1698</v>
      </c>
      <c r="E196" s="8"/>
      <c r="F196" s="28" t="s">
        <v>36</v>
      </c>
      <c r="G196" s="28">
        <v>10</v>
      </c>
      <c r="H196" s="28" t="s">
        <v>63</v>
      </c>
      <c r="I196" s="54">
        <v>295</v>
      </c>
      <c r="J196" s="54">
        <f t="shared" ref="J196:J241" si="15">G196*I196</f>
        <v>2950</v>
      </c>
      <c r="K196" s="89">
        <v>93</v>
      </c>
    </row>
    <row r="197" spans="1:11" s="55" customFormat="1">
      <c r="A197" s="13">
        <v>193</v>
      </c>
      <c r="B197" s="28" t="s">
        <v>530</v>
      </c>
      <c r="C197" s="8" t="s">
        <v>531</v>
      </c>
      <c r="D197" s="8" t="s">
        <v>1699</v>
      </c>
      <c r="E197" s="8"/>
      <c r="F197" s="28" t="s">
        <v>36</v>
      </c>
      <c r="G197" s="28">
        <v>50</v>
      </c>
      <c r="H197" s="28" t="s">
        <v>63</v>
      </c>
      <c r="I197" s="54">
        <v>106.2</v>
      </c>
      <c r="J197" s="54">
        <f t="shared" si="15"/>
        <v>5310</v>
      </c>
      <c r="K197" s="89">
        <v>16</v>
      </c>
    </row>
    <row r="198" spans="1:11" s="55" customFormat="1">
      <c r="A198" s="13">
        <v>194</v>
      </c>
      <c r="B198" s="28" t="s">
        <v>537</v>
      </c>
      <c r="C198" s="8" t="s">
        <v>241</v>
      </c>
      <c r="D198" s="8" t="s">
        <v>538</v>
      </c>
      <c r="E198" s="8" t="s">
        <v>2063</v>
      </c>
      <c r="F198" s="28" t="s">
        <v>36</v>
      </c>
      <c r="G198" s="28">
        <f>12-4+4</f>
        <v>12</v>
      </c>
      <c r="H198" s="28" t="s">
        <v>6</v>
      </c>
      <c r="I198" s="54">
        <v>367.25</v>
      </c>
      <c r="J198" s="54">
        <f t="shared" si="15"/>
        <v>4407</v>
      </c>
      <c r="K198" s="89">
        <v>5</v>
      </c>
    </row>
    <row r="199" spans="1:11" s="55" customFormat="1">
      <c r="A199" s="13">
        <v>195</v>
      </c>
      <c r="B199" s="28" t="s">
        <v>542</v>
      </c>
      <c r="C199" s="8" t="s">
        <v>543</v>
      </c>
      <c r="D199" s="8" t="s">
        <v>57</v>
      </c>
      <c r="E199" s="8"/>
      <c r="F199" s="28" t="s">
        <v>36</v>
      </c>
      <c r="G199" s="28">
        <v>11</v>
      </c>
      <c r="H199" s="28" t="s">
        <v>6</v>
      </c>
      <c r="I199" s="54">
        <v>2065</v>
      </c>
      <c r="J199" s="54">
        <f t="shared" si="15"/>
        <v>22715</v>
      </c>
      <c r="K199" s="89">
        <v>4</v>
      </c>
    </row>
    <row r="200" spans="1:11" s="55" customFormat="1">
      <c r="A200" s="13">
        <v>196</v>
      </c>
      <c r="B200" s="28" t="s">
        <v>546</v>
      </c>
      <c r="C200" s="8" t="s">
        <v>1729</v>
      </c>
      <c r="D200" s="8" t="s">
        <v>57</v>
      </c>
      <c r="E200" s="8"/>
      <c r="F200" s="28" t="s">
        <v>36</v>
      </c>
      <c r="G200" s="28">
        <f>10-6</f>
        <v>4</v>
      </c>
      <c r="H200" s="28" t="s">
        <v>6</v>
      </c>
      <c r="I200" s="54">
        <v>354</v>
      </c>
      <c r="J200" s="54">
        <f t="shared" si="15"/>
        <v>1416</v>
      </c>
      <c r="K200" s="89">
        <v>1</v>
      </c>
    </row>
    <row r="201" spans="1:11" s="55" customFormat="1" ht="45">
      <c r="A201" s="13">
        <v>197</v>
      </c>
      <c r="B201" s="63" t="s">
        <v>547</v>
      </c>
      <c r="C201" s="64" t="s">
        <v>548</v>
      </c>
      <c r="D201" s="64" t="s">
        <v>549</v>
      </c>
      <c r="E201" s="64"/>
      <c r="F201" s="63" t="s">
        <v>36</v>
      </c>
      <c r="G201" s="63">
        <v>4</v>
      </c>
      <c r="H201" s="63" t="s">
        <v>6</v>
      </c>
      <c r="I201" s="75">
        <v>2828</v>
      </c>
      <c r="J201" s="75">
        <f t="shared" si="15"/>
        <v>11312</v>
      </c>
      <c r="K201" s="89">
        <v>21</v>
      </c>
    </row>
    <row r="202" spans="1:11" s="55" customFormat="1">
      <c r="A202" s="13">
        <v>198</v>
      </c>
      <c r="B202" s="28" t="s">
        <v>550</v>
      </c>
      <c r="C202" s="8" t="s">
        <v>241</v>
      </c>
      <c r="D202" s="8" t="s">
        <v>551</v>
      </c>
      <c r="E202" s="8"/>
      <c r="F202" s="28" t="s">
        <v>36</v>
      </c>
      <c r="G202" s="28">
        <v>1</v>
      </c>
      <c r="H202" s="28" t="s">
        <v>6</v>
      </c>
      <c r="I202" s="54">
        <v>974.62</v>
      </c>
      <c r="J202" s="54">
        <f t="shared" si="15"/>
        <v>974.62</v>
      </c>
      <c r="K202" s="89">
        <v>5</v>
      </c>
    </row>
    <row r="203" spans="1:11" s="55" customFormat="1">
      <c r="A203" s="13">
        <v>199</v>
      </c>
      <c r="B203" s="28" t="s">
        <v>552</v>
      </c>
      <c r="C203" s="8" t="s">
        <v>241</v>
      </c>
      <c r="D203" s="8" t="s">
        <v>553</v>
      </c>
      <c r="E203" s="8"/>
      <c r="F203" s="28" t="s">
        <v>36</v>
      </c>
      <c r="G203" s="28">
        <v>1</v>
      </c>
      <c r="H203" s="28" t="s">
        <v>6</v>
      </c>
      <c r="I203" s="54">
        <v>899.16</v>
      </c>
      <c r="J203" s="54">
        <f t="shared" si="15"/>
        <v>899.16</v>
      </c>
      <c r="K203" s="89">
        <v>5</v>
      </c>
    </row>
    <row r="204" spans="1:11" s="55" customFormat="1">
      <c r="A204" s="13">
        <v>200</v>
      </c>
      <c r="B204" s="28" t="s">
        <v>578</v>
      </c>
      <c r="C204" s="8" t="s">
        <v>391</v>
      </c>
      <c r="D204" s="8" t="s">
        <v>579</v>
      </c>
      <c r="E204" s="8" t="s">
        <v>413</v>
      </c>
      <c r="F204" s="28" t="s">
        <v>36</v>
      </c>
      <c r="G204" s="28">
        <v>15</v>
      </c>
      <c r="H204" s="28" t="s">
        <v>11</v>
      </c>
      <c r="I204" s="54">
        <v>1699.2</v>
      </c>
      <c r="J204" s="54">
        <f t="shared" si="15"/>
        <v>25488</v>
      </c>
      <c r="K204" s="23" t="s">
        <v>2114</v>
      </c>
    </row>
    <row r="205" spans="1:11" s="55" customFormat="1">
      <c r="A205" s="13">
        <v>201</v>
      </c>
      <c r="B205" s="28" t="s">
        <v>580</v>
      </c>
      <c r="C205" s="8" t="s">
        <v>391</v>
      </c>
      <c r="D205" s="8" t="s">
        <v>581</v>
      </c>
      <c r="E205" s="8" t="s">
        <v>413</v>
      </c>
      <c r="F205" s="28" t="s">
        <v>36</v>
      </c>
      <c r="G205" s="28">
        <v>15</v>
      </c>
      <c r="H205" s="28" t="s">
        <v>11</v>
      </c>
      <c r="I205" s="54">
        <v>1486.8</v>
      </c>
      <c r="J205" s="54">
        <f t="shared" si="15"/>
        <v>22302</v>
      </c>
      <c r="K205" s="23" t="s">
        <v>2113</v>
      </c>
    </row>
    <row r="206" spans="1:11" s="55" customFormat="1">
      <c r="A206" s="13">
        <v>202</v>
      </c>
      <c r="B206" s="28" t="s">
        <v>604</v>
      </c>
      <c r="C206" s="8" t="s">
        <v>600</v>
      </c>
      <c r="D206" s="8" t="s">
        <v>605</v>
      </c>
      <c r="E206" s="8" t="s">
        <v>2071</v>
      </c>
      <c r="F206" s="28" t="s">
        <v>36</v>
      </c>
      <c r="G206" s="28">
        <f>2+4</f>
        <v>6</v>
      </c>
      <c r="H206" s="29" t="s">
        <v>6</v>
      </c>
      <c r="I206" s="54">
        <v>355.18</v>
      </c>
      <c r="J206" s="54">
        <f t="shared" si="15"/>
        <v>2131.08</v>
      </c>
      <c r="K206" s="89">
        <v>3</v>
      </c>
    </row>
    <row r="207" spans="1:11" s="55" customFormat="1" ht="30">
      <c r="A207" s="13">
        <v>203</v>
      </c>
      <c r="B207" s="28" t="s">
        <v>606</v>
      </c>
      <c r="C207" s="8" t="s">
        <v>607</v>
      </c>
      <c r="D207" s="8" t="s">
        <v>608</v>
      </c>
      <c r="E207" s="8"/>
      <c r="F207" s="28" t="s">
        <v>36</v>
      </c>
      <c r="G207" s="28">
        <v>90</v>
      </c>
      <c r="H207" s="29" t="s">
        <v>63</v>
      </c>
      <c r="I207" s="54">
        <v>280.25</v>
      </c>
      <c r="J207" s="54">
        <f t="shared" si="15"/>
        <v>25222.5</v>
      </c>
      <c r="K207" s="121" t="s">
        <v>2112</v>
      </c>
    </row>
    <row r="208" spans="1:11" s="55" customFormat="1">
      <c r="A208" s="13">
        <v>204</v>
      </c>
      <c r="B208" s="28" t="s">
        <v>1750</v>
      </c>
      <c r="C208" s="8" t="s">
        <v>1751</v>
      </c>
      <c r="D208" s="8"/>
      <c r="E208" s="8"/>
      <c r="F208" s="28" t="s">
        <v>36</v>
      </c>
      <c r="G208" s="28">
        <f>7+50-7.7-0.5-0.5-5-0.5</f>
        <v>42.8</v>
      </c>
      <c r="H208" s="29" t="s">
        <v>1</v>
      </c>
      <c r="I208" s="54">
        <v>50</v>
      </c>
      <c r="J208" s="54">
        <f t="shared" si="15"/>
        <v>2140</v>
      </c>
      <c r="K208" s="89">
        <v>94</v>
      </c>
    </row>
    <row r="209" spans="1:11" s="55" customFormat="1" ht="30">
      <c r="A209" s="13">
        <v>205</v>
      </c>
      <c r="B209" s="28" t="s">
        <v>1752</v>
      </c>
      <c r="C209" s="8" t="s">
        <v>1754</v>
      </c>
      <c r="D209" s="8"/>
      <c r="E209" s="8"/>
      <c r="F209" s="28" t="s">
        <v>36</v>
      </c>
      <c r="G209" s="28">
        <f>2+10-10</f>
        <v>2</v>
      </c>
      <c r="H209" s="29" t="s">
        <v>6</v>
      </c>
      <c r="I209" s="54">
        <v>2124</v>
      </c>
      <c r="J209" s="54">
        <f t="shared" si="15"/>
        <v>4248</v>
      </c>
      <c r="K209" s="89">
        <v>4</v>
      </c>
    </row>
    <row r="210" spans="1:11" s="55" customFormat="1" ht="60">
      <c r="A210" s="13">
        <v>206</v>
      </c>
      <c r="B210" s="63" t="s">
        <v>1753</v>
      </c>
      <c r="C210" s="64" t="s">
        <v>1943</v>
      </c>
      <c r="D210" s="64" t="s">
        <v>1944</v>
      </c>
      <c r="E210" s="64"/>
      <c r="F210" s="63" t="s">
        <v>36</v>
      </c>
      <c r="G210" s="63">
        <f>2-1</f>
        <v>1</v>
      </c>
      <c r="H210" s="66" t="s">
        <v>6</v>
      </c>
      <c r="I210" s="75">
        <v>1770</v>
      </c>
      <c r="J210" s="75">
        <f t="shared" si="15"/>
        <v>1770</v>
      </c>
      <c r="K210" s="89">
        <v>3</v>
      </c>
    </row>
    <row r="211" spans="1:11" s="55" customFormat="1">
      <c r="A211" s="13">
        <v>207</v>
      </c>
      <c r="B211" s="28" t="s">
        <v>1755</v>
      </c>
      <c r="C211" s="8" t="s">
        <v>1756</v>
      </c>
      <c r="D211" s="8" t="s">
        <v>42</v>
      </c>
      <c r="E211" s="8"/>
      <c r="F211" s="28" t="s">
        <v>36</v>
      </c>
      <c r="G211" s="28">
        <f>4-1</f>
        <v>3</v>
      </c>
      <c r="H211" s="29" t="s">
        <v>6</v>
      </c>
      <c r="I211" s="54">
        <v>800</v>
      </c>
      <c r="J211" s="54">
        <f t="shared" si="15"/>
        <v>2400</v>
      </c>
      <c r="K211" s="89">
        <v>11</v>
      </c>
    </row>
    <row r="212" spans="1:11" s="55" customFormat="1">
      <c r="A212" s="13">
        <v>208</v>
      </c>
      <c r="B212" s="28" t="s">
        <v>1757</v>
      </c>
      <c r="C212" s="8" t="s">
        <v>1759</v>
      </c>
      <c r="D212" s="8" t="s">
        <v>1760</v>
      </c>
      <c r="E212" s="8"/>
      <c r="F212" s="28" t="s">
        <v>36</v>
      </c>
      <c r="G212" s="28">
        <f>140-50</f>
        <v>90</v>
      </c>
      <c r="H212" s="29" t="s">
        <v>1761</v>
      </c>
      <c r="I212" s="54">
        <v>103.84</v>
      </c>
      <c r="J212" s="54">
        <f t="shared" si="15"/>
        <v>9345.6</v>
      </c>
      <c r="K212" s="89">
        <v>93</v>
      </c>
    </row>
    <row r="213" spans="1:11" s="55" customFormat="1">
      <c r="A213" s="13">
        <v>209</v>
      </c>
      <c r="B213" s="28" t="s">
        <v>1758</v>
      </c>
      <c r="C213" s="8" t="s">
        <v>1759</v>
      </c>
      <c r="D213" s="79">
        <v>613</v>
      </c>
      <c r="E213" s="79"/>
      <c r="F213" s="28" t="s">
        <v>36</v>
      </c>
      <c r="G213" s="28">
        <f>140-50</f>
        <v>90</v>
      </c>
      <c r="H213" s="29" t="s">
        <v>1761</v>
      </c>
      <c r="I213" s="54">
        <v>114.46</v>
      </c>
      <c r="J213" s="54">
        <f t="shared" si="15"/>
        <v>10301.4</v>
      </c>
      <c r="K213" s="89">
        <v>93</v>
      </c>
    </row>
    <row r="214" spans="1:11" s="55" customFormat="1">
      <c r="A214" s="13">
        <v>210</v>
      </c>
      <c r="B214" s="28" t="s">
        <v>1819</v>
      </c>
      <c r="C214" s="8" t="s">
        <v>1820</v>
      </c>
      <c r="D214" s="79" t="s">
        <v>215</v>
      </c>
      <c r="E214" s="79"/>
      <c r="F214" s="28" t="s">
        <v>36</v>
      </c>
      <c r="G214" s="28">
        <f>10-3-1</f>
        <v>6</v>
      </c>
      <c r="H214" s="29" t="s">
        <v>6</v>
      </c>
      <c r="I214" s="54">
        <v>13</v>
      </c>
      <c r="J214" s="54">
        <f t="shared" si="15"/>
        <v>78</v>
      </c>
      <c r="K214" s="89">
        <v>35</v>
      </c>
    </row>
    <row r="215" spans="1:11" s="55" customFormat="1">
      <c r="A215" s="13">
        <v>211</v>
      </c>
      <c r="B215" s="28" t="s">
        <v>321</v>
      </c>
      <c r="C215" s="8" t="s">
        <v>561</v>
      </c>
      <c r="D215" s="79" t="s">
        <v>149</v>
      </c>
      <c r="E215" s="79"/>
      <c r="F215" s="28" t="s">
        <v>36</v>
      </c>
      <c r="G215" s="28">
        <v>20</v>
      </c>
      <c r="H215" s="29" t="s">
        <v>6</v>
      </c>
      <c r="I215" s="54">
        <v>35.4</v>
      </c>
      <c r="J215" s="54">
        <f t="shared" si="15"/>
        <v>708</v>
      </c>
      <c r="K215" s="89">
        <v>12</v>
      </c>
    </row>
    <row r="216" spans="1:11" s="55" customFormat="1">
      <c r="A216" s="13">
        <v>212</v>
      </c>
      <c r="B216" s="28" t="s">
        <v>1821</v>
      </c>
      <c r="C216" s="8" t="s">
        <v>101</v>
      </c>
      <c r="D216" s="79" t="s">
        <v>1822</v>
      </c>
      <c r="E216" s="79" t="s">
        <v>2065</v>
      </c>
      <c r="F216" s="28" t="s">
        <v>36</v>
      </c>
      <c r="G216" s="28">
        <v>2</v>
      </c>
      <c r="H216" s="29" t="s">
        <v>6</v>
      </c>
      <c r="I216" s="54">
        <v>7077.05</v>
      </c>
      <c r="J216" s="54">
        <f t="shared" si="15"/>
        <v>14154.1</v>
      </c>
      <c r="K216" s="89">
        <v>3</v>
      </c>
    </row>
    <row r="217" spans="1:11" s="55" customFormat="1">
      <c r="A217" s="13">
        <v>213</v>
      </c>
      <c r="B217" s="28" t="s">
        <v>1832</v>
      </c>
      <c r="C217" s="8" t="s">
        <v>1833</v>
      </c>
      <c r="D217" s="79" t="s">
        <v>1834</v>
      </c>
      <c r="E217" s="79"/>
      <c r="F217" s="28" t="s">
        <v>36</v>
      </c>
      <c r="G217" s="28">
        <v>6</v>
      </c>
      <c r="H217" s="29" t="s">
        <v>6</v>
      </c>
      <c r="I217" s="54">
        <v>1347.17</v>
      </c>
      <c r="J217" s="54">
        <f t="shared" si="15"/>
        <v>8083.02</v>
      </c>
      <c r="K217" s="89">
        <v>2</v>
      </c>
    </row>
    <row r="218" spans="1:11" s="55" customFormat="1">
      <c r="A218" s="13">
        <v>214</v>
      </c>
      <c r="B218" s="28" t="s">
        <v>1835</v>
      </c>
      <c r="C218" s="8" t="s">
        <v>1759</v>
      </c>
      <c r="D218" s="79">
        <v>35</v>
      </c>
      <c r="E218" s="79"/>
      <c r="F218" s="28" t="s">
        <v>36</v>
      </c>
      <c r="G218" s="28">
        <v>35</v>
      </c>
      <c r="H218" s="29" t="s">
        <v>1761</v>
      </c>
      <c r="I218" s="54">
        <v>223.02</v>
      </c>
      <c r="J218" s="54">
        <f t="shared" si="15"/>
        <v>7805.7000000000007</v>
      </c>
      <c r="K218" s="89">
        <v>93</v>
      </c>
    </row>
    <row r="219" spans="1:11" s="55" customFormat="1">
      <c r="A219" s="13">
        <v>215</v>
      </c>
      <c r="B219" s="28" t="s">
        <v>1836</v>
      </c>
      <c r="C219" s="8" t="s">
        <v>1759</v>
      </c>
      <c r="D219" s="79">
        <v>406</v>
      </c>
      <c r="E219" s="79"/>
      <c r="F219" s="28" t="s">
        <v>36</v>
      </c>
      <c r="G219" s="28">
        <v>35</v>
      </c>
      <c r="H219" s="29" t="s">
        <v>1761</v>
      </c>
      <c r="I219" s="54">
        <v>126.26</v>
      </c>
      <c r="J219" s="54">
        <f t="shared" si="15"/>
        <v>4419.1000000000004</v>
      </c>
      <c r="K219" s="89">
        <v>93</v>
      </c>
    </row>
    <row r="220" spans="1:11" s="55" customFormat="1">
      <c r="A220" s="13">
        <v>216</v>
      </c>
      <c r="B220" s="28" t="s">
        <v>1837</v>
      </c>
      <c r="C220" s="8" t="s">
        <v>1820</v>
      </c>
      <c r="D220" s="79" t="s">
        <v>1838</v>
      </c>
      <c r="E220" s="79"/>
      <c r="F220" s="28" t="s">
        <v>36</v>
      </c>
      <c r="G220" s="28">
        <f>4-1</f>
        <v>3</v>
      </c>
      <c r="H220" s="29" t="s">
        <v>6</v>
      </c>
      <c r="I220" s="54">
        <v>25</v>
      </c>
      <c r="J220" s="54">
        <f t="shared" si="15"/>
        <v>75</v>
      </c>
      <c r="K220" s="89">
        <v>35</v>
      </c>
    </row>
    <row r="221" spans="1:11" s="55" customFormat="1" ht="30">
      <c r="A221" s="13">
        <v>217</v>
      </c>
      <c r="B221" s="28" t="s">
        <v>1839</v>
      </c>
      <c r="C221" s="8" t="s">
        <v>1840</v>
      </c>
      <c r="D221" s="79" t="s">
        <v>1841</v>
      </c>
      <c r="E221" s="79"/>
      <c r="F221" s="28" t="s">
        <v>36</v>
      </c>
      <c r="G221" s="28">
        <f>1-1</f>
        <v>0</v>
      </c>
      <c r="H221" s="29" t="s">
        <v>6</v>
      </c>
      <c r="I221" s="54">
        <v>190620</v>
      </c>
      <c r="J221" s="54">
        <f t="shared" si="15"/>
        <v>0</v>
      </c>
      <c r="K221" s="121" t="s">
        <v>2116</v>
      </c>
    </row>
    <row r="222" spans="1:11" s="55" customFormat="1" ht="30">
      <c r="A222" s="13">
        <v>218</v>
      </c>
      <c r="B222" s="28" t="s">
        <v>1888</v>
      </c>
      <c r="C222" s="8" t="s">
        <v>1936</v>
      </c>
      <c r="D222" s="79" t="s">
        <v>1935</v>
      </c>
      <c r="E222" s="79"/>
      <c r="F222" s="28" t="s">
        <v>36</v>
      </c>
      <c r="G222" s="28">
        <f>1-1</f>
        <v>0</v>
      </c>
      <c r="H222" s="29" t="s">
        <v>6</v>
      </c>
      <c r="I222" s="54">
        <v>190</v>
      </c>
      <c r="J222" s="54">
        <f t="shared" si="15"/>
        <v>0</v>
      </c>
      <c r="K222" s="89">
        <v>44</v>
      </c>
    </row>
    <row r="223" spans="1:11" s="55" customFormat="1" ht="30">
      <c r="A223" s="13">
        <v>219</v>
      </c>
      <c r="B223" s="28" t="s">
        <v>1889</v>
      </c>
      <c r="C223" s="8" t="s">
        <v>1938</v>
      </c>
      <c r="D223" s="79" t="s">
        <v>1937</v>
      </c>
      <c r="E223" s="79"/>
      <c r="F223" s="28" t="s">
        <v>36</v>
      </c>
      <c r="G223" s="28">
        <f>1-1</f>
        <v>0</v>
      </c>
      <c r="H223" s="29" t="s">
        <v>6</v>
      </c>
      <c r="I223" s="54">
        <v>192.4</v>
      </c>
      <c r="J223" s="54">
        <f t="shared" si="15"/>
        <v>0</v>
      </c>
      <c r="K223" s="89">
        <v>44</v>
      </c>
    </row>
    <row r="224" spans="1:11" s="55" customFormat="1" ht="30">
      <c r="A224" s="13">
        <v>220</v>
      </c>
      <c r="B224" s="28" t="s">
        <v>1966</v>
      </c>
      <c r="C224" s="8" t="s">
        <v>1940</v>
      </c>
      <c r="D224" s="79" t="s">
        <v>1939</v>
      </c>
      <c r="E224" s="79"/>
      <c r="F224" s="28" t="s">
        <v>36</v>
      </c>
      <c r="G224" s="28">
        <f>1-1</f>
        <v>0</v>
      </c>
      <c r="H224" s="29" t="s">
        <v>6</v>
      </c>
      <c r="I224" s="54">
        <v>523</v>
      </c>
      <c r="J224" s="54">
        <f t="shared" si="15"/>
        <v>0</v>
      </c>
      <c r="K224" s="89">
        <v>44</v>
      </c>
    </row>
    <row r="225" spans="1:11" s="55" customFormat="1" ht="32.25">
      <c r="A225" s="13">
        <v>221</v>
      </c>
      <c r="B225" s="28" t="s">
        <v>1923</v>
      </c>
      <c r="C225" s="8" t="s">
        <v>1924</v>
      </c>
      <c r="D225" s="79" t="s">
        <v>1925</v>
      </c>
      <c r="E225" s="79"/>
      <c r="F225" s="28" t="s">
        <v>36</v>
      </c>
      <c r="G225" s="62">
        <v>1</v>
      </c>
      <c r="H225" s="29" t="s">
        <v>1549</v>
      </c>
      <c r="I225" s="54">
        <v>21240</v>
      </c>
      <c r="J225" s="54">
        <f t="shared" si="15"/>
        <v>21240</v>
      </c>
      <c r="K225" s="89" t="s">
        <v>2117</v>
      </c>
    </row>
    <row r="226" spans="1:11" s="55" customFormat="1">
      <c r="A226" s="13">
        <v>222</v>
      </c>
      <c r="B226" s="28" t="s">
        <v>1926</v>
      </c>
      <c r="C226" s="8" t="s">
        <v>2007</v>
      </c>
      <c r="D226" s="79" t="s">
        <v>2010</v>
      </c>
      <c r="E226" s="79"/>
      <c r="F226" s="28" t="s">
        <v>36</v>
      </c>
      <c r="G226" s="65">
        <f>7-2+10</f>
        <v>15</v>
      </c>
      <c r="H226" s="29" t="s">
        <v>6</v>
      </c>
      <c r="I226" s="54">
        <v>135.69999999999999</v>
      </c>
      <c r="J226" s="54">
        <f t="shared" si="15"/>
        <v>2035.4999999999998</v>
      </c>
      <c r="K226" s="89">
        <v>2</v>
      </c>
    </row>
    <row r="227" spans="1:11" s="55" customFormat="1">
      <c r="A227" s="13">
        <v>223</v>
      </c>
      <c r="B227" s="28" t="s">
        <v>1964</v>
      </c>
      <c r="C227" s="8" t="s">
        <v>1973</v>
      </c>
      <c r="D227" s="96" t="s">
        <v>2011</v>
      </c>
      <c r="E227" s="96"/>
      <c r="F227" s="28" t="s">
        <v>36</v>
      </c>
      <c r="G227" s="65">
        <f>7-2+18</f>
        <v>23</v>
      </c>
      <c r="H227" s="29" t="s">
        <v>6</v>
      </c>
      <c r="I227" s="54">
        <v>15.34</v>
      </c>
      <c r="J227" s="54">
        <f t="shared" si="15"/>
        <v>352.82</v>
      </c>
      <c r="K227" s="89">
        <v>2</v>
      </c>
    </row>
    <row r="228" spans="1:11" s="55" customFormat="1">
      <c r="A228" s="13">
        <v>224</v>
      </c>
      <c r="B228" s="28" t="s">
        <v>1965</v>
      </c>
      <c r="C228" s="8" t="s">
        <v>1973</v>
      </c>
      <c r="D228" s="79" t="s">
        <v>1361</v>
      </c>
      <c r="E228" s="79"/>
      <c r="F228" s="28" t="s">
        <v>36</v>
      </c>
      <c r="G228" s="65">
        <f>7-2+18</f>
        <v>23</v>
      </c>
      <c r="H228" s="29" t="s">
        <v>6</v>
      </c>
      <c r="I228" s="54">
        <v>21.24</v>
      </c>
      <c r="J228" s="54">
        <f t="shared" si="15"/>
        <v>488.52</v>
      </c>
      <c r="K228" s="89">
        <v>2</v>
      </c>
    </row>
    <row r="229" spans="1:11" s="55" customFormat="1" ht="30">
      <c r="A229" s="13">
        <v>225</v>
      </c>
      <c r="B229" s="28" t="s">
        <v>1962</v>
      </c>
      <c r="C229" s="8" t="s">
        <v>1927</v>
      </c>
      <c r="D229" s="79" t="s">
        <v>1928</v>
      </c>
      <c r="E229" s="79"/>
      <c r="F229" s="28" t="s">
        <v>36</v>
      </c>
      <c r="G229" s="65">
        <v>1</v>
      </c>
      <c r="H229" s="29" t="s">
        <v>6</v>
      </c>
      <c r="I229" s="54">
        <v>29028</v>
      </c>
      <c r="J229" s="54">
        <f t="shared" si="15"/>
        <v>29028</v>
      </c>
      <c r="K229" s="89">
        <v>93</v>
      </c>
    </row>
    <row r="230" spans="1:11" s="55" customFormat="1">
      <c r="A230" s="13">
        <v>226</v>
      </c>
      <c r="B230" s="28" t="s">
        <v>1963</v>
      </c>
      <c r="C230" s="8" t="s">
        <v>1954</v>
      </c>
      <c r="D230" s="79" t="s">
        <v>1955</v>
      </c>
      <c r="E230" s="79"/>
      <c r="F230" s="28" t="s">
        <v>36</v>
      </c>
      <c r="G230" s="65">
        <v>1</v>
      </c>
      <c r="H230" s="29" t="s">
        <v>6</v>
      </c>
      <c r="I230" s="54">
        <v>85491</v>
      </c>
      <c r="J230" s="54">
        <f t="shared" si="15"/>
        <v>85491</v>
      </c>
      <c r="K230" s="89" t="s">
        <v>2117</v>
      </c>
    </row>
    <row r="231" spans="1:11" s="55" customFormat="1">
      <c r="A231" s="13">
        <v>227</v>
      </c>
      <c r="B231" s="28" t="s">
        <v>1988</v>
      </c>
      <c r="C231" s="8" t="s">
        <v>1989</v>
      </c>
      <c r="D231" s="79" t="s">
        <v>91</v>
      </c>
      <c r="E231" s="79"/>
      <c r="F231" s="28" t="s">
        <v>36</v>
      </c>
      <c r="G231" s="65">
        <v>1</v>
      </c>
      <c r="H231" s="29" t="s">
        <v>6</v>
      </c>
      <c r="I231" s="54">
        <v>342.2</v>
      </c>
      <c r="J231" s="54">
        <f t="shared" si="15"/>
        <v>342.2</v>
      </c>
      <c r="K231" s="89">
        <v>1</v>
      </c>
    </row>
    <row r="232" spans="1:11" s="55" customFormat="1" ht="60">
      <c r="A232" s="13">
        <v>228</v>
      </c>
      <c r="B232" s="98" t="s">
        <v>2001</v>
      </c>
      <c r="C232" s="99" t="s">
        <v>1943</v>
      </c>
      <c r="D232" s="100" t="s">
        <v>2002</v>
      </c>
      <c r="E232" s="100"/>
      <c r="F232" s="98" t="s">
        <v>36</v>
      </c>
      <c r="G232" s="101">
        <v>2</v>
      </c>
      <c r="H232" s="102" t="s">
        <v>6</v>
      </c>
      <c r="I232" s="103">
        <v>1888</v>
      </c>
      <c r="J232" s="103">
        <f t="shared" si="15"/>
        <v>3776</v>
      </c>
      <c r="K232" s="89">
        <v>3</v>
      </c>
    </row>
    <row r="233" spans="1:11" s="55" customFormat="1">
      <c r="A233" s="13">
        <v>229</v>
      </c>
      <c r="B233" s="98" t="s">
        <v>2003</v>
      </c>
      <c r="C233" s="99" t="s">
        <v>75</v>
      </c>
      <c r="D233" s="100" t="s">
        <v>2004</v>
      </c>
      <c r="E233" s="100"/>
      <c r="F233" s="98" t="s">
        <v>36</v>
      </c>
      <c r="G233" s="101">
        <f>10-5</f>
        <v>5</v>
      </c>
      <c r="H233" s="102" t="s">
        <v>1</v>
      </c>
      <c r="I233" s="103">
        <v>770</v>
      </c>
      <c r="J233" s="103">
        <f t="shared" si="15"/>
        <v>3850</v>
      </c>
      <c r="K233" s="89">
        <v>4</v>
      </c>
    </row>
    <row r="234" spans="1:11" s="55" customFormat="1">
      <c r="A234" s="13">
        <v>230</v>
      </c>
      <c r="B234" s="98" t="s">
        <v>2041</v>
      </c>
      <c r="C234" s="8" t="s">
        <v>2007</v>
      </c>
      <c r="D234" s="100" t="s">
        <v>2009</v>
      </c>
      <c r="E234" s="100"/>
      <c r="F234" s="98" t="s">
        <v>36</v>
      </c>
      <c r="G234" s="101">
        <v>4</v>
      </c>
      <c r="H234" s="102" t="s">
        <v>6</v>
      </c>
      <c r="I234" s="103">
        <v>123.9</v>
      </c>
      <c r="J234" s="103">
        <f t="shared" si="15"/>
        <v>495.6</v>
      </c>
      <c r="K234" s="89">
        <v>2</v>
      </c>
    </row>
    <row r="235" spans="1:11" s="55" customFormat="1">
      <c r="A235" s="13">
        <v>231</v>
      </c>
      <c r="B235" s="98" t="s">
        <v>2042</v>
      </c>
      <c r="C235" s="8" t="s">
        <v>2007</v>
      </c>
      <c r="D235" s="100" t="s">
        <v>2012</v>
      </c>
      <c r="E235" s="100"/>
      <c r="F235" s="98" t="s">
        <v>36</v>
      </c>
      <c r="G235" s="101">
        <v>4</v>
      </c>
      <c r="H235" s="102" t="s">
        <v>6</v>
      </c>
      <c r="I235" s="103">
        <v>165.2</v>
      </c>
      <c r="J235" s="103">
        <f t="shared" si="15"/>
        <v>660.8</v>
      </c>
      <c r="K235" s="89">
        <v>2</v>
      </c>
    </row>
    <row r="236" spans="1:11" s="55" customFormat="1">
      <c r="A236" s="13">
        <v>232</v>
      </c>
      <c r="B236" s="98" t="s">
        <v>2043</v>
      </c>
      <c r="C236" s="8" t="s">
        <v>101</v>
      </c>
      <c r="D236" s="100">
        <v>32207</v>
      </c>
      <c r="E236" s="100"/>
      <c r="F236" s="98" t="s">
        <v>36</v>
      </c>
      <c r="G236" s="101">
        <f>2-1</f>
        <v>1</v>
      </c>
      <c r="H236" s="102" t="s">
        <v>6</v>
      </c>
      <c r="I236" s="103">
        <v>668.35</v>
      </c>
      <c r="J236" s="103">
        <f t="shared" si="15"/>
        <v>668.35</v>
      </c>
      <c r="K236" s="89">
        <v>3</v>
      </c>
    </row>
    <row r="237" spans="1:11" s="55" customFormat="1">
      <c r="A237" s="13">
        <v>233</v>
      </c>
      <c r="B237" s="98" t="s">
        <v>2044</v>
      </c>
      <c r="C237" s="8" t="s">
        <v>2026</v>
      </c>
      <c r="D237" s="100" t="s">
        <v>2027</v>
      </c>
      <c r="E237" s="100"/>
      <c r="F237" s="98" t="s">
        <v>36</v>
      </c>
      <c r="G237" s="101">
        <f>10-4</f>
        <v>6</v>
      </c>
      <c r="H237" s="102" t="s">
        <v>6</v>
      </c>
      <c r="I237" s="103">
        <v>51.33</v>
      </c>
      <c r="J237" s="103">
        <f t="shared" si="15"/>
        <v>307.98</v>
      </c>
      <c r="K237" s="89">
        <v>33</v>
      </c>
    </row>
    <row r="238" spans="1:11" s="55" customFormat="1">
      <c r="A238" s="13">
        <v>234</v>
      </c>
      <c r="B238" s="98" t="s">
        <v>2045</v>
      </c>
      <c r="C238" s="8" t="s">
        <v>478</v>
      </c>
      <c r="D238" s="100" t="s">
        <v>2028</v>
      </c>
      <c r="E238" s="100"/>
      <c r="F238" s="98" t="s">
        <v>36</v>
      </c>
      <c r="G238" s="101">
        <v>10</v>
      </c>
      <c r="H238" s="102" t="s">
        <v>6</v>
      </c>
      <c r="I238" s="103">
        <v>5.9</v>
      </c>
      <c r="J238" s="103">
        <f t="shared" si="15"/>
        <v>59</v>
      </c>
      <c r="K238" s="89">
        <v>33</v>
      </c>
    </row>
    <row r="239" spans="1:11" s="55" customFormat="1">
      <c r="A239" s="13">
        <v>235</v>
      </c>
      <c r="B239" s="98" t="s">
        <v>2046</v>
      </c>
      <c r="C239" s="8" t="s">
        <v>478</v>
      </c>
      <c r="D239" s="100" t="s">
        <v>2029</v>
      </c>
      <c r="E239" s="100"/>
      <c r="F239" s="98" t="s">
        <v>36</v>
      </c>
      <c r="G239" s="101">
        <v>10</v>
      </c>
      <c r="H239" s="102" t="s">
        <v>6</v>
      </c>
      <c r="I239" s="103">
        <v>5.9</v>
      </c>
      <c r="J239" s="103">
        <f t="shared" si="15"/>
        <v>59</v>
      </c>
      <c r="K239" s="89">
        <v>33</v>
      </c>
    </row>
    <row r="240" spans="1:11" s="55" customFormat="1">
      <c r="A240" s="13">
        <v>236</v>
      </c>
      <c r="B240" s="98" t="s">
        <v>2047</v>
      </c>
      <c r="C240" s="8" t="s">
        <v>478</v>
      </c>
      <c r="D240" s="100" t="s">
        <v>2035</v>
      </c>
      <c r="E240" s="100"/>
      <c r="F240" s="98" t="s">
        <v>36</v>
      </c>
      <c r="G240" s="101">
        <v>4</v>
      </c>
      <c r="H240" s="102" t="s">
        <v>6</v>
      </c>
      <c r="I240" s="103">
        <v>10</v>
      </c>
      <c r="J240" s="103">
        <f t="shared" si="15"/>
        <v>40</v>
      </c>
      <c r="K240" s="89">
        <v>33</v>
      </c>
    </row>
    <row r="241" spans="1:11" s="55" customFormat="1">
      <c r="A241" s="13">
        <v>237</v>
      </c>
      <c r="B241" s="98" t="s">
        <v>2048</v>
      </c>
      <c r="C241" s="8" t="s">
        <v>2030</v>
      </c>
      <c r="D241" s="100" t="s">
        <v>2033</v>
      </c>
      <c r="E241" s="100"/>
      <c r="F241" s="98" t="s">
        <v>36</v>
      </c>
      <c r="G241" s="101">
        <v>10</v>
      </c>
      <c r="H241" s="102" t="s">
        <v>6</v>
      </c>
      <c r="I241" s="103">
        <v>531</v>
      </c>
      <c r="J241" s="103">
        <f t="shared" si="15"/>
        <v>5310</v>
      </c>
      <c r="K241" s="89">
        <v>43</v>
      </c>
    </row>
    <row r="242" spans="1:11">
      <c r="A242" s="175" t="s">
        <v>1659</v>
      </c>
      <c r="B242" s="175"/>
      <c r="C242" s="175"/>
      <c r="D242" s="175"/>
      <c r="E242" s="175"/>
      <c r="F242" s="175"/>
      <c r="G242" s="175"/>
      <c r="H242" s="175"/>
      <c r="I242" s="175"/>
      <c r="J242" s="37">
        <f>SUM(J5:J241)</f>
        <v>2313527.7244000006</v>
      </c>
    </row>
  </sheetData>
  <mergeCells count="4">
    <mergeCell ref="A1:J1"/>
    <mergeCell ref="A2:J2"/>
    <mergeCell ref="A3:J3"/>
    <mergeCell ref="A242:I242"/>
  </mergeCells>
  <pageMargins left="0.32" right="0.24" top="0.38" bottom="0.32" header="0.3" footer="0.3"/>
  <pageSetup scale="70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5" sqref="C5:F16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64"/>
  <sheetViews>
    <sheetView workbookViewId="0">
      <selection activeCell="T4" sqref="A4:XFD5"/>
    </sheetView>
  </sheetViews>
  <sheetFormatPr defaultRowHeight="15"/>
  <cols>
    <col min="1" max="1" width="9.28515625" style="15" customWidth="1"/>
    <col min="2" max="2" width="14.7109375" bestFit="1" customWidth="1"/>
    <col min="3" max="3" width="35.7109375" style="1" bestFit="1" customWidth="1"/>
    <col min="4" max="4" width="32.5703125" style="1" bestFit="1" customWidth="1"/>
    <col min="5" max="5" width="11.140625" style="1" customWidth="1"/>
    <col min="6" max="6" width="12.85546875" bestFit="1" customWidth="1"/>
    <col min="7" max="7" width="8.28515625" bestFit="1" customWidth="1"/>
    <col min="8" max="8" width="8" customWidth="1"/>
    <col min="9" max="9" width="13.85546875" bestFit="1" customWidth="1"/>
    <col min="10" max="10" width="18.140625" customWidth="1"/>
    <col min="13" max="13" width="10.7109375" bestFit="1" customWidth="1"/>
    <col min="16" max="16" width="11.7109375" bestFit="1" customWidth="1"/>
  </cols>
  <sheetData>
    <row r="1" spans="1:20" ht="18">
      <c r="A1" s="177" t="s">
        <v>670</v>
      </c>
      <c r="B1" s="177"/>
      <c r="C1" s="177"/>
      <c r="D1" s="177"/>
      <c r="E1" s="177"/>
      <c r="F1" s="177"/>
      <c r="G1" s="177"/>
      <c r="H1" s="177"/>
      <c r="I1" s="177"/>
      <c r="J1" s="177"/>
    </row>
    <row r="2" spans="1:20" ht="18">
      <c r="A2" s="177" t="s">
        <v>671</v>
      </c>
      <c r="B2" s="177"/>
      <c r="C2" s="177"/>
      <c r="D2" s="177"/>
      <c r="E2" s="177"/>
      <c r="F2" s="177"/>
      <c r="G2" s="177"/>
      <c r="H2" s="177"/>
      <c r="I2" s="177"/>
      <c r="J2" s="177"/>
    </row>
    <row r="3" spans="1:20" ht="18">
      <c r="A3" s="178" t="s">
        <v>2231</v>
      </c>
      <c r="B3" s="178"/>
      <c r="C3" s="178"/>
      <c r="D3" s="178"/>
      <c r="E3" s="178"/>
      <c r="F3" s="178"/>
      <c r="G3" s="178"/>
      <c r="H3" s="178"/>
      <c r="I3" s="178"/>
      <c r="J3" s="178"/>
    </row>
    <row r="4" spans="1:20">
      <c r="A4" s="179" t="s">
        <v>667</v>
      </c>
      <c r="B4" s="180" t="s">
        <v>27</v>
      </c>
      <c r="C4" s="180" t="s">
        <v>28</v>
      </c>
      <c r="D4" s="180" t="s">
        <v>29</v>
      </c>
      <c r="E4" s="180" t="s">
        <v>2062</v>
      </c>
      <c r="F4" s="181" t="s">
        <v>30</v>
      </c>
      <c r="G4" s="181" t="s">
        <v>32</v>
      </c>
      <c r="H4" s="176" t="s">
        <v>2173</v>
      </c>
      <c r="I4" s="176"/>
      <c r="J4" s="176"/>
      <c r="K4" s="176" t="s">
        <v>2174</v>
      </c>
      <c r="L4" s="176"/>
      <c r="M4" s="176"/>
      <c r="N4" s="176" t="s">
        <v>2175</v>
      </c>
      <c r="O4" s="176"/>
      <c r="P4" s="176"/>
      <c r="Q4" s="176" t="s">
        <v>2176</v>
      </c>
      <c r="R4" s="176"/>
      <c r="S4" s="176"/>
      <c r="T4" s="3"/>
    </row>
    <row r="5" spans="1:20" ht="30">
      <c r="A5" s="179"/>
      <c r="B5" s="180"/>
      <c r="C5" s="180"/>
      <c r="D5" s="180"/>
      <c r="E5" s="180"/>
      <c r="F5" s="181"/>
      <c r="G5" s="181"/>
      <c r="H5" s="152" t="s">
        <v>31</v>
      </c>
      <c r="I5" s="151" t="s">
        <v>668</v>
      </c>
      <c r="J5" s="151" t="s">
        <v>669</v>
      </c>
      <c r="K5" s="152" t="s">
        <v>31</v>
      </c>
      <c r="L5" s="151" t="s">
        <v>668</v>
      </c>
      <c r="M5" s="151" t="s">
        <v>669</v>
      </c>
      <c r="N5" s="152" t="s">
        <v>31</v>
      </c>
      <c r="O5" s="151" t="s">
        <v>668</v>
      </c>
      <c r="P5" s="151" t="s">
        <v>669</v>
      </c>
      <c r="Q5" s="152" t="s">
        <v>31</v>
      </c>
      <c r="R5" s="151" t="s">
        <v>668</v>
      </c>
      <c r="S5" s="151" t="s">
        <v>669</v>
      </c>
      <c r="T5" s="130" t="s">
        <v>2118</v>
      </c>
    </row>
    <row r="6" spans="1:20">
      <c r="A6" s="13">
        <v>1</v>
      </c>
      <c r="B6" s="3" t="s">
        <v>672</v>
      </c>
      <c r="C6" s="4" t="s">
        <v>673</v>
      </c>
      <c r="D6" s="4" t="s">
        <v>674</v>
      </c>
      <c r="E6" s="4" t="s">
        <v>2069</v>
      </c>
      <c r="F6" s="3" t="s">
        <v>675</v>
      </c>
      <c r="G6" s="42" t="s">
        <v>422</v>
      </c>
      <c r="H6" s="3" t="s">
        <v>6</v>
      </c>
      <c r="I6" s="35">
        <v>840</v>
      </c>
      <c r="J6" s="35">
        <f t="shared" ref="J6:J10" si="0">G6*I6</f>
        <v>840</v>
      </c>
      <c r="K6" s="23"/>
      <c r="L6" s="3"/>
      <c r="M6" s="3"/>
      <c r="N6" s="3"/>
      <c r="O6" s="3"/>
      <c r="P6" s="3"/>
      <c r="Q6" s="3"/>
      <c r="R6" s="3"/>
      <c r="S6" s="3"/>
      <c r="T6" s="3"/>
    </row>
    <row r="7" spans="1:20" ht="30">
      <c r="A7" s="13">
        <f>A6+1</f>
        <v>2</v>
      </c>
      <c r="B7" s="3" t="s">
        <v>677</v>
      </c>
      <c r="C7" s="8" t="s">
        <v>2102</v>
      </c>
      <c r="D7" s="8" t="s">
        <v>1694</v>
      </c>
      <c r="E7" s="4" t="s">
        <v>2075</v>
      </c>
      <c r="F7" s="28" t="s">
        <v>675</v>
      </c>
      <c r="G7" s="81" t="s">
        <v>678</v>
      </c>
      <c r="H7" s="28" t="s">
        <v>6</v>
      </c>
      <c r="I7" s="54">
        <v>832</v>
      </c>
      <c r="J7" s="35">
        <f t="shared" si="0"/>
        <v>4992</v>
      </c>
      <c r="K7" s="23"/>
      <c r="L7" s="3"/>
      <c r="M7" s="3"/>
      <c r="N7" s="3"/>
      <c r="O7" s="3"/>
      <c r="P7" s="3"/>
      <c r="Q7" s="3"/>
      <c r="R7" s="3"/>
      <c r="S7" s="3"/>
      <c r="T7" s="3"/>
    </row>
    <row r="8" spans="1:20" ht="30">
      <c r="A8" s="14">
        <f t="shared" ref="A8:A71" si="1">A7+1</f>
        <v>3</v>
      </c>
      <c r="B8" s="9" t="s">
        <v>679</v>
      </c>
      <c r="C8" s="64" t="s">
        <v>725</v>
      </c>
      <c r="D8" s="64" t="s">
        <v>680</v>
      </c>
      <c r="E8" s="4" t="s">
        <v>2075</v>
      </c>
      <c r="F8" s="63" t="s">
        <v>675</v>
      </c>
      <c r="G8" s="82" t="s">
        <v>681</v>
      </c>
      <c r="H8" s="63" t="s">
        <v>6</v>
      </c>
      <c r="I8" s="75">
        <v>736</v>
      </c>
      <c r="J8" s="36">
        <f t="shared" si="0"/>
        <v>6624</v>
      </c>
      <c r="K8" s="23"/>
      <c r="L8" s="3"/>
      <c r="M8" s="3"/>
      <c r="N8" s="3"/>
      <c r="O8" s="3"/>
      <c r="P8" s="3"/>
      <c r="Q8" s="3"/>
      <c r="R8" s="3"/>
      <c r="S8" s="3"/>
      <c r="T8" s="3"/>
    </row>
    <row r="9" spans="1:20">
      <c r="A9" s="13">
        <f t="shared" si="1"/>
        <v>4</v>
      </c>
      <c r="B9" s="3" t="s">
        <v>682</v>
      </c>
      <c r="C9" s="4" t="s">
        <v>683</v>
      </c>
      <c r="D9" s="4" t="s">
        <v>684</v>
      </c>
      <c r="E9" s="4" t="s">
        <v>2069</v>
      </c>
      <c r="F9" s="3" t="s">
        <v>675</v>
      </c>
      <c r="G9" s="42" t="s">
        <v>422</v>
      </c>
      <c r="H9" s="3" t="s">
        <v>6</v>
      </c>
      <c r="I9" s="35">
        <v>940</v>
      </c>
      <c r="J9" s="35">
        <f t="shared" si="0"/>
        <v>940</v>
      </c>
      <c r="K9" s="23">
        <v>4</v>
      </c>
      <c r="L9" s="3"/>
      <c r="M9" s="3">
        <v>4266.88</v>
      </c>
      <c r="N9" s="3">
        <v>1</v>
      </c>
      <c r="O9" s="3"/>
      <c r="P9" s="158">
        <v>1066.72</v>
      </c>
      <c r="Q9" s="3"/>
      <c r="R9" s="3"/>
      <c r="S9" s="3"/>
      <c r="T9" s="3"/>
    </row>
    <row r="10" spans="1:20">
      <c r="A10" s="14">
        <f t="shared" si="1"/>
        <v>5</v>
      </c>
      <c r="B10" s="3" t="s">
        <v>685</v>
      </c>
      <c r="C10" s="4" t="s">
        <v>683</v>
      </c>
      <c r="D10" s="4" t="s">
        <v>686</v>
      </c>
      <c r="E10" s="4" t="s">
        <v>2069</v>
      </c>
      <c r="F10" s="3" t="s">
        <v>675</v>
      </c>
      <c r="G10" s="42" t="s">
        <v>687</v>
      </c>
      <c r="H10" s="3" t="s">
        <v>6</v>
      </c>
      <c r="I10" s="35">
        <v>1580</v>
      </c>
      <c r="J10" s="35">
        <f t="shared" si="0"/>
        <v>3160</v>
      </c>
      <c r="K10" s="23">
        <v>2</v>
      </c>
      <c r="L10" s="3"/>
      <c r="M10" s="3">
        <v>3320.02</v>
      </c>
      <c r="N10" s="3"/>
      <c r="O10" s="3"/>
      <c r="P10" s="160"/>
      <c r="Q10" s="3"/>
      <c r="R10" s="3"/>
      <c r="S10" s="3"/>
      <c r="T10" s="3"/>
    </row>
    <row r="11" spans="1:20">
      <c r="A11" s="13">
        <f t="shared" si="1"/>
        <v>6</v>
      </c>
      <c r="B11" s="3" t="s">
        <v>688</v>
      </c>
      <c r="C11" s="4" t="s">
        <v>683</v>
      </c>
      <c r="D11" s="4" t="s">
        <v>689</v>
      </c>
      <c r="E11" s="4" t="s">
        <v>2069</v>
      </c>
      <c r="F11" s="3" t="s">
        <v>675</v>
      </c>
      <c r="G11" s="42">
        <f>6-1</f>
        <v>5</v>
      </c>
      <c r="H11" s="3" t="s">
        <v>6</v>
      </c>
      <c r="I11" s="35">
        <v>1007.72</v>
      </c>
      <c r="J11" s="35">
        <f>G11*I11</f>
        <v>5038.6000000000004</v>
      </c>
      <c r="K11" s="23"/>
      <c r="L11" s="3"/>
      <c r="M11" s="3"/>
      <c r="N11" s="3">
        <v>5</v>
      </c>
      <c r="O11" s="3"/>
      <c r="P11" s="160">
        <v>5945.55</v>
      </c>
      <c r="Q11" s="3"/>
      <c r="R11" s="3"/>
      <c r="S11" s="3"/>
      <c r="T11" s="3"/>
    </row>
    <row r="12" spans="1:20">
      <c r="A12" s="14">
        <f t="shared" si="1"/>
        <v>7</v>
      </c>
      <c r="B12" s="3" t="s">
        <v>690</v>
      </c>
      <c r="C12" s="4" t="s">
        <v>691</v>
      </c>
      <c r="D12" s="4" t="s">
        <v>692</v>
      </c>
      <c r="E12" s="4" t="s">
        <v>2069</v>
      </c>
      <c r="F12" s="3" t="s">
        <v>675</v>
      </c>
      <c r="G12" s="42" t="s">
        <v>422</v>
      </c>
      <c r="H12" s="3" t="s">
        <v>6</v>
      </c>
      <c r="I12" s="35">
        <v>940</v>
      </c>
      <c r="J12" s="35">
        <f t="shared" ref="J12:J15" si="2">G12*I12</f>
        <v>940</v>
      </c>
      <c r="K12" s="23">
        <v>4</v>
      </c>
      <c r="L12" s="3"/>
      <c r="M12" s="3">
        <v>4266.88</v>
      </c>
      <c r="N12" s="3">
        <v>2</v>
      </c>
      <c r="O12" s="3"/>
      <c r="P12" s="160">
        <v>2133.44</v>
      </c>
      <c r="Q12" s="3"/>
      <c r="R12" s="3"/>
      <c r="S12" s="3"/>
      <c r="T12" s="3"/>
    </row>
    <row r="13" spans="1:20">
      <c r="A13" s="13">
        <f t="shared" si="1"/>
        <v>8</v>
      </c>
      <c r="B13" s="3" t="s">
        <v>693</v>
      </c>
      <c r="C13" s="4" t="s">
        <v>683</v>
      </c>
      <c r="D13" s="4" t="s">
        <v>694</v>
      </c>
      <c r="E13" s="4" t="s">
        <v>2069</v>
      </c>
      <c r="F13" s="3" t="s">
        <v>675</v>
      </c>
      <c r="G13" s="42">
        <v>2</v>
      </c>
      <c r="H13" s="3" t="s">
        <v>6</v>
      </c>
      <c r="I13" s="35">
        <v>1030</v>
      </c>
      <c r="J13" s="35">
        <f t="shared" si="2"/>
        <v>2060</v>
      </c>
      <c r="K13" s="23"/>
      <c r="L13" s="3"/>
      <c r="M13" s="3"/>
      <c r="N13" s="3">
        <v>1</v>
      </c>
      <c r="O13" s="3"/>
      <c r="P13" s="160">
        <v>1030</v>
      </c>
      <c r="Q13" s="3"/>
      <c r="R13" s="3"/>
      <c r="S13" s="3"/>
      <c r="T13" s="3"/>
    </row>
    <row r="14" spans="1:20">
      <c r="A14" s="14">
        <f t="shared" si="1"/>
        <v>9</v>
      </c>
      <c r="B14" s="3" t="s">
        <v>695</v>
      </c>
      <c r="C14" s="4" t="s">
        <v>683</v>
      </c>
      <c r="D14" s="4" t="s">
        <v>696</v>
      </c>
      <c r="E14" s="4" t="s">
        <v>2069</v>
      </c>
      <c r="F14" s="3" t="s">
        <v>675</v>
      </c>
      <c r="G14" s="42" t="s">
        <v>422</v>
      </c>
      <c r="H14" s="3" t="s">
        <v>6</v>
      </c>
      <c r="I14" s="35">
        <v>940</v>
      </c>
      <c r="J14" s="35">
        <f t="shared" si="2"/>
        <v>940</v>
      </c>
      <c r="K14" s="23"/>
      <c r="L14" s="3"/>
      <c r="M14" s="3"/>
      <c r="N14" s="3">
        <v>1</v>
      </c>
      <c r="O14" s="3"/>
      <c r="P14" s="160">
        <v>940</v>
      </c>
      <c r="Q14" s="3"/>
      <c r="R14" s="3"/>
      <c r="S14" s="3"/>
      <c r="T14" s="3"/>
    </row>
    <row r="15" spans="1:20" ht="45">
      <c r="A15" s="14">
        <f t="shared" si="1"/>
        <v>10</v>
      </c>
      <c r="B15" s="9" t="s">
        <v>697</v>
      </c>
      <c r="C15" s="64" t="s">
        <v>698</v>
      </c>
      <c r="D15" s="64" t="s">
        <v>2052</v>
      </c>
      <c r="E15" s="64" t="s">
        <v>2107</v>
      </c>
      <c r="F15" s="63" t="s">
        <v>675</v>
      </c>
      <c r="G15" s="82" t="s">
        <v>422</v>
      </c>
      <c r="H15" s="63" t="s">
        <v>6</v>
      </c>
      <c r="I15" s="75">
        <v>1750</v>
      </c>
      <c r="J15" s="36">
        <f t="shared" si="2"/>
        <v>1750</v>
      </c>
      <c r="K15" s="91"/>
      <c r="L15" s="3"/>
      <c r="M15" s="3"/>
      <c r="N15" s="3"/>
      <c r="O15" s="3"/>
      <c r="P15" s="160"/>
      <c r="Q15" s="3"/>
      <c r="R15" s="3"/>
      <c r="S15" s="3"/>
      <c r="T15" s="3"/>
    </row>
    <row r="16" spans="1:20" ht="30">
      <c r="A16" s="14">
        <f t="shared" si="1"/>
        <v>11</v>
      </c>
      <c r="B16" s="3" t="s">
        <v>699</v>
      </c>
      <c r="C16" s="4" t="s">
        <v>700</v>
      </c>
      <c r="D16" s="4" t="s">
        <v>701</v>
      </c>
      <c r="E16" s="4" t="s">
        <v>2069</v>
      </c>
      <c r="F16" s="3" t="s">
        <v>675</v>
      </c>
      <c r="G16" s="42" t="s">
        <v>678</v>
      </c>
      <c r="H16" s="3" t="s">
        <v>6</v>
      </c>
      <c r="I16" s="35">
        <v>696.2</v>
      </c>
      <c r="J16" s="35">
        <f t="shared" ref="J16:J29" si="3">G16*I16</f>
        <v>4177.2000000000007</v>
      </c>
      <c r="K16" s="23"/>
      <c r="L16" s="3"/>
      <c r="M16" s="3"/>
      <c r="N16" s="3"/>
      <c r="O16" s="3"/>
      <c r="P16" s="160"/>
      <c r="Q16" s="3"/>
      <c r="R16" s="3"/>
      <c r="S16" s="3"/>
      <c r="T16" s="3"/>
    </row>
    <row r="17" spans="1:20">
      <c r="A17" s="13">
        <f t="shared" si="1"/>
        <v>12</v>
      </c>
      <c r="B17" s="3" t="s">
        <v>702</v>
      </c>
      <c r="C17" s="4" t="s">
        <v>703</v>
      </c>
      <c r="D17" s="4" t="s">
        <v>704</v>
      </c>
      <c r="E17" s="4" t="s">
        <v>2069</v>
      </c>
      <c r="F17" s="3" t="s">
        <v>675</v>
      </c>
      <c r="G17" s="42" t="s">
        <v>705</v>
      </c>
      <c r="H17" s="3" t="s">
        <v>6</v>
      </c>
      <c r="I17" s="35">
        <v>702.18</v>
      </c>
      <c r="J17" s="35">
        <f t="shared" si="3"/>
        <v>5617.44</v>
      </c>
      <c r="K17" s="23"/>
      <c r="L17" s="3"/>
      <c r="M17" s="3"/>
      <c r="N17" s="3">
        <v>4</v>
      </c>
      <c r="O17" s="3"/>
      <c r="P17" s="160">
        <v>2808.72</v>
      </c>
      <c r="Q17" s="3"/>
      <c r="R17" s="3"/>
      <c r="S17" s="3"/>
      <c r="T17" s="3"/>
    </row>
    <row r="18" spans="1:20">
      <c r="A18" s="14">
        <f t="shared" si="1"/>
        <v>13</v>
      </c>
      <c r="B18" s="3" t="s">
        <v>706</v>
      </c>
      <c r="C18" s="4" t="s">
        <v>707</v>
      </c>
      <c r="D18" s="4" t="s">
        <v>708</v>
      </c>
      <c r="E18" s="4" t="s">
        <v>2069</v>
      </c>
      <c r="F18" s="3" t="s">
        <v>675</v>
      </c>
      <c r="G18" s="42" t="s">
        <v>678</v>
      </c>
      <c r="H18" s="3" t="s">
        <v>6</v>
      </c>
      <c r="I18" s="35">
        <v>1062</v>
      </c>
      <c r="J18" s="35">
        <f t="shared" si="3"/>
        <v>6372</v>
      </c>
      <c r="K18" s="23"/>
      <c r="L18" s="3"/>
      <c r="M18" s="3"/>
      <c r="N18" s="3">
        <v>1</v>
      </c>
      <c r="O18" s="3"/>
      <c r="P18" s="160">
        <v>1062</v>
      </c>
      <c r="Q18" s="3"/>
      <c r="R18" s="3"/>
      <c r="S18" s="3"/>
      <c r="T18" s="3"/>
    </row>
    <row r="19" spans="1:20">
      <c r="A19" s="13">
        <f t="shared" si="1"/>
        <v>14</v>
      </c>
      <c r="B19" s="3" t="s">
        <v>709</v>
      </c>
      <c r="C19" s="4" t="s">
        <v>710</v>
      </c>
      <c r="D19" s="4" t="s">
        <v>711</v>
      </c>
      <c r="E19" s="4" t="s">
        <v>2069</v>
      </c>
      <c r="F19" s="3" t="s">
        <v>675</v>
      </c>
      <c r="G19" s="42">
        <f>10-1</f>
        <v>9</v>
      </c>
      <c r="H19" s="3" t="s">
        <v>6</v>
      </c>
      <c r="I19" s="35">
        <v>821.28</v>
      </c>
      <c r="J19" s="35">
        <f t="shared" si="3"/>
        <v>7391.5199999999995</v>
      </c>
      <c r="K19" s="23"/>
      <c r="L19" s="3"/>
      <c r="M19" s="3"/>
      <c r="N19" s="3">
        <v>4</v>
      </c>
      <c r="O19" s="3"/>
      <c r="P19" s="160">
        <v>3285.12</v>
      </c>
      <c r="Q19" s="3"/>
      <c r="R19" s="3"/>
      <c r="S19" s="3"/>
      <c r="T19" s="3"/>
    </row>
    <row r="20" spans="1:20">
      <c r="A20" s="14">
        <f t="shared" si="1"/>
        <v>15</v>
      </c>
      <c r="B20" s="3" t="s">
        <v>713</v>
      </c>
      <c r="C20" s="4" t="s">
        <v>714</v>
      </c>
      <c r="D20" s="4" t="s">
        <v>715</v>
      </c>
      <c r="E20" s="4" t="s">
        <v>2069</v>
      </c>
      <c r="F20" s="3" t="s">
        <v>675</v>
      </c>
      <c r="G20" s="42" t="s">
        <v>705</v>
      </c>
      <c r="H20" s="3" t="s">
        <v>6</v>
      </c>
      <c r="I20" s="35">
        <v>1816.5</v>
      </c>
      <c r="J20" s="35">
        <f t="shared" si="3"/>
        <v>14532</v>
      </c>
      <c r="K20" s="23"/>
      <c r="L20" s="3"/>
      <c r="M20" s="3"/>
      <c r="N20" s="3"/>
      <c r="O20" s="3"/>
      <c r="P20" s="160"/>
      <c r="Q20" s="3"/>
      <c r="R20" s="3"/>
      <c r="S20" s="3"/>
      <c r="T20" s="3"/>
    </row>
    <row r="21" spans="1:20" ht="30">
      <c r="A21" s="13">
        <f t="shared" si="1"/>
        <v>16</v>
      </c>
      <c r="B21" s="3" t="s">
        <v>716</v>
      </c>
      <c r="C21" s="4" t="s">
        <v>717</v>
      </c>
      <c r="D21" s="4" t="s">
        <v>718</v>
      </c>
      <c r="E21" s="4" t="s">
        <v>2069</v>
      </c>
      <c r="F21" s="3" t="s">
        <v>675</v>
      </c>
      <c r="G21" s="42" t="s">
        <v>418</v>
      </c>
      <c r="H21" s="3" t="s">
        <v>6</v>
      </c>
      <c r="I21" s="35">
        <v>364</v>
      </c>
      <c r="J21" s="35">
        <f t="shared" si="3"/>
        <v>1456</v>
      </c>
      <c r="K21" s="23"/>
      <c r="L21" s="3"/>
      <c r="M21" s="3"/>
      <c r="N21" s="3"/>
      <c r="O21" s="3"/>
      <c r="P21" s="160"/>
      <c r="Q21" s="3"/>
      <c r="R21" s="3"/>
      <c r="S21" s="3"/>
      <c r="T21" s="3"/>
    </row>
    <row r="22" spans="1:20">
      <c r="A22" s="14">
        <f t="shared" si="1"/>
        <v>17</v>
      </c>
      <c r="B22" s="3" t="s">
        <v>719</v>
      </c>
      <c r="C22" s="8" t="s">
        <v>720</v>
      </c>
      <c r="D22" s="8" t="s">
        <v>1689</v>
      </c>
      <c r="E22" s="8" t="s">
        <v>2069</v>
      </c>
      <c r="F22" s="28" t="s">
        <v>675</v>
      </c>
      <c r="G22" s="81" t="s">
        <v>678</v>
      </c>
      <c r="H22" s="28" t="s">
        <v>6</v>
      </c>
      <c r="I22" s="54">
        <v>245.44</v>
      </c>
      <c r="J22" s="35">
        <f t="shared" si="3"/>
        <v>1472.6399999999999</v>
      </c>
      <c r="K22" s="23"/>
      <c r="L22" s="3"/>
      <c r="M22" s="3"/>
      <c r="N22" s="3">
        <v>1</v>
      </c>
      <c r="O22" s="3"/>
      <c r="P22" s="160">
        <v>245.44</v>
      </c>
      <c r="Q22" s="3"/>
      <c r="R22" s="3"/>
      <c r="S22" s="3"/>
      <c r="T22" s="3"/>
    </row>
    <row r="23" spans="1:20" ht="30">
      <c r="A23" s="13">
        <f t="shared" si="1"/>
        <v>18</v>
      </c>
      <c r="B23" s="3" t="s">
        <v>721</v>
      </c>
      <c r="C23" s="8" t="s">
        <v>722</v>
      </c>
      <c r="D23" s="8" t="s">
        <v>1690</v>
      </c>
      <c r="E23" s="8" t="s">
        <v>2069</v>
      </c>
      <c r="F23" s="28" t="s">
        <v>675</v>
      </c>
      <c r="G23" s="81" t="s">
        <v>678</v>
      </c>
      <c r="H23" s="28" t="s">
        <v>6</v>
      </c>
      <c r="I23" s="54">
        <v>355.18</v>
      </c>
      <c r="J23" s="35">
        <f t="shared" si="3"/>
        <v>2131.08</v>
      </c>
      <c r="K23" s="23"/>
      <c r="L23" s="3"/>
      <c r="M23" s="3"/>
      <c r="N23" s="3"/>
      <c r="O23" s="3"/>
      <c r="P23" s="160"/>
      <c r="Q23" s="3"/>
      <c r="R23" s="3"/>
      <c r="S23" s="3"/>
      <c r="T23" s="3"/>
    </row>
    <row r="24" spans="1:20">
      <c r="A24" s="14">
        <f t="shared" si="1"/>
        <v>19</v>
      </c>
      <c r="B24" s="3" t="s">
        <v>723</v>
      </c>
      <c r="C24" s="8" t="s">
        <v>1687</v>
      </c>
      <c r="D24" s="8" t="s">
        <v>1688</v>
      </c>
      <c r="E24" s="8" t="s">
        <v>2069</v>
      </c>
      <c r="F24" s="28" t="s">
        <v>675</v>
      </c>
      <c r="G24" s="81">
        <f>9-2</f>
        <v>7</v>
      </c>
      <c r="H24" s="28" t="s">
        <v>6</v>
      </c>
      <c r="I24" s="54">
        <v>350.45</v>
      </c>
      <c r="J24" s="35">
        <f t="shared" si="3"/>
        <v>2453.15</v>
      </c>
      <c r="K24" s="23"/>
      <c r="L24" s="3"/>
      <c r="M24" s="3"/>
      <c r="N24" s="3">
        <v>2</v>
      </c>
      <c r="O24" s="3"/>
      <c r="P24" s="160">
        <v>790</v>
      </c>
      <c r="Q24" s="3"/>
      <c r="R24" s="3"/>
      <c r="S24" s="3"/>
      <c r="T24" s="3"/>
    </row>
    <row r="25" spans="1:20" ht="30">
      <c r="A25" s="14">
        <f t="shared" si="1"/>
        <v>20</v>
      </c>
      <c r="B25" s="9" t="s">
        <v>724</v>
      </c>
      <c r="C25" s="64" t="s">
        <v>725</v>
      </c>
      <c r="D25" s="64" t="s">
        <v>2103</v>
      </c>
      <c r="E25" s="64" t="s">
        <v>2075</v>
      </c>
      <c r="F25" s="63" t="s">
        <v>675</v>
      </c>
      <c r="G25" s="82" t="s">
        <v>687</v>
      </c>
      <c r="H25" s="63" t="s">
        <v>6</v>
      </c>
      <c r="I25" s="75">
        <v>25855</v>
      </c>
      <c r="J25" s="36">
        <f t="shared" si="3"/>
        <v>51710</v>
      </c>
      <c r="K25" s="23"/>
      <c r="L25" s="3"/>
      <c r="M25" s="3"/>
      <c r="N25" s="3"/>
      <c r="O25" s="3"/>
      <c r="P25" s="160"/>
      <c r="Q25" s="3"/>
      <c r="R25" s="3"/>
      <c r="S25" s="3"/>
      <c r="T25" s="3"/>
    </row>
    <row r="26" spans="1:20">
      <c r="A26" s="14">
        <f t="shared" si="1"/>
        <v>21</v>
      </c>
      <c r="B26" s="3" t="s">
        <v>726</v>
      </c>
      <c r="C26" s="4" t="s">
        <v>727</v>
      </c>
      <c r="D26" s="4" t="s">
        <v>728</v>
      </c>
      <c r="E26" s="4" t="s">
        <v>2155</v>
      </c>
      <c r="F26" s="3" t="s">
        <v>675</v>
      </c>
      <c r="G26" s="42" t="s">
        <v>729</v>
      </c>
      <c r="H26" s="3" t="s">
        <v>6</v>
      </c>
      <c r="I26" s="35">
        <v>15</v>
      </c>
      <c r="J26" s="35">
        <f t="shared" si="3"/>
        <v>3090</v>
      </c>
      <c r="K26" s="23"/>
      <c r="L26" s="3"/>
      <c r="M26" s="3"/>
      <c r="N26" s="28">
        <v>130</v>
      </c>
      <c r="O26" s="3"/>
      <c r="P26" s="160">
        <v>1950</v>
      </c>
      <c r="Q26" s="3"/>
      <c r="R26" s="3"/>
      <c r="S26" s="3"/>
      <c r="T26" s="3"/>
    </row>
    <row r="27" spans="1:20">
      <c r="A27" s="13">
        <f t="shared" si="1"/>
        <v>22</v>
      </c>
      <c r="B27" s="3" t="s">
        <v>730</v>
      </c>
      <c r="C27" s="4" t="s">
        <v>731</v>
      </c>
      <c r="D27" s="4" t="s">
        <v>732</v>
      </c>
      <c r="E27" s="4" t="s">
        <v>2078</v>
      </c>
      <c r="F27" s="3" t="s">
        <v>675</v>
      </c>
      <c r="G27" s="42" t="s">
        <v>733</v>
      </c>
      <c r="H27" s="3" t="s">
        <v>6</v>
      </c>
      <c r="I27" s="35">
        <v>15</v>
      </c>
      <c r="J27" s="35">
        <f t="shared" si="3"/>
        <v>675</v>
      </c>
      <c r="K27" s="23"/>
      <c r="L27" s="3"/>
      <c r="M27" s="3"/>
      <c r="N27" s="3"/>
      <c r="O27" s="3"/>
      <c r="P27" s="160"/>
      <c r="Q27" s="3"/>
      <c r="R27" s="3"/>
      <c r="S27" s="3"/>
      <c r="T27" s="3"/>
    </row>
    <row r="28" spans="1:20">
      <c r="A28" s="14">
        <f t="shared" si="1"/>
        <v>23</v>
      </c>
      <c r="B28" s="3" t="s">
        <v>734</v>
      </c>
      <c r="C28" s="4" t="s">
        <v>735</v>
      </c>
      <c r="D28" s="4" t="s">
        <v>736</v>
      </c>
      <c r="E28" s="4" t="s">
        <v>2154</v>
      </c>
      <c r="F28" s="3" t="s">
        <v>675</v>
      </c>
      <c r="G28" s="42">
        <v>31</v>
      </c>
      <c r="H28" s="3" t="s">
        <v>6</v>
      </c>
      <c r="I28" s="35">
        <v>365</v>
      </c>
      <c r="J28" s="35">
        <f t="shared" si="3"/>
        <v>11315</v>
      </c>
      <c r="K28" s="23"/>
      <c r="L28" s="3"/>
      <c r="M28" s="3"/>
      <c r="N28" s="3"/>
      <c r="O28" s="3"/>
      <c r="P28" s="160"/>
      <c r="Q28" s="3"/>
      <c r="R28" s="3"/>
      <c r="S28" s="3"/>
      <c r="T28" s="3"/>
    </row>
    <row r="29" spans="1:20">
      <c r="A29" s="13">
        <f t="shared" si="1"/>
        <v>24</v>
      </c>
      <c r="B29" s="3" t="s">
        <v>737</v>
      </c>
      <c r="C29" s="4" t="s">
        <v>735</v>
      </c>
      <c r="D29" s="4" t="s">
        <v>738</v>
      </c>
      <c r="E29" s="4" t="s">
        <v>2154</v>
      </c>
      <c r="F29" s="3" t="s">
        <v>675</v>
      </c>
      <c r="G29" s="42">
        <v>6</v>
      </c>
      <c r="H29" s="3" t="s">
        <v>6</v>
      </c>
      <c r="I29" s="35">
        <v>365</v>
      </c>
      <c r="J29" s="35">
        <f t="shared" si="3"/>
        <v>2190</v>
      </c>
      <c r="K29" s="23"/>
      <c r="L29" s="3"/>
      <c r="M29" s="3"/>
      <c r="N29" s="3"/>
      <c r="O29" s="3"/>
      <c r="P29" s="160"/>
      <c r="Q29" s="3"/>
      <c r="R29" s="3"/>
      <c r="S29" s="3"/>
      <c r="T29" s="3"/>
    </row>
    <row r="30" spans="1:20">
      <c r="A30" s="14">
        <f t="shared" si="1"/>
        <v>25</v>
      </c>
      <c r="B30" s="3" t="s">
        <v>740</v>
      </c>
      <c r="C30" s="4" t="s">
        <v>741</v>
      </c>
      <c r="D30" s="4" t="s">
        <v>742</v>
      </c>
      <c r="E30" s="4" t="s">
        <v>2069</v>
      </c>
      <c r="F30" s="3" t="s">
        <v>675</v>
      </c>
      <c r="G30" s="42" t="s">
        <v>743</v>
      </c>
      <c r="H30" s="3" t="s">
        <v>6</v>
      </c>
      <c r="I30" s="35">
        <v>4200.8</v>
      </c>
      <c r="J30" s="35">
        <f t="shared" ref="J30:J38" si="4">G30*I30</f>
        <v>12602.400000000001</v>
      </c>
      <c r="K30" s="23"/>
      <c r="L30" s="3"/>
      <c r="M30" s="3"/>
      <c r="N30" s="3">
        <v>2</v>
      </c>
      <c r="O30" s="3"/>
      <c r="P30" s="158">
        <v>8401.6</v>
      </c>
      <c r="Q30" s="3"/>
      <c r="R30" s="3"/>
      <c r="S30" s="3"/>
      <c r="T30" s="3"/>
    </row>
    <row r="31" spans="1:20">
      <c r="A31" s="13">
        <f t="shared" si="1"/>
        <v>26</v>
      </c>
      <c r="B31" s="3" t="s">
        <v>744</v>
      </c>
      <c r="C31" s="4" t="s">
        <v>745</v>
      </c>
      <c r="D31" s="4" t="s">
        <v>746</v>
      </c>
      <c r="E31" s="4" t="s">
        <v>2069</v>
      </c>
      <c r="F31" s="3" t="s">
        <v>675</v>
      </c>
      <c r="G31" s="42" t="s">
        <v>743</v>
      </c>
      <c r="H31" s="3" t="s">
        <v>6</v>
      </c>
      <c r="I31" s="35">
        <v>5646.3</v>
      </c>
      <c r="J31" s="35">
        <f t="shared" si="4"/>
        <v>16938.900000000001</v>
      </c>
      <c r="K31" s="23"/>
      <c r="L31" s="3"/>
      <c r="M31" s="3"/>
      <c r="N31" s="3">
        <v>3</v>
      </c>
      <c r="O31" s="3"/>
      <c r="P31" s="160">
        <v>16938.900000000001</v>
      </c>
      <c r="Q31" s="3"/>
      <c r="R31" s="3"/>
      <c r="S31" s="3"/>
      <c r="T31" s="3"/>
    </row>
    <row r="32" spans="1:20">
      <c r="A32" s="14">
        <f t="shared" si="1"/>
        <v>27</v>
      </c>
      <c r="B32" s="3" t="s">
        <v>747</v>
      </c>
      <c r="C32" s="4" t="s">
        <v>748</v>
      </c>
      <c r="D32" s="4" t="s">
        <v>749</v>
      </c>
      <c r="E32" s="4" t="s">
        <v>2069</v>
      </c>
      <c r="F32" s="3" t="s">
        <v>675</v>
      </c>
      <c r="G32" s="42" t="s">
        <v>750</v>
      </c>
      <c r="H32" s="3" t="s">
        <v>6</v>
      </c>
      <c r="I32" s="35">
        <v>331.58</v>
      </c>
      <c r="J32" s="35">
        <f t="shared" si="4"/>
        <v>4973.7</v>
      </c>
      <c r="K32" s="23"/>
      <c r="L32" s="3"/>
      <c r="M32" s="3"/>
      <c r="N32" s="3">
        <v>3</v>
      </c>
      <c r="O32" s="3"/>
      <c r="P32" s="158">
        <v>994.74</v>
      </c>
      <c r="Q32" s="3"/>
      <c r="R32" s="3"/>
      <c r="S32" s="3"/>
      <c r="T32" s="3"/>
    </row>
    <row r="33" spans="1:20">
      <c r="A33" s="13">
        <f t="shared" si="1"/>
        <v>28</v>
      </c>
      <c r="B33" s="3" t="s">
        <v>751</v>
      </c>
      <c r="C33" s="4" t="s">
        <v>748</v>
      </c>
      <c r="D33" s="4" t="s">
        <v>752</v>
      </c>
      <c r="E33" s="4" t="s">
        <v>2069</v>
      </c>
      <c r="F33" s="3" t="s">
        <v>675</v>
      </c>
      <c r="G33" s="42" t="s">
        <v>743</v>
      </c>
      <c r="H33" s="3" t="s">
        <v>6</v>
      </c>
      <c r="I33" s="35">
        <v>365.8</v>
      </c>
      <c r="J33" s="35">
        <f t="shared" si="4"/>
        <v>1097.4000000000001</v>
      </c>
      <c r="K33" s="23"/>
      <c r="L33" s="3"/>
      <c r="M33" s="3"/>
      <c r="N33" s="3"/>
      <c r="O33" s="3"/>
      <c r="P33" s="160"/>
      <c r="Q33" s="3"/>
      <c r="R33" s="3"/>
      <c r="S33" s="3"/>
      <c r="T33" s="3"/>
    </row>
    <row r="34" spans="1:20">
      <c r="A34" s="14">
        <f t="shared" si="1"/>
        <v>29</v>
      </c>
      <c r="B34" s="3" t="s">
        <v>753</v>
      </c>
      <c r="C34" s="4" t="s">
        <v>754</v>
      </c>
      <c r="D34" s="4" t="s">
        <v>755</v>
      </c>
      <c r="E34" s="4" t="s">
        <v>2069</v>
      </c>
      <c r="F34" s="3" t="s">
        <v>675</v>
      </c>
      <c r="G34" s="42" t="s">
        <v>756</v>
      </c>
      <c r="H34" s="3" t="s">
        <v>6</v>
      </c>
      <c r="I34" s="35">
        <v>331.58</v>
      </c>
      <c r="J34" s="35">
        <f t="shared" si="4"/>
        <v>4310.54</v>
      </c>
      <c r="K34" s="23"/>
      <c r="L34" s="3"/>
      <c r="M34" s="3"/>
      <c r="N34" s="3">
        <v>5</v>
      </c>
      <c r="O34" s="3"/>
      <c r="P34" s="160">
        <v>1657.9</v>
      </c>
      <c r="Q34" s="3"/>
      <c r="R34" s="3"/>
      <c r="S34" s="3"/>
      <c r="T34" s="3"/>
    </row>
    <row r="35" spans="1:20">
      <c r="A35" s="13">
        <f t="shared" si="1"/>
        <v>30</v>
      </c>
      <c r="B35" s="3" t="s">
        <v>757</v>
      </c>
      <c r="C35" s="4" t="s">
        <v>758</v>
      </c>
      <c r="D35" s="4" t="s">
        <v>759</v>
      </c>
      <c r="E35" s="4" t="s">
        <v>2069</v>
      </c>
      <c r="F35" s="3" t="s">
        <v>675</v>
      </c>
      <c r="G35" s="42" t="s">
        <v>687</v>
      </c>
      <c r="H35" s="3" t="s">
        <v>6</v>
      </c>
      <c r="I35" s="35">
        <v>290</v>
      </c>
      <c r="J35" s="35">
        <f t="shared" si="4"/>
        <v>580</v>
      </c>
      <c r="K35" s="23"/>
      <c r="L35" s="3"/>
      <c r="M35" s="3"/>
      <c r="N35" s="3"/>
      <c r="O35" s="3"/>
      <c r="P35" s="160"/>
      <c r="Q35" s="3"/>
      <c r="R35" s="3"/>
      <c r="S35" s="3"/>
      <c r="T35" s="3"/>
    </row>
    <row r="36" spans="1:20">
      <c r="A36" s="14">
        <f t="shared" si="1"/>
        <v>31</v>
      </c>
      <c r="B36" s="3" t="s">
        <v>760</v>
      </c>
      <c r="C36" s="4" t="s">
        <v>754</v>
      </c>
      <c r="D36" s="4" t="s">
        <v>761</v>
      </c>
      <c r="E36" s="4" t="s">
        <v>2069</v>
      </c>
      <c r="F36" s="3" t="s">
        <v>675</v>
      </c>
      <c r="G36" s="42" t="s">
        <v>743</v>
      </c>
      <c r="H36" s="3" t="s">
        <v>6</v>
      </c>
      <c r="I36" s="35">
        <v>620</v>
      </c>
      <c r="J36" s="35">
        <f t="shared" si="4"/>
        <v>1860</v>
      </c>
      <c r="K36" s="23"/>
      <c r="L36" s="3"/>
      <c r="M36" s="3"/>
      <c r="N36" s="3"/>
      <c r="O36" s="3"/>
      <c r="P36" s="160"/>
      <c r="Q36" s="3"/>
      <c r="R36" s="3"/>
      <c r="S36" s="3"/>
      <c r="T36" s="3"/>
    </row>
    <row r="37" spans="1:20">
      <c r="A37" s="13">
        <f t="shared" si="1"/>
        <v>32</v>
      </c>
      <c r="B37" s="3" t="s">
        <v>762</v>
      </c>
      <c r="C37" s="4" t="s">
        <v>754</v>
      </c>
      <c r="D37" s="4" t="s">
        <v>763</v>
      </c>
      <c r="E37" s="4" t="s">
        <v>2069</v>
      </c>
      <c r="F37" s="3" t="s">
        <v>675</v>
      </c>
      <c r="G37" s="42">
        <v>25</v>
      </c>
      <c r="H37" s="3" t="s">
        <v>6</v>
      </c>
      <c r="I37" s="35">
        <v>230</v>
      </c>
      <c r="J37" s="35">
        <f t="shared" si="4"/>
        <v>5750</v>
      </c>
      <c r="K37" s="23"/>
      <c r="L37" s="3"/>
      <c r="M37" s="3"/>
      <c r="N37" s="3"/>
      <c r="O37" s="3"/>
      <c r="P37" s="160"/>
      <c r="Q37" s="3"/>
      <c r="R37" s="3"/>
      <c r="S37" s="3"/>
      <c r="T37" s="3"/>
    </row>
    <row r="38" spans="1:20">
      <c r="A38" s="14">
        <f t="shared" si="1"/>
        <v>33</v>
      </c>
      <c r="B38" s="3" t="s">
        <v>765</v>
      </c>
      <c r="C38" s="4" t="s">
        <v>754</v>
      </c>
      <c r="D38" s="4" t="s">
        <v>766</v>
      </c>
      <c r="E38" s="4" t="s">
        <v>2069</v>
      </c>
      <c r="F38" s="3" t="s">
        <v>675</v>
      </c>
      <c r="G38" s="42">
        <v>17</v>
      </c>
      <c r="H38" s="3" t="s">
        <v>6</v>
      </c>
      <c r="I38" s="35">
        <v>385</v>
      </c>
      <c r="J38" s="35">
        <f t="shared" si="4"/>
        <v>6545</v>
      </c>
      <c r="K38" s="23"/>
      <c r="L38" s="3"/>
      <c r="M38" s="3"/>
      <c r="N38" s="3"/>
      <c r="O38" s="3"/>
      <c r="P38" s="160"/>
      <c r="Q38" s="3"/>
      <c r="R38" s="3"/>
      <c r="S38" s="3"/>
      <c r="T38" s="3"/>
    </row>
    <row r="39" spans="1:20">
      <c r="A39" s="13">
        <f t="shared" si="1"/>
        <v>34</v>
      </c>
      <c r="B39" s="3" t="s">
        <v>767</v>
      </c>
      <c r="C39" s="4" t="s">
        <v>748</v>
      </c>
      <c r="D39" s="4" t="s">
        <v>766</v>
      </c>
      <c r="E39" s="4" t="s">
        <v>2069</v>
      </c>
      <c r="F39" s="3" t="s">
        <v>675</v>
      </c>
      <c r="G39" s="42" t="s">
        <v>678</v>
      </c>
      <c r="H39" s="3" t="s">
        <v>6</v>
      </c>
      <c r="I39" s="35">
        <v>385</v>
      </c>
      <c r="J39" s="35">
        <f>G39*I39</f>
        <v>2310</v>
      </c>
      <c r="K39" s="23"/>
      <c r="L39" s="3"/>
      <c r="M39" s="3"/>
      <c r="N39" s="3"/>
      <c r="O39" s="3"/>
      <c r="P39" s="160"/>
      <c r="Q39" s="3"/>
      <c r="R39" s="3"/>
      <c r="S39" s="3"/>
      <c r="T39" s="3"/>
    </row>
    <row r="40" spans="1:20">
      <c r="A40" s="14">
        <f t="shared" si="1"/>
        <v>35</v>
      </c>
      <c r="B40" s="3" t="s">
        <v>768</v>
      </c>
      <c r="C40" s="4" t="s">
        <v>748</v>
      </c>
      <c r="D40" s="4" t="s">
        <v>752</v>
      </c>
      <c r="E40" s="4" t="s">
        <v>2069</v>
      </c>
      <c r="F40" s="3" t="s">
        <v>675</v>
      </c>
      <c r="G40" s="42" t="s">
        <v>769</v>
      </c>
      <c r="H40" s="3" t="s">
        <v>6</v>
      </c>
      <c r="I40" s="35">
        <v>365.8</v>
      </c>
      <c r="J40" s="35">
        <f>G40*I40</f>
        <v>5852.8</v>
      </c>
      <c r="K40" s="23"/>
      <c r="L40" s="3"/>
      <c r="M40" s="3"/>
      <c r="N40" s="3"/>
      <c r="O40" s="3"/>
      <c r="P40" s="160"/>
      <c r="Q40" s="3"/>
      <c r="R40" s="3"/>
      <c r="S40" s="3"/>
      <c r="T40" s="3"/>
    </row>
    <row r="41" spans="1:20">
      <c r="A41" s="13">
        <f t="shared" si="1"/>
        <v>36</v>
      </c>
      <c r="B41" s="3" t="s">
        <v>770</v>
      </c>
      <c r="C41" s="4" t="s">
        <v>748</v>
      </c>
      <c r="D41" s="4" t="s">
        <v>763</v>
      </c>
      <c r="E41" s="4" t="s">
        <v>2069</v>
      </c>
      <c r="F41" s="3" t="s">
        <v>675</v>
      </c>
      <c r="G41" s="42" t="s">
        <v>750</v>
      </c>
      <c r="H41" s="3" t="s">
        <v>6</v>
      </c>
      <c r="I41" s="35">
        <v>279.66000000000003</v>
      </c>
      <c r="J41" s="35">
        <f t="shared" ref="J41:J46" si="5">G41*I41</f>
        <v>4194.9000000000005</v>
      </c>
      <c r="K41" s="23"/>
      <c r="L41" s="3"/>
      <c r="M41" s="3"/>
      <c r="N41" s="3">
        <v>3</v>
      </c>
      <c r="O41" s="3"/>
      <c r="P41" s="158">
        <v>838.98</v>
      </c>
      <c r="Q41" s="3"/>
      <c r="R41" s="3"/>
      <c r="S41" s="3"/>
      <c r="T41" s="3"/>
    </row>
    <row r="42" spans="1:20">
      <c r="A42" s="14">
        <f t="shared" si="1"/>
        <v>37</v>
      </c>
      <c r="B42" s="3" t="s">
        <v>771</v>
      </c>
      <c r="C42" s="4" t="s">
        <v>748</v>
      </c>
      <c r="D42" s="4" t="s">
        <v>772</v>
      </c>
      <c r="E42" s="4" t="s">
        <v>2069</v>
      </c>
      <c r="F42" s="3" t="s">
        <v>675</v>
      </c>
      <c r="G42" s="42" t="s">
        <v>773</v>
      </c>
      <c r="H42" s="3" t="s">
        <v>6</v>
      </c>
      <c r="I42" s="35">
        <v>253.23</v>
      </c>
      <c r="J42" s="35">
        <f t="shared" si="5"/>
        <v>13927.65</v>
      </c>
      <c r="K42" s="23"/>
      <c r="L42" s="3"/>
      <c r="M42" s="3"/>
      <c r="N42" s="3"/>
      <c r="O42" s="3"/>
      <c r="P42" s="160"/>
      <c r="Q42" s="3"/>
      <c r="R42" s="3"/>
      <c r="S42" s="3"/>
      <c r="T42" s="3"/>
    </row>
    <row r="43" spans="1:20">
      <c r="A43" s="13">
        <f t="shared" si="1"/>
        <v>38</v>
      </c>
      <c r="B43" s="3" t="s">
        <v>774</v>
      </c>
      <c r="C43" s="4" t="s">
        <v>748</v>
      </c>
      <c r="D43" s="4" t="s">
        <v>775</v>
      </c>
      <c r="E43" s="4" t="s">
        <v>2069</v>
      </c>
      <c r="F43" s="3" t="s">
        <v>675</v>
      </c>
      <c r="G43" s="42">
        <v>65</v>
      </c>
      <c r="H43" s="3" t="s">
        <v>6</v>
      </c>
      <c r="I43" s="35">
        <v>60</v>
      </c>
      <c r="J43" s="35">
        <f t="shared" si="5"/>
        <v>3900</v>
      </c>
      <c r="K43" s="23"/>
      <c r="L43" s="3"/>
      <c r="M43" s="3"/>
      <c r="N43" s="3"/>
      <c r="O43" s="3"/>
      <c r="P43" s="160"/>
      <c r="Q43" s="3"/>
      <c r="R43" s="3"/>
      <c r="S43" s="3"/>
      <c r="T43" s="3"/>
    </row>
    <row r="44" spans="1:20">
      <c r="A44" s="14">
        <f t="shared" si="1"/>
        <v>39</v>
      </c>
      <c r="B44" s="3" t="s">
        <v>776</v>
      </c>
      <c r="C44" s="4" t="s">
        <v>748</v>
      </c>
      <c r="D44" s="4" t="s">
        <v>777</v>
      </c>
      <c r="E44" s="4" t="s">
        <v>2069</v>
      </c>
      <c r="F44" s="3" t="s">
        <v>675</v>
      </c>
      <c r="G44" s="42">
        <v>47</v>
      </c>
      <c r="H44" s="3" t="s">
        <v>6</v>
      </c>
      <c r="I44" s="35">
        <v>60</v>
      </c>
      <c r="J44" s="35">
        <f t="shared" si="5"/>
        <v>2820</v>
      </c>
      <c r="K44" s="23"/>
      <c r="L44" s="3"/>
      <c r="M44" s="3"/>
      <c r="N44" s="3"/>
      <c r="O44" s="3"/>
      <c r="P44" s="160"/>
      <c r="Q44" s="3"/>
      <c r="R44" s="3"/>
      <c r="S44" s="3"/>
      <c r="T44" s="3"/>
    </row>
    <row r="45" spans="1:20">
      <c r="A45" s="13">
        <f t="shared" si="1"/>
        <v>40</v>
      </c>
      <c r="B45" s="3" t="s">
        <v>778</v>
      </c>
      <c r="C45" s="4" t="s">
        <v>779</v>
      </c>
      <c r="D45" s="4" t="s">
        <v>780</v>
      </c>
      <c r="E45" s="4" t="s">
        <v>2069</v>
      </c>
      <c r="F45" s="3" t="s">
        <v>675</v>
      </c>
      <c r="G45" s="42">
        <f>54-3-3-3-1</f>
        <v>44</v>
      </c>
      <c r="H45" s="3" t="s">
        <v>6</v>
      </c>
      <c r="I45" s="35">
        <v>83.54</v>
      </c>
      <c r="J45" s="35">
        <f t="shared" si="5"/>
        <v>3675.76</v>
      </c>
      <c r="K45" s="23"/>
      <c r="L45" s="3"/>
      <c r="M45" s="3"/>
      <c r="N45" s="3">
        <v>2</v>
      </c>
      <c r="O45" s="3"/>
      <c r="P45" s="158">
        <v>167.08</v>
      </c>
      <c r="Q45" s="3"/>
      <c r="R45" s="3"/>
      <c r="S45" s="3"/>
      <c r="T45" s="3"/>
    </row>
    <row r="46" spans="1:20">
      <c r="A46" s="14">
        <f t="shared" si="1"/>
        <v>41</v>
      </c>
      <c r="B46" s="3" t="s">
        <v>781</v>
      </c>
      <c r="C46" s="4" t="s">
        <v>754</v>
      </c>
      <c r="D46" s="4" t="s">
        <v>782</v>
      </c>
      <c r="E46" s="4" t="s">
        <v>2069</v>
      </c>
      <c r="F46" s="3" t="s">
        <v>675</v>
      </c>
      <c r="G46" s="42" t="s">
        <v>783</v>
      </c>
      <c r="H46" s="3" t="s">
        <v>6</v>
      </c>
      <c r="I46" s="35">
        <v>83.54</v>
      </c>
      <c r="J46" s="35">
        <f t="shared" si="5"/>
        <v>2756.82</v>
      </c>
      <c r="K46" s="23"/>
      <c r="L46" s="3"/>
      <c r="M46" s="3"/>
      <c r="N46" s="3"/>
      <c r="O46" s="3"/>
      <c r="P46" s="160"/>
      <c r="Q46" s="3"/>
      <c r="R46" s="3"/>
      <c r="S46" s="3"/>
      <c r="T46" s="3"/>
    </row>
    <row r="47" spans="1:20">
      <c r="A47" s="13">
        <f t="shared" si="1"/>
        <v>42</v>
      </c>
      <c r="B47" s="3" t="s">
        <v>784</v>
      </c>
      <c r="C47" s="4" t="s">
        <v>748</v>
      </c>
      <c r="D47" s="4" t="s">
        <v>785</v>
      </c>
      <c r="E47" s="4" t="s">
        <v>2069</v>
      </c>
      <c r="F47" s="3" t="s">
        <v>675</v>
      </c>
      <c r="G47" s="42">
        <v>20</v>
      </c>
      <c r="H47" s="3" t="s">
        <v>6</v>
      </c>
      <c r="I47" s="35">
        <v>38.76</v>
      </c>
      <c r="J47" s="35">
        <f t="shared" ref="J47:J48" si="6">G47*I47</f>
        <v>775.19999999999993</v>
      </c>
      <c r="K47" s="23"/>
      <c r="L47" s="3"/>
      <c r="M47" s="3"/>
      <c r="N47" s="3"/>
      <c r="O47" s="3"/>
      <c r="P47" s="160"/>
      <c r="Q47" s="3"/>
      <c r="R47" s="3"/>
      <c r="S47" s="3"/>
      <c r="T47" s="3"/>
    </row>
    <row r="48" spans="1:20">
      <c r="A48" s="14">
        <f t="shared" si="1"/>
        <v>43</v>
      </c>
      <c r="B48" s="3" t="s">
        <v>786</v>
      </c>
      <c r="C48" s="4" t="s">
        <v>748</v>
      </c>
      <c r="D48" s="4" t="s">
        <v>787</v>
      </c>
      <c r="E48" s="4" t="s">
        <v>2069</v>
      </c>
      <c r="F48" s="3" t="s">
        <v>675</v>
      </c>
      <c r="G48" s="42">
        <v>30</v>
      </c>
      <c r="H48" s="3" t="s">
        <v>44</v>
      </c>
      <c r="I48" s="35">
        <v>38.76</v>
      </c>
      <c r="J48" s="35">
        <f t="shared" si="6"/>
        <v>1162.8</v>
      </c>
      <c r="K48" s="23"/>
      <c r="L48" s="3"/>
      <c r="M48" s="3"/>
      <c r="N48" s="3"/>
      <c r="O48" s="3"/>
      <c r="P48" s="160"/>
      <c r="Q48" s="3"/>
      <c r="R48" s="3"/>
      <c r="S48" s="3"/>
      <c r="T48" s="3"/>
    </row>
    <row r="49" spans="1:20">
      <c r="A49" s="13">
        <f t="shared" si="1"/>
        <v>44</v>
      </c>
      <c r="B49" s="3" t="s">
        <v>788</v>
      </c>
      <c r="C49" s="4" t="s">
        <v>754</v>
      </c>
      <c r="D49" s="4" t="s">
        <v>789</v>
      </c>
      <c r="E49" s="4" t="s">
        <v>2069</v>
      </c>
      <c r="F49" s="3" t="s">
        <v>675</v>
      </c>
      <c r="G49" s="42">
        <v>18</v>
      </c>
      <c r="H49" s="3" t="s">
        <v>6</v>
      </c>
      <c r="I49" s="35">
        <v>80.239999999999995</v>
      </c>
      <c r="J49" s="35">
        <f>G49*I49</f>
        <v>1444.32</v>
      </c>
      <c r="K49" s="23"/>
      <c r="L49" s="3"/>
      <c r="M49" s="3"/>
      <c r="N49" s="3">
        <v>6</v>
      </c>
      <c r="O49" s="3"/>
      <c r="P49" s="158">
        <v>481.44</v>
      </c>
      <c r="Q49" s="3"/>
      <c r="R49" s="3"/>
      <c r="S49" s="3"/>
      <c r="T49" s="3"/>
    </row>
    <row r="50" spans="1:20">
      <c r="A50" s="14">
        <f t="shared" si="1"/>
        <v>45</v>
      </c>
      <c r="B50" s="3" t="s">
        <v>790</v>
      </c>
      <c r="C50" s="4" t="s">
        <v>748</v>
      </c>
      <c r="D50" s="4" t="s">
        <v>791</v>
      </c>
      <c r="E50" s="4" t="s">
        <v>2069</v>
      </c>
      <c r="F50" s="3" t="s">
        <v>675</v>
      </c>
      <c r="G50" s="42">
        <v>16</v>
      </c>
      <c r="H50" s="3" t="s">
        <v>6</v>
      </c>
      <c r="I50" s="35">
        <v>38.76</v>
      </c>
      <c r="J50" s="35">
        <f>G50*I50</f>
        <v>620.16</v>
      </c>
      <c r="K50" s="23"/>
      <c r="L50" s="3"/>
      <c r="M50" s="3"/>
      <c r="N50" s="3"/>
      <c r="O50" s="3"/>
      <c r="P50" s="160"/>
      <c r="Q50" s="3"/>
      <c r="R50" s="3"/>
      <c r="S50" s="3"/>
      <c r="T50" s="3"/>
    </row>
    <row r="51" spans="1:20">
      <c r="A51" s="13">
        <f t="shared" si="1"/>
        <v>46</v>
      </c>
      <c r="B51" s="3" t="s">
        <v>792</v>
      </c>
      <c r="C51" s="4" t="s">
        <v>748</v>
      </c>
      <c r="D51" s="4" t="s">
        <v>793</v>
      </c>
      <c r="E51" s="4" t="s">
        <v>2069</v>
      </c>
      <c r="F51" s="3" t="s">
        <v>675</v>
      </c>
      <c r="G51" s="42">
        <v>18</v>
      </c>
      <c r="H51" s="3" t="s">
        <v>6</v>
      </c>
      <c r="I51" s="35">
        <v>80.239999999999995</v>
      </c>
      <c r="J51" s="35">
        <f>G51*I51</f>
        <v>1444.32</v>
      </c>
      <c r="K51" s="23"/>
      <c r="L51" s="3"/>
      <c r="M51" s="3"/>
      <c r="N51" s="3"/>
      <c r="O51" s="3"/>
      <c r="P51" s="160"/>
      <c r="Q51" s="3"/>
      <c r="R51" s="3"/>
      <c r="S51" s="3"/>
      <c r="T51" s="3"/>
    </row>
    <row r="52" spans="1:20">
      <c r="A52" s="14">
        <f t="shared" si="1"/>
        <v>47</v>
      </c>
      <c r="B52" s="3" t="s">
        <v>794</v>
      </c>
      <c r="C52" s="4" t="s">
        <v>748</v>
      </c>
      <c r="D52" s="4" t="s">
        <v>795</v>
      </c>
      <c r="E52" s="4" t="s">
        <v>2069</v>
      </c>
      <c r="F52" s="3" t="s">
        <v>675</v>
      </c>
      <c r="G52" s="42" t="s">
        <v>739</v>
      </c>
      <c r="H52" s="3" t="s">
        <v>6</v>
      </c>
      <c r="I52" s="35">
        <v>38.76</v>
      </c>
      <c r="J52" s="35">
        <f>G52*I52</f>
        <v>697.68</v>
      </c>
      <c r="K52" s="23"/>
      <c r="L52" s="3"/>
      <c r="M52" s="3"/>
      <c r="N52" s="3"/>
      <c r="O52" s="3"/>
      <c r="P52" s="160"/>
      <c r="Q52" s="3"/>
      <c r="R52" s="3"/>
      <c r="S52" s="3"/>
      <c r="T52" s="3"/>
    </row>
    <row r="53" spans="1:20" ht="30">
      <c r="A53" s="14">
        <f t="shared" si="1"/>
        <v>48</v>
      </c>
      <c r="B53" s="9" t="s">
        <v>796</v>
      </c>
      <c r="C53" s="10" t="s">
        <v>797</v>
      </c>
      <c r="D53" s="10" t="s">
        <v>798</v>
      </c>
      <c r="E53" s="10" t="s">
        <v>2076</v>
      </c>
      <c r="F53" s="9" t="s">
        <v>675</v>
      </c>
      <c r="G53" s="83" t="s">
        <v>676</v>
      </c>
      <c r="H53" s="9" t="s">
        <v>6</v>
      </c>
      <c r="I53" s="36">
        <v>1120</v>
      </c>
      <c r="J53" s="36">
        <f t="shared" ref="J53:J57" si="7">G53*I53</f>
        <v>0</v>
      </c>
      <c r="K53" s="91"/>
      <c r="L53" s="3"/>
      <c r="M53" s="3"/>
      <c r="N53" s="3"/>
      <c r="O53" s="3"/>
      <c r="P53" s="160"/>
      <c r="Q53" s="3"/>
      <c r="R53" s="3"/>
      <c r="S53" s="3"/>
      <c r="T53" s="3"/>
    </row>
    <row r="54" spans="1:20">
      <c r="A54" s="14">
        <f t="shared" si="1"/>
        <v>49</v>
      </c>
      <c r="B54" s="3" t="s">
        <v>799</v>
      </c>
      <c r="C54" s="4" t="s">
        <v>800</v>
      </c>
      <c r="D54" s="4" t="s">
        <v>801</v>
      </c>
      <c r="E54" s="10" t="s">
        <v>2076</v>
      </c>
      <c r="F54" s="3" t="s">
        <v>675</v>
      </c>
      <c r="G54" s="42" t="s">
        <v>687</v>
      </c>
      <c r="H54" s="3" t="s">
        <v>6</v>
      </c>
      <c r="I54" s="35">
        <v>1020</v>
      </c>
      <c r="J54" s="35">
        <f t="shared" si="7"/>
        <v>2040</v>
      </c>
      <c r="K54" s="23"/>
      <c r="L54" s="3"/>
      <c r="M54" s="3"/>
      <c r="N54" s="3"/>
      <c r="O54" s="3"/>
      <c r="P54" s="160"/>
      <c r="Q54" s="3"/>
      <c r="R54" s="3"/>
      <c r="S54" s="3"/>
      <c r="T54" s="3"/>
    </row>
    <row r="55" spans="1:20">
      <c r="A55" s="13">
        <f t="shared" si="1"/>
        <v>50</v>
      </c>
      <c r="B55" s="3" t="s">
        <v>802</v>
      </c>
      <c r="C55" s="4" t="s">
        <v>803</v>
      </c>
      <c r="D55" s="4" t="s">
        <v>804</v>
      </c>
      <c r="E55" s="4" t="s">
        <v>2069</v>
      </c>
      <c r="F55" s="3" t="s">
        <v>675</v>
      </c>
      <c r="G55" s="42" t="s">
        <v>422</v>
      </c>
      <c r="H55" s="3" t="s">
        <v>6</v>
      </c>
      <c r="I55" s="35">
        <v>4325</v>
      </c>
      <c r="J55" s="35">
        <f t="shared" si="7"/>
        <v>4325</v>
      </c>
      <c r="K55" s="23"/>
      <c r="L55" s="3"/>
      <c r="M55" s="3"/>
      <c r="N55" s="3"/>
      <c r="O55" s="3"/>
      <c r="P55" s="160"/>
      <c r="Q55" s="3"/>
      <c r="R55" s="3"/>
      <c r="S55" s="3"/>
      <c r="T55" s="3"/>
    </row>
    <row r="56" spans="1:20">
      <c r="A56" s="14">
        <f t="shared" si="1"/>
        <v>51</v>
      </c>
      <c r="B56" s="3" t="s">
        <v>805</v>
      </c>
      <c r="C56" s="4" t="s">
        <v>806</v>
      </c>
      <c r="D56" s="4" t="s">
        <v>807</v>
      </c>
      <c r="E56" s="4"/>
      <c r="F56" s="3" t="s">
        <v>675</v>
      </c>
      <c r="G56" s="42">
        <f>1-1</f>
        <v>0</v>
      </c>
      <c r="H56" s="3" t="s">
        <v>6</v>
      </c>
      <c r="I56" s="35">
        <v>4390</v>
      </c>
      <c r="J56" s="35">
        <f t="shared" si="7"/>
        <v>0</v>
      </c>
      <c r="K56" s="23"/>
      <c r="L56" s="3"/>
      <c r="M56" s="3"/>
      <c r="N56" s="3"/>
      <c r="O56" s="3"/>
      <c r="P56" s="160"/>
      <c r="Q56" s="3"/>
      <c r="R56" s="3"/>
      <c r="S56" s="3"/>
      <c r="T56" s="3"/>
    </row>
    <row r="57" spans="1:20">
      <c r="A57" s="13">
        <f t="shared" si="1"/>
        <v>52</v>
      </c>
      <c r="B57" s="3" t="s">
        <v>808</v>
      </c>
      <c r="C57" s="4" t="s">
        <v>809</v>
      </c>
      <c r="D57" s="4" t="s">
        <v>810</v>
      </c>
      <c r="E57" s="4" t="s">
        <v>2076</v>
      </c>
      <c r="F57" s="3" t="s">
        <v>675</v>
      </c>
      <c r="G57" s="42" t="s">
        <v>422</v>
      </c>
      <c r="H57" s="3" t="s">
        <v>6</v>
      </c>
      <c r="I57" s="35">
        <v>1530</v>
      </c>
      <c r="J57" s="35">
        <f t="shared" si="7"/>
        <v>1530</v>
      </c>
      <c r="K57" s="23"/>
      <c r="L57" s="3"/>
      <c r="M57" s="3"/>
      <c r="N57" s="3"/>
      <c r="O57" s="3"/>
      <c r="P57" s="160"/>
      <c r="Q57" s="3"/>
      <c r="R57" s="3"/>
      <c r="S57" s="3"/>
      <c r="T57" s="3"/>
    </row>
    <row r="58" spans="1:20">
      <c r="A58" s="14">
        <f t="shared" si="1"/>
        <v>53</v>
      </c>
      <c r="B58" s="3" t="s">
        <v>811</v>
      </c>
      <c r="C58" s="4" t="s">
        <v>194</v>
      </c>
      <c r="D58" s="4" t="s">
        <v>812</v>
      </c>
      <c r="E58" s="4" t="s">
        <v>2076</v>
      </c>
      <c r="F58" s="3" t="s">
        <v>675</v>
      </c>
      <c r="G58" s="42">
        <f>285-20-40-10</f>
        <v>215</v>
      </c>
      <c r="H58" s="3" t="s">
        <v>63</v>
      </c>
      <c r="I58" s="35">
        <v>33.75</v>
      </c>
      <c r="J58" s="35">
        <f>G58*I58</f>
        <v>7256.25</v>
      </c>
      <c r="K58" s="23"/>
      <c r="L58" s="3"/>
      <c r="M58" s="3"/>
      <c r="N58" s="3">
        <v>215</v>
      </c>
      <c r="O58" s="3"/>
      <c r="P58" s="160">
        <v>7256.25</v>
      </c>
      <c r="Q58" s="3"/>
      <c r="R58" s="3"/>
      <c r="S58" s="3"/>
      <c r="T58" s="3"/>
    </row>
    <row r="59" spans="1:20">
      <c r="A59" s="13">
        <f t="shared" si="1"/>
        <v>54</v>
      </c>
      <c r="B59" s="3" t="s">
        <v>813</v>
      </c>
      <c r="C59" s="4" t="s">
        <v>814</v>
      </c>
      <c r="D59" s="4" t="s">
        <v>815</v>
      </c>
      <c r="E59" s="4" t="s">
        <v>2156</v>
      </c>
      <c r="F59" s="3" t="s">
        <v>675</v>
      </c>
      <c r="G59" s="42">
        <f>100+100-100-70-20</f>
        <v>10</v>
      </c>
      <c r="H59" s="3" t="s">
        <v>63</v>
      </c>
      <c r="I59" s="35">
        <v>17.11</v>
      </c>
      <c r="J59" s="35">
        <f t="shared" ref="J59:J93" si="8">G59*I59</f>
        <v>171.1</v>
      </c>
      <c r="K59" s="23"/>
      <c r="L59" s="3"/>
      <c r="M59" s="3"/>
      <c r="N59" s="3">
        <v>10</v>
      </c>
      <c r="O59" s="3"/>
      <c r="P59" s="158">
        <v>171.1</v>
      </c>
      <c r="Q59" s="3"/>
      <c r="R59" s="3"/>
      <c r="S59" s="3"/>
      <c r="T59" s="3"/>
    </row>
    <row r="60" spans="1:20">
      <c r="A60" s="14">
        <f t="shared" si="1"/>
        <v>55</v>
      </c>
      <c r="B60" s="3" t="s">
        <v>817</v>
      </c>
      <c r="C60" s="4" t="s">
        <v>194</v>
      </c>
      <c r="D60" s="4" t="s">
        <v>818</v>
      </c>
      <c r="E60" s="4" t="s">
        <v>2076</v>
      </c>
      <c r="F60" s="3" t="s">
        <v>675</v>
      </c>
      <c r="G60" s="42">
        <f>900-90</f>
        <v>810</v>
      </c>
      <c r="H60" s="3" t="s">
        <v>63</v>
      </c>
      <c r="I60" s="48">
        <v>3.67</v>
      </c>
      <c r="J60" s="35">
        <f t="shared" si="8"/>
        <v>2972.7</v>
      </c>
      <c r="K60" s="23"/>
      <c r="L60" s="3"/>
      <c r="M60" s="3"/>
      <c r="N60" s="3">
        <v>270</v>
      </c>
      <c r="O60" s="3"/>
      <c r="P60" s="160">
        <v>990.9</v>
      </c>
      <c r="Q60" s="3"/>
      <c r="R60" s="3"/>
      <c r="S60" s="3"/>
      <c r="T60" s="3"/>
    </row>
    <row r="61" spans="1:20">
      <c r="A61" s="13">
        <f t="shared" si="1"/>
        <v>56</v>
      </c>
      <c r="B61" s="3" t="s">
        <v>820</v>
      </c>
      <c r="C61" s="4" t="s">
        <v>821</v>
      </c>
      <c r="D61" s="4" t="s">
        <v>822</v>
      </c>
      <c r="E61" s="4" t="s">
        <v>2076</v>
      </c>
      <c r="F61" s="3" t="s">
        <v>675</v>
      </c>
      <c r="G61" s="42">
        <f>7-1-1</f>
        <v>5</v>
      </c>
      <c r="H61" s="3" t="s">
        <v>6</v>
      </c>
      <c r="I61" s="35">
        <v>170</v>
      </c>
      <c r="J61" s="35">
        <f t="shared" si="8"/>
        <v>850</v>
      </c>
      <c r="K61" s="23"/>
      <c r="L61" s="3"/>
      <c r="M61" s="3"/>
      <c r="N61" s="3">
        <v>3</v>
      </c>
      <c r="O61" s="3"/>
      <c r="P61" s="160">
        <v>510</v>
      </c>
      <c r="Q61" s="3"/>
      <c r="R61" s="3"/>
      <c r="S61" s="3"/>
      <c r="T61" s="3"/>
    </row>
    <row r="62" spans="1:20">
      <c r="A62" s="14">
        <f t="shared" si="1"/>
        <v>57</v>
      </c>
      <c r="B62" s="3" t="s">
        <v>824</v>
      </c>
      <c r="C62" s="4" t="s">
        <v>821</v>
      </c>
      <c r="D62" s="4" t="s">
        <v>825</v>
      </c>
      <c r="E62" s="4" t="s">
        <v>2076</v>
      </c>
      <c r="F62" s="3" t="s">
        <v>675</v>
      </c>
      <c r="G62" s="42" t="s">
        <v>687</v>
      </c>
      <c r="H62" s="3" t="s">
        <v>6</v>
      </c>
      <c r="I62" s="35">
        <v>550</v>
      </c>
      <c r="J62" s="35">
        <f t="shared" si="8"/>
        <v>1100</v>
      </c>
      <c r="K62" s="23"/>
      <c r="L62" s="3"/>
      <c r="M62" s="3"/>
      <c r="N62" s="3">
        <v>2</v>
      </c>
      <c r="O62" s="3"/>
      <c r="P62" s="160">
        <v>1100</v>
      </c>
      <c r="Q62" s="3"/>
      <c r="R62" s="3"/>
      <c r="S62" s="3"/>
      <c r="T62" s="3"/>
    </row>
    <row r="63" spans="1:20">
      <c r="A63" s="13">
        <f t="shared" si="1"/>
        <v>58</v>
      </c>
      <c r="B63" s="3" t="s">
        <v>826</v>
      </c>
      <c r="C63" s="4" t="s">
        <v>821</v>
      </c>
      <c r="D63" s="4" t="s">
        <v>1668</v>
      </c>
      <c r="E63" s="4" t="s">
        <v>2076</v>
      </c>
      <c r="F63" s="3" t="s">
        <v>675</v>
      </c>
      <c r="G63" s="42" t="s">
        <v>418</v>
      </c>
      <c r="H63" s="3" t="s">
        <v>6</v>
      </c>
      <c r="I63" s="35">
        <v>786</v>
      </c>
      <c r="J63" s="35">
        <f t="shared" si="8"/>
        <v>3144</v>
      </c>
      <c r="K63" s="23"/>
      <c r="L63" s="3"/>
      <c r="M63" s="3"/>
      <c r="N63" s="3">
        <v>1</v>
      </c>
      <c r="O63" s="3"/>
      <c r="P63" s="160">
        <v>786</v>
      </c>
      <c r="Q63" s="3"/>
      <c r="R63" s="3"/>
      <c r="S63" s="3"/>
      <c r="T63" s="3"/>
    </row>
    <row r="64" spans="1:20">
      <c r="A64" s="14">
        <f t="shared" si="1"/>
        <v>59</v>
      </c>
      <c r="B64" s="3" t="s">
        <v>827</v>
      </c>
      <c r="C64" s="4" t="s">
        <v>821</v>
      </c>
      <c r="D64" s="4" t="s">
        <v>828</v>
      </c>
      <c r="E64" s="4" t="s">
        <v>2076</v>
      </c>
      <c r="F64" s="3" t="s">
        <v>675</v>
      </c>
      <c r="G64" s="42" t="s">
        <v>422</v>
      </c>
      <c r="H64" s="3" t="s">
        <v>6</v>
      </c>
      <c r="I64" s="35">
        <v>980</v>
      </c>
      <c r="J64" s="35">
        <f t="shared" si="8"/>
        <v>980</v>
      </c>
      <c r="K64" s="23"/>
      <c r="L64" s="3"/>
      <c r="M64" s="3"/>
      <c r="N64" s="3"/>
      <c r="O64" s="3"/>
      <c r="P64" s="160"/>
      <c r="Q64" s="3"/>
      <c r="R64" s="3"/>
      <c r="S64" s="3"/>
      <c r="T64" s="3"/>
    </row>
    <row r="65" spans="1:20">
      <c r="A65" s="13">
        <f t="shared" si="1"/>
        <v>60</v>
      </c>
      <c r="B65" s="3" t="s">
        <v>829</v>
      </c>
      <c r="C65" s="4" t="s">
        <v>830</v>
      </c>
      <c r="D65" s="4" t="s">
        <v>831</v>
      </c>
      <c r="E65" s="4" t="s">
        <v>2076</v>
      </c>
      <c r="F65" s="3" t="s">
        <v>675</v>
      </c>
      <c r="G65" s="42" t="s">
        <v>422</v>
      </c>
      <c r="H65" s="3" t="s">
        <v>6</v>
      </c>
      <c r="I65" s="35">
        <v>550</v>
      </c>
      <c r="J65" s="35">
        <f t="shared" si="8"/>
        <v>550</v>
      </c>
      <c r="K65" s="23"/>
      <c r="L65" s="3"/>
      <c r="M65" s="3"/>
      <c r="N65" s="3">
        <v>1</v>
      </c>
      <c r="O65" s="3"/>
      <c r="P65" s="160">
        <v>550</v>
      </c>
      <c r="Q65" s="3"/>
      <c r="R65" s="3"/>
      <c r="S65" s="3"/>
      <c r="T65" s="3"/>
    </row>
    <row r="66" spans="1:20">
      <c r="A66" s="14">
        <f t="shared" si="1"/>
        <v>61</v>
      </c>
      <c r="B66" s="3" t="s">
        <v>832</v>
      </c>
      <c r="C66" s="4" t="s">
        <v>821</v>
      </c>
      <c r="D66" s="4" t="s">
        <v>833</v>
      </c>
      <c r="E66" s="4" t="s">
        <v>2076</v>
      </c>
      <c r="F66" s="3" t="s">
        <v>675</v>
      </c>
      <c r="G66" s="42" t="s">
        <v>743</v>
      </c>
      <c r="H66" s="3" t="s">
        <v>6</v>
      </c>
      <c r="I66" s="35">
        <v>550</v>
      </c>
      <c r="J66" s="35">
        <f t="shared" si="8"/>
        <v>1650</v>
      </c>
      <c r="K66" s="23"/>
      <c r="L66" s="3"/>
      <c r="M66" s="3"/>
      <c r="N66" s="3">
        <v>1</v>
      </c>
      <c r="O66" s="3"/>
      <c r="P66" s="160">
        <v>550</v>
      </c>
      <c r="Q66" s="3"/>
      <c r="R66" s="3"/>
      <c r="S66" s="3"/>
      <c r="T66" s="3"/>
    </row>
    <row r="67" spans="1:20">
      <c r="A67" s="13">
        <f t="shared" si="1"/>
        <v>62</v>
      </c>
      <c r="B67" s="3" t="s">
        <v>834</v>
      </c>
      <c r="C67" s="4" t="s">
        <v>821</v>
      </c>
      <c r="D67" s="4" t="s">
        <v>835</v>
      </c>
      <c r="E67" s="4" t="s">
        <v>2069</v>
      </c>
      <c r="F67" s="3" t="s">
        <v>675</v>
      </c>
      <c r="G67" s="42" t="s">
        <v>418</v>
      </c>
      <c r="H67" s="3" t="s">
        <v>6</v>
      </c>
      <c r="I67" s="35">
        <v>170</v>
      </c>
      <c r="J67" s="35">
        <f t="shared" si="8"/>
        <v>680</v>
      </c>
      <c r="K67" s="23"/>
      <c r="L67" s="3"/>
      <c r="M67" s="3"/>
      <c r="N67" s="3">
        <v>1</v>
      </c>
      <c r="O67" s="3"/>
      <c r="P67" s="160">
        <v>170</v>
      </c>
      <c r="Q67" s="3"/>
      <c r="R67" s="3"/>
      <c r="S67" s="3"/>
      <c r="T67" s="3"/>
    </row>
    <row r="68" spans="1:20">
      <c r="A68" s="14">
        <f t="shared" si="1"/>
        <v>63</v>
      </c>
      <c r="B68" s="3" t="s">
        <v>836</v>
      </c>
      <c r="C68" s="4" t="s">
        <v>821</v>
      </c>
      <c r="D68" s="4" t="s">
        <v>837</v>
      </c>
      <c r="E68" s="4" t="s">
        <v>2069</v>
      </c>
      <c r="F68" s="3" t="s">
        <v>675</v>
      </c>
      <c r="G68" s="42" t="s">
        <v>687</v>
      </c>
      <c r="H68" s="3" t="s">
        <v>6</v>
      </c>
      <c r="I68" s="35">
        <v>1525</v>
      </c>
      <c r="J68" s="35">
        <f t="shared" si="8"/>
        <v>3050</v>
      </c>
      <c r="K68" s="23">
        <v>5</v>
      </c>
      <c r="L68" s="3"/>
      <c r="M68" s="3">
        <v>8242.2999999999993</v>
      </c>
      <c r="N68" s="3">
        <v>5</v>
      </c>
      <c r="O68" s="3"/>
      <c r="P68" s="160">
        <v>8544.3799999999992</v>
      </c>
      <c r="Q68" s="3"/>
      <c r="R68" s="3"/>
      <c r="S68" s="3"/>
      <c r="T68" s="3"/>
    </row>
    <row r="69" spans="1:20">
      <c r="A69" s="13">
        <f t="shared" si="1"/>
        <v>64</v>
      </c>
      <c r="B69" s="3" t="s">
        <v>838</v>
      </c>
      <c r="C69" s="4" t="s">
        <v>821</v>
      </c>
      <c r="D69" s="4" t="s">
        <v>839</v>
      </c>
      <c r="E69" s="4" t="s">
        <v>2069</v>
      </c>
      <c r="F69" s="3" t="s">
        <v>675</v>
      </c>
      <c r="G69" s="42" t="s">
        <v>418</v>
      </c>
      <c r="H69" s="3" t="s">
        <v>6</v>
      </c>
      <c r="I69" s="35">
        <v>670</v>
      </c>
      <c r="J69" s="35">
        <f t="shared" si="8"/>
        <v>2680</v>
      </c>
      <c r="K69" s="23"/>
      <c r="L69" s="3"/>
      <c r="M69" s="3"/>
      <c r="N69" s="3">
        <v>4</v>
      </c>
      <c r="O69" s="3"/>
      <c r="P69" s="160">
        <v>2680</v>
      </c>
      <c r="Q69" s="3"/>
      <c r="R69" s="3"/>
      <c r="S69" s="3"/>
      <c r="T69" s="3"/>
    </row>
    <row r="70" spans="1:20">
      <c r="A70" s="14">
        <f t="shared" si="1"/>
        <v>65</v>
      </c>
      <c r="B70" s="3" t="s">
        <v>840</v>
      </c>
      <c r="C70" s="4" t="s">
        <v>821</v>
      </c>
      <c r="D70" s="4" t="s">
        <v>841</v>
      </c>
      <c r="E70" s="4" t="s">
        <v>2069</v>
      </c>
      <c r="F70" s="3" t="s">
        <v>675</v>
      </c>
      <c r="G70" s="42" t="s">
        <v>418</v>
      </c>
      <c r="H70" s="3" t="s">
        <v>6</v>
      </c>
      <c r="I70" s="35">
        <v>940</v>
      </c>
      <c r="J70" s="35">
        <f t="shared" si="8"/>
        <v>3760</v>
      </c>
      <c r="K70" s="23">
        <v>5</v>
      </c>
      <c r="L70" s="3"/>
      <c r="M70" s="3">
        <v>5410.3</v>
      </c>
      <c r="N70" s="3">
        <v>6</v>
      </c>
      <c r="O70" s="3"/>
      <c r="P70" s="160">
        <v>6573.78</v>
      </c>
      <c r="Q70" s="3"/>
      <c r="R70" s="3"/>
      <c r="S70" s="3"/>
      <c r="T70" s="3"/>
    </row>
    <row r="71" spans="1:20">
      <c r="A71" s="13">
        <f t="shared" si="1"/>
        <v>66</v>
      </c>
      <c r="B71" s="3" t="s">
        <v>842</v>
      </c>
      <c r="C71" s="4" t="s">
        <v>821</v>
      </c>
      <c r="D71" s="4" t="s">
        <v>843</v>
      </c>
      <c r="E71" s="4" t="s">
        <v>2069</v>
      </c>
      <c r="F71" s="3" t="s">
        <v>675</v>
      </c>
      <c r="G71" s="42">
        <f>5-2</f>
        <v>3</v>
      </c>
      <c r="H71" s="3" t="s">
        <v>6</v>
      </c>
      <c r="I71" s="35">
        <v>670</v>
      </c>
      <c r="J71" s="35">
        <f t="shared" si="8"/>
        <v>2010</v>
      </c>
      <c r="K71" s="23"/>
      <c r="L71" s="3"/>
      <c r="M71" s="3"/>
      <c r="N71" s="3"/>
      <c r="O71" s="3"/>
      <c r="P71" s="160"/>
      <c r="Q71" s="3"/>
      <c r="R71" s="3"/>
      <c r="S71" s="3"/>
      <c r="T71" s="3"/>
    </row>
    <row r="72" spans="1:20">
      <c r="A72" s="14">
        <f t="shared" ref="A72:A135" si="9">A71+1</f>
        <v>67</v>
      </c>
      <c r="B72" s="3" t="s">
        <v>844</v>
      </c>
      <c r="C72" s="4" t="s">
        <v>821</v>
      </c>
      <c r="D72" s="4" t="s">
        <v>845</v>
      </c>
      <c r="E72" s="4" t="s">
        <v>2076</v>
      </c>
      <c r="F72" s="3" t="s">
        <v>675</v>
      </c>
      <c r="G72" s="42">
        <f>6-1</f>
        <v>5</v>
      </c>
      <c r="H72" s="3" t="s">
        <v>6</v>
      </c>
      <c r="I72" s="35">
        <v>550</v>
      </c>
      <c r="J72" s="35">
        <f t="shared" si="8"/>
        <v>2750</v>
      </c>
      <c r="K72" s="23">
        <v>6</v>
      </c>
      <c r="L72" s="3"/>
      <c r="M72" s="3">
        <v>3511.68</v>
      </c>
      <c r="N72" s="3">
        <v>3</v>
      </c>
      <c r="O72" s="3"/>
      <c r="P72" s="160">
        <v>1947</v>
      </c>
      <c r="Q72" s="3"/>
      <c r="R72" s="3"/>
      <c r="S72" s="3"/>
      <c r="T72" s="3"/>
    </row>
    <row r="73" spans="1:20">
      <c r="A73" s="13">
        <f t="shared" si="9"/>
        <v>68</v>
      </c>
      <c r="B73" s="3" t="s">
        <v>846</v>
      </c>
      <c r="C73" s="4" t="s">
        <v>821</v>
      </c>
      <c r="D73" s="4" t="s">
        <v>847</v>
      </c>
      <c r="E73" s="4" t="s">
        <v>2076</v>
      </c>
      <c r="F73" s="3" t="s">
        <v>675</v>
      </c>
      <c r="G73" s="42" t="s">
        <v>435</v>
      </c>
      <c r="H73" s="3" t="s">
        <v>6</v>
      </c>
      <c r="I73" s="35">
        <v>670</v>
      </c>
      <c r="J73" s="35">
        <f t="shared" si="8"/>
        <v>3350</v>
      </c>
      <c r="K73" s="23"/>
      <c r="L73" s="3"/>
      <c r="M73" s="3"/>
      <c r="N73" s="3">
        <v>3</v>
      </c>
      <c r="O73" s="3"/>
      <c r="P73" s="160">
        <v>2010</v>
      </c>
      <c r="Q73" s="3"/>
      <c r="R73" s="3"/>
      <c r="S73" s="3"/>
      <c r="T73" s="3"/>
    </row>
    <row r="74" spans="1:20">
      <c r="A74" s="14">
        <f t="shared" si="9"/>
        <v>69</v>
      </c>
      <c r="B74" s="3" t="s">
        <v>848</v>
      </c>
      <c r="C74" s="4" t="s">
        <v>830</v>
      </c>
      <c r="D74" s="4" t="s">
        <v>849</v>
      </c>
      <c r="E74" s="4" t="s">
        <v>2069</v>
      </c>
      <c r="F74" s="3" t="s">
        <v>675</v>
      </c>
      <c r="G74" s="42" t="s">
        <v>712</v>
      </c>
      <c r="H74" s="3" t="s">
        <v>6</v>
      </c>
      <c r="I74" s="35">
        <v>2950</v>
      </c>
      <c r="J74" s="35">
        <f t="shared" si="8"/>
        <v>29500</v>
      </c>
      <c r="K74" s="23"/>
      <c r="L74" s="3"/>
      <c r="M74" s="3"/>
      <c r="N74" s="3"/>
      <c r="O74" s="3"/>
      <c r="P74" s="160"/>
      <c r="Q74" s="3"/>
      <c r="R74" s="3"/>
      <c r="S74" s="3"/>
      <c r="T74" s="3"/>
    </row>
    <row r="75" spans="1:20">
      <c r="A75" s="13">
        <f t="shared" si="9"/>
        <v>70</v>
      </c>
      <c r="B75" s="3" t="s">
        <v>850</v>
      </c>
      <c r="C75" s="4" t="s">
        <v>830</v>
      </c>
      <c r="D75" s="4" t="s">
        <v>851</v>
      </c>
      <c r="E75" s="4" t="s">
        <v>2069</v>
      </c>
      <c r="F75" s="3" t="s">
        <v>675</v>
      </c>
      <c r="G75" s="42" t="s">
        <v>712</v>
      </c>
      <c r="H75" s="3" t="s">
        <v>6</v>
      </c>
      <c r="I75" s="35">
        <v>2840</v>
      </c>
      <c r="J75" s="35">
        <f t="shared" si="8"/>
        <v>28400</v>
      </c>
      <c r="K75" s="23"/>
      <c r="L75" s="3"/>
      <c r="M75" s="3"/>
      <c r="N75" s="3"/>
      <c r="O75" s="3"/>
      <c r="P75" s="160"/>
      <c r="Q75" s="3"/>
      <c r="R75" s="3"/>
      <c r="S75" s="3"/>
      <c r="T75" s="3"/>
    </row>
    <row r="76" spans="1:20">
      <c r="A76" s="14">
        <f t="shared" si="9"/>
        <v>71</v>
      </c>
      <c r="B76" s="3" t="s">
        <v>852</v>
      </c>
      <c r="C76" s="4" t="s">
        <v>853</v>
      </c>
      <c r="D76" s="4" t="s">
        <v>854</v>
      </c>
      <c r="E76" s="4" t="s">
        <v>2157</v>
      </c>
      <c r="F76" s="3" t="s">
        <v>675</v>
      </c>
      <c r="G76" s="42" t="s">
        <v>687</v>
      </c>
      <c r="H76" s="3" t="s">
        <v>855</v>
      </c>
      <c r="I76" s="35">
        <v>180</v>
      </c>
      <c r="J76" s="35">
        <f t="shared" si="8"/>
        <v>360</v>
      </c>
      <c r="K76" s="23"/>
      <c r="L76" s="3"/>
      <c r="M76" s="3"/>
      <c r="N76" s="3"/>
      <c r="O76" s="3"/>
      <c r="P76" s="160"/>
      <c r="Q76" s="3"/>
      <c r="R76" s="3"/>
      <c r="S76" s="3"/>
      <c r="T76" s="3"/>
    </row>
    <row r="77" spans="1:20" ht="45">
      <c r="A77" s="14">
        <f t="shared" si="9"/>
        <v>72</v>
      </c>
      <c r="B77" s="9" t="s">
        <v>856</v>
      </c>
      <c r="C77" s="64" t="s">
        <v>2023</v>
      </c>
      <c r="D77" s="64" t="s">
        <v>857</v>
      </c>
      <c r="E77" s="64" t="s">
        <v>2077</v>
      </c>
      <c r="F77" s="63" t="s">
        <v>675</v>
      </c>
      <c r="G77" s="82">
        <f>3+1-1</f>
        <v>3</v>
      </c>
      <c r="H77" s="63" t="s">
        <v>6</v>
      </c>
      <c r="I77" s="75">
        <v>53100</v>
      </c>
      <c r="J77" s="36">
        <f t="shared" si="8"/>
        <v>159300</v>
      </c>
      <c r="K77" s="91"/>
      <c r="L77" s="3"/>
      <c r="M77" s="3"/>
      <c r="N77" s="3">
        <v>2</v>
      </c>
      <c r="O77" s="3"/>
      <c r="P77" s="160">
        <v>106200</v>
      </c>
      <c r="Q77" s="3"/>
      <c r="R77" s="3"/>
      <c r="S77" s="3"/>
      <c r="T77" s="3"/>
    </row>
    <row r="78" spans="1:20">
      <c r="A78" s="14">
        <f t="shared" si="9"/>
        <v>73</v>
      </c>
      <c r="B78" s="3" t="s">
        <v>858</v>
      </c>
      <c r="C78" s="4" t="s">
        <v>859</v>
      </c>
      <c r="D78" s="4" t="s">
        <v>860</v>
      </c>
      <c r="E78" s="4" t="s">
        <v>2078</v>
      </c>
      <c r="F78" s="3" t="s">
        <v>675</v>
      </c>
      <c r="G78" s="42" t="s">
        <v>422</v>
      </c>
      <c r="H78" s="3" t="s">
        <v>6</v>
      </c>
      <c r="I78" s="35">
        <v>850</v>
      </c>
      <c r="J78" s="35">
        <f t="shared" si="8"/>
        <v>850</v>
      </c>
      <c r="K78" s="23"/>
      <c r="L78" s="3"/>
      <c r="M78" s="3"/>
      <c r="N78" s="3"/>
      <c r="O78" s="3"/>
      <c r="P78" s="160"/>
      <c r="Q78" s="3"/>
      <c r="R78" s="3"/>
      <c r="S78" s="3"/>
      <c r="T78" s="3"/>
    </row>
    <row r="79" spans="1:20">
      <c r="A79" s="13">
        <f t="shared" si="9"/>
        <v>74</v>
      </c>
      <c r="B79" s="3" t="s">
        <v>861</v>
      </c>
      <c r="C79" s="4" t="s">
        <v>862</v>
      </c>
      <c r="D79" s="4" t="s">
        <v>863</v>
      </c>
      <c r="E79" s="4" t="s">
        <v>2159</v>
      </c>
      <c r="F79" s="3" t="s">
        <v>675</v>
      </c>
      <c r="G79" s="42" t="s">
        <v>422</v>
      </c>
      <c r="H79" s="3" t="s">
        <v>6</v>
      </c>
      <c r="I79" s="35">
        <v>460</v>
      </c>
      <c r="J79" s="35">
        <f t="shared" si="8"/>
        <v>460</v>
      </c>
      <c r="K79" s="23"/>
      <c r="L79" s="3"/>
      <c r="M79" s="3"/>
      <c r="N79" s="3"/>
      <c r="O79" s="3"/>
      <c r="P79" s="160"/>
      <c r="Q79" s="3"/>
      <c r="R79" s="3"/>
      <c r="S79" s="3"/>
      <c r="T79" s="3"/>
    </row>
    <row r="80" spans="1:20">
      <c r="A80" s="14">
        <f t="shared" si="9"/>
        <v>75</v>
      </c>
      <c r="B80" s="3" t="s">
        <v>864</v>
      </c>
      <c r="C80" s="4" t="s">
        <v>865</v>
      </c>
      <c r="D80" s="4" t="s">
        <v>866</v>
      </c>
      <c r="E80" s="4" t="s">
        <v>2159</v>
      </c>
      <c r="F80" s="3" t="s">
        <v>675</v>
      </c>
      <c r="G80" s="42" t="s">
        <v>422</v>
      </c>
      <c r="H80" s="3" t="s">
        <v>6</v>
      </c>
      <c r="I80" s="35">
        <v>460</v>
      </c>
      <c r="J80" s="35">
        <f t="shared" si="8"/>
        <v>460</v>
      </c>
      <c r="K80" s="23"/>
      <c r="L80" s="3"/>
      <c r="M80" s="3"/>
      <c r="N80" s="3"/>
      <c r="O80" s="3"/>
      <c r="P80" s="160"/>
      <c r="Q80" s="3"/>
      <c r="R80" s="3"/>
      <c r="S80" s="3"/>
      <c r="T80" s="3"/>
    </row>
    <row r="81" spans="1:20">
      <c r="A81" s="13">
        <f t="shared" si="9"/>
        <v>76</v>
      </c>
      <c r="B81" s="3" t="s">
        <v>867</v>
      </c>
      <c r="C81" s="4" t="s">
        <v>868</v>
      </c>
      <c r="D81" s="4" t="s">
        <v>711</v>
      </c>
      <c r="E81" s="4" t="s">
        <v>2159</v>
      </c>
      <c r="F81" s="3" t="s">
        <v>675</v>
      </c>
      <c r="G81" s="42" t="s">
        <v>422</v>
      </c>
      <c r="H81" s="3" t="s">
        <v>6</v>
      </c>
      <c r="I81" s="35">
        <v>440</v>
      </c>
      <c r="J81" s="35">
        <f t="shared" si="8"/>
        <v>440</v>
      </c>
      <c r="K81" s="23"/>
      <c r="L81" s="3"/>
      <c r="M81" s="3"/>
      <c r="N81" s="3"/>
      <c r="O81" s="3"/>
      <c r="P81" s="160"/>
      <c r="Q81" s="3"/>
      <c r="R81" s="3"/>
      <c r="S81" s="3"/>
      <c r="T81" s="3"/>
    </row>
    <row r="82" spans="1:20">
      <c r="A82" s="14">
        <f t="shared" si="9"/>
        <v>77</v>
      </c>
      <c r="B82" s="3" t="s">
        <v>869</v>
      </c>
      <c r="C82" s="4" t="s">
        <v>868</v>
      </c>
      <c r="D82" s="4" t="s">
        <v>870</v>
      </c>
      <c r="E82" s="4" t="s">
        <v>2159</v>
      </c>
      <c r="F82" s="3" t="s">
        <v>675</v>
      </c>
      <c r="G82" s="42" t="s">
        <v>422</v>
      </c>
      <c r="H82" s="3" t="s">
        <v>6</v>
      </c>
      <c r="I82" s="35">
        <v>440</v>
      </c>
      <c r="J82" s="35">
        <f t="shared" si="8"/>
        <v>440</v>
      </c>
      <c r="K82" s="23"/>
      <c r="L82" s="3"/>
      <c r="M82" s="3"/>
      <c r="N82" s="3"/>
      <c r="O82" s="3"/>
      <c r="P82" s="160"/>
      <c r="Q82" s="3"/>
      <c r="R82" s="3"/>
      <c r="S82" s="3"/>
      <c r="T82" s="3"/>
    </row>
    <row r="83" spans="1:20">
      <c r="A83" s="13">
        <f t="shared" si="9"/>
        <v>78</v>
      </c>
      <c r="B83" s="3" t="s">
        <v>871</v>
      </c>
      <c r="C83" s="4" t="s">
        <v>872</v>
      </c>
      <c r="D83" s="4" t="s">
        <v>57</v>
      </c>
      <c r="E83" s="4" t="s">
        <v>2158</v>
      </c>
      <c r="F83" s="3" t="s">
        <v>675</v>
      </c>
      <c r="G83" s="42" t="s">
        <v>743</v>
      </c>
      <c r="H83" s="3" t="s">
        <v>6</v>
      </c>
      <c r="I83" s="35">
        <v>4200</v>
      </c>
      <c r="J83" s="35">
        <f t="shared" si="8"/>
        <v>12600</v>
      </c>
      <c r="K83" s="23"/>
      <c r="L83" s="3"/>
      <c r="M83" s="3"/>
      <c r="N83" s="3"/>
      <c r="O83" s="3"/>
      <c r="P83" s="160"/>
      <c r="Q83" s="3"/>
      <c r="R83" s="3"/>
      <c r="S83" s="3"/>
      <c r="T83" s="3"/>
    </row>
    <row r="84" spans="1:20">
      <c r="A84" s="14">
        <f t="shared" si="9"/>
        <v>79</v>
      </c>
      <c r="B84" s="3" t="s">
        <v>873</v>
      </c>
      <c r="C84" s="4" t="s">
        <v>874</v>
      </c>
      <c r="D84" s="4" t="s">
        <v>57</v>
      </c>
      <c r="E84" s="4" t="s">
        <v>2158</v>
      </c>
      <c r="F84" s="3" t="s">
        <v>675</v>
      </c>
      <c r="G84" s="42" t="s">
        <v>422</v>
      </c>
      <c r="H84" s="3" t="s">
        <v>6</v>
      </c>
      <c r="I84" s="35">
        <v>3800</v>
      </c>
      <c r="J84" s="35">
        <f t="shared" si="8"/>
        <v>3800</v>
      </c>
      <c r="K84" s="23"/>
      <c r="L84" s="3"/>
      <c r="M84" s="3"/>
      <c r="N84" s="3"/>
      <c r="O84" s="3"/>
      <c r="P84" s="160"/>
      <c r="Q84" s="3"/>
      <c r="R84" s="3"/>
      <c r="S84" s="3"/>
      <c r="T84" s="3"/>
    </row>
    <row r="85" spans="1:20">
      <c r="A85" s="13">
        <f t="shared" si="9"/>
        <v>80</v>
      </c>
      <c r="B85" s="3" t="s">
        <v>875</v>
      </c>
      <c r="C85" s="4" t="s">
        <v>876</v>
      </c>
      <c r="D85" s="4" t="s">
        <v>877</v>
      </c>
      <c r="E85" s="4" t="s">
        <v>2069</v>
      </c>
      <c r="F85" s="3" t="s">
        <v>675</v>
      </c>
      <c r="G85" s="42">
        <v>1</v>
      </c>
      <c r="H85" s="3" t="s">
        <v>6</v>
      </c>
      <c r="I85" s="35">
        <v>2800</v>
      </c>
      <c r="J85" s="35">
        <f t="shared" si="8"/>
        <v>2800</v>
      </c>
      <c r="K85" s="23"/>
      <c r="L85" s="3"/>
      <c r="M85" s="3"/>
      <c r="N85" s="3"/>
      <c r="O85" s="3"/>
      <c r="P85" s="160"/>
      <c r="Q85" s="3"/>
      <c r="R85" s="3"/>
      <c r="S85" s="3"/>
      <c r="T85" s="3"/>
    </row>
    <row r="86" spans="1:20">
      <c r="A86" s="14">
        <f t="shared" si="9"/>
        <v>81</v>
      </c>
      <c r="B86" s="9" t="s">
        <v>878</v>
      </c>
      <c r="C86" s="10" t="s">
        <v>879</v>
      </c>
      <c r="D86" s="10" t="s">
        <v>1680</v>
      </c>
      <c r="E86" s="10" t="s">
        <v>2069</v>
      </c>
      <c r="F86" s="9" t="s">
        <v>675</v>
      </c>
      <c r="G86" s="83" t="s">
        <v>422</v>
      </c>
      <c r="H86" s="9" t="s">
        <v>6</v>
      </c>
      <c r="I86" s="36">
        <v>1150</v>
      </c>
      <c r="J86" s="36">
        <f t="shared" si="8"/>
        <v>1150</v>
      </c>
      <c r="K86" s="91"/>
      <c r="L86" s="3"/>
      <c r="M86" s="3"/>
      <c r="N86" s="3"/>
      <c r="O86" s="3"/>
      <c r="P86" s="160"/>
      <c r="Q86" s="3"/>
      <c r="R86" s="3"/>
      <c r="S86" s="3"/>
      <c r="T86" s="3"/>
    </row>
    <row r="87" spans="1:20">
      <c r="A87" s="13">
        <f t="shared" si="9"/>
        <v>82</v>
      </c>
      <c r="B87" s="3" t="s">
        <v>880</v>
      </c>
      <c r="C87" s="4" t="s">
        <v>881</v>
      </c>
      <c r="D87" s="4" t="s">
        <v>882</v>
      </c>
      <c r="E87" s="4"/>
      <c r="F87" s="3" t="s">
        <v>675</v>
      </c>
      <c r="G87" s="42" t="s">
        <v>422</v>
      </c>
      <c r="H87" s="3" t="s">
        <v>6</v>
      </c>
      <c r="I87" s="35">
        <v>1300</v>
      </c>
      <c r="J87" s="35">
        <f t="shared" si="8"/>
        <v>1300</v>
      </c>
      <c r="K87" s="23"/>
      <c r="L87" s="3"/>
      <c r="M87" s="3"/>
      <c r="N87" s="3"/>
      <c r="O87" s="3"/>
      <c r="P87" s="160"/>
      <c r="Q87" s="3"/>
      <c r="R87" s="3"/>
      <c r="S87" s="3"/>
      <c r="T87" s="3"/>
    </row>
    <row r="88" spans="1:20">
      <c r="A88" s="14">
        <f t="shared" si="9"/>
        <v>83</v>
      </c>
      <c r="B88" s="3" t="s">
        <v>883</v>
      </c>
      <c r="C88" s="4" t="s">
        <v>884</v>
      </c>
      <c r="D88" s="4" t="s">
        <v>57</v>
      </c>
      <c r="E88" s="4" t="s">
        <v>2108</v>
      </c>
      <c r="F88" s="3" t="s">
        <v>675</v>
      </c>
      <c r="G88" s="42" t="s">
        <v>422</v>
      </c>
      <c r="H88" s="3" t="s">
        <v>6</v>
      </c>
      <c r="I88" s="35">
        <v>850</v>
      </c>
      <c r="J88" s="35">
        <f t="shared" si="8"/>
        <v>850</v>
      </c>
      <c r="K88" s="23"/>
      <c r="L88" s="3"/>
      <c r="M88" s="3"/>
      <c r="N88" s="3">
        <v>1</v>
      </c>
      <c r="O88" s="3"/>
      <c r="P88" s="160">
        <v>850</v>
      </c>
      <c r="Q88" s="3"/>
      <c r="R88" s="3"/>
      <c r="S88" s="3"/>
      <c r="T88" s="3"/>
    </row>
    <row r="89" spans="1:20">
      <c r="A89" s="13">
        <f t="shared" si="9"/>
        <v>84</v>
      </c>
      <c r="B89" s="3" t="s">
        <v>885</v>
      </c>
      <c r="C89" s="4" t="s">
        <v>821</v>
      </c>
      <c r="D89" s="4" t="s">
        <v>886</v>
      </c>
      <c r="E89" s="4" t="s">
        <v>2076</v>
      </c>
      <c r="F89" s="3" t="s">
        <v>675</v>
      </c>
      <c r="G89" s="42" t="s">
        <v>422</v>
      </c>
      <c r="H89" s="3" t="s">
        <v>6</v>
      </c>
      <c r="I89" s="35">
        <v>900</v>
      </c>
      <c r="J89" s="35">
        <f t="shared" si="8"/>
        <v>900</v>
      </c>
      <c r="K89" s="23"/>
      <c r="L89" s="3"/>
      <c r="M89" s="3"/>
      <c r="N89" s="3"/>
      <c r="O89" s="3"/>
      <c r="P89" s="160"/>
      <c r="Q89" s="3"/>
      <c r="R89" s="3"/>
      <c r="S89" s="3"/>
      <c r="T89" s="3"/>
    </row>
    <row r="90" spans="1:20">
      <c r="A90" s="14">
        <f t="shared" si="9"/>
        <v>85</v>
      </c>
      <c r="B90" s="3" t="s">
        <v>887</v>
      </c>
      <c r="C90" s="4" t="s">
        <v>821</v>
      </c>
      <c r="D90" s="4" t="s">
        <v>888</v>
      </c>
      <c r="E90" s="4" t="s">
        <v>2076</v>
      </c>
      <c r="F90" s="3" t="s">
        <v>675</v>
      </c>
      <c r="G90" s="42" t="s">
        <v>422</v>
      </c>
      <c r="H90" s="3" t="s">
        <v>6</v>
      </c>
      <c r="I90" s="35">
        <v>550</v>
      </c>
      <c r="J90" s="35">
        <f t="shared" si="8"/>
        <v>550</v>
      </c>
      <c r="K90" s="23"/>
      <c r="L90" s="3"/>
      <c r="M90" s="3"/>
      <c r="N90" s="3">
        <v>1</v>
      </c>
      <c r="O90" s="3"/>
      <c r="P90" s="160">
        <v>550</v>
      </c>
      <c r="Q90" s="3"/>
      <c r="R90" s="3"/>
      <c r="S90" s="3"/>
      <c r="T90" s="3"/>
    </row>
    <row r="91" spans="1:20">
      <c r="A91" s="13">
        <f t="shared" si="9"/>
        <v>86</v>
      </c>
      <c r="B91" s="3" t="s">
        <v>889</v>
      </c>
      <c r="C91" s="4" t="s">
        <v>890</v>
      </c>
      <c r="D91" s="88">
        <v>829</v>
      </c>
      <c r="E91" s="4" t="s">
        <v>2063</v>
      </c>
      <c r="F91" s="3" t="s">
        <v>675</v>
      </c>
      <c r="G91" s="42">
        <f>1-1</f>
        <v>0</v>
      </c>
      <c r="H91" s="3" t="s">
        <v>6</v>
      </c>
      <c r="I91" s="35">
        <v>78.23</v>
      </c>
      <c r="J91" s="35">
        <f t="shared" si="8"/>
        <v>0</v>
      </c>
      <c r="K91" s="23"/>
      <c r="L91" s="3"/>
      <c r="M91" s="3"/>
      <c r="N91" s="3"/>
      <c r="O91" s="3"/>
      <c r="P91" s="160"/>
      <c r="Q91" s="3"/>
      <c r="R91" s="3"/>
      <c r="S91" s="3"/>
      <c r="T91" s="3"/>
    </row>
    <row r="92" spans="1:20">
      <c r="A92" s="14">
        <f t="shared" si="9"/>
        <v>87</v>
      </c>
      <c r="B92" s="3" t="s">
        <v>891</v>
      </c>
      <c r="C92" s="4" t="s">
        <v>890</v>
      </c>
      <c r="D92" s="88">
        <v>929</v>
      </c>
      <c r="E92" s="4" t="s">
        <v>2063</v>
      </c>
      <c r="F92" s="3" t="s">
        <v>675</v>
      </c>
      <c r="G92" s="42" t="s">
        <v>422</v>
      </c>
      <c r="H92" s="3" t="s">
        <v>6</v>
      </c>
      <c r="I92" s="35">
        <v>144.19999999999999</v>
      </c>
      <c r="J92" s="35">
        <f t="shared" si="8"/>
        <v>144.19999999999999</v>
      </c>
      <c r="K92" s="23"/>
      <c r="L92" s="3"/>
      <c r="M92" s="3"/>
      <c r="N92" s="3"/>
      <c r="O92" s="3"/>
      <c r="P92" s="160"/>
      <c r="Q92" s="3"/>
      <c r="R92" s="3"/>
      <c r="S92" s="3"/>
      <c r="T92" s="3"/>
    </row>
    <row r="93" spans="1:20">
      <c r="A93" s="13">
        <f t="shared" si="9"/>
        <v>88</v>
      </c>
      <c r="B93" s="3" t="s">
        <v>892</v>
      </c>
      <c r="C93" s="4" t="s">
        <v>893</v>
      </c>
      <c r="D93" s="4" t="s">
        <v>894</v>
      </c>
      <c r="E93" s="4" t="s">
        <v>2076</v>
      </c>
      <c r="F93" s="3" t="s">
        <v>675</v>
      </c>
      <c r="G93" s="42" t="s">
        <v>435</v>
      </c>
      <c r="H93" s="3" t="s">
        <v>6</v>
      </c>
      <c r="I93" s="35">
        <v>1140</v>
      </c>
      <c r="J93" s="35">
        <f t="shared" si="8"/>
        <v>5700</v>
      </c>
      <c r="K93" s="23"/>
      <c r="L93" s="3"/>
      <c r="M93" s="3"/>
      <c r="N93" s="3">
        <v>2</v>
      </c>
      <c r="O93" s="3"/>
      <c r="P93" s="158">
        <v>2280</v>
      </c>
      <c r="Q93" s="3"/>
      <c r="R93" s="3"/>
      <c r="S93" s="3"/>
      <c r="T93" s="3"/>
    </row>
    <row r="94" spans="1:20">
      <c r="A94" s="14">
        <f t="shared" si="9"/>
        <v>89</v>
      </c>
      <c r="B94" s="3" t="s">
        <v>895</v>
      </c>
      <c r="C94" s="4" t="s">
        <v>893</v>
      </c>
      <c r="D94" s="4" t="s">
        <v>896</v>
      </c>
      <c r="E94" s="4" t="s">
        <v>2076</v>
      </c>
      <c r="F94" s="3" t="s">
        <v>675</v>
      </c>
      <c r="G94" s="42" t="s">
        <v>712</v>
      </c>
      <c r="H94" s="3" t="s">
        <v>6</v>
      </c>
      <c r="I94" s="35">
        <v>650</v>
      </c>
      <c r="J94" s="35">
        <f>G94*I94</f>
        <v>6500</v>
      </c>
      <c r="K94" s="23"/>
      <c r="L94" s="3"/>
      <c r="M94" s="3"/>
      <c r="N94" s="3">
        <v>9</v>
      </c>
      <c r="O94" s="3"/>
      <c r="P94" s="160">
        <v>5850</v>
      </c>
      <c r="Q94" s="3"/>
      <c r="R94" s="3"/>
      <c r="S94" s="3"/>
      <c r="T94" s="3"/>
    </row>
    <row r="95" spans="1:20">
      <c r="A95" s="13">
        <f t="shared" si="9"/>
        <v>90</v>
      </c>
      <c r="B95" s="3" t="s">
        <v>897</v>
      </c>
      <c r="C95" s="4" t="s">
        <v>893</v>
      </c>
      <c r="D95" s="4" t="s">
        <v>898</v>
      </c>
      <c r="E95" s="4" t="s">
        <v>2076</v>
      </c>
      <c r="F95" s="3" t="s">
        <v>675</v>
      </c>
      <c r="G95" s="42" t="s">
        <v>418</v>
      </c>
      <c r="H95" s="3" t="s">
        <v>6</v>
      </c>
      <c r="I95" s="35">
        <v>920</v>
      </c>
      <c r="J95" s="35">
        <f t="shared" ref="J95:J113" si="10">G95*I95</f>
        <v>3680</v>
      </c>
      <c r="K95" s="23"/>
      <c r="L95" s="3"/>
      <c r="M95" s="3"/>
      <c r="N95" s="3"/>
      <c r="O95" s="3"/>
      <c r="P95" s="160"/>
      <c r="Q95" s="3"/>
      <c r="R95" s="3"/>
      <c r="S95" s="3"/>
      <c r="T95" s="3"/>
    </row>
    <row r="96" spans="1:20">
      <c r="A96" s="14">
        <f t="shared" si="9"/>
        <v>91</v>
      </c>
      <c r="B96" s="3" t="s">
        <v>899</v>
      </c>
      <c r="C96" s="4" t="s">
        <v>900</v>
      </c>
      <c r="D96" s="4" t="s">
        <v>82</v>
      </c>
      <c r="E96" s="4" t="s">
        <v>2161</v>
      </c>
      <c r="F96" s="3" t="s">
        <v>675</v>
      </c>
      <c r="G96" s="42" t="s">
        <v>743</v>
      </c>
      <c r="H96" s="5" t="s">
        <v>11</v>
      </c>
      <c r="I96" s="35">
        <v>80</v>
      </c>
      <c r="J96" s="35">
        <f t="shared" si="10"/>
        <v>240</v>
      </c>
      <c r="K96" s="23"/>
      <c r="L96" s="3"/>
      <c r="M96" s="3"/>
      <c r="N96" s="3">
        <v>3</v>
      </c>
      <c r="O96" s="3"/>
      <c r="P96" s="160">
        <v>240</v>
      </c>
      <c r="Q96" s="3"/>
      <c r="R96" s="3"/>
      <c r="S96" s="3"/>
      <c r="T96" s="3"/>
    </row>
    <row r="97" spans="1:20">
      <c r="A97" s="13">
        <f t="shared" si="9"/>
        <v>92</v>
      </c>
      <c r="B97" s="3" t="s">
        <v>901</v>
      </c>
      <c r="C97" s="4" t="s">
        <v>900</v>
      </c>
      <c r="D97" s="4" t="s">
        <v>212</v>
      </c>
      <c r="E97" s="4" t="s">
        <v>2161</v>
      </c>
      <c r="F97" s="3" t="s">
        <v>675</v>
      </c>
      <c r="G97" s="42" t="s">
        <v>418</v>
      </c>
      <c r="H97" s="3" t="s">
        <v>11</v>
      </c>
      <c r="I97" s="35">
        <v>90</v>
      </c>
      <c r="J97" s="35">
        <f t="shared" si="10"/>
        <v>360</v>
      </c>
      <c r="K97" s="23"/>
      <c r="L97" s="3"/>
      <c r="M97" s="3"/>
      <c r="N97" s="3">
        <v>4</v>
      </c>
      <c r="O97" s="3"/>
      <c r="P97" s="160">
        <v>360</v>
      </c>
      <c r="Q97" s="3"/>
      <c r="R97" s="3"/>
      <c r="S97" s="3"/>
      <c r="T97" s="3"/>
    </row>
    <row r="98" spans="1:20">
      <c r="A98" s="14">
        <f t="shared" si="9"/>
        <v>93</v>
      </c>
      <c r="B98" s="3" t="s">
        <v>902</v>
      </c>
      <c r="C98" s="4" t="s">
        <v>900</v>
      </c>
      <c r="D98" s="4" t="s">
        <v>903</v>
      </c>
      <c r="E98" s="4" t="s">
        <v>2161</v>
      </c>
      <c r="F98" s="3" t="s">
        <v>675</v>
      </c>
      <c r="G98" s="42">
        <f>2-1</f>
        <v>1</v>
      </c>
      <c r="H98" s="3" t="s">
        <v>11</v>
      </c>
      <c r="I98" s="35">
        <v>110</v>
      </c>
      <c r="J98" s="35">
        <f t="shared" si="10"/>
        <v>110</v>
      </c>
      <c r="K98" s="23"/>
      <c r="L98" s="3"/>
      <c r="M98" s="3"/>
      <c r="N98" s="3">
        <v>1</v>
      </c>
      <c r="O98" s="3"/>
      <c r="P98" s="160">
        <v>110</v>
      </c>
      <c r="Q98" s="3"/>
      <c r="R98" s="3"/>
      <c r="S98" s="3"/>
      <c r="T98" s="3"/>
    </row>
    <row r="99" spans="1:20">
      <c r="A99" s="13">
        <f t="shared" si="9"/>
        <v>94</v>
      </c>
      <c r="B99" s="3" t="s">
        <v>904</v>
      </c>
      <c r="C99" s="4" t="s">
        <v>893</v>
      </c>
      <c r="D99" s="4" t="s">
        <v>905</v>
      </c>
      <c r="E99" s="4" t="s">
        <v>2076</v>
      </c>
      <c r="F99" s="3" t="s">
        <v>675</v>
      </c>
      <c r="G99" s="42">
        <f>10-1-1</f>
        <v>8</v>
      </c>
      <c r="H99" s="3" t="s">
        <v>6</v>
      </c>
      <c r="I99" s="35">
        <v>1950</v>
      </c>
      <c r="J99" s="35">
        <f t="shared" si="10"/>
        <v>15600</v>
      </c>
      <c r="K99" s="23"/>
      <c r="L99" s="3"/>
      <c r="M99" s="3"/>
      <c r="N99" s="3">
        <v>2</v>
      </c>
      <c r="O99" s="3"/>
      <c r="P99" s="160">
        <v>3900</v>
      </c>
      <c r="Q99" s="3"/>
      <c r="R99" s="3"/>
      <c r="S99" s="3"/>
      <c r="T99" s="3"/>
    </row>
    <row r="100" spans="1:20">
      <c r="A100" s="14">
        <f t="shared" si="9"/>
        <v>95</v>
      </c>
      <c r="B100" s="3" t="s">
        <v>906</v>
      </c>
      <c r="C100" s="4" t="s">
        <v>907</v>
      </c>
      <c r="D100" s="4" t="s">
        <v>57</v>
      </c>
      <c r="E100" s="4" t="s">
        <v>2076</v>
      </c>
      <c r="F100" s="3" t="s">
        <v>675</v>
      </c>
      <c r="G100" s="42">
        <f>5-3</f>
        <v>2</v>
      </c>
      <c r="H100" s="3" t="s">
        <v>6</v>
      </c>
      <c r="I100" s="35">
        <v>11.8</v>
      </c>
      <c r="J100" s="35">
        <f t="shared" si="10"/>
        <v>23.6</v>
      </c>
      <c r="K100" s="23">
        <v>20</v>
      </c>
      <c r="L100" s="3"/>
      <c r="M100" s="3">
        <v>280.83999999999997</v>
      </c>
      <c r="N100" s="3">
        <v>2</v>
      </c>
      <c r="O100" s="3"/>
      <c r="P100" s="160">
        <v>27.85</v>
      </c>
      <c r="Q100" s="3"/>
      <c r="R100" s="3"/>
      <c r="S100" s="3"/>
      <c r="T100" s="3"/>
    </row>
    <row r="101" spans="1:20">
      <c r="A101" s="13">
        <f t="shared" si="9"/>
        <v>96</v>
      </c>
      <c r="B101" s="3" t="s">
        <v>908</v>
      </c>
      <c r="C101" s="4" t="s">
        <v>909</v>
      </c>
      <c r="D101" s="4" t="s">
        <v>910</v>
      </c>
      <c r="E101" s="4" t="s">
        <v>2076</v>
      </c>
      <c r="F101" s="3" t="s">
        <v>675</v>
      </c>
      <c r="G101" s="42">
        <f>21-2</f>
        <v>19</v>
      </c>
      <c r="H101" s="3" t="s">
        <v>6</v>
      </c>
      <c r="I101" s="35">
        <v>90</v>
      </c>
      <c r="J101" s="35">
        <f t="shared" si="10"/>
        <v>1710</v>
      </c>
      <c r="K101" s="23"/>
      <c r="L101" s="3"/>
      <c r="M101" s="3"/>
      <c r="N101" s="3">
        <v>6</v>
      </c>
      <c r="O101" s="3"/>
      <c r="P101" s="160">
        <v>540</v>
      </c>
      <c r="Q101" s="3"/>
      <c r="R101" s="3"/>
      <c r="S101" s="3"/>
      <c r="T101" s="3"/>
    </row>
    <row r="102" spans="1:20">
      <c r="A102" s="14">
        <f t="shared" si="9"/>
        <v>97</v>
      </c>
      <c r="B102" s="3" t="s">
        <v>911</v>
      </c>
      <c r="C102" s="4" t="s">
        <v>909</v>
      </c>
      <c r="D102" s="4" t="s">
        <v>912</v>
      </c>
      <c r="E102" s="4" t="s">
        <v>2076</v>
      </c>
      <c r="F102" s="3" t="s">
        <v>675</v>
      </c>
      <c r="G102" s="42" t="s">
        <v>913</v>
      </c>
      <c r="H102" s="3" t="s">
        <v>6</v>
      </c>
      <c r="I102" s="35">
        <v>80</v>
      </c>
      <c r="J102" s="35">
        <f t="shared" si="10"/>
        <v>880</v>
      </c>
      <c r="K102" s="23"/>
      <c r="L102" s="3"/>
      <c r="M102" s="3"/>
      <c r="N102" s="3"/>
      <c r="O102" s="3"/>
      <c r="P102" s="160"/>
      <c r="Q102" s="3"/>
      <c r="R102" s="3"/>
      <c r="S102" s="3"/>
      <c r="T102" s="3"/>
    </row>
    <row r="103" spans="1:20">
      <c r="A103" s="13">
        <f t="shared" si="9"/>
        <v>98</v>
      </c>
      <c r="B103" s="3" t="s">
        <v>914</v>
      </c>
      <c r="C103" s="4" t="s">
        <v>909</v>
      </c>
      <c r="D103" s="4" t="s">
        <v>915</v>
      </c>
      <c r="E103" s="4" t="s">
        <v>2076</v>
      </c>
      <c r="F103" s="3" t="s">
        <v>675</v>
      </c>
      <c r="G103" s="42" t="s">
        <v>750</v>
      </c>
      <c r="H103" s="3" t="s">
        <v>6</v>
      </c>
      <c r="I103" s="35">
        <v>85</v>
      </c>
      <c r="J103" s="35">
        <f t="shared" si="10"/>
        <v>1275</v>
      </c>
      <c r="K103" s="23"/>
      <c r="L103" s="3"/>
      <c r="M103" s="3"/>
      <c r="N103" s="3">
        <v>2</v>
      </c>
      <c r="O103" s="3"/>
      <c r="P103" s="160">
        <v>170</v>
      </c>
      <c r="Q103" s="3"/>
      <c r="R103" s="3"/>
      <c r="S103" s="3"/>
      <c r="T103" s="3"/>
    </row>
    <row r="104" spans="1:20">
      <c r="A104" s="14">
        <f t="shared" si="9"/>
        <v>99</v>
      </c>
      <c r="B104" s="3" t="s">
        <v>916</v>
      </c>
      <c r="C104" s="4" t="s">
        <v>909</v>
      </c>
      <c r="D104" s="4" t="s">
        <v>917</v>
      </c>
      <c r="E104" s="4" t="s">
        <v>2076</v>
      </c>
      <c r="F104" s="3" t="s">
        <v>675</v>
      </c>
      <c r="G104" s="42" t="s">
        <v>823</v>
      </c>
      <c r="H104" s="3" t="s">
        <v>6</v>
      </c>
      <c r="I104" s="35">
        <v>60</v>
      </c>
      <c r="J104" s="35">
        <f t="shared" si="10"/>
        <v>420</v>
      </c>
      <c r="K104" s="23"/>
      <c r="L104" s="3"/>
      <c r="M104" s="3"/>
      <c r="N104" s="3">
        <v>7</v>
      </c>
      <c r="O104" s="3"/>
      <c r="P104" s="160">
        <v>420</v>
      </c>
      <c r="Q104" s="3"/>
      <c r="R104" s="3"/>
      <c r="S104" s="3"/>
      <c r="T104" s="3"/>
    </row>
    <row r="105" spans="1:20">
      <c r="A105" s="13">
        <f t="shared" si="9"/>
        <v>100</v>
      </c>
      <c r="B105" s="3" t="s">
        <v>918</v>
      </c>
      <c r="C105" s="4" t="s">
        <v>919</v>
      </c>
      <c r="D105" s="4" t="s">
        <v>920</v>
      </c>
      <c r="E105" s="4" t="s">
        <v>1442</v>
      </c>
      <c r="F105" s="3" t="s">
        <v>675</v>
      </c>
      <c r="G105" s="42" t="s">
        <v>687</v>
      </c>
      <c r="H105" s="3" t="s">
        <v>6</v>
      </c>
      <c r="I105" s="35">
        <v>100</v>
      </c>
      <c r="J105" s="35">
        <f t="shared" si="10"/>
        <v>200</v>
      </c>
      <c r="K105" s="23"/>
      <c r="L105" s="3"/>
      <c r="M105" s="3"/>
      <c r="N105" s="3"/>
      <c r="O105" s="3"/>
      <c r="P105" s="160"/>
      <c r="Q105" s="3"/>
      <c r="R105" s="3"/>
      <c r="S105" s="3"/>
      <c r="T105" s="3"/>
    </row>
    <row r="106" spans="1:20">
      <c r="A106" s="14">
        <f t="shared" si="9"/>
        <v>101</v>
      </c>
      <c r="B106" s="3" t="s">
        <v>921</v>
      </c>
      <c r="C106" s="4" t="s">
        <v>919</v>
      </c>
      <c r="D106" s="4" t="s">
        <v>922</v>
      </c>
      <c r="E106" s="4" t="s">
        <v>1442</v>
      </c>
      <c r="F106" s="3" t="s">
        <v>675</v>
      </c>
      <c r="G106" s="42" t="s">
        <v>687</v>
      </c>
      <c r="H106" s="3" t="s">
        <v>6</v>
      </c>
      <c r="I106" s="35">
        <v>262</v>
      </c>
      <c r="J106" s="35">
        <f t="shared" si="10"/>
        <v>524</v>
      </c>
      <c r="K106" s="23"/>
      <c r="L106" s="3"/>
      <c r="M106" s="3"/>
      <c r="N106" s="3">
        <v>1</v>
      </c>
      <c r="O106" s="3"/>
      <c r="P106" s="158">
        <v>262</v>
      </c>
      <c r="Q106" s="3"/>
      <c r="R106" s="3"/>
      <c r="S106" s="3"/>
      <c r="T106" s="3"/>
    </row>
    <row r="107" spans="1:20">
      <c r="A107" s="13">
        <f t="shared" si="9"/>
        <v>102</v>
      </c>
      <c r="B107" s="3" t="s">
        <v>923</v>
      </c>
      <c r="C107" s="4" t="s">
        <v>924</v>
      </c>
      <c r="D107" s="4" t="s">
        <v>57</v>
      </c>
      <c r="E107" s="4"/>
      <c r="F107" s="3" t="s">
        <v>675</v>
      </c>
      <c r="G107" s="42" t="s">
        <v>743</v>
      </c>
      <c r="H107" s="3" t="s">
        <v>6</v>
      </c>
      <c r="I107" s="35">
        <v>140</v>
      </c>
      <c r="J107" s="35">
        <f t="shared" si="10"/>
        <v>420</v>
      </c>
      <c r="K107" s="23"/>
      <c r="L107" s="3"/>
      <c r="M107" s="3"/>
      <c r="N107" s="3"/>
      <c r="O107" s="3"/>
      <c r="P107" s="160"/>
      <c r="Q107" s="3"/>
      <c r="R107" s="3"/>
      <c r="S107" s="3"/>
      <c r="T107" s="3"/>
    </row>
    <row r="108" spans="1:20" ht="30">
      <c r="A108" s="14">
        <f t="shared" si="9"/>
        <v>103</v>
      </c>
      <c r="B108" s="9" t="s">
        <v>925</v>
      </c>
      <c r="C108" s="10" t="s">
        <v>926</v>
      </c>
      <c r="D108" s="10" t="s">
        <v>927</v>
      </c>
      <c r="E108" s="10" t="s">
        <v>2160</v>
      </c>
      <c r="F108" s="9" t="s">
        <v>675</v>
      </c>
      <c r="G108" s="83" t="s">
        <v>928</v>
      </c>
      <c r="H108" s="9" t="s">
        <v>6</v>
      </c>
      <c r="I108" s="36">
        <v>700</v>
      </c>
      <c r="J108" s="36">
        <f t="shared" si="10"/>
        <v>11900</v>
      </c>
      <c r="K108" s="23"/>
      <c r="L108" s="3"/>
      <c r="M108" s="3"/>
      <c r="N108" s="3">
        <v>1</v>
      </c>
      <c r="O108" s="3"/>
      <c r="P108" s="160">
        <v>700</v>
      </c>
      <c r="Q108" s="3"/>
      <c r="R108" s="3"/>
      <c r="S108" s="3"/>
      <c r="T108" s="3"/>
    </row>
    <row r="109" spans="1:20">
      <c r="A109" s="13">
        <f t="shared" si="9"/>
        <v>104</v>
      </c>
      <c r="B109" s="3" t="s">
        <v>929</v>
      </c>
      <c r="C109" s="4" t="s">
        <v>938</v>
      </c>
      <c r="D109" s="4" t="s">
        <v>930</v>
      </c>
      <c r="E109" s="4" t="s">
        <v>2160</v>
      </c>
      <c r="F109" s="3" t="s">
        <v>675</v>
      </c>
      <c r="G109" s="42">
        <f>5-1-1</f>
        <v>3</v>
      </c>
      <c r="H109" s="3" t="s">
        <v>6</v>
      </c>
      <c r="I109" s="35">
        <v>280</v>
      </c>
      <c r="J109" s="35">
        <f t="shared" si="10"/>
        <v>840</v>
      </c>
      <c r="K109" s="23"/>
      <c r="L109" s="3"/>
      <c r="M109" s="3"/>
      <c r="N109" s="3"/>
      <c r="O109" s="3"/>
      <c r="P109" s="160"/>
      <c r="Q109" s="3"/>
      <c r="R109" s="3"/>
      <c r="S109" s="3"/>
      <c r="T109" s="3"/>
    </row>
    <row r="110" spans="1:20">
      <c r="A110" s="14">
        <f t="shared" si="9"/>
        <v>105</v>
      </c>
      <c r="B110" s="3" t="s">
        <v>931</v>
      </c>
      <c r="C110" s="4" t="s">
        <v>932</v>
      </c>
      <c r="D110" s="4" t="s">
        <v>57</v>
      </c>
      <c r="E110" s="4" t="s">
        <v>2162</v>
      </c>
      <c r="F110" s="3" t="s">
        <v>675</v>
      </c>
      <c r="G110" s="42">
        <f>6-1-1</f>
        <v>4</v>
      </c>
      <c r="H110" s="3" t="s">
        <v>6</v>
      </c>
      <c r="I110" s="35">
        <v>200.6</v>
      </c>
      <c r="J110" s="35">
        <f t="shared" si="10"/>
        <v>802.4</v>
      </c>
      <c r="K110" s="23"/>
      <c r="L110" s="3"/>
      <c r="M110" s="3"/>
      <c r="N110" s="3">
        <v>3</v>
      </c>
      <c r="O110" s="3"/>
      <c r="P110" s="158">
        <v>601.79999999999995</v>
      </c>
      <c r="Q110" s="3"/>
      <c r="R110" s="3"/>
      <c r="S110" s="3"/>
      <c r="T110" s="3"/>
    </row>
    <row r="111" spans="1:20">
      <c r="A111" s="13">
        <f t="shared" si="9"/>
        <v>106</v>
      </c>
      <c r="B111" s="3" t="s">
        <v>933</v>
      </c>
      <c r="C111" s="4" t="s">
        <v>934</v>
      </c>
      <c r="D111" s="4" t="s">
        <v>935</v>
      </c>
      <c r="E111" s="4" t="s">
        <v>2076</v>
      </c>
      <c r="F111" s="3" t="s">
        <v>675</v>
      </c>
      <c r="G111" s="42" t="s">
        <v>936</v>
      </c>
      <c r="H111" s="3" t="s">
        <v>6</v>
      </c>
      <c r="I111" s="35">
        <v>130</v>
      </c>
      <c r="J111" s="35">
        <f t="shared" si="10"/>
        <v>2600</v>
      </c>
      <c r="K111" s="23">
        <v>10</v>
      </c>
      <c r="L111" s="3"/>
      <c r="M111" s="158">
        <v>1368.8</v>
      </c>
      <c r="N111" s="3">
        <v>22</v>
      </c>
      <c r="O111" s="3"/>
      <c r="P111" s="160">
        <v>3341.76</v>
      </c>
      <c r="Q111" s="3"/>
      <c r="R111" s="3"/>
      <c r="S111" s="3"/>
      <c r="T111" s="3"/>
    </row>
    <row r="112" spans="1:20">
      <c r="A112" s="14">
        <f t="shared" si="9"/>
        <v>107</v>
      </c>
      <c r="B112" s="3" t="s">
        <v>937</v>
      </c>
      <c r="C112" s="4" t="s">
        <v>938</v>
      </c>
      <c r="D112" s="4" t="s">
        <v>939</v>
      </c>
      <c r="E112" s="4" t="s">
        <v>2160</v>
      </c>
      <c r="F112" s="3" t="s">
        <v>675</v>
      </c>
      <c r="G112" s="42" t="s">
        <v>678</v>
      </c>
      <c r="H112" s="3" t="s">
        <v>6</v>
      </c>
      <c r="I112" s="35">
        <v>490</v>
      </c>
      <c r="J112" s="35">
        <f t="shared" si="10"/>
        <v>2940</v>
      </c>
      <c r="K112" s="23"/>
      <c r="L112" s="3"/>
      <c r="M112" s="3"/>
      <c r="N112" s="3"/>
      <c r="O112" s="3"/>
      <c r="P112" s="160"/>
      <c r="Q112" s="3"/>
      <c r="R112" s="3"/>
      <c r="S112" s="3"/>
      <c r="T112" s="3"/>
    </row>
    <row r="113" spans="1:20">
      <c r="A113" s="13">
        <f t="shared" si="9"/>
        <v>108</v>
      </c>
      <c r="B113" s="3" t="s">
        <v>940</v>
      </c>
      <c r="C113" s="4" t="s">
        <v>932</v>
      </c>
      <c r="D113" s="4" t="s">
        <v>941</v>
      </c>
      <c r="E113" s="4" t="s">
        <v>2160</v>
      </c>
      <c r="F113" s="3" t="s">
        <v>675</v>
      </c>
      <c r="G113" s="42" t="s">
        <v>712</v>
      </c>
      <c r="H113" s="3" t="s">
        <v>6</v>
      </c>
      <c r="I113" s="35">
        <v>390</v>
      </c>
      <c r="J113" s="35">
        <f t="shared" si="10"/>
        <v>3900</v>
      </c>
      <c r="K113" s="23"/>
      <c r="L113" s="3"/>
      <c r="M113" s="3"/>
      <c r="N113" s="3"/>
      <c r="O113" s="3"/>
      <c r="P113" s="160"/>
      <c r="Q113" s="3"/>
      <c r="R113" s="3"/>
      <c r="S113" s="3"/>
      <c r="T113" s="3"/>
    </row>
    <row r="114" spans="1:20">
      <c r="A114" s="14">
        <f t="shared" si="9"/>
        <v>109</v>
      </c>
      <c r="B114" s="3" t="s">
        <v>942</v>
      </c>
      <c r="C114" s="4" t="s">
        <v>909</v>
      </c>
      <c r="D114" s="4" t="s">
        <v>943</v>
      </c>
      <c r="E114" s="4" t="s">
        <v>2076</v>
      </c>
      <c r="F114" s="3" t="s">
        <v>675</v>
      </c>
      <c r="G114" s="42">
        <f>20-1</f>
        <v>19</v>
      </c>
      <c r="H114" s="3" t="s">
        <v>6</v>
      </c>
      <c r="I114" s="35">
        <v>20</v>
      </c>
      <c r="J114" s="35">
        <f>G114*I114</f>
        <v>380</v>
      </c>
      <c r="K114" s="23">
        <v>20</v>
      </c>
      <c r="L114" s="3"/>
      <c r="M114" s="149">
        <v>454.3</v>
      </c>
      <c r="N114" s="3">
        <v>20</v>
      </c>
      <c r="O114" s="3"/>
      <c r="P114" s="160">
        <v>471.12</v>
      </c>
      <c r="Q114" s="3"/>
      <c r="R114" s="3"/>
      <c r="S114" s="3"/>
      <c r="T114" s="3"/>
    </row>
    <row r="115" spans="1:20">
      <c r="A115" s="13">
        <f t="shared" si="9"/>
        <v>110</v>
      </c>
      <c r="B115" s="3" t="s">
        <v>944</v>
      </c>
      <c r="C115" s="4" t="s">
        <v>909</v>
      </c>
      <c r="D115" s="4" t="s">
        <v>910</v>
      </c>
      <c r="E115" s="4" t="s">
        <v>2076</v>
      </c>
      <c r="F115" s="3" t="s">
        <v>675</v>
      </c>
      <c r="G115" s="42" t="s">
        <v>435</v>
      </c>
      <c r="H115" s="3" t="s">
        <v>6</v>
      </c>
      <c r="I115" s="35">
        <v>90</v>
      </c>
      <c r="J115" s="35">
        <f t="shared" ref="J115:J116" si="11">G115*I115</f>
        <v>450</v>
      </c>
      <c r="K115" s="23"/>
      <c r="L115" s="3"/>
      <c r="M115" s="3"/>
      <c r="N115" s="3"/>
      <c r="O115" s="3"/>
      <c r="P115" s="160"/>
      <c r="Q115" s="3"/>
      <c r="R115" s="3"/>
      <c r="S115" s="3"/>
      <c r="T115" s="3"/>
    </row>
    <row r="116" spans="1:20">
      <c r="A116" s="14">
        <f t="shared" si="9"/>
        <v>111</v>
      </c>
      <c r="B116" s="3" t="s">
        <v>945</v>
      </c>
      <c r="C116" s="4" t="s">
        <v>909</v>
      </c>
      <c r="D116" s="4" t="s">
        <v>946</v>
      </c>
      <c r="E116" s="4" t="s">
        <v>2076</v>
      </c>
      <c r="F116" s="3" t="s">
        <v>675</v>
      </c>
      <c r="G116" s="42" t="s">
        <v>422</v>
      </c>
      <c r="H116" s="3" t="s">
        <v>6</v>
      </c>
      <c r="I116" s="35">
        <v>85</v>
      </c>
      <c r="J116" s="35">
        <f t="shared" si="11"/>
        <v>85</v>
      </c>
      <c r="K116" s="23"/>
      <c r="L116" s="3"/>
      <c r="M116" s="3"/>
      <c r="N116" s="3"/>
      <c r="O116" s="3"/>
      <c r="P116" s="160"/>
      <c r="Q116" s="3"/>
      <c r="R116" s="3"/>
      <c r="S116" s="3"/>
      <c r="T116" s="3"/>
    </row>
    <row r="117" spans="1:20">
      <c r="A117" s="13">
        <f t="shared" si="9"/>
        <v>112</v>
      </c>
      <c r="B117" s="3" t="s">
        <v>947</v>
      </c>
      <c r="C117" s="4" t="s">
        <v>909</v>
      </c>
      <c r="D117" s="4" t="s">
        <v>917</v>
      </c>
      <c r="E117" s="4" t="s">
        <v>2076</v>
      </c>
      <c r="F117" s="3" t="s">
        <v>675</v>
      </c>
      <c r="G117" s="42" t="s">
        <v>687</v>
      </c>
      <c r="H117" s="3" t="s">
        <v>6</v>
      </c>
      <c r="I117" s="35">
        <v>80</v>
      </c>
      <c r="J117" s="35">
        <f>G117*I117</f>
        <v>160</v>
      </c>
      <c r="K117" s="23"/>
      <c r="L117" s="3"/>
      <c r="M117" s="3"/>
      <c r="N117" s="3"/>
      <c r="O117" s="3"/>
      <c r="P117" s="160"/>
      <c r="Q117" s="3"/>
      <c r="R117" s="3"/>
      <c r="S117" s="3"/>
      <c r="T117" s="3"/>
    </row>
    <row r="118" spans="1:20">
      <c r="A118" s="14">
        <f t="shared" si="9"/>
        <v>113</v>
      </c>
      <c r="B118" s="3" t="s">
        <v>948</v>
      </c>
      <c r="C118" s="4" t="s">
        <v>949</v>
      </c>
      <c r="D118" s="4" t="s">
        <v>57</v>
      </c>
      <c r="E118" s="4"/>
      <c r="F118" s="3" t="s">
        <v>675</v>
      </c>
      <c r="G118" s="42" t="s">
        <v>733</v>
      </c>
      <c r="H118" s="3" t="s">
        <v>6</v>
      </c>
      <c r="I118" s="35">
        <v>80</v>
      </c>
      <c r="J118" s="35">
        <f t="shared" ref="J118:J136" si="12">G118*I118</f>
        <v>3600</v>
      </c>
      <c r="K118" s="23"/>
      <c r="L118" s="3"/>
      <c r="M118" s="3"/>
      <c r="N118" s="3">
        <v>5</v>
      </c>
      <c r="O118" s="3"/>
      <c r="P118" s="160">
        <v>709.48</v>
      </c>
      <c r="Q118" s="3"/>
      <c r="R118" s="3"/>
      <c r="S118" s="3"/>
      <c r="T118" s="3"/>
    </row>
    <row r="119" spans="1:20">
      <c r="A119" s="13">
        <f t="shared" si="9"/>
        <v>114</v>
      </c>
      <c r="B119" s="3" t="s">
        <v>950</v>
      </c>
      <c r="C119" s="4" t="s">
        <v>951</v>
      </c>
      <c r="D119" s="4" t="s">
        <v>57</v>
      </c>
      <c r="E119" s="4" t="s">
        <v>2076</v>
      </c>
      <c r="F119" s="3" t="s">
        <v>675</v>
      </c>
      <c r="G119" s="42">
        <f>5-3-1-1</f>
        <v>0</v>
      </c>
      <c r="H119" s="3" t="s">
        <v>6</v>
      </c>
      <c r="I119" s="35">
        <v>130</v>
      </c>
      <c r="J119" s="35">
        <f t="shared" si="12"/>
        <v>0</v>
      </c>
      <c r="K119" s="23">
        <v>5</v>
      </c>
      <c r="L119" s="3"/>
      <c r="M119" s="3">
        <v>709.48</v>
      </c>
      <c r="N119" s="3"/>
      <c r="O119" s="3"/>
      <c r="P119" s="160"/>
      <c r="Q119" s="3"/>
      <c r="R119" s="3"/>
      <c r="S119" s="3"/>
      <c r="T119" s="3"/>
    </row>
    <row r="120" spans="1:20">
      <c r="A120" s="14">
        <f t="shared" si="9"/>
        <v>115</v>
      </c>
      <c r="B120" s="3" t="s">
        <v>952</v>
      </c>
      <c r="C120" s="4" t="s">
        <v>953</v>
      </c>
      <c r="D120" s="4" t="s">
        <v>954</v>
      </c>
      <c r="E120" s="4"/>
      <c r="F120" s="3" t="s">
        <v>675</v>
      </c>
      <c r="G120" s="42" t="s">
        <v>678</v>
      </c>
      <c r="H120" s="3" t="s">
        <v>6</v>
      </c>
      <c r="I120" s="35">
        <v>110</v>
      </c>
      <c r="J120" s="35">
        <f t="shared" si="12"/>
        <v>660</v>
      </c>
      <c r="K120" s="23"/>
      <c r="L120" s="3"/>
      <c r="M120" s="3"/>
      <c r="N120" s="3"/>
      <c r="O120" s="3"/>
      <c r="P120" s="160"/>
      <c r="Q120" s="3"/>
      <c r="R120" s="3"/>
      <c r="S120" s="3"/>
      <c r="T120" s="3"/>
    </row>
    <row r="121" spans="1:20">
      <c r="A121" s="13">
        <f t="shared" si="9"/>
        <v>116</v>
      </c>
      <c r="B121" s="9" t="s">
        <v>955</v>
      </c>
      <c r="C121" s="10" t="s">
        <v>956</v>
      </c>
      <c r="D121" s="10" t="s">
        <v>2079</v>
      </c>
      <c r="E121" s="10" t="s">
        <v>2075</v>
      </c>
      <c r="F121" s="9" t="s">
        <v>675</v>
      </c>
      <c r="G121" s="83" t="s">
        <v>739</v>
      </c>
      <c r="H121" s="9" t="s">
        <v>6</v>
      </c>
      <c r="I121" s="35">
        <v>180</v>
      </c>
      <c r="J121" s="35">
        <f t="shared" si="12"/>
        <v>3240</v>
      </c>
      <c r="K121" s="23"/>
      <c r="L121" s="3"/>
      <c r="M121" s="3"/>
      <c r="N121" s="3"/>
      <c r="O121" s="3"/>
      <c r="P121" s="160"/>
      <c r="Q121" s="3"/>
      <c r="R121" s="3"/>
      <c r="S121" s="3"/>
      <c r="T121" s="3"/>
    </row>
    <row r="122" spans="1:20" ht="30">
      <c r="A122" s="14">
        <f t="shared" si="9"/>
        <v>117</v>
      </c>
      <c r="B122" s="9" t="s">
        <v>957</v>
      </c>
      <c r="C122" s="64" t="s">
        <v>959</v>
      </c>
      <c r="D122" s="64" t="s">
        <v>1695</v>
      </c>
      <c r="E122" s="10" t="s">
        <v>2075</v>
      </c>
      <c r="F122" s="63" t="s">
        <v>675</v>
      </c>
      <c r="G122" s="82">
        <v>16</v>
      </c>
      <c r="H122" s="63" t="s">
        <v>6</v>
      </c>
      <c r="I122" s="75">
        <v>63</v>
      </c>
      <c r="J122" s="36">
        <f t="shared" si="12"/>
        <v>1008</v>
      </c>
      <c r="K122" s="23"/>
      <c r="L122" s="3"/>
      <c r="M122" s="3"/>
      <c r="N122" s="3"/>
      <c r="O122" s="3"/>
      <c r="P122" s="160"/>
      <c r="Q122" s="3"/>
      <c r="R122" s="3"/>
      <c r="S122" s="3"/>
      <c r="T122" s="3"/>
    </row>
    <row r="123" spans="1:20" ht="30">
      <c r="A123" s="13">
        <f t="shared" si="9"/>
        <v>118</v>
      </c>
      <c r="B123" s="3" t="s">
        <v>958</v>
      </c>
      <c r="C123" s="8" t="s">
        <v>959</v>
      </c>
      <c r="D123" s="8" t="s">
        <v>1696</v>
      </c>
      <c r="E123" s="10" t="s">
        <v>2075</v>
      </c>
      <c r="F123" s="28" t="s">
        <v>675</v>
      </c>
      <c r="G123" s="81">
        <v>10</v>
      </c>
      <c r="H123" s="28" t="s">
        <v>6</v>
      </c>
      <c r="I123" s="54">
        <v>63</v>
      </c>
      <c r="J123" s="35">
        <f t="shared" si="12"/>
        <v>630</v>
      </c>
      <c r="K123" s="23"/>
      <c r="L123" s="3"/>
      <c r="M123" s="3"/>
      <c r="N123" s="3"/>
      <c r="O123" s="3"/>
      <c r="P123" s="160"/>
      <c r="Q123" s="3"/>
      <c r="R123" s="3"/>
      <c r="S123" s="3"/>
      <c r="T123" s="3"/>
    </row>
    <row r="124" spans="1:20">
      <c r="A124" s="14">
        <f t="shared" si="9"/>
        <v>119</v>
      </c>
      <c r="B124" s="3" t="s">
        <v>960</v>
      </c>
      <c r="C124" s="4" t="s">
        <v>961</v>
      </c>
      <c r="D124" s="4" t="s">
        <v>962</v>
      </c>
      <c r="E124" s="4"/>
      <c r="F124" s="3" t="s">
        <v>675</v>
      </c>
      <c r="G124" s="42" t="s">
        <v>823</v>
      </c>
      <c r="H124" s="3" t="s">
        <v>6</v>
      </c>
      <c r="I124" s="35">
        <v>220</v>
      </c>
      <c r="J124" s="35">
        <f t="shared" si="12"/>
        <v>1540</v>
      </c>
      <c r="K124" s="23"/>
      <c r="L124" s="3"/>
      <c r="M124" s="3"/>
      <c r="N124" s="3"/>
      <c r="O124" s="3"/>
      <c r="P124" s="160"/>
      <c r="Q124" s="3"/>
      <c r="R124" s="3"/>
      <c r="S124" s="3"/>
      <c r="T124" s="3"/>
    </row>
    <row r="125" spans="1:20">
      <c r="A125" s="13">
        <f t="shared" si="9"/>
        <v>120</v>
      </c>
      <c r="B125" s="3" t="s">
        <v>963</v>
      </c>
      <c r="C125" s="4" t="s">
        <v>961</v>
      </c>
      <c r="D125" s="4" t="s">
        <v>964</v>
      </c>
      <c r="E125" s="4"/>
      <c r="F125" s="3" t="s">
        <v>675</v>
      </c>
      <c r="G125" s="42" t="s">
        <v>418</v>
      </c>
      <c r="H125" s="3" t="s">
        <v>6</v>
      </c>
      <c r="I125" s="35">
        <v>160</v>
      </c>
      <c r="J125" s="35">
        <f t="shared" si="12"/>
        <v>640</v>
      </c>
      <c r="K125" s="23"/>
      <c r="L125" s="3"/>
      <c r="M125" s="3"/>
      <c r="N125" s="3"/>
      <c r="O125" s="3"/>
      <c r="P125" s="160"/>
      <c r="Q125" s="3"/>
      <c r="R125" s="3"/>
      <c r="S125" s="3"/>
      <c r="T125" s="3"/>
    </row>
    <row r="126" spans="1:20">
      <c r="A126" s="14">
        <f t="shared" si="9"/>
        <v>121</v>
      </c>
      <c r="B126" s="3" t="s">
        <v>965</v>
      </c>
      <c r="C126" s="4" t="s">
        <v>961</v>
      </c>
      <c r="D126" s="4" t="s">
        <v>966</v>
      </c>
      <c r="E126" s="4"/>
      <c r="F126" s="3" t="s">
        <v>675</v>
      </c>
      <c r="G126" s="42" t="s">
        <v>967</v>
      </c>
      <c r="H126" s="3" t="s">
        <v>6</v>
      </c>
      <c r="I126" s="35">
        <v>160</v>
      </c>
      <c r="J126" s="35">
        <f t="shared" si="12"/>
        <v>3520</v>
      </c>
      <c r="K126" s="23"/>
      <c r="L126" s="3"/>
      <c r="M126" s="3"/>
      <c r="N126" s="3"/>
      <c r="O126" s="3"/>
      <c r="P126" s="160"/>
      <c r="Q126" s="3"/>
      <c r="R126" s="3"/>
      <c r="S126" s="3"/>
      <c r="T126" s="3"/>
    </row>
    <row r="127" spans="1:20">
      <c r="A127" s="13">
        <f t="shared" si="9"/>
        <v>122</v>
      </c>
      <c r="B127" s="3" t="s">
        <v>968</v>
      </c>
      <c r="C127" s="4" t="s">
        <v>961</v>
      </c>
      <c r="D127" s="4" t="s">
        <v>969</v>
      </c>
      <c r="E127" s="4"/>
      <c r="F127" s="3" t="s">
        <v>675</v>
      </c>
      <c r="G127" s="42" t="s">
        <v>783</v>
      </c>
      <c r="H127" s="3" t="s">
        <v>6</v>
      </c>
      <c r="I127" s="35">
        <v>160</v>
      </c>
      <c r="J127" s="35">
        <f t="shared" si="12"/>
        <v>5280</v>
      </c>
      <c r="K127" s="23"/>
      <c r="L127" s="3"/>
      <c r="M127" s="3"/>
      <c r="N127" s="3">
        <v>15</v>
      </c>
      <c r="O127" s="3"/>
      <c r="P127" s="158">
        <v>2400</v>
      </c>
      <c r="Q127" s="3"/>
      <c r="R127" s="3"/>
      <c r="S127" s="3"/>
      <c r="T127" s="3"/>
    </row>
    <row r="128" spans="1:20">
      <c r="A128" s="14">
        <f t="shared" si="9"/>
        <v>123</v>
      </c>
      <c r="B128" s="3" t="s">
        <v>970</v>
      </c>
      <c r="C128" s="4" t="s">
        <v>961</v>
      </c>
      <c r="D128" s="4" t="s">
        <v>971</v>
      </c>
      <c r="E128" s="4"/>
      <c r="F128" s="3" t="s">
        <v>675</v>
      </c>
      <c r="G128" s="42" t="s">
        <v>418</v>
      </c>
      <c r="H128" s="3" t="s">
        <v>6</v>
      </c>
      <c r="I128" s="35">
        <v>160</v>
      </c>
      <c r="J128" s="35">
        <f t="shared" si="12"/>
        <v>640</v>
      </c>
      <c r="K128" s="23"/>
      <c r="L128" s="3"/>
      <c r="M128" s="3"/>
      <c r="N128" s="3"/>
      <c r="O128" s="3"/>
      <c r="P128" s="160"/>
      <c r="Q128" s="3"/>
      <c r="R128" s="3"/>
      <c r="S128" s="3"/>
      <c r="T128" s="3"/>
    </row>
    <row r="129" spans="1:20" ht="45">
      <c r="A129" s="13">
        <f t="shared" si="9"/>
        <v>124</v>
      </c>
      <c r="B129" s="9" t="s">
        <v>972</v>
      </c>
      <c r="C129" s="10" t="s">
        <v>973</v>
      </c>
      <c r="D129" s="10" t="s">
        <v>974</v>
      </c>
      <c r="E129" s="10" t="s">
        <v>2080</v>
      </c>
      <c r="F129" s="9" t="s">
        <v>675</v>
      </c>
      <c r="G129" s="83" t="s">
        <v>418</v>
      </c>
      <c r="H129" s="9" t="s">
        <v>6</v>
      </c>
      <c r="I129" s="35">
        <v>5557.8</v>
      </c>
      <c r="J129" s="35">
        <f t="shared" si="12"/>
        <v>22231.200000000001</v>
      </c>
      <c r="K129" s="23"/>
      <c r="L129" s="3"/>
      <c r="M129" s="3"/>
      <c r="N129" s="3"/>
      <c r="O129" s="3"/>
      <c r="P129" s="160"/>
      <c r="Q129" s="3"/>
      <c r="R129" s="3"/>
      <c r="S129" s="3"/>
      <c r="T129" s="3"/>
    </row>
    <row r="130" spans="1:20">
      <c r="A130" s="14">
        <f t="shared" si="9"/>
        <v>125</v>
      </c>
      <c r="B130" s="3" t="s">
        <v>975</v>
      </c>
      <c r="C130" s="49" t="s">
        <v>976</v>
      </c>
      <c r="D130" s="49" t="s">
        <v>977</v>
      </c>
      <c r="E130" s="49"/>
      <c r="F130" s="80" t="s">
        <v>675</v>
      </c>
      <c r="G130" s="84">
        <v>0</v>
      </c>
      <c r="H130" s="80" t="s">
        <v>6</v>
      </c>
      <c r="I130" s="48">
        <v>350</v>
      </c>
      <c r="J130" s="48">
        <f t="shared" si="12"/>
        <v>0</v>
      </c>
      <c r="K130" s="23">
        <v>6</v>
      </c>
      <c r="L130" s="3"/>
      <c r="M130" s="3">
        <v>6077</v>
      </c>
      <c r="N130" s="3">
        <v>4</v>
      </c>
      <c r="O130" s="3"/>
      <c r="P130" s="160">
        <v>3776</v>
      </c>
      <c r="Q130" s="3"/>
      <c r="R130" s="3"/>
      <c r="S130" s="3"/>
      <c r="T130" s="3"/>
    </row>
    <row r="131" spans="1:20" ht="45">
      <c r="A131" s="13">
        <f t="shared" si="9"/>
        <v>126</v>
      </c>
      <c r="B131" s="3" t="s">
        <v>978</v>
      </c>
      <c r="C131" s="4" t="s">
        <v>979</v>
      </c>
      <c r="D131" s="4" t="s">
        <v>980</v>
      </c>
      <c r="E131" s="4" t="s">
        <v>2080</v>
      </c>
      <c r="F131" s="3" t="s">
        <v>675</v>
      </c>
      <c r="G131" s="42">
        <f>3-1</f>
        <v>2</v>
      </c>
      <c r="H131" s="3" t="s">
        <v>6</v>
      </c>
      <c r="I131" s="35">
        <v>4905.26</v>
      </c>
      <c r="J131" s="35">
        <f t="shared" si="12"/>
        <v>9810.52</v>
      </c>
      <c r="K131" s="23"/>
      <c r="L131" s="3"/>
      <c r="M131" s="3"/>
      <c r="N131" s="3"/>
      <c r="O131" s="3"/>
      <c r="P131" s="160"/>
      <c r="Q131" s="3"/>
      <c r="R131" s="3"/>
      <c r="S131" s="3"/>
      <c r="T131" s="3"/>
    </row>
    <row r="132" spans="1:20" ht="30">
      <c r="A132" s="14">
        <f t="shared" si="9"/>
        <v>127</v>
      </c>
      <c r="B132" s="9" t="s">
        <v>981</v>
      </c>
      <c r="C132" s="10" t="s">
        <v>973</v>
      </c>
      <c r="D132" s="10" t="s">
        <v>982</v>
      </c>
      <c r="E132" s="4" t="s">
        <v>2081</v>
      </c>
      <c r="F132" s="9" t="s">
        <v>675</v>
      </c>
      <c r="G132" s="83" t="s">
        <v>422</v>
      </c>
      <c r="H132" s="9" t="s">
        <v>6</v>
      </c>
      <c r="I132" s="35">
        <v>5557.8</v>
      </c>
      <c r="J132" s="35">
        <f t="shared" si="12"/>
        <v>5557.8</v>
      </c>
      <c r="K132" s="23"/>
      <c r="L132" s="3"/>
      <c r="M132" s="3"/>
      <c r="N132" s="3"/>
      <c r="O132" s="3"/>
      <c r="P132" s="160"/>
      <c r="Q132" s="3"/>
      <c r="R132" s="3"/>
      <c r="S132" s="3"/>
      <c r="T132" s="3"/>
    </row>
    <row r="133" spans="1:20">
      <c r="A133" s="13">
        <f t="shared" si="9"/>
        <v>128</v>
      </c>
      <c r="B133" s="3" t="s">
        <v>983</v>
      </c>
      <c r="C133" s="4" t="s">
        <v>984</v>
      </c>
      <c r="D133" s="4" t="s">
        <v>985</v>
      </c>
      <c r="E133" s="4"/>
      <c r="F133" s="3" t="s">
        <v>675</v>
      </c>
      <c r="G133" s="42">
        <f>21-1+2</f>
        <v>22</v>
      </c>
      <c r="H133" s="3" t="s">
        <v>6</v>
      </c>
      <c r="I133" s="35">
        <v>390</v>
      </c>
      <c r="J133" s="35">
        <f t="shared" si="12"/>
        <v>8580</v>
      </c>
      <c r="K133" s="23"/>
      <c r="L133" s="3"/>
      <c r="M133" s="3"/>
      <c r="N133" s="3">
        <v>5</v>
      </c>
      <c r="O133" s="3"/>
      <c r="P133" s="160">
        <v>1950</v>
      </c>
      <c r="Q133" s="3"/>
      <c r="R133" s="3"/>
      <c r="S133" s="3"/>
      <c r="T133" s="3"/>
    </row>
    <row r="134" spans="1:20">
      <c r="A134" s="14">
        <f t="shared" si="9"/>
        <v>129</v>
      </c>
      <c r="B134" s="3" t="s">
        <v>986</v>
      </c>
      <c r="C134" s="4" t="s">
        <v>987</v>
      </c>
      <c r="D134" s="4" t="s">
        <v>896</v>
      </c>
      <c r="E134" s="4"/>
      <c r="F134" s="3" t="s">
        <v>675</v>
      </c>
      <c r="G134" s="42" t="s">
        <v>676</v>
      </c>
      <c r="H134" s="3" t="s">
        <v>6</v>
      </c>
      <c r="I134" s="35">
        <v>6320</v>
      </c>
      <c r="J134" s="35">
        <f t="shared" si="12"/>
        <v>0</v>
      </c>
      <c r="K134" s="23"/>
      <c r="L134" s="3"/>
      <c r="M134" s="3"/>
      <c r="N134" s="3"/>
      <c r="O134" s="3"/>
      <c r="P134" s="160"/>
      <c r="Q134" s="3"/>
      <c r="R134" s="3"/>
      <c r="S134" s="3"/>
      <c r="T134" s="3"/>
    </row>
    <row r="135" spans="1:20">
      <c r="A135" s="13">
        <f t="shared" si="9"/>
        <v>130</v>
      </c>
      <c r="B135" s="3" t="s">
        <v>988</v>
      </c>
      <c r="C135" s="4" t="s">
        <v>989</v>
      </c>
      <c r="D135" s="4" t="s">
        <v>990</v>
      </c>
      <c r="E135" s="4" t="s">
        <v>2076</v>
      </c>
      <c r="F135" s="3" t="s">
        <v>675</v>
      </c>
      <c r="G135" s="42" t="s">
        <v>764</v>
      </c>
      <c r="H135" s="3" t="s">
        <v>6</v>
      </c>
      <c r="I135" s="35">
        <v>920</v>
      </c>
      <c r="J135" s="35">
        <f t="shared" si="12"/>
        <v>22080</v>
      </c>
      <c r="K135" s="23"/>
      <c r="L135" s="3"/>
      <c r="M135" s="3"/>
      <c r="N135" s="3"/>
      <c r="O135" s="3"/>
      <c r="P135" s="160"/>
      <c r="Q135" s="3"/>
      <c r="R135" s="3"/>
      <c r="S135" s="3"/>
      <c r="T135" s="3"/>
    </row>
    <row r="136" spans="1:20">
      <c r="A136" s="14">
        <f t="shared" ref="A136:A199" si="13">A135+1</f>
        <v>131</v>
      </c>
      <c r="B136" s="3" t="s">
        <v>991</v>
      </c>
      <c r="C136" s="4" t="s">
        <v>987</v>
      </c>
      <c r="D136" s="4" t="s">
        <v>992</v>
      </c>
      <c r="E136" s="4" t="s">
        <v>2076</v>
      </c>
      <c r="F136" s="3" t="s">
        <v>675</v>
      </c>
      <c r="G136" s="42">
        <f>2+2+4-4-1-2-1</f>
        <v>0</v>
      </c>
      <c r="H136" s="3" t="s">
        <v>6</v>
      </c>
      <c r="I136" s="35">
        <v>11020</v>
      </c>
      <c r="J136" s="35">
        <f t="shared" si="12"/>
        <v>0</v>
      </c>
      <c r="K136" s="23">
        <v>20</v>
      </c>
      <c r="L136" s="3"/>
      <c r="M136" s="3">
        <v>220945.23</v>
      </c>
      <c r="N136" s="3">
        <v>19</v>
      </c>
      <c r="O136" s="3"/>
      <c r="P136" s="160">
        <v>209830.99</v>
      </c>
      <c r="Q136" s="3"/>
      <c r="R136" s="3"/>
      <c r="S136" s="3"/>
      <c r="T136" s="3"/>
    </row>
    <row r="137" spans="1:20">
      <c r="A137" s="13">
        <f t="shared" si="13"/>
        <v>132</v>
      </c>
      <c r="B137" s="3" t="s">
        <v>993</v>
      </c>
      <c r="C137" s="4" t="s">
        <v>994</v>
      </c>
      <c r="D137" s="4" t="s">
        <v>995</v>
      </c>
      <c r="E137" s="4"/>
      <c r="F137" s="3" t="s">
        <v>675</v>
      </c>
      <c r="G137" s="42" t="s">
        <v>687</v>
      </c>
      <c r="H137" s="3" t="s">
        <v>6</v>
      </c>
      <c r="I137" s="35">
        <v>290</v>
      </c>
      <c r="J137" s="35">
        <f>G137*I137</f>
        <v>580</v>
      </c>
      <c r="K137" s="23"/>
      <c r="L137" s="3"/>
      <c r="M137" s="3"/>
      <c r="N137" s="3">
        <v>2</v>
      </c>
      <c r="O137" s="3"/>
      <c r="P137" s="160">
        <v>580</v>
      </c>
      <c r="Q137" s="3"/>
      <c r="R137" s="3"/>
      <c r="S137" s="3"/>
      <c r="T137" s="3"/>
    </row>
    <row r="138" spans="1:20">
      <c r="A138" s="14">
        <f t="shared" si="13"/>
        <v>133</v>
      </c>
      <c r="B138" s="3" t="s">
        <v>996</v>
      </c>
      <c r="C138" s="4" t="s">
        <v>997</v>
      </c>
      <c r="D138" s="4" t="s">
        <v>898</v>
      </c>
      <c r="E138" s="4"/>
      <c r="F138" s="3" t="s">
        <v>675</v>
      </c>
      <c r="G138" s="42" t="s">
        <v>705</v>
      </c>
      <c r="H138" s="3" t="s">
        <v>6</v>
      </c>
      <c r="I138" s="35">
        <v>400</v>
      </c>
      <c r="J138" s="35">
        <f t="shared" ref="J138:J144" si="14">G138*I138</f>
        <v>3200</v>
      </c>
      <c r="K138" s="23"/>
      <c r="L138" s="3"/>
      <c r="M138" s="3"/>
      <c r="N138" s="3"/>
      <c r="O138" s="3"/>
      <c r="P138" s="160"/>
      <c r="Q138" s="3"/>
      <c r="R138" s="3"/>
      <c r="S138" s="3"/>
      <c r="T138" s="3"/>
    </row>
    <row r="139" spans="1:20">
      <c r="A139" s="13">
        <f t="shared" si="13"/>
        <v>134</v>
      </c>
      <c r="B139" s="3" t="s">
        <v>998</v>
      </c>
      <c r="C139" s="4" t="s">
        <v>997</v>
      </c>
      <c r="D139" s="4" t="s">
        <v>894</v>
      </c>
      <c r="E139" s="4"/>
      <c r="F139" s="3" t="s">
        <v>675</v>
      </c>
      <c r="G139" s="42">
        <f>5-1</f>
        <v>4</v>
      </c>
      <c r="H139" s="3" t="s">
        <v>6</v>
      </c>
      <c r="I139" s="35">
        <v>695</v>
      </c>
      <c r="J139" s="35">
        <f t="shared" si="14"/>
        <v>2780</v>
      </c>
      <c r="K139" s="23"/>
      <c r="L139" s="3"/>
      <c r="M139" s="3"/>
      <c r="N139" s="3">
        <v>3</v>
      </c>
      <c r="O139" s="3"/>
      <c r="P139" s="160">
        <v>2085</v>
      </c>
      <c r="Q139" s="3"/>
      <c r="R139" s="3"/>
      <c r="S139" s="3"/>
      <c r="T139" s="3"/>
    </row>
    <row r="140" spans="1:20">
      <c r="A140" s="14">
        <f t="shared" si="13"/>
        <v>135</v>
      </c>
      <c r="B140" s="3" t="s">
        <v>999</v>
      </c>
      <c r="C140" s="4" t="s">
        <v>1000</v>
      </c>
      <c r="D140" s="4" t="s">
        <v>896</v>
      </c>
      <c r="E140" s="4"/>
      <c r="F140" s="3" t="s">
        <v>675</v>
      </c>
      <c r="G140" s="42">
        <v>20</v>
      </c>
      <c r="H140" s="3" t="s">
        <v>6</v>
      </c>
      <c r="I140" s="35">
        <v>290</v>
      </c>
      <c r="J140" s="35">
        <f t="shared" si="14"/>
        <v>5800</v>
      </c>
      <c r="K140" s="23"/>
      <c r="L140" s="3"/>
      <c r="M140" s="3"/>
      <c r="N140" s="3">
        <v>10</v>
      </c>
      <c r="O140" s="3"/>
      <c r="P140" s="160">
        <v>2900</v>
      </c>
      <c r="Q140" s="3"/>
      <c r="R140" s="3"/>
      <c r="S140" s="3"/>
      <c r="T140" s="3"/>
    </row>
    <row r="141" spans="1:20">
      <c r="A141" s="13">
        <f t="shared" si="13"/>
        <v>136</v>
      </c>
      <c r="B141" s="3" t="s">
        <v>1001</v>
      </c>
      <c r="C141" s="4" t="s">
        <v>1002</v>
      </c>
      <c r="D141" s="4" t="s">
        <v>898</v>
      </c>
      <c r="E141" s="4"/>
      <c r="F141" s="3" t="s">
        <v>675</v>
      </c>
      <c r="G141" s="42">
        <v>5</v>
      </c>
      <c r="H141" s="3" t="s">
        <v>6</v>
      </c>
      <c r="I141" s="35">
        <v>400</v>
      </c>
      <c r="J141" s="35">
        <f t="shared" si="14"/>
        <v>2000</v>
      </c>
      <c r="K141" s="23"/>
      <c r="L141" s="3"/>
      <c r="M141" s="3"/>
      <c r="N141" s="3"/>
      <c r="O141" s="3"/>
      <c r="P141" s="160"/>
      <c r="Q141" s="3"/>
      <c r="R141" s="3"/>
      <c r="S141" s="3"/>
      <c r="T141" s="3"/>
    </row>
    <row r="142" spans="1:20">
      <c r="A142" s="14">
        <f t="shared" si="13"/>
        <v>137</v>
      </c>
      <c r="B142" s="3" t="s">
        <v>1003</v>
      </c>
      <c r="C142" s="4" t="s">
        <v>1004</v>
      </c>
      <c r="D142" s="4" t="s">
        <v>1005</v>
      </c>
      <c r="E142" s="4"/>
      <c r="F142" s="3" t="s">
        <v>675</v>
      </c>
      <c r="G142" s="42">
        <v>1</v>
      </c>
      <c r="H142" s="3" t="s">
        <v>6</v>
      </c>
      <c r="I142" s="35">
        <v>106.2</v>
      </c>
      <c r="J142" s="35">
        <f t="shared" si="14"/>
        <v>106.2</v>
      </c>
      <c r="K142" s="23"/>
      <c r="L142" s="3"/>
      <c r="M142" s="3"/>
      <c r="N142" s="3"/>
      <c r="O142" s="3"/>
      <c r="P142" s="160"/>
      <c r="Q142" s="3"/>
      <c r="R142" s="3"/>
      <c r="S142" s="3"/>
      <c r="T142" s="3"/>
    </row>
    <row r="143" spans="1:20">
      <c r="A143" s="13">
        <f t="shared" si="13"/>
        <v>138</v>
      </c>
      <c r="B143" s="3" t="s">
        <v>1006</v>
      </c>
      <c r="C143" s="4" t="s">
        <v>1007</v>
      </c>
      <c r="D143" s="4" t="s">
        <v>1008</v>
      </c>
      <c r="E143" s="4"/>
      <c r="F143" s="3" t="s">
        <v>675</v>
      </c>
      <c r="G143" s="42">
        <v>1</v>
      </c>
      <c r="H143" s="3" t="s">
        <v>6</v>
      </c>
      <c r="I143" s="35">
        <v>82.6</v>
      </c>
      <c r="J143" s="35">
        <f t="shared" si="14"/>
        <v>82.6</v>
      </c>
      <c r="K143" s="23"/>
      <c r="L143" s="3"/>
      <c r="M143" s="3"/>
      <c r="N143" s="3"/>
      <c r="O143" s="3"/>
      <c r="P143" s="160"/>
      <c r="Q143" s="3"/>
      <c r="R143" s="3"/>
      <c r="S143" s="3"/>
      <c r="T143" s="3"/>
    </row>
    <row r="144" spans="1:20">
      <c r="A144" s="14">
        <f t="shared" si="13"/>
        <v>139</v>
      </c>
      <c r="B144" s="3" t="s">
        <v>1009</v>
      </c>
      <c r="C144" s="4" t="s">
        <v>1010</v>
      </c>
      <c r="D144" s="4" t="s">
        <v>1011</v>
      </c>
      <c r="E144" s="4"/>
      <c r="F144" s="3" t="s">
        <v>675</v>
      </c>
      <c r="G144" s="42" t="s">
        <v>681</v>
      </c>
      <c r="H144" s="3" t="s">
        <v>6</v>
      </c>
      <c r="I144" s="35">
        <v>129.80000000000001</v>
      </c>
      <c r="J144" s="35">
        <f t="shared" si="14"/>
        <v>1168.2</v>
      </c>
      <c r="K144" s="23"/>
      <c r="L144" s="3"/>
      <c r="M144" s="3"/>
      <c r="N144" s="3"/>
      <c r="O144" s="3"/>
      <c r="P144" s="160"/>
      <c r="Q144" s="3"/>
      <c r="R144" s="3"/>
      <c r="S144" s="3"/>
      <c r="T144" s="3"/>
    </row>
    <row r="145" spans="1:20">
      <c r="A145" s="13">
        <f t="shared" si="13"/>
        <v>140</v>
      </c>
      <c r="B145" s="3" t="s">
        <v>1012</v>
      </c>
      <c r="C145" s="4" t="s">
        <v>1013</v>
      </c>
      <c r="D145" s="4" t="s">
        <v>1014</v>
      </c>
      <c r="E145" s="4"/>
      <c r="F145" s="3" t="s">
        <v>675</v>
      </c>
      <c r="G145" s="42">
        <f>3-1</f>
        <v>2</v>
      </c>
      <c r="H145" s="3" t="s">
        <v>6</v>
      </c>
      <c r="I145" s="35">
        <v>290</v>
      </c>
      <c r="J145" s="35">
        <f>G145*I145</f>
        <v>580</v>
      </c>
      <c r="K145" s="23"/>
      <c r="L145" s="3"/>
      <c r="M145" s="3"/>
      <c r="N145" s="3">
        <v>2</v>
      </c>
      <c r="O145" s="3"/>
      <c r="P145" s="160">
        <v>580</v>
      </c>
      <c r="Q145" s="3"/>
      <c r="R145" s="3"/>
      <c r="S145" s="3"/>
      <c r="T145" s="3"/>
    </row>
    <row r="146" spans="1:20">
      <c r="A146" s="14">
        <f t="shared" si="13"/>
        <v>141</v>
      </c>
      <c r="B146" s="3" t="s">
        <v>1015</v>
      </c>
      <c r="C146" s="4" t="s">
        <v>1016</v>
      </c>
      <c r="D146" s="4" t="s">
        <v>1017</v>
      </c>
      <c r="E146" s="4"/>
      <c r="F146" s="3" t="s">
        <v>675</v>
      </c>
      <c r="G146" s="42" t="s">
        <v>712</v>
      </c>
      <c r="H146" s="3" t="s">
        <v>6</v>
      </c>
      <c r="I146" s="35">
        <v>90</v>
      </c>
      <c r="J146" s="35">
        <f t="shared" ref="J146:J147" si="15">G146*I146</f>
        <v>900</v>
      </c>
      <c r="K146" s="23"/>
      <c r="L146" s="3"/>
      <c r="M146" s="3"/>
      <c r="N146" s="3"/>
      <c r="O146" s="3"/>
      <c r="P146" s="160"/>
      <c r="Q146" s="3"/>
      <c r="R146" s="3"/>
      <c r="S146" s="3"/>
      <c r="T146" s="3"/>
    </row>
    <row r="147" spans="1:20">
      <c r="A147" s="13">
        <f t="shared" si="13"/>
        <v>142</v>
      </c>
      <c r="B147" s="3" t="s">
        <v>1018</v>
      </c>
      <c r="C147" s="4" t="s">
        <v>1019</v>
      </c>
      <c r="D147" s="4" t="s">
        <v>905</v>
      </c>
      <c r="E147" s="4"/>
      <c r="F147" s="3" t="s">
        <v>675</v>
      </c>
      <c r="G147" s="42">
        <f>5-1-1-1</f>
        <v>2</v>
      </c>
      <c r="H147" s="3" t="s">
        <v>6</v>
      </c>
      <c r="I147" s="35">
        <v>695</v>
      </c>
      <c r="J147" s="35">
        <f t="shared" si="15"/>
        <v>1390</v>
      </c>
      <c r="K147" s="23"/>
      <c r="L147" s="3"/>
      <c r="M147" s="3"/>
      <c r="N147" s="3">
        <v>2</v>
      </c>
      <c r="O147" s="3"/>
      <c r="P147" s="160">
        <v>1390</v>
      </c>
      <c r="Q147" s="3"/>
      <c r="R147" s="3"/>
      <c r="S147" s="3"/>
      <c r="T147" s="3"/>
    </row>
    <row r="148" spans="1:20">
      <c r="A148" s="14">
        <f t="shared" si="13"/>
        <v>143</v>
      </c>
      <c r="B148" s="3" t="s">
        <v>1020</v>
      </c>
      <c r="C148" s="4" t="s">
        <v>1021</v>
      </c>
      <c r="D148" s="4" t="s">
        <v>1022</v>
      </c>
      <c r="E148" s="4"/>
      <c r="F148" s="3" t="s">
        <v>675</v>
      </c>
      <c r="G148" s="42">
        <f>3-1-1</f>
        <v>1</v>
      </c>
      <c r="H148" s="3" t="s">
        <v>6</v>
      </c>
      <c r="I148" s="35">
        <v>355.84</v>
      </c>
      <c r="J148" s="35">
        <f>G148*I148</f>
        <v>355.84</v>
      </c>
      <c r="K148" s="23"/>
      <c r="L148" s="3"/>
      <c r="M148" s="3"/>
      <c r="N148" s="3">
        <v>1</v>
      </c>
      <c r="O148" s="3"/>
      <c r="P148" s="158">
        <v>355.84</v>
      </c>
      <c r="Q148" s="3"/>
      <c r="R148" s="3"/>
      <c r="S148" s="3"/>
      <c r="T148" s="3"/>
    </row>
    <row r="149" spans="1:20">
      <c r="A149" s="13">
        <f t="shared" si="13"/>
        <v>144</v>
      </c>
      <c r="B149" s="3" t="s">
        <v>1023</v>
      </c>
      <c r="C149" s="4" t="s">
        <v>1024</v>
      </c>
      <c r="D149" s="4" t="s">
        <v>57</v>
      </c>
      <c r="E149" s="4"/>
      <c r="F149" s="3" t="s">
        <v>675</v>
      </c>
      <c r="G149" s="42" t="s">
        <v>676</v>
      </c>
      <c r="H149" s="3" t="s">
        <v>6</v>
      </c>
      <c r="I149" s="35">
        <v>70</v>
      </c>
      <c r="J149" s="35">
        <f t="shared" ref="J149:J202" si="16">G149*I149</f>
        <v>0</v>
      </c>
      <c r="K149" s="23"/>
      <c r="L149" s="3"/>
      <c r="M149" s="3"/>
      <c r="N149" s="3"/>
      <c r="O149" s="3"/>
      <c r="P149" s="160"/>
      <c r="Q149" s="3"/>
      <c r="R149" s="3"/>
      <c r="S149" s="3"/>
      <c r="T149" s="3"/>
    </row>
    <row r="150" spans="1:20">
      <c r="A150" s="14">
        <f t="shared" si="13"/>
        <v>145</v>
      </c>
      <c r="B150" s="3" t="s">
        <v>1025</v>
      </c>
      <c r="C150" s="4" t="s">
        <v>1026</v>
      </c>
      <c r="D150" s="4" t="s">
        <v>1027</v>
      </c>
      <c r="E150" s="4"/>
      <c r="F150" s="3" t="s">
        <v>675</v>
      </c>
      <c r="G150" s="42">
        <f>8-1-3-1-1+3</f>
        <v>5</v>
      </c>
      <c r="H150" s="3" t="s">
        <v>6</v>
      </c>
      <c r="I150" s="35">
        <v>177.96</v>
      </c>
      <c r="J150" s="35">
        <f t="shared" si="16"/>
        <v>889.80000000000007</v>
      </c>
      <c r="K150" s="23"/>
      <c r="L150" s="3"/>
      <c r="M150" s="3"/>
      <c r="N150" s="3">
        <v>5</v>
      </c>
      <c r="O150" s="3"/>
      <c r="P150" s="160">
        <v>889.8</v>
      </c>
      <c r="Q150" s="3"/>
      <c r="R150" s="3"/>
      <c r="S150" s="3"/>
      <c r="T150" s="3"/>
    </row>
    <row r="151" spans="1:20">
      <c r="A151" s="13">
        <f t="shared" si="13"/>
        <v>146</v>
      </c>
      <c r="B151" s="3" t="s">
        <v>1028</v>
      </c>
      <c r="C151" s="4" t="s">
        <v>984</v>
      </c>
      <c r="D151" s="4" t="s">
        <v>1011</v>
      </c>
      <c r="E151" s="4"/>
      <c r="F151" s="3" t="s">
        <v>675</v>
      </c>
      <c r="G151" s="42">
        <f>16-2-2-1-1-3-1-1</f>
        <v>5</v>
      </c>
      <c r="H151" s="3" t="s">
        <v>6</v>
      </c>
      <c r="I151" s="35">
        <v>34</v>
      </c>
      <c r="J151" s="35">
        <f t="shared" si="16"/>
        <v>170</v>
      </c>
      <c r="K151" s="149">
        <v>481.44</v>
      </c>
      <c r="L151" s="3"/>
      <c r="M151" s="149">
        <v>481.44</v>
      </c>
      <c r="N151" s="3">
        <v>17</v>
      </c>
      <c r="O151" s="3"/>
      <c r="P151" s="160">
        <v>682.04</v>
      </c>
      <c r="Q151" s="3"/>
      <c r="R151" s="3"/>
      <c r="S151" s="3"/>
      <c r="T151" s="3"/>
    </row>
    <row r="152" spans="1:20">
      <c r="A152" s="14">
        <f t="shared" si="13"/>
        <v>147</v>
      </c>
      <c r="B152" s="3" t="s">
        <v>1029</v>
      </c>
      <c r="C152" s="4" t="s">
        <v>1030</v>
      </c>
      <c r="D152" s="4" t="s">
        <v>1031</v>
      </c>
      <c r="E152" s="4"/>
      <c r="F152" s="3" t="s">
        <v>675</v>
      </c>
      <c r="G152" s="42" t="s">
        <v>743</v>
      </c>
      <c r="H152" s="3" t="s">
        <v>6</v>
      </c>
      <c r="I152" s="35">
        <v>120</v>
      </c>
      <c r="J152" s="35">
        <f t="shared" si="16"/>
        <v>360</v>
      </c>
      <c r="K152" s="23"/>
      <c r="L152" s="3"/>
      <c r="M152" s="3"/>
      <c r="N152" s="3"/>
      <c r="O152" s="3"/>
      <c r="P152" s="160"/>
      <c r="Q152" s="3"/>
      <c r="R152" s="3"/>
      <c r="S152" s="3"/>
      <c r="T152" s="3"/>
    </row>
    <row r="153" spans="1:20">
      <c r="A153" s="13">
        <f t="shared" si="13"/>
        <v>148</v>
      </c>
      <c r="B153" s="3" t="s">
        <v>1032</v>
      </c>
      <c r="C153" s="4" t="s">
        <v>1033</v>
      </c>
      <c r="D153" s="4" t="s">
        <v>57</v>
      </c>
      <c r="E153" s="4"/>
      <c r="F153" s="3" t="s">
        <v>675</v>
      </c>
      <c r="G153" s="42" t="s">
        <v>712</v>
      </c>
      <c r="H153" s="3" t="s">
        <v>6</v>
      </c>
      <c r="I153" s="35">
        <v>4800</v>
      </c>
      <c r="J153" s="35">
        <f t="shared" si="16"/>
        <v>48000</v>
      </c>
      <c r="K153" s="23"/>
      <c r="L153" s="3"/>
      <c r="M153" s="3"/>
      <c r="N153" s="3">
        <v>1</v>
      </c>
      <c r="O153" s="3"/>
      <c r="P153" s="158">
        <v>4800</v>
      </c>
      <c r="Q153" s="3"/>
      <c r="R153" s="3"/>
      <c r="S153" s="3"/>
      <c r="T153" s="3"/>
    </row>
    <row r="154" spans="1:20">
      <c r="A154" s="14">
        <f t="shared" si="13"/>
        <v>149</v>
      </c>
      <c r="B154" s="3" t="s">
        <v>1034</v>
      </c>
      <c r="C154" s="4" t="s">
        <v>1035</v>
      </c>
      <c r="D154" s="4" t="s">
        <v>896</v>
      </c>
      <c r="E154" s="4"/>
      <c r="F154" s="3" t="s">
        <v>675</v>
      </c>
      <c r="G154" s="42" t="s">
        <v>422</v>
      </c>
      <c r="H154" s="3" t="s">
        <v>6</v>
      </c>
      <c r="I154" s="35">
        <v>3100</v>
      </c>
      <c r="J154" s="35">
        <f t="shared" si="16"/>
        <v>3100</v>
      </c>
      <c r="K154" s="23"/>
      <c r="L154" s="3"/>
      <c r="M154" s="3"/>
      <c r="N154" s="3"/>
      <c r="O154" s="3"/>
      <c r="P154" s="160"/>
      <c r="Q154" s="3"/>
      <c r="R154" s="3"/>
      <c r="S154" s="3"/>
      <c r="T154" s="3"/>
    </row>
    <row r="155" spans="1:20" ht="30">
      <c r="A155" s="13">
        <f t="shared" si="13"/>
        <v>150</v>
      </c>
      <c r="B155" s="9" t="s">
        <v>1036</v>
      </c>
      <c r="C155" s="10" t="s">
        <v>1037</v>
      </c>
      <c r="D155" s="10" t="s">
        <v>2083</v>
      </c>
      <c r="E155" s="10" t="s">
        <v>2082</v>
      </c>
      <c r="F155" s="9" t="s">
        <v>675</v>
      </c>
      <c r="G155" s="83" t="s">
        <v>687</v>
      </c>
      <c r="H155" s="9" t="s">
        <v>6</v>
      </c>
      <c r="I155" s="36">
        <v>15930</v>
      </c>
      <c r="J155" s="36">
        <f t="shared" si="16"/>
        <v>31860</v>
      </c>
      <c r="K155" s="23"/>
      <c r="L155" s="3"/>
      <c r="M155" s="3"/>
      <c r="N155" s="3"/>
      <c r="O155" s="3"/>
      <c r="P155" s="160"/>
      <c r="Q155" s="3"/>
      <c r="R155" s="3"/>
      <c r="S155" s="3"/>
      <c r="T155" s="3"/>
    </row>
    <row r="156" spans="1:20" ht="30">
      <c r="A156" s="14">
        <f t="shared" si="13"/>
        <v>151</v>
      </c>
      <c r="B156" s="9" t="s">
        <v>1038</v>
      </c>
      <c r="C156" s="10" t="s">
        <v>2085</v>
      </c>
      <c r="D156" s="10" t="s">
        <v>1039</v>
      </c>
      <c r="E156" s="10" t="s">
        <v>2084</v>
      </c>
      <c r="F156" s="9" t="s">
        <v>675</v>
      </c>
      <c r="G156" s="83" t="s">
        <v>687</v>
      </c>
      <c r="H156" s="9" t="s">
        <v>6</v>
      </c>
      <c r="I156" s="35">
        <v>15446.03</v>
      </c>
      <c r="J156" s="35">
        <f t="shared" si="16"/>
        <v>30892.06</v>
      </c>
      <c r="K156" s="23"/>
      <c r="L156" s="3"/>
      <c r="M156" s="3"/>
      <c r="N156" s="3"/>
      <c r="O156" s="3"/>
      <c r="P156" s="160"/>
      <c r="Q156" s="3"/>
      <c r="R156" s="3"/>
      <c r="S156" s="3"/>
      <c r="T156" s="3"/>
    </row>
    <row r="157" spans="1:20">
      <c r="A157" s="13">
        <f t="shared" si="13"/>
        <v>152</v>
      </c>
      <c r="B157" s="9" t="s">
        <v>1040</v>
      </c>
      <c r="C157" s="10" t="s">
        <v>1041</v>
      </c>
      <c r="D157" s="10" t="s">
        <v>1042</v>
      </c>
      <c r="E157" s="10" t="s">
        <v>2084</v>
      </c>
      <c r="F157" s="9" t="s">
        <v>675</v>
      </c>
      <c r="G157" s="83" t="s">
        <v>687</v>
      </c>
      <c r="H157" s="9" t="s">
        <v>6</v>
      </c>
      <c r="I157" s="35">
        <v>2630.81</v>
      </c>
      <c r="J157" s="35">
        <f t="shared" si="16"/>
        <v>5261.62</v>
      </c>
      <c r="K157" s="23"/>
      <c r="L157" s="3"/>
      <c r="M157" s="3"/>
      <c r="N157" s="3"/>
      <c r="O157" s="3"/>
      <c r="P157" s="160"/>
      <c r="Q157" s="3"/>
      <c r="R157" s="3"/>
      <c r="S157" s="3"/>
      <c r="T157" s="3"/>
    </row>
    <row r="158" spans="1:20">
      <c r="A158" s="14">
        <f t="shared" si="13"/>
        <v>153</v>
      </c>
      <c r="B158" s="9" t="s">
        <v>1043</v>
      </c>
      <c r="C158" s="10" t="s">
        <v>1044</v>
      </c>
      <c r="D158" s="10" t="s">
        <v>1045</v>
      </c>
      <c r="E158" s="10" t="s">
        <v>2163</v>
      </c>
      <c r="F158" s="9" t="s">
        <v>675</v>
      </c>
      <c r="G158" s="83" t="s">
        <v>422</v>
      </c>
      <c r="H158" s="9" t="s">
        <v>6</v>
      </c>
      <c r="I158" s="35">
        <v>35092</v>
      </c>
      <c r="J158" s="35">
        <f t="shared" si="16"/>
        <v>35092</v>
      </c>
      <c r="K158" s="23"/>
      <c r="L158" s="3"/>
      <c r="M158" s="3"/>
      <c r="N158" s="3"/>
      <c r="O158" s="3"/>
      <c r="P158" s="160"/>
      <c r="Q158" s="3"/>
      <c r="R158" s="3"/>
      <c r="S158" s="3"/>
      <c r="T158" s="3"/>
    </row>
    <row r="159" spans="1:20">
      <c r="A159" s="13">
        <f t="shared" si="13"/>
        <v>154</v>
      </c>
      <c r="B159" s="3" t="s">
        <v>1046</v>
      </c>
      <c r="C159" s="4" t="s">
        <v>1047</v>
      </c>
      <c r="D159" s="4" t="s">
        <v>1048</v>
      </c>
      <c r="E159" s="4" t="s">
        <v>2086</v>
      </c>
      <c r="F159" s="3" t="s">
        <v>675</v>
      </c>
      <c r="G159" s="42" t="s">
        <v>435</v>
      </c>
      <c r="H159" s="3" t="s">
        <v>6</v>
      </c>
      <c r="I159" s="35">
        <v>342</v>
      </c>
      <c r="J159" s="35">
        <f t="shared" si="16"/>
        <v>1710</v>
      </c>
      <c r="K159" s="23"/>
      <c r="L159" s="3"/>
      <c r="M159" s="3"/>
      <c r="N159" s="3"/>
      <c r="O159" s="3"/>
      <c r="P159" s="160"/>
      <c r="Q159" s="3"/>
      <c r="R159" s="3"/>
      <c r="S159" s="3"/>
      <c r="T159" s="3"/>
    </row>
    <row r="160" spans="1:20">
      <c r="A160" s="14">
        <f t="shared" si="13"/>
        <v>155</v>
      </c>
      <c r="B160" s="3" t="s">
        <v>1049</v>
      </c>
      <c r="C160" s="4" t="s">
        <v>1047</v>
      </c>
      <c r="D160" s="4" t="s">
        <v>1050</v>
      </c>
      <c r="E160" s="4" t="s">
        <v>2086</v>
      </c>
      <c r="F160" s="3" t="s">
        <v>675</v>
      </c>
      <c r="G160" s="42" t="s">
        <v>967</v>
      </c>
      <c r="H160" s="3" t="s">
        <v>6</v>
      </c>
      <c r="I160" s="35">
        <v>342</v>
      </c>
      <c r="J160" s="35">
        <f t="shared" si="16"/>
        <v>7524</v>
      </c>
      <c r="K160" s="23"/>
      <c r="L160" s="3"/>
      <c r="M160" s="3"/>
      <c r="N160" s="3">
        <v>3</v>
      </c>
      <c r="O160" s="3"/>
      <c r="P160" s="160">
        <v>1026</v>
      </c>
      <c r="Q160" s="3"/>
      <c r="R160" s="3"/>
      <c r="S160" s="3"/>
      <c r="T160" s="3"/>
    </row>
    <row r="161" spans="1:20">
      <c r="A161" s="13">
        <f t="shared" si="13"/>
        <v>156</v>
      </c>
      <c r="B161" s="3" t="s">
        <v>1051</v>
      </c>
      <c r="C161" s="4" t="s">
        <v>1047</v>
      </c>
      <c r="D161" s="4" t="s">
        <v>1052</v>
      </c>
      <c r="E161" s="4" t="s">
        <v>2086</v>
      </c>
      <c r="F161" s="3" t="s">
        <v>675</v>
      </c>
      <c r="G161" s="42" t="s">
        <v>1053</v>
      </c>
      <c r="H161" s="3" t="s">
        <v>6</v>
      </c>
      <c r="I161" s="35">
        <v>105</v>
      </c>
      <c r="J161" s="35">
        <f t="shared" si="16"/>
        <v>7245</v>
      </c>
      <c r="K161" s="23"/>
      <c r="L161" s="3"/>
      <c r="M161" s="3"/>
      <c r="N161" s="3">
        <v>5</v>
      </c>
      <c r="O161" s="3"/>
      <c r="P161" s="158">
        <v>525</v>
      </c>
      <c r="Q161" s="3"/>
      <c r="R161" s="3"/>
      <c r="S161" s="3"/>
      <c r="T161" s="3"/>
    </row>
    <row r="162" spans="1:20">
      <c r="A162" s="14">
        <f t="shared" si="13"/>
        <v>157</v>
      </c>
      <c r="B162" s="3" t="s">
        <v>1054</v>
      </c>
      <c r="C162" s="4" t="s">
        <v>1047</v>
      </c>
      <c r="D162" s="4" t="s">
        <v>1055</v>
      </c>
      <c r="E162" s="4" t="s">
        <v>2086</v>
      </c>
      <c r="F162" s="3" t="s">
        <v>675</v>
      </c>
      <c r="G162" s="42" t="s">
        <v>823</v>
      </c>
      <c r="H162" s="3" t="s">
        <v>57</v>
      </c>
      <c r="I162" s="35">
        <v>155</v>
      </c>
      <c r="J162" s="35">
        <f t="shared" si="16"/>
        <v>1085</v>
      </c>
      <c r="K162" s="23"/>
      <c r="L162" s="3"/>
      <c r="M162" s="3"/>
      <c r="N162" s="3">
        <v>6</v>
      </c>
      <c r="O162" s="3"/>
      <c r="P162" s="160">
        <v>930</v>
      </c>
      <c r="Q162" s="3"/>
      <c r="R162" s="3"/>
      <c r="S162" s="3"/>
      <c r="T162" s="3"/>
    </row>
    <row r="163" spans="1:20">
      <c r="A163" s="13">
        <f t="shared" si="13"/>
        <v>158</v>
      </c>
      <c r="B163" s="3" t="s">
        <v>1056</v>
      </c>
      <c r="C163" s="4" t="s">
        <v>1047</v>
      </c>
      <c r="D163" s="4" t="s">
        <v>1057</v>
      </c>
      <c r="E163" s="4" t="s">
        <v>2086</v>
      </c>
      <c r="F163" s="3" t="s">
        <v>675</v>
      </c>
      <c r="G163" s="42" t="s">
        <v>435</v>
      </c>
      <c r="H163" s="3" t="s">
        <v>6</v>
      </c>
      <c r="I163" s="35">
        <v>1380</v>
      </c>
      <c r="J163" s="35">
        <f t="shared" si="16"/>
        <v>6900</v>
      </c>
      <c r="K163" s="23"/>
      <c r="L163" s="3"/>
      <c r="M163" s="3"/>
      <c r="N163" s="3">
        <v>4</v>
      </c>
      <c r="O163" s="3"/>
      <c r="P163" s="158">
        <v>5520</v>
      </c>
      <c r="Q163" s="3"/>
      <c r="R163" s="3"/>
      <c r="S163" s="3"/>
      <c r="T163" s="3"/>
    </row>
    <row r="164" spans="1:20">
      <c r="A164" s="14">
        <f t="shared" si="13"/>
        <v>159</v>
      </c>
      <c r="B164" s="3" t="s">
        <v>1058</v>
      </c>
      <c r="C164" s="4" t="s">
        <v>1047</v>
      </c>
      <c r="D164" s="4" t="s">
        <v>1059</v>
      </c>
      <c r="E164" s="4" t="s">
        <v>2086</v>
      </c>
      <c r="F164" s="3" t="s">
        <v>675</v>
      </c>
      <c r="G164" s="42">
        <v>12</v>
      </c>
      <c r="H164" s="3" t="s">
        <v>6</v>
      </c>
      <c r="I164" s="35">
        <v>1240</v>
      </c>
      <c r="J164" s="35">
        <f t="shared" si="16"/>
        <v>14880</v>
      </c>
      <c r="K164" s="23"/>
      <c r="L164" s="3"/>
      <c r="M164" s="3"/>
      <c r="N164" s="3"/>
      <c r="O164" s="3"/>
      <c r="P164" s="160"/>
      <c r="Q164" s="3"/>
      <c r="R164" s="3"/>
      <c r="S164" s="3"/>
      <c r="T164" s="3"/>
    </row>
    <row r="165" spans="1:20">
      <c r="A165" s="13">
        <f t="shared" si="13"/>
        <v>160</v>
      </c>
      <c r="B165" s="3" t="s">
        <v>1060</v>
      </c>
      <c r="C165" s="4" t="s">
        <v>1047</v>
      </c>
      <c r="D165" s="4" t="s">
        <v>1061</v>
      </c>
      <c r="E165" s="4" t="s">
        <v>2086</v>
      </c>
      <c r="F165" s="3" t="s">
        <v>675</v>
      </c>
      <c r="G165" s="42">
        <v>6</v>
      </c>
      <c r="H165" s="3" t="s">
        <v>6</v>
      </c>
      <c r="I165" s="35">
        <v>960</v>
      </c>
      <c r="J165" s="35">
        <f t="shared" si="16"/>
        <v>5760</v>
      </c>
      <c r="K165" s="23"/>
      <c r="L165" s="3"/>
      <c r="M165" s="3"/>
      <c r="N165" s="3">
        <v>6</v>
      </c>
      <c r="O165" s="3"/>
      <c r="P165" s="158">
        <v>5760</v>
      </c>
      <c r="Q165" s="3"/>
      <c r="R165" s="3"/>
      <c r="S165" s="3"/>
      <c r="T165" s="3"/>
    </row>
    <row r="166" spans="1:20">
      <c r="A166" s="14">
        <f t="shared" si="13"/>
        <v>161</v>
      </c>
      <c r="B166" s="3" t="s">
        <v>1062</v>
      </c>
      <c r="C166" s="4" t="s">
        <v>1047</v>
      </c>
      <c r="D166" s="4" t="s">
        <v>1063</v>
      </c>
      <c r="E166" s="4" t="s">
        <v>2086</v>
      </c>
      <c r="F166" s="3" t="s">
        <v>675</v>
      </c>
      <c r="G166" s="42" t="s">
        <v>435</v>
      </c>
      <c r="H166" s="3" t="s">
        <v>6</v>
      </c>
      <c r="I166" s="35">
        <v>420</v>
      </c>
      <c r="J166" s="35">
        <f t="shared" si="16"/>
        <v>2100</v>
      </c>
      <c r="K166" s="23"/>
      <c r="L166" s="3"/>
      <c r="M166" s="3"/>
      <c r="N166" s="3">
        <v>10</v>
      </c>
      <c r="O166" s="3"/>
      <c r="P166" s="158">
        <v>1607.7</v>
      </c>
      <c r="Q166" s="3"/>
      <c r="R166" s="3"/>
      <c r="S166" s="3"/>
      <c r="T166" s="3"/>
    </row>
    <row r="167" spans="1:20">
      <c r="A167" s="13">
        <f t="shared" si="13"/>
        <v>162</v>
      </c>
      <c r="B167" s="3" t="s">
        <v>1064</v>
      </c>
      <c r="C167" s="4" t="s">
        <v>1047</v>
      </c>
      <c r="D167" s="4" t="s">
        <v>1065</v>
      </c>
      <c r="E167" s="4" t="s">
        <v>2086</v>
      </c>
      <c r="F167" s="3" t="s">
        <v>675</v>
      </c>
      <c r="G167" s="42" t="s">
        <v>422</v>
      </c>
      <c r="H167" s="3" t="s">
        <v>6</v>
      </c>
      <c r="I167" s="35">
        <v>155</v>
      </c>
      <c r="J167" s="35">
        <f t="shared" si="16"/>
        <v>155</v>
      </c>
      <c r="K167" s="23"/>
      <c r="L167" s="3"/>
      <c r="M167" s="3"/>
      <c r="N167" s="3">
        <v>1</v>
      </c>
      <c r="O167" s="3"/>
      <c r="P167" s="158">
        <v>155</v>
      </c>
      <c r="Q167" s="3"/>
      <c r="R167" s="3"/>
      <c r="S167" s="3"/>
      <c r="T167" s="3"/>
    </row>
    <row r="168" spans="1:20">
      <c r="A168" s="14">
        <f t="shared" si="13"/>
        <v>163</v>
      </c>
      <c r="B168" s="3" t="s">
        <v>1066</v>
      </c>
      <c r="C168" s="4" t="s">
        <v>1047</v>
      </c>
      <c r="D168" s="4" t="s">
        <v>1067</v>
      </c>
      <c r="E168" s="4" t="s">
        <v>2086</v>
      </c>
      <c r="F168" s="3" t="s">
        <v>675</v>
      </c>
      <c r="G168" s="42">
        <v>6</v>
      </c>
      <c r="H168" s="3" t="s">
        <v>6</v>
      </c>
      <c r="I168" s="35">
        <v>155</v>
      </c>
      <c r="J168" s="35">
        <f t="shared" si="16"/>
        <v>930</v>
      </c>
      <c r="K168" s="23"/>
      <c r="L168" s="3"/>
      <c r="M168" s="3"/>
      <c r="N168" s="3">
        <v>5</v>
      </c>
      <c r="O168" s="3"/>
      <c r="P168" s="158">
        <v>775</v>
      </c>
      <c r="Q168" s="3"/>
      <c r="R168" s="3"/>
      <c r="S168" s="3"/>
      <c r="T168" s="3"/>
    </row>
    <row r="169" spans="1:20">
      <c r="A169" s="13">
        <f t="shared" si="13"/>
        <v>164</v>
      </c>
      <c r="B169" s="3" t="s">
        <v>1068</v>
      </c>
      <c r="C169" s="4" t="s">
        <v>1047</v>
      </c>
      <c r="D169" s="8" t="s">
        <v>1679</v>
      </c>
      <c r="E169" s="4" t="s">
        <v>2086</v>
      </c>
      <c r="F169" s="3" t="s">
        <v>675</v>
      </c>
      <c r="G169" s="42" t="s">
        <v>422</v>
      </c>
      <c r="H169" s="3" t="s">
        <v>6</v>
      </c>
      <c r="I169" s="35">
        <v>155</v>
      </c>
      <c r="J169" s="35">
        <f t="shared" si="16"/>
        <v>155</v>
      </c>
      <c r="K169" s="23"/>
      <c r="L169" s="3"/>
      <c r="M169" s="3"/>
      <c r="N169" s="3">
        <v>1</v>
      </c>
      <c r="O169" s="3"/>
      <c r="P169" s="158">
        <v>155</v>
      </c>
      <c r="Q169" s="3"/>
      <c r="R169" s="3"/>
      <c r="S169" s="3"/>
      <c r="T169" s="3"/>
    </row>
    <row r="170" spans="1:20">
      <c r="A170" s="14">
        <f t="shared" si="13"/>
        <v>165</v>
      </c>
      <c r="B170" s="3" t="s">
        <v>1069</v>
      </c>
      <c r="C170" s="4" t="s">
        <v>1047</v>
      </c>
      <c r="D170" s="4" t="s">
        <v>1070</v>
      </c>
      <c r="E170" s="4" t="s">
        <v>2086</v>
      </c>
      <c r="F170" s="3" t="s">
        <v>675</v>
      </c>
      <c r="G170" s="42">
        <v>15</v>
      </c>
      <c r="H170" s="3" t="s">
        <v>6</v>
      </c>
      <c r="I170" s="35">
        <v>62</v>
      </c>
      <c r="J170" s="35">
        <f t="shared" si="16"/>
        <v>930</v>
      </c>
      <c r="K170" s="23"/>
      <c r="L170" s="3"/>
      <c r="M170" s="3"/>
      <c r="N170" s="3">
        <v>1</v>
      </c>
      <c r="O170" s="3"/>
      <c r="P170" s="158">
        <v>62</v>
      </c>
      <c r="Q170" s="3"/>
      <c r="R170" s="3"/>
      <c r="S170" s="3"/>
      <c r="T170" s="3"/>
    </row>
    <row r="171" spans="1:20">
      <c r="A171" s="13">
        <f t="shared" si="13"/>
        <v>166</v>
      </c>
      <c r="B171" s="3" t="s">
        <v>1071</v>
      </c>
      <c r="C171" s="4" t="s">
        <v>1047</v>
      </c>
      <c r="D171" s="4" t="s">
        <v>1072</v>
      </c>
      <c r="E171" s="4" t="s">
        <v>2086</v>
      </c>
      <c r="F171" s="3" t="s">
        <v>675</v>
      </c>
      <c r="G171" s="42">
        <v>10</v>
      </c>
      <c r="H171" s="3" t="s">
        <v>6</v>
      </c>
      <c r="I171" s="35">
        <v>30</v>
      </c>
      <c r="J171" s="35">
        <f t="shared" si="16"/>
        <v>300</v>
      </c>
      <c r="K171" s="23"/>
      <c r="L171" s="3"/>
      <c r="M171" s="3"/>
      <c r="N171" s="3">
        <v>7</v>
      </c>
      <c r="O171" s="3"/>
      <c r="P171" s="158">
        <v>210</v>
      </c>
      <c r="Q171" s="3"/>
      <c r="R171" s="3"/>
      <c r="S171" s="3"/>
      <c r="T171" s="3"/>
    </row>
    <row r="172" spans="1:20">
      <c r="A172" s="14">
        <f t="shared" si="13"/>
        <v>167</v>
      </c>
      <c r="B172" s="3" t="s">
        <v>1073</v>
      </c>
      <c r="C172" s="4" t="s">
        <v>1047</v>
      </c>
      <c r="D172" s="4" t="s">
        <v>1074</v>
      </c>
      <c r="E172" s="4" t="s">
        <v>2086</v>
      </c>
      <c r="F172" s="3" t="s">
        <v>675</v>
      </c>
      <c r="G172" s="42" t="s">
        <v>1075</v>
      </c>
      <c r="H172" s="3" t="s">
        <v>6</v>
      </c>
      <c r="I172" s="35">
        <v>22</v>
      </c>
      <c r="J172" s="35">
        <f t="shared" si="16"/>
        <v>3960</v>
      </c>
      <c r="K172" s="23"/>
      <c r="L172" s="3"/>
      <c r="M172" s="3"/>
      <c r="N172" s="3">
        <v>19</v>
      </c>
      <c r="O172" s="3"/>
      <c r="P172" s="158">
        <v>418</v>
      </c>
      <c r="Q172" s="3"/>
      <c r="R172" s="3"/>
      <c r="S172" s="3"/>
      <c r="T172" s="3"/>
    </row>
    <row r="173" spans="1:20">
      <c r="A173" s="13">
        <f t="shared" si="13"/>
        <v>168</v>
      </c>
      <c r="B173" s="3" t="s">
        <v>1076</v>
      </c>
      <c r="C173" s="4" t="s">
        <v>1047</v>
      </c>
      <c r="D173" s="4" t="s">
        <v>1077</v>
      </c>
      <c r="E173" s="4" t="s">
        <v>2086</v>
      </c>
      <c r="F173" s="3" t="s">
        <v>675</v>
      </c>
      <c r="G173" s="42">
        <v>23</v>
      </c>
      <c r="H173" s="3" t="s">
        <v>6</v>
      </c>
      <c r="I173" s="35">
        <v>28</v>
      </c>
      <c r="J173" s="35">
        <f t="shared" si="16"/>
        <v>644</v>
      </c>
      <c r="K173" s="23"/>
      <c r="L173" s="3"/>
      <c r="M173" s="3"/>
      <c r="N173" s="3"/>
      <c r="O173" s="3"/>
      <c r="P173" s="160"/>
      <c r="Q173" s="3"/>
      <c r="R173" s="3"/>
      <c r="S173" s="3"/>
      <c r="T173" s="3"/>
    </row>
    <row r="174" spans="1:20">
      <c r="A174" s="14">
        <f t="shared" si="13"/>
        <v>169</v>
      </c>
      <c r="B174" s="3" t="s">
        <v>1078</v>
      </c>
      <c r="C174" s="4" t="s">
        <v>1047</v>
      </c>
      <c r="D174" s="4" t="s">
        <v>1079</v>
      </c>
      <c r="E174" s="4" t="s">
        <v>2086</v>
      </c>
      <c r="F174" s="3" t="s">
        <v>675</v>
      </c>
      <c r="G174" s="42">
        <v>1</v>
      </c>
      <c r="H174" s="3" t="s">
        <v>6</v>
      </c>
      <c r="I174" s="35">
        <v>252</v>
      </c>
      <c r="J174" s="35">
        <f t="shared" si="16"/>
        <v>252</v>
      </c>
      <c r="K174" s="23"/>
      <c r="L174" s="3"/>
      <c r="M174" s="3"/>
      <c r="N174" s="3"/>
      <c r="O174" s="3"/>
      <c r="P174" s="160"/>
      <c r="Q174" s="3"/>
      <c r="R174" s="3"/>
      <c r="S174" s="3"/>
      <c r="T174" s="3"/>
    </row>
    <row r="175" spans="1:20">
      <c r="A175" s="13">
        <f t="shared" si="13"/>
        <v>170</v>
      </c>
      <c r="B175" s="3" t="s">
        <v>1080</v>
      </c>
      <c r="C175" s="4" t="s">
        <v>1047</v>
      </c>
      <c r="D175" s="4" t="s">
        <v>1081</v>
      </c>
      <c r="E175" s="4" t="s">
        <v>2086</v>
      </c>
      <c r="F175" s="3" t="s">
        <v>675</v>
      </c>
      <c r="G175" s="42">
        <v>6</v>
      </c>
      <c r="H175" s="3" t="s">
        <v>6</v>
      </c>
      <c r="I175" s="35">
        <v>240</v>
      </c>
      <c r="J175" s="35">
        <f t="shared" si="16"/>
        <v>1440</v>
      </c>
      <c r="K175" s="23"/>
      <c r="L175" s="3"/>
      <c r="M175" s="3"/>
      <c r="N175" s="3"/>
      <c r="O175" s="3"/>
      <c r="P175" s="160"/>
      <c r="Q175" s="3"/>
      <c r="R175" s="3"/>
      <c r="S175" s="3"/>
      <c r="T175" s="3"/>
    </row>
    <row r="176" spans="1:20">
      <c r="A176" s="14">
        <f t="shared" si="13"/>
        <v>171</v>
      </c>
      <c r="B176" s="3" t="s">
        <v>1082</v>
      </c>
      <c r="C176" s="8" t="s">
        <v>1083</v>
      </c>
      <c r="D176" s="8" t="s">
        <v>1084</v>
      </c>
      <c r="E176" s="8"/>
      <c r="F176" s="28" t="s">
        <v>675</v>
      </c>
      <c r="G176" s="81" t="s">
        <v>422</v>
      </c>
      <c r="H176" s="28" t="s">
        <v>6</v>
      </c>
      <c r="I176" s="54">
        <v>1500</v>
      </c>
      <c r="J176" s="35">
        <f t="shared" si="16"/>
        <v>1500</v>
      </c>
      <c r="K176" s="23"/>
      <c r="L176" s="3"/>
      <c r="M176" s="3"/>
      <c r="N176" s="3"/>
      <c r="O176" s="3"/>
      <c r="P176" s="160"/>
      <c r="Q176" s="3"/>
      <c r="R176" s="3"/>
      <c r="S176" s="3"/>
      <c r="T176" s="3"/>
    </row>
    <row r="177" spans="1:20">
      <c r="A177" s="13">
        <f t="shared" si="13"/>
        <v>172</v>
      </c>
      <c r="B177" s="3" t="s">
        <v>1085</v>
      </c>
      <c r="C177" s="8" t="s">
        <v>1083</v>
      </c>
      <c r="D177" s="8" t="s">
        <v>1086</v>
      </c>
      <c r="E177" s="8"/>
      <c r="F177" s="28" t="s">
        <v>675</v>
      </c>
      <c r="G177" s="81" t="s">
        <v>743</v>
      </c>
      <c r="H177" s="28" t="s">
        <v>6</v>
      </c>
      <c r="I177" s="54">
        <v>1500</v>
      </c>
      <c r="J177" s="35">
        <f t="shared" si="16"/>
        <v>4500</v>
      </c>
      <c r="K177" s="23"/>
      <c r="L177" s="3"/>
      <c r="M177" s="3"/>
      <c r="N177" s="3">
        <v>1</v>
      </c>
      <c r="O177" s="3"/>
      <c r="P177" s="160">
        <v>150</v>
      </c>
      <c r="Q177" s="3"/>
      <c r="R177" s="3"/>
      <c r="S177" s="3"/>
      <c r="T177" s="3"/>
    </row>
    <row r="178" spans="1:20">
      <c r="A178" s="14">
        <f t="shared" si="13"/>
        <v>173</v>
      </c>
      <c r="B178" s="3" t="s">
        <v>1087</v>
      </c>
      <c r="C178" s="4" t="s">
        <v>1088</v>
      </c>
      <c r="D178" s="4" t="s">
        <v>1089</v>
      </c>
      <c r="E178" s="4"/>
      <c r="F178" s="3" t="s">
        <v>675</v>
      </c>
      <c r="G178" s="42">
        <f>10-1+5</f>
        <v>14</v>
      </c>
      <c r="H178" s="3" t="s">
        <v>6</v>
      </c>
      <c r="I178" s="35">
        <v>13.5</v>
      </c>
      <c r="J178" s="35">
        <f t="shared" si="16"/>
        <v>189</v>
      </c>
      <c r="K178" s="23"/>
      <c r="L178" s="3"/>
      <c r="M178" s="3"/>
      <c r="N178" s="3">
        <v>1</v>
      </c>
      <c r="O178" s="3"/>
      <c r="P178" s="160">
        <v>13.5</v>
      </c>
      <c r="Q178" s="3"/>
      <c r="R178" s="3"/>
      <c r="S178" s="3"/>
      <c r="T178" s="3"/>
    </row>
    <row r="179" spans="1:20">
      <c r="A179" s="13">
        <f t="shared" si="13"/>
        <v>174</v>
      </c>
      <c r="B179" s="3" t="s">
        <v>1090</v>
      </c>
      <c r="C179" s="4" t="s">
        <v>1091</v>
      </c>
      <c r="D179" s="4" t="s">
        <v>1092</v>
      </c>
      <c r="E179" s="4"/>
      <c r="F179" s="3" t="s">
        <v>675</v>
      </c>
      <c r="G179" s="42">
        <v>17</v>
      </c>
      <c r="H179" s="3" t="s">
        <v>6</v>
      </c>
      <c r="I179" s="35">
        <v>25</v>
      </c>
      <c r="J179" s="35">
        <f t="shared" si="16"/>
        <v>425</v>
      </c>
      <c r="K179" s="23"/>
      <c r="L179" s="3"/>
      <c r="M179" s="3"/>
      <c r="N179" s="3"/>
      <c r="O179" s="3"/>
      <c r="P179" s="160"/>
      <c r="Q179" s="3"/>
      <c r="R179" s="3"/>
      <c r="S179" s="3"/>
      <c r="T179" s="3"/>
    </row>
    <row r="180" spans="1:20">
      <c r="A180" s="14">
        <f t="shared" si="13"/>
        <v>175</v>
      </c>
      <c r="B180" s="3" t="s">
        <v>1093</v>
      </c>
      <c r="C180" s="4" t="s">
        <v>1094</v>
      </c>
      <c r="D180" s="4" t="s">
        <v>1095</v>
      </c>
      <c r="E180" s="4"/>
      <c r="F180" s="3" t="s">
        <v>675</v>
      </c>
      <c r="G180" s="42">
        <v>20</v>
      </c>
      <c r="H180" s="3" t="s">
        <v>6</v>
      </c>
      <c r="I180" s="35">
        <v>12</v>
      </c>
      <c r="J180" s="35">
        <f t="shared" si="16"/>
        <v>240</v>
      </c>
      <c r="K180" s="23"/>
      <c r="L180" s="3"/>
      <c r="M180" s="3"/>
      <c r="N180" s="3"/>
      <c r="O180" s="3"/>
      <c r="P180" s="160"/>
      <c r="Q180" s="3"/>
      <c r="R180" s="3"/>
      <c r="S180" s="3"/>
      <c r="T180" s="3"/>
    </row>
    <row r="181" spans="1:20">
      <c r="A181" s="13">
        <f t="shared" si="13"/>
        <v>176</v>
      </c>
      <c r="B181" s="3" t="s">
        <v>1096</v>
      </c>
      <c r="C181" s="4" t="s">
        <v>1097</v>
      </c>
      <c r="D181" s="4" t="s">
        <v>1098</v>
      </c>
      <c r="E181" s="4"/>
      <c r="F181" s="3" t="s">
        <v>675</v>
      </c>
      <c r="G181" s="42">
        <v>26</v>
      </c>
      <c r="H181" s="3" t="s">
        <v>6</v>
      </c>
      <c r="I181" s="35">
        <v>66</v>
      </c>
      <c r="J181" s="35">
        <f t="shared" si="16"/>
        <v>1716</v>
      </c>
      <c r="K181" s="23"/>
      <c r="L181" s="3"/>
      <c r="M181" s="3"/>
      <c r="N181" s="3">
        <v>12</v>
      </c>
      <c r="O181" s="3"/>
      <c r="P181" s="160">
        <v>792</v>
      </c>
      <c r="Q181" s="3"/>
      <c r="R181" s="3"/>
      <c r="S181" s="3"/>
      <c r="T181" s="3"/>
    </row>
    <row r="182" spans="1:20">
      <c r="A182" s="14">
        <f t="shared" si="13"/>
        <v>177</v>
      </c>
      <c r="B182" s="3" t="s">
        <v>1099</v>
      </c>
      <c r="C182" s="4" t="s">
        <v>1097</v>
      </c>
      <c r="D182" s="4" t="s">
        <v>1100</v>
      </c>
      <c r="E182" s="4"/>
      <c r="F182" s="3" t="s">
        <v>675</v>
      </c>
      <c r="G182" s="42">
        <f>64-2</f>
        <v>62</v>
      </c>
      <c r="H182" s="3" t="s">
        <v>6</v>
      </c>
      <c r="I182" s="35">
        <v>8.36</v>
      </c>
      <c r="J182" s="35">
        <f t="shared" si="16"/>
        <v>518.31999999999994</v>
      </c>
      <c r="K182" s="23"/>
      <c r="L182" s="3"/>
      <c r="M182" s="3"/>
      <c r="N182" s="3">
        <v>16</v>
      </c>
      <c r="O182" s="3"/>
      <c r="P182" s="160">
        <v>133.76</v>
      </c>
      <c r="Q182" s="3"/>
      <c r="R182" s="3"/>
      <c r="S182" s="3"/>
      <c r="T182" s="3"/>
    </row>
    <row r="183" spans="1:20">
      <c r="A183" s="13">
        <f t="shared" si="13"/>
        <v>178</v>
      </c>
      <c r="B183" s="3" t="s">
        <v>1101</v>
      </c>
      <c r="C183" s="4" t="s">
        <v>1097</v>
      </c>
      <c r="D183" s="4" t="s">
        <v>1102</v>
      </c>
      <c r="E183" s="4"/>
      <c r="F183" s="3" t="s">
        <v>675</v>
      </c>
      <c r="G183" s="42">
        <v>18</v>
      </c>
      <c r="H183" s="3" t="s">
        <v>6</v>
      </c>
      <c r="I183" s="35">
        <v>47</v>
      </c>
      <c r="J183" s="35">
        <f t="shared" si="16"/>
        <v>846</v>
      </c>
      <c r="K183" s="23"/>
      <c r="L183" s="3"/>
      <c r="M183" s="3"/>
      <c r="N183" s="3">
        <v>18</v>
      </c>
      <c r="O183" s="3"/>
      <c r="P183" s="160">
        <v>998.28</v>
      </c>
      <c r="Q183" s="3"/>
      <c r="R183" s="3"/>
      <c r="S183" s="3"/>
      <c r="T183" s="3"/>
    </row>
    <row r="184" spans="1:20">
      <c r="A184" s="14">
        <f t="shared" si="13"/>
        <v>179</v>
      </c>
      <c r="B184" s="3" t="s">
        <v>1103</v>
      </c>
      <c r="C184" s="4" t="s">
        <v>1104</v>
      </c>
      <c r="D184" s="4" t="s">
        <v>1105</v>
      </c>
      <c r="E184" s="4"/>
      <c r="F184" s="3" t="s">
        <v>675</v>
      </c>
      <c r="G184" s="42">
        <v>11</v>
      </c>
      <c r="H184" s="3" t="s">
        <v>6</v>
      </c>
      <c r="I184" s="35">
        <v>9.5</v>
      </c>
      <c r="J184" s="35">
        <f t="shared" si="16"/>
        <v>104.5</v>
      </c>
      <c r="K184" s="23"/>
      <c r="L184" s="3"/>
      <c r="M184" s="3"/>
      <c r="N184" s="3">
        <v>4</v>
      </c>
      <c r="O184" s="3"/>
      <c r="P184" s="160">
        <v>38</v>
      </c>
      <c r="Q184" s="3"/>
      <c r="R184" s="3"/>
      <c r="S184" s="3"/>
      <c r="T184" s="3"/>
    </row>
    <row r="185" spans="1:20">
      <c r="A185" s="13">
        <f t="shared" si="13"/>
        <v>180</v>
      </c>
      <c r="B185" s="3" t="s">
        <v>1106</v>
      </c>
      <c r="C185" s="4" t="s">
        <v>1107</v>
      </c>
      <c r="D185" s="4" t="s">
        <v>1108</v>
      </c>
      <c r="E185" s="4"/>
      <c r="F185" s="3" t="s">
        <v>675</v>
      </c>
      <c r="G185" s="42">
        <v>50</v>
      </c>
      <c r="H185" s="3" t="s">
        <v>6</v>
      </c>
      <c r="I185" s="35">
        <v>27.79</v>
      </c>
      <c r="J185" s="35">
        <f t="shared" si="16"/>
        <v>1389.5</v>
      </c>
      <c r="K185" s="23"/>
      <c r="L185" s="3"/>
      <c r="M185" s="3"/>
      <c r="N185" s="3">
        <v>18</v>
      </c>
      <c r="O185" s="3"/>
      <c r="P185" s="160">
        <v>500.22</v>
      </c>
      <c r="Q185" s="3"/>
      <c r="R185" s="3"/>
      <c r="S185" s="3"/>
      <c r="T185" s="3"/>
    </row>
    <row r="186" spans="1:20">
      <c r="A186" s="14">
        <f t="shared" si="13"/>
        <v>181</v>
      </c>
      <c r="B186" s="3" t="s">
        <v>1109</v>
      </c>
      <c r="C186" s="4" t="s">
        <v>1097</v>
      </c>
      <c r="D186" s="4" t="s">
        <v>1110</v>
      </c>
      <c r="E186" s="4"/>
      <c r="F186" s="3" t="s">
        <v>675</v>
      </c>
      <c r="G186" s="42">
        <f>60-2-4</f>
        <v>54</v>
      </c>
      <c r="H186" s="3" t="s">
        <v>6</v>
      </c>
      <c r="I186" s="35">
        <v>5</v>
      </c>
      <c r="J186" s="35">
        <f t="shared" si="16"/>
        <v>270</v>
      </c>
      <c r="K186" s="23"/>
      <c r="L186" s="3"/>
      <c r="M186" s="3"/>
      <c r="N186" s="3">
        <v>31</v>
      </c>
      <c r="O186" s="3"/>
      <c r="P186" s="160">
        <v>155</v>
      </c>
      <c r="Q186" s="3"/>
      <c r="R186" s="3"/>
      <c r="S186" s="3"/>
      <c r="T186" s="3"/>
    </row>
    <row r="187" spans="1:20">
      <c r="A187" s="13">
        <f t="shared" si="13"/>
        <v>182</v>
      </c>
      <c r="B187" s="3" t="s">
        <v>1111</v>
      </c>
      <c r="C187" s="4" t="s">
        <v>1112</v>
      </c>
      <c r="D187" s="4" t="s">
        <v>1113</v>
      </c>
      <c r="E187" s="4"/>
      <c r="F187" s="3" t="s">
        <v>675</v>
      </c>
      <c r="G187" s="42">
        <f>35-35</f>
        <v>0</v>
      </c>
      <c r="H187" s="3" t="s">
        <v>6</v>
      </c>
      <c r="I187" s="35">
        <v>20.61</v>
      </c>
      <c r="J187" s="35">
        <f t="shared" si="16"/>
        <v>0</v>
      </c>
      <c r="K187" s="23"/>
      <c r="L187" s="3"/>
      <c r="M187" s="3"/>
      <c r="N187" s="3"/>
      <c r="O187" s="3"/>
      <c r="P187" s="160"/>
      <c r="Q187" s="3"/>
      <c r="R187" s="3"/>
      <c r="S187" s="3"/>
      <c r="T187" s="3"/>
    </row>
    <row r="188" spans="1:20">
      <c r="A188" s="14">
        <f t="shared" si="13"/>
        <v>183</v>
      </c>
      <c r="B188" s="3" t="s">
        <v>1114</v>
      </c>
      <c r="C188" s="4" t="s">
        <v>1115</v>
      </c>
      <c r="D188" s="4" t="s">
        <v>1116</v>
      </c>
      <c r="E188" s="4"/>
      <c r="F188" s="3" t="s">
        <v>675</v>
      </c>
      <c r="G188" s="42" t="s">
        <v>773</v>
      </c>
      <c r="H188" s="3" t="s">
        <v>6</v>
      </c>
      <c r="I188" s="35">
        <v>4.4800000000000004</v>
      </c>
      <c r="J188" s="35">
        <f t="shared" si="16"/>
        <v>246.40000000000003</v>
      </c>
      <c r="K188" s="23"/>
      <c r="L188" s="3"/>
      <c r="M188" s="3"/>
      <c r="N188" s="3">
        <v>8</v>
      </c>
      <c r="O188" s="3"/>
      <c r="P188" s="160">
        <v>35.840000000000003</v>
      </c>
      <c r="Q188" s="3"/>
      <c r="R188" s="3"/>
      <c r="S188" s="3"/>
      <c r="T188" s="3"/>
    </row>
    <row r="189" spans="1:20">
      <c r="A189" s="13">
        <f t="shared" si="13"/>
        <v>184</v>
      </c>
      <c r="B189" s="3" t="s">
        <v>2056</v>
      </c>
      <c r="C189" s="4" t="s">
        <v>1097</v>
      </c>
      <c r="D189" s="4" t="s">
        <v>1117</v>
      </c>
      <c r="E189" s="4"/>
      <c r="F189" s="3" t="s">
        <v>675</v>
      </c>
      <c r="G189" s="42">
        <v>42</v>
      </c>
      <c r="H189" s="3" t="s">
        <v>6</v>
      </c>
      <c r="I189" s="35">
        <v>10.75</v>
      </c>
      <c r="J189" s="35">
        <f t="shared" si="16"/>
        <v>451.5</v>
      </c>
      <c r="K189" s="23"/>
      <c r="L189" s="3"/>
      <c r="M189" s="3"/>
      <c r="N189" s="3">
        <v>24</v>
      </c>
      <c r="O189" s="3"/>
      <c r="P189" s="160">
        <v>258</v>
      </c>
      <c r="Q189" s="3"/>
      <c r="R189" s="3"/>
      <c r="S189" s="3"/>
      <c r="T189" s="3"/>
    </row>
    <row r="190" spans="1:20">
      <c r="A190" s="14">
        <f t="shared" si="13"/>
        <v>185</v>
      </c>
      <c r="B190" s="3" t="s">
        <v>1118</v>
      </c>
      <c r="C190" s="4" t="s">
        <v>1097</v>
      </c>
      <c r="D190" s="4" t="s">
        <v>1119</v>
      </c>
      <c r="E190" s="4"/>
      <c r="F190" s="3" t="s">
        <v>675</v>
      </c>
      <c r="G190" s="42">
        <f>25-4</f>
        <v>21</v>
      </c>
      <c r="H190" s="3" t="s">
        <v>6</v>
      </c>
      <c r="I190" s="35">
        <v>2</v>
      </c>
      <c r="J190" s="35">
        <f t="shared" si="16"/>
        <v>42</v>
      </c>
      <c r="K190" s="23"/>
      <c r="L190" s="3"/>
      <c r="M190" s="3"/>
      <c r="N190" s="3">
        <v>10</v>
      </c>
      <c r="O190" s="3"/>
      <c r="P190" s="160">
        <v>20</v>
      </c>
      <c r="Q190" s="3"/>
      <c r="R190" s="3"/>
      <c r="S190" s="3"/>
      <c r="T190" s="3"/>
    </row>
    <row r="191" spans="1:20">
      <c r="A191" s="13">
        <f t="shared" si="13"/>
        <v>186</v>
      </c>
      <c r="B191" s="3" t="s">
        <v>1120</v>
      </c>
      <c r="C191" s="4" t="s">
        <v>1115</v>
      </c>
      <c r="D191" s="4" t="s">
        <v>1121</v>
      </c>
      <c r="E191" s="4"/>
      <c r="F191" s="3" t="s">
        <v>675</v>
      </c>
      <c r="G191" s="42" t="s">
        <v>1122</v>
      </c>
      <c r="H191" s="3" t="s">
        <v>6</v>
      </c>
      <c r="I191" s="35">
        <v>1.43</v>
      </c>
      <c r="J191" s="35">
        <f t="shared" si="16"/>
        <v>92.95</v>
      </c>
      <c r="K191" s="23"/>
      <c r="L191" s="3"/>
      <c r="M191" s="3"/>
      <c r="N191" s="3">
        <v>30</v>
      </c>
      <c r="O191" s="3"/>
      <c r="P191" s="160">
        <v>42.9</v>
      </c>
      <c r="Q191" s="3"/>
      <c r="R191" s="3"/>
      <c r="S191" s="3"/>
      <c r="T191" s="3"/>
    </row>
    <row r="192" spans="1:20">
      <c r="A192" s="14">
        <f t="shared" si="13"/>
        <v>187</v>
      </c>
      <c r="B192" s="3" t="s">
        <v>1123</v>
      </c>
      <c r="C192" s="4" t="s">
        <v>1115</v>
      </c>
      <c r="D192" s="4" t="s">
        <v>1124</v>
      </c>
      <c r="E192" s="4"/>
      <c r="F192" s="3" t="s">
        <v>675</v>
      </c>
      <c r="G192" s="42">
        <v>200</v>
      </c>
      <c r="H192" s="3" t="s">
        <v>6</v>
      </c>
      <c r="I192" s="35">
        <v>2.0499999999999998</v>
      </c>
      <c r="J192" s="35">
        <f t="shared" si="16"/>
        <v>409.99999999999994</v>
      </c>
      <c r="K192" s="23"/>
      <c r="L192" s="3"/>
      <c r="M192" s="3"/>
      <c r="N192" s="3">
        <v>75</v>
      </c>
      <c r="O192" s="3"/>
      <c r="P192" s="160">
        <v>153.75</v>
      </c>
      <c r="Q192" s="3"/>
      <c r="R192" s="3"/>
      <c r="S192" s="3"/>
      <c r="T192" s="3"/>
    </row>
    <row r="193" spans="1:20">
      <c r="A193" s="13">
        <f t="shared" si="13"/>
        <v>188</v>
      </c>
      <c r="B193" s="3" t="s">
        <v>1125</v>
      </c>
      <c r="C193" s="8" t="s">
        <v>1126</v>
      </c>
      <c r="D193" s="8" t="s">
        <v>57</v>
      </c>
      <c r="E193" s="8"/>
      <c r="F193" s="28" t="s">
        <v>675</v>
      </c>
      <c r="G193" s="81" t="s">
        <v>687</v>
      </c>
      <c r="H193" s="28" t="s">
        <v>6</v>
      </c>
      <c r="I193" s="54">
        <v>800</v>
      </c>
      <c r="J193" s="35">
        <f t="shared" si="16"/>
        <v>1600</v>
      </c>
      <c r="K193" s="23"/>
      <c r="L193" s="3"/>
      <c r="M193" s="3"/>
      <c r="N193" s="3"/>
      <c r="O193" s="3"/>
      <c r="P193" s="160"/>
      <c r="Q193" s="3"/>
      <c r="R193" s="3"/>
      <c r="S193" s="3"/>
      <c r="T193" s="3"/>
    </row>
    <row r="194" spans="1:20" ht="30">
      <c r="A194" s="14">
        <f t="shared" si="13"/>
        <v>189</v>
      </c>
      <c r="B194" s="3" t="s">
        <v>1127</v>
      </c>
      <c r="C194" s="8" t="s">
        <v>1128</v>
      </c>
      <c r="D194" s="8" t="s">
        <v>1129</v>
      </c>
      <c r="E194" s="8" t="s">
        <v>2087</v>
      </c>
      <c r="F194" s="28" t="s">
        <v>675</v>
      </c>
      <c r="G194" s="81" t="s">
        <v>687</v>
      </c>
      <c r="H194" s="28" t="s">
        <v>6</v>
      </c>
      <c r="I194" s="54">
        <v>350</v>
      </c>
      <c r="J194" s="35">
        <f t="shared" si="16"/>
        <v>700</v>
      </c>
      <c r="K194" s="23"/>
      <c r="L194" s="3"/>
      <c r="M194" s="3"/>
      <c r="N194" s="3"/>
      <c r="O194" s="3"/>
      <c r="P194" s="160"/>
      <c r="Q194" s="3"/>
      <c r="R194" s="3"/>
      <c r="S194" s="3"/>
      <c r="T194" s="3"/>
    </row>
    <row r="195" spans="1:20" ht="30">
      <c r="A195" s="13">
        <f t="shared" si="13"/>
        <v>190</v>
      </c>
      <c r="B195" s="3" t="s">
        <v>1130</v>
      </c>
      <c r="C195" s="8" t="s">
        <v>1131</v>
      </c>
      <c r="D195" s="8" t="s">
        <v>1132</v>
      </c>
      <c r="E195" s="8" t="s">
        <v>2087</v>
      </c>
      <c r="F195" s="28" t="s">
        <v>675</v>
      </c>
      <c r="G195" s="81" t="s">
        <v>687</v>
      </c>
      <c r="H195" s="28" t="s">
        <v>6</v>
      </c>
      <c r="I195" s="54">
        <v>10000</v>
      </c>
      <c r="J195" s="35">
        <f t="shared" si="16"/>
        <v>20000</v>
      </c>
      <c r="K195" s="23"/>
      <c r="L195" s="3"/>
      <c r="M195" s="3"/>
      <c r="N195" s="3"/>
      <c r="O195" s="3"/>
      <c r="P195" s="160"/>
      <c r="Q195" s="3"/>
      <c r="R195" s="3"/>
      <c r="S195" s="3"/>
      <c r="T195" s="3"/>
    </row>
    <row r="196" spans="1:20">
      <c r="A196" s="14">
        <f t="shared" si="13"/>
        <v>191</v>
      </c>
      <c r="B196" s="3" t="s">
        <v>1133</v>
      </c>
      <c r="C196" s="4" t="s">
        <v>1134</v>
      </c>
      <c r="D196" s="4" t="s">
        <v>57</v>
      </c>
      <c r="E196" s="4" t="s">
        <v>2076</v>
      </c>
      <c r="F196" s="3" t="s">
        <v>675</v>
      </c>
      <c r="G196" s="42">
        <f>10-1-2-2</f>
        <v>5</v>
      </c>
      <c r="H196" s="3" t="s">
        <v>6</v>
      </c>
      <c r="I196" s="35">
        <v>1850</v>
      </c>
      <c r="J196" s="35">
        <f t="shared" si="16"/>
        <v>9250</v>
      </c>
      <c r="K196" s="23"/>
      <c r="L196" s="3"/>
      <c r="M196" s="3"/>
      <c r="N196" s="3">
        <v>5</v>
      </c>
      <c r="O196" s="3"/>
      <c r="P196" s="160">
        <v>92.5</v>
      </c>
      <c r="Q196" s="3"/>
      <c r="R196" s="3"/>
      <c r="S196" s="3"/>
      <c r="T196" s="3"/>
    </row>
    <row r="197" spans="1:20">
      <c r="A197" s="13">
        <f t="shared" si="13"/>
        <v>192</v>
      </c>
      <c r="B197" s="3" t="s">
        <v>1135</v>
      </c>
      <c r="C197" s="4" t="s">
        <v>194</v>
      </c>
      <c r="D197" s="4" t="s">
        <v>1136</v>
      </c>
      <c r="E197" s="4" t="s">
        <v>2076</v>
      </c>
      <c r="F197" s="3" t="s">
        <v>675</v>
      </c>
      <c r="G197" s="42">
        <v>154</v>
      </c>
      <c r="H197" s="3" t="s">
        <v>63</v>
      </c>
      <c r="I197" s="35">
        <v>66.86</v>
      </c>
      <c r="J197" s="35">
        <f t="shared" si="16"/>
        <v>10296.44</v>
      </c>
      <c r="K197" s="89"/>
      <c r="L197" s="3"/>
      <c r="M197" s="3"/>
      <c r="N197" s="3">
        <v>56</v>
      </c>
      <c r="O197" s="3"/>
      <c r="P197" s="160">
        <v>3744.16</v>
      </c>
      <c r="Q197" s="3"/>
      <c r="R197" s="3"/>
      <c r="S197" s="3"/>
      <c r="T197" s="3"/>
    </row>
    <row r="198" spans="1:20">
      <c r="A198" s="14">
        <f t="shared" si="13"/>
        <v>193</v>
      </c>
      <c r="B198" s="3" t="s">
        <v>1137</v>
      </c>
      <c r="C198" s="4" t="s">
        <v>2057</v>
      </c>
      <c r="D198" s="4"/>
      <c r="E198" s="4" t="s">
        <v>2076</v>
      </c>
      <c r="F198" s="3" t="s">
        <v>675</v>
      </c>
      <c r="G198" s="42">
        <v>1</v>
      </c>
      <c r="H198" s="3" t="s">
        <v>63</v>
      </c>
      <c r="I198" s="35">
        <v>3200</v>
      </c>
      <c r="J198" s="35">
        <f t="shared" si="16"/>
        <v>3200</v>
      </c>
      <c r="K198" s="23"/>
      <c r="L198" s="3"/>
      <c r="M198" s="3"/>
      <c r="N198" s="3"/>
      <c r="O198" s="3"/>
      <c r="P198" s="160"/>
      <c r="Q198" s="3"/>
      <c r="R198" s="3"/>
      <c r="S198" s="3"/>
      <c r="T198" s="3"/>
    </row>
    <row r="199" spans="1:20">
      <c r="A199" s="13">
        <f t="shared" si="13"/>
        <v>194</v>
      </c>
      <c r="B199" s="3" t="s">
        <v>1140</v>
      </c>
      <c r="C199" s="4" t="s">
        <v>194</v>
      </c>
      <c r="D199" s="4" t="s">
        <v>1141</v>
      </c>
      <c r="E199" s="4" t="s">
        <v>2076</v>
      </c>
      <c r="F199" s="3" t="s">
        <v>675</v>
      </c>
      <c r="G199" s="42">
        <v>49</v>
      </c>
      <c r="H199" s="3" t="s">
        <v>63</v>
      </c>
      <c r="I199" s="35">
        <v>180</v>
      </c>
      <c r="J199" s="35">
        <f t="shared" si="16"/>
        <v>8820</v>
      </c>
      <c r="K199" s="23"/>
      <c r="L199" s="3"/>
      <c r="M199" s="3"/>
      <c r="N199" s="3">
        <v>4</v>
      </c>
      <c r="O199" s="3"/>
      <c r="P199" s="160">
        <v>720</v>
      </c>
      <c r="Q199" s="3"/>
      <c r="R199" s="3"/>
      <c r="S199" s="3"/>
      <c r="T199" s="3"/>
    </row>
    <row r="200" spans="1:20">
      <c r="A200" s="14">
        <f t="shared" ref="A200:A263" si="17">A199+1</f>
        <v>195</v>
      </c>
      <c r="B200" s="3" t="s">
        <v>1142</v>
      </c>
      <c r="C200" s="8" t="s">
        <v>2165</v>
      </c>
      <c r="D200" s="8" t="s">
        <v>1143</v>
      </c>
      <c r="E200" s="8" t="s">
        <v>2164</v>
      </c>
      <c r="F200" s="28" t="s">
        <v>675</v>
      </c>
      <c r="G200" s="81" t="s">
        <v>422</v>
      </c>
      <c r="H200" s="28" t="s">
        <v>6</v>
      </c>
      <c r="I200" s="54">
        <v>1500</v>
      </c>
      <c r="J200" s="35">
        <f t="shared" si="16"/>
        <v>1500</v>
      </c>
      <c r="K200" s="23"/>
      <c r="L200" s="3"/>
      <c r="M200" s="3"/>
      <c r="N200" s="3"/>
      <c r="O200" s="3"/>
      <c r="P200" s="160"/>
      <c r="Q200" s="3"/>
      <c r="R200" s="3"/>
      <c r="S200" s="3"/>
      <c r="T200" s="3"/>
    </row>
    <row r="201" spans="1:20">
      <c r="A201" s="13">
        <f t="shared" si="17"/>
        <v>196</v>
      </c>
      <c r="B201" s="3" t="s">
        <v>1144</v>
      </c>
      <c r="C201" s="4" t="s">
        <v>1145</v>
      </c>
      <c r="D201" s="4" t="s">
        <v>1146</v>
      </c>
      <c r="E201" s="4"/>
      <c r="F201" s="3" t="s">
        <v>675</v>
      </c>
      <c r="G201" s="42" t="s">
        <v>422</v>
      </c>
      <c r="H201" s="3" t="s">
        <v>6</v>
      </c>
      <c r="I201" s="35">
        <v>1060</v>
      </c>
      <c r="J201" s="35">
        <f t="shared" si="16"/>
        <v>1060</v>
      </c>
      <c r="K201" s="23"/>
      <c r="L201" s="3"/>
      <c r="M201" s="3"/>
      <c r="N201" s="3"/>
      <c r="O201" s="3"/>
      <c r="P201" s="160"/>
      <c r="Q201" s="3"/>
      <c r="R201" s="3"/>
      <c r="S201" s="3"/>
      <c r="T201" s="3"/>
    </row>
    <row r="202" spans="1:20">
      <c r="A202" s="14">
        <f t="shared" si="17"/>
        <v>197</v>
      </c>
      <c r="B202" s="3" t="s">
        <v>1147</v>
      </c>
      <c r="C202" s="4" t="s">
        <v>1148</v>
      </c>
      <c r="D202" s="4" t="s">
        <v>1149</v>
      </c>
      <c r="E202" s="4" t="s">
        <v>2087</v>
      </c>
      <c r="F202" s="3" t="s">
        <v>675</v>
      </c>
      <c r="G202" s="42" t="s">
        <v>422</v>
      </c>
      <c r="H202" s="3" t="s">
        <v>6</v>
      </c>
      <c r="I202" s="35">
        <v>1650</v>
      </c>
      <c r="J202" s="35">
        <f t="shared" si="16"/>
        <v>1650</v>
      </c>
      <c r="K202" s="23"/>
      <c r="L202" s="3"/>
      <c r="M202" s="3"/>
      <c r="N202" s="3"/>
      <c r="O202" s="3"/>
      <c r="P202" s="160"/>
      <c r="Q202" s="3"/>
      <c r="R202" s="3"/>
      <c r="S202" s="3"/>
      <c r="T202" s="3"/>
    </row>
    <row r="203" spans="1:20">
      <c r="A203" s="13">
        <f t="shared" si="17"/>
        <v>198</v>
      </c>
      <c r="B203" s="2" t="s">
        <v>1624</v>
      </c>
      <c r="C203" s="9" t="s">
        <v>1244</v>
      </c>
      <c r="D203" s="27" t="s">
        <v>1625</v>
      </c>
      <c r="E203" s="27" t="s">
        <v>2088</v>
      </c>
      <c r="F203" s="2" t="s">
        <v>675</v>
      </c>
      <c r="G203" s="83">
        <v>1</v>
      </c>
      <c r="H203" s="9" t="s">
        <v>6</v>
      </c>
      <c r="I203" s="35">
        <v>467280</v>
      </c>
      <c r="J203" s="35">
        <f>G203*I203</f>
        <v>467280</v>
      </c>
      <c r="K203" s="23"/>
      <c r="L203" s="3"/>
      <c r="M203" s="3"/>
      <c r="N203" s="3">
        <v>1</v>
      </c>
      <c r="O203" s="3"/>
      <c r="P203" s="159">
        <v>467280</v>
      </c>
      <c r="Q203" s="3"/>
      <c r="R203" s="3"/>
      <c r="S203" s="3"/>
      <c r="T203" s="3"/>
    </row>
    <row r="204" spans="1:20">
      <c r="A204" s="14">
        <f t="shared" si="17"/>
        <v>199</v>
      </c>
      <c r="B204" s="28" t="s">
        <v>1150</v>
      </c>
      <c r="C204" s="4" t="s">
        <v>1151</v>
      </c>
      <c r="D204" s="4" t="s">
        <v>57</v>
      </c>
      <c r="E204" s="4"/>
      <c r="F204" s="3" t="s">
        <v>675</v>
      </c>
      <c r="G204" s="42" t="s">
        <v>705</v>
      </c>
      <c r="H204" s="3" t="s">
        <v>6</v>
      </c>
      <c r="I204" s="35">
        <v>40</v>
      </c>
      <c r="J204" s="35">
        <f t="shared" ref="J204:J239" si="18">G204*I204</f>
        <v>320</v>
      </c>
      <c r="K204" s="23"/>
      <c r="L204" s="3"/>
      <c r="M204" s="3"/>
      <c r="N204" s="3"/>
      <c r="O204" s="3"/>
      <c r="P204" s="160"/>
      <c r="Q204" s="3"/>
      <c r="R204" s="3"/>
      <c r="S204" s="3"/>
      <c r="T204" s="3"/>
    </row>
    <row r="205" spans="1:20">
      <c r="A205" s="13">
        <f t="shared" si="17"/>
        <v>200</v>
      </c>
      <c r="B205" s="3" t="s">
        <v>1152</v>
      </c>
      <c r="C205" s="4" t="s">
        <v>1153</v>
      </c>
      <c r="D205" s="4" t="s">
        <v>513</v>
      </c>
      <c r="E205" s="4"/>
      <c r="F205" s="3" t="s">
        <v>675</v>
      </c>
      <c r="G205" s="42">
        <f>25-2</f>
        <v>23</v>
      </c>
      <c r="H205" s="3" t="s">
        <v>6</v>
      </c>
      <c r="I205" s="35">
        <v>65</v>
      </c>
      <c r="J205" s="35">
        <f t="shared" si="18"/>
        <v>1495</v>
      </c>
      <c r="K205" s="23"/>
      <c r="L205" s="3"/>
      <c r="M205" s="3"/>
      <c r="N205" s="3">
        <v>4</v>
      </c>
      <c r="O205" s="3"/>
      <c r="P205" s="160">
        <v>260</v>
      </c>
      <c r="Q205" s="3"/>
      <c r="R205" s="3"/>
      <c r="S205" s="3"/>
      <c r="T205" s="3"/>
    </row>
    <row r="206" spans="1:20" ht="30">
      <c r="A206" s="14">
        <f t="shared" si="17"/>
        <v>201</v>
      </c>
      <c r="B206" s="9" t="s">
        <v>1154</v>
      </c>
      <c r="C206" s="64" t="s">
        <v>1155</v>
      </c>
      <c r="D206" s="64" t="s">
        <v>1156</v>
      </c>
      <c r="E206" s="64"/>
      <c r="F206" s="63" t="s">
        <v>675</v>
      </c>
      <c r="G206" s="82" t="s">
        <v>687</v>
      </c>
      <c r="H206" s="63" t="s">
        <v>6</v>
      </c>
      <c r="I206" s="75">
        <v>35400</v>
      </c>
      <c r="J206" s="36">
        <f t="shared" si="18"/>
        <v>70800</v>
      </c>
      <c r="K206" s="120">
        <v>1</v>
      </c>
      <c r="L206" s="3"/>
      <c r="M206" s="158">
        <v>33249.449999999997</v>
      </c>
      <c r="N206" s="3">
        <v>1</v>
      </c>
      <c r="O206" s="3"/>
      <c r="P206" s="158">
        <v>33249.449999999997</v>
      </c>
      <c r="Q206" s="3"/>
      <c r="R206" s="3"/>
      <c r="S206" s="3"/>
      <c r="T206" s="3"/>
    </row>
    <row r="207" spans="1:20">
      <c r="A207" s="13">
        <f t="shared" si="17"/>
        <v>202</v>
      </c>
      <c r="B207" s="3" t="s">
        <v>1157</v>
      </c>
      <c r="C207" s="4" t="s">
        <v>1158</v>
      </c>
      <c r="D207" s="4" t="s">
        <v>1159</v>
      </c>
      <c r="E207" s="4" t="s">
        <v>2069</v>
      </c>
      <c r="F207" s="3" t="s">
        <v>675</v>
      </c>
      <c r="G207" s="42" t="s">
        <v>743</v>
      </c>
      <c r="H207" s="3" t="s">
        <v>6</v>
      </c>
      <c r="I207" s="35">
        <v>430</v>
      </c>
      <c r="J207" s="35">
        <f t="shared" si="18"/>
        <v>1290</v>
      </c>
      <c r="K207" s="23"/>
      <c r="L207" s="3"/>
      <c r="M207" s="3"/>
      <c r="N207" s="3"/>
      <c r="O207" s="3"/>
      <c r="P207" s="160"/>
      <c r="Q207" s="3"/>
      <c r="R207" s="3"/>
      <c r="S207" s="3"/>
      <c r="T207" s="3"/>
    </row>
    <row r="208" spans="1:20" ht="45">
      <c r="A208" s="14">
        <f t="shared" si="17"/>
        <v>203</v>
      </c>
      <c r="B208" s="9" t="s">
        <v>1160</v>
      </c>
      <c r="C208" s="10" t="s">
        <v>1161</v>
      </c>
      <c r="D208" s="10" t="s">
        <v>1162</v>
      </c>
      <c r="E208" s="10" t="s">
        <v>2080</v>
      </c>
      <c r="F208" s="9" t="s">
        <v>675</v>
      </c>
      <c r="G208" s="83" t="s">
        <v>687</v>
      </c>
      <c r="H208" s="9" t="s">
        <v>6</v>
      </c>
      <c r="I208" s="36">
        <v>9517.8799999999992</v>
      </c>
      <c r="J208" s="36">
        <f t="shared" si="18"/>
        <v>19035.759999999998</v>
      </c>
      <c r="K208" s="91"/>
      <c r="L208" s="3"/>
      <c r="M208" s="3"/>
      <c r="N208" s="3"/>
      <c r="O208" s="3"/>
      <c r="P208" s="160"/>
      <c r="Q208" s="3"/>
      <c r="R208" s="3"/>
      <c r="S208" s="3"/>
      <c r="T208" s="3"/>
    </row>
    <row r="209" spans="1:20">
      <c r="A209" s="13">
        <f t="shared" si="17"/>
        <v>204</v>
      </c>
      <c r="B209" s="3" t="s">
        <v>1163</v>
      </c>
      <c r="C209" s="4" t="s">
        <v>1164</v>
      </c>
      <c r="D209" s="4" t="s">
        <v>1165</v>
      </c>
      <c r="E209" s="4"/>
      <c r="F209" s="3" t="s">
        <v>675</v>
      </c>
      <c r="G209" s="42" t="s">
        <v>687</v>
      </c>
      <c r="H209" s="3" t="s">
        <v>6</v>
      </c>
      <c r="I209" s="35">
        <v>120</v>
      </c>
      <c r="J209" s="35">
        <f t="shared" si="18"/>
        <v>240</v>
      </c>
      <c r="K209" s="23"/>
      <c r="L209" s="3"/>
      <c r="M209" s="3"/>
      <c r="N209" s="3"/>
      <c r="O209" s="3"/>
      <c r="P209" s="160"/>
      <c r="Q209" s="3"/>
      <c r="R209" s="3"/>
      <c r="S209" s="3"/>
      <c r="T209" s="3"/>
    </row>
    <row r="210" spans="1:20">
      <c r="A210" s="14">
        <f t="shared" si="17"/>
        <v>205</v>
      </c>
      <c r="B210" s="3" t="s">
        <v>1166</v>
      </c>
      <c r="C210" s="4" t="s">
        <v>1164</v>
      </c>
      <c r="D210" s="4" t="s">
        <v>1167</v>
      </c>
      <c r="E210" s="4"/>
      <c r="F210" s="3" t="s">
        <v>675</v>
      </c>
      <c r="G210" s="42">
        <f>6-1+1</f>
        <v>6</v>
      </c>
      <c r="H210" s="3" t="s">
        <v>6</v>
      </c>
      <c r="I210" s="35">
        <v>60</v>
      </c>
      <c r="J210" s="35">
        <f t="shared" si="18"/>
        <v>360</v>
      </c>
      <c r="K210" s="23"/>
      <c r="L210" s="3"/>
      <c r="M210" s="3"/>
      <c r="N210" s="3">
        <v>3</v>
      </c>
      <c r="O210" s="3"/>
      <c r="P210" s="160">
        <v>180</v>
      </c>
      <c r="Q210" s="3"/>
      <c r="R210" s="3"/>
      <c r="S210" s="3"/>
      <c r="T210" s="3"/>
    </row>
    <row r="211" spans="1:20">
      <c r="A211" s="13">
        <f t="shared" si="17"/>
        <v>206</v>
      </c>
      <c r="B211" s="3" t="s">
        <v>1168</v>
      </c>
      <c r="C211" s="4" t="s">
        <v>1164</v>
      </c>
      <c r="D211" s="4" t="s">
        <v>1169</v>
      </c>
      <c r="E211" s="4"/>
      <c r="F211" s="3" t="s">
        <v>675</v>
      </c>
      <c r="G211" s="42">
        <f>10-1-2-1+1</f>
        <v>7</v>
      </c>
      <c r="H211" s="3" t="s">
        <v>6</v>
      </c>
      <c r="I211" s="35">
        <v>26</v>
      </c>
      <c r="J211" s="35">
        <f t="shared" si="18"/>
        <v>182</v>
      </c>
      <c r="K211" s="23"/>
      <c r="L211" s="3"/>
      <c r="M211" s="3"/>
      <c r="N211" s="3">
        <v>7</v>
      </c>
      <c r="O211" s="3"/>
      <c r="P211" s="160">
        <v>182</v>
      </c>
      <c r="Q211" s="3"/>
      <c r="R211" s="3"/>
      <c r="S211" s="3"/>
      <c r="T211" s="3"/>
    </row>
    <row r="212" spans="1:20">
      <c r="A212" s="14">
        <f t="shared" si="17"/>
        <v>207</v>
      </c>
      <c r="B212" s="3" t="s">
        <v>1170</v>
      </c>
      <c r="C212" s="4" t="s">
        <v>1164</v>
      </c>
      <c r="D212" s="4" t="s">
        <v>1171</v>
      </c>
      <c r="E212" s="4"/>
      <c r="F212" s="3" t="s">
        <v>675</v>
      </c>
      <c r="G212" s="42">
        <v>2</v>
      </c>
      <c r="H212" s="3" t="s">
        <v>6</v>
      </c>
      <c r="I212" s="35">
        <v>40</v>
      </c>
      <c r="J212" s="35">
        <f t="shared" si="18"/>
        <v>80</v>
      </c>
      <c r="K212" s="23"/>
      <c r="L212" s="3"/>
      <c r="M212" s="3"/>
      <c r="N212" s="3">
        <v>2</v>
      </c>
      <c r="O212" s="3"/>
      <c r="P212" s="160">
        <v>80</v>
      </c>
      <c r="Q212" s="3"/>
      <c r="R212" s="3"/>
      <c r="S212" s="3"/>
      <c r="T212" s="3"/>
    </row>
    <row r="213" spans="1:20">
      <c r="A213" s="13">
        <f t="shared" si="17"/>
        <v>208</v>
      </c>
      <c r="B213" s="3" t="s">
        <v>1172</v>
      </c>
      <c r="C213" s="4" t="s">
        <v>1173</v>
      </c>
      <c r="D213" s="4" t="s">
        <v>1174</v>
      </c>
      <c r="E213" s="4"/>
      <c r="F213" s="3" t="s">
        <v>675</v>
      </c>
      <c r="G213" s="42" t="s">
        <v>687</v>
      </c>
      <c r="H213" s="3" t="s">
        <v>6</v>
      </c>
      <c r="I213" s="35">
        <v>90</v>
      </c>
      <c r="J213" s="35">
        <f t="shared" si="18"/>
        <v>180</v>
      </c>
      <c r="K213" s="23"/>
      <c r="L213" s="3"/>
      <c r="M213" s="3"/>
      <c r="N213" s="3"/>
      <c r="O213" s="3"/>
      <c r="P213" s="160"/>
      <c r="Q213" s="3"/>
      <c r="R213" s="3"/>
      <c r="S213" s="3"/>
      <c r="T213" s="3"/>
    </row>
    <row r="214" spans="1:20">
      <c r="A214" s="14">
        <f t="shared" si="17"/>
        <v>209</v>
      </c>
      <c r="B214" s="3" t="s">
        <v>1175</v>
      </c>
      <c r="C214" s="4" t="s">
        <v>1176</v>
      </c>
      <c r="D214" s="4" t="s">
        <v>1177</v>
      </c>
      <c r="E214" s="4"/>
      <c r="F214" s="3" t="s">
        <v>675</v>
      </c>
      <c r="G214" s="42" t="s">
        <v>1178</v>
      </c>
      <c r="H214" s="3" t="s">
        <v>6</v>
      </c>
      <c r="I214" s="35">
        <v>41</v>
      </c>
      <c r="J214" s="35">
        <f t="shared" si="18"/>
        <v>492</v>
      </c>
      <c r="K214" s="23"/>
      <c r="L214" s="3"/>
      <c r="M214" s="3"/>
      <c r="N214" s="3"/>
      <c r="O214" s="3"/>
      <c r="P214" s="160"/>
      <c r="Q214" s="3"/>
      <c r="R214" s="3"/>
      <c r="S214" s="3"/>
      <c r="T214" s="3"/>
    </row>
    <row r="215" spans="1:20">
      <c r="A215" s="13">
        <f t="shared" si="17"/>
        <v>210</v>
      </c>
      <c r="B215" s="3" t="s">
        <v>1179</v>
      </c>
      <c r="C215" s="4" t="s">
        <v>1176</v>
      </c>
      <c r="D215" s="4" t="s">
        <v>1180</v>
      </c>
      <c r="E215" s="4"/>
      <c r="F215" s="3" t="s">
        <v>675</v>
      </c>
      <c r="G215" s="42" t="s">
        <v>687</v>
      </c>
      <c r="H215" s="3" t="s">
        <v>6</v>
      </c>
      <c r="I215" s="35">
        <v>55</v>
      </c>
      <c r="J215" s="35">
        <f t="shared" si="18"/>
        <v>110</v>
      </c>
      <c r="K215" s="23"/>
      <c r="L215" s="3"/>
      <c r="M215" s="3"/>
      <c r="N215" s="3"/>
      <c r="O215" s="3"/>
      <c r="P215" s="160"/>
      <c r="Q215" s="3"/>
      <c r="R215" s="3"/>
      <c r="S215" s="3"/>
      <c r="T215" s="3"/>
    </row>
    <row r="216" spans="1:20">
      <c r="A216" s="14">
        <f t="shared" si="17"/>
        <v>211</v>
      </c>
      <c r="B216" s="3" t="s">
        <v>1181</v>
      </c>
      <c r="C216" s="4" t="s">
        <v>1176</v>
      </c>
      <c r="D216" s="4" t="s">
        <v>1182</v>
      </c>
      <c r="E216" s="4"/>
      <c r="F216" s="3" t="s">
        <v>675</v>
      </c>
      <c r="G216" s="42" t="s">
        <v>435</v>
      </c>
      <c r="H216" s="3" t="s">
        <v>6</v>
      </c>
      <c r="I216" s="35">
        <v>70</v>
      </c>
      <c r="J216" s="35">
        <f t="shared" si="18"/>
        <v>350</v>
      </c>
      <c r="K216" s="23"/>
      <c r="L216" s="3"/>
      <c r="M216" s="3"/>
      <c r="N216" s="3"/>
      <c r="O216" s="3"/>
      <c r="P216" s="160"/>
      <c r="Q216" s="3"/>
      <c r="R216" s="3"/>
      <c r="S216" s="3"/>
      <c r="T216" s="3"/>
    </row>
    <row r="217" spans="1:20">
      <c r="A217" s="13">
        <f t="shared" si="17"/>
        <v>212</v>
      </c>
      <c r="B217" s="3" t="s">
        <v>1183</v>
      </c>
      <c r="C217" s="4" t="s">
        <v>1184</v>
      </c>
      <c r="D217" s="4" t="s">
        <v>1185</v>
      </c>
      <c r="E217" s="4"/>
      <c r="F217" s="3" t="s">
        <v>675</v>
      </c>
      <c r="G217" s="42" t="s">
        <v>678</v>
      </c>
      <c r="H217" s="3" t="s">
        <v>6</v>
      </c>
      <c r="I217" s="35">
        <v>70</v>
      </c>
      <c r="J217" s="35">
        <f t="shared" si="18"/>
        <v>420</v>
      </c>
      <c r="K217" s="23"/>
      <c r="L217" s="3"/>
      <c r="M217" s="3"/>
      <c r="N217" s="3"/>
      <c r="O217" s="3"/>
      <c r="P217" s="160"/>
      <c r="Q217" s="3"/>
      <c r="R217" s="3"/>
      <c r="S217" s="3"/>
      <c r="T217" s="3"/>
    </row>
    <row r="218" spans="1:20">
      <c r="A218" s="14">
        <f t="shared" si="17"/>
        <v>213</v>
      </c>
      <c r="B218" s="3" t="s">
        <v>1186</v>
      </c>
      <c r="C218" s="4" t="s">
        <v>1187</v>
      </c>
      <c r="D218" s="4" t="s">
        <v>1188</v>
      </c>
      <c r="E218" s="4"/>
      <c r="F218" s="3" t="s">
        <v>675</v>
      </c>
      <c r="G218" s="42">
        <v>10</v>
      </c>
      <c r="H218" s="3" t="s">
        <v>6</v>
      </c>
      <c r="I218" s="35">
        <v>145</v>
      </c>
      <c r="J218" s="35">
        <f t="shared" si="18"/>
        <v>1450</v>
      </c>
      <c r="K218" s="23"/>
      <c r="L218" s="3"/>
      <c r="M218" s="3"/>
      <c r="N218" s="3"/>
      <c r="O218" s="3"/>
      <c r="P218" s="160"/>
      <c r="Q218" s="3"/>
      <c r="R218" s="3"/>
      <c r="S218" s="3"/>
      <c r="T218" s="3"/>
    </row>
    <row r="219" spans="1:20">
      <c r="A219" s="13">
        <f t="shared" si="17"/>
        <v>214</v>
      </c>
      <c r="B219" s="3" t="s">
        <v>1189</v>
      </c>
      <c r="C219" s="4" t="s">
        <v>1190</v>
      </c>
      <c r="D219" s="4" t="s">
        <v>1191</v>
      </c>
      <c r="E219" s="4"/>
      <c r="F219" s="3" t="s">
        <v>675</v>
      </c>
      <c r="G219" s="42" t="s">
        <v>967</v>
      </c>
      <c r="H219" s="3" t="s">
        <v>6</v>
      </c>
      <c r="I219" s="35">
        <v>90</v>
      </c>
      <c r="J219" s="35">
        <f t="shared" si="18"/>
        <v>1980</v>
      </c>
      <c r="K219" s="23"/>
      <c r="L219" s="3"/>
      <c r="M219" s="3"/>
      <c r="N219" s="3"/>
      <c r="O219" s="3"/>
      <c r="P219" s="160"/>
      <c r="Q219" s="3"/>
      <c r="R219" s="3"/>
      <c r="S219" s="3"/>
      <c r="T219" s="3"/>
    </row>
    <row r="220" spans="1:20">
      <c r="A220" s="14">
        <f t="shared" si="17"/>
        <v>215</v>
      </c>
      <c r="B220" s="3" t="s">
        <v>1192</v>
      </c>
      <c r="C220" s="4" t="s">
        <v>1193</v>
      </c>
      <c r="D220" s="4" t="s">
        <v>57</v>
      </c>
      <c r="E220" s="4"/>
      <c r="F220" s="3" t="s">
        <v>675</v>
      </c>
      <c r="G220" s="42">
        <v>11</v>
      </c>
      <c r="H220" s="3" t="s">
        <v>6</v>
      </c>
      <c r="I220" s="35">
        <v>90</v>
      </c>
      <c r="J220" s="35">
        <f t="shared" si="18"/>
        <v>990</v>
      </c>
      <c r="K220" s="23"/>
      <c r="L220" s="3"/>
      <c r="M220" s="3"/>
      <c r="N220" s="3"/>
      <c r="O220" s="3"/>
      <c r="P220" s="160"/>
      <c r="Q220" s="3"/>
      <c r="R220" s="3"/>
      <c r="S220" s="3"/>
      <c r="T220" s="3"/>
    </row>
    <row r="221" spans="1:20">
      <c r="A221" s="13">
        <f t="shared" si="17"/>
        <v>216</v>
      </c>
      <c r="B221" s="3" t="s">
        <v>1194</v>
      </c>
      <c r="C221" s="4" t="s">
        <v>1176</v>
      </c>
      <c r="D221" s="4" t="s">
        <v>1195</v>
      </c>
      <c r="E221" s="4"/>
      <c r="F221" s="3" t="s">
        <v>675</v>
      </c>
      <c r="G221" s="42" t="s">
        <v>678</v>
      </c>
      <c r="H221" s="3" t="s">
        <v>6</v>
      </c>
      <c r="I221" s="35">
        <v>230</v>
      </c>
      <c r="J221" s="35">
        <f t="shared" si="18"/>
        <v>1380</v>
      </c>
      <c r="K221" s="23"/>
      <c r="L221" s="3"/>
      <c r="M221" s="3"/>
      <c r="N221" s="3"/>
      <c r="O221" s="3"/>
      <c r="P221" s="160"/>
      <c r="Q221" s="3"/>
      <c r="R221" s="3"/>
      <c r="S221" s="3"/>
      <c r="T221" s="3"/>
    </row>
    <row r="222" spans="1:20">
      <c r="A222" s="14">
        <f t="shared" si="17"/>
        <v>217</v>
      </c>
      <c r="B222" s="3" t="s">
        <v>1196</v>
      </c>
      <c r="C222" s="4" t="s">
        <v>1197</v>
      </c>
      <c r="D222" s="4" t="s">
        <v>1198</v>
      </c>
      <c r="E222" s="4"/>
      <c r="F222" s="3" t="s">
        <v>675</v>
      </c>
      <c r="G222" s="42" t="s">
        <v>422</v>
      </c>
      <c r="H222" s="3" t="s">
        <v>6</v>
      </c>
      <c r="I222" s="35">
        <v>40</v>
      </c>
      <c r="J222" s="35">
        <f t="shared" si="18"/>
        <v>40</v>
      </c>
      <c r="K222" s="23"/>
      <c r="L222" s="3"/>
      <c r="M222" s="3"/>
      <c r="N222" s="3">
        <v>1</v>
      </c>
      <c r="O222" s="3"/>
      <c r="P222" s="160">
        <v>40</v>
      </c>
      <c r="Q222" s="3"/>
      <c r="R222" s="3"/>
      <c r="S222" s="3"/>
      <c r="T222" s="3"/>
    </row>
    <row r="223" spans="1:20">
      <c r="A223" s="13">
        <f t="shared" si="17"/>
        <v>218</v>
      </c>
      <c r="B223" s="3" t="s">
        <v>1199</v>
      </c>
      <c r="C223" s="4" t="s">
        <v>1197</v>
      </c>
      <c r="D223" s="4" t="s">
        <v>1200</v>
      </c>
      <c r="E223" s="4"/>
      <c r="F223" s="3" t="s">
        <v>675</v>
      </c>
      <c r="G223" s="42">
        <v>3</v>
      </c>
      <c r="H223" s="3" t="s">
        <v>6</v>
      </c>
      <c r="I223" s="35">
        <v>135</v>
      </c>
      <c r="J223" s="35">
        <f t="shared" si="18"/>
        <v>405</v>
      </c>
      <c r="K223" s="23"/>
      <c r="L223" s="3"/>
      <c r="M223" s="3"/>
      <c r="N223" s="3"/>
      <c r="O223" s="3"/>
      <c r="P223" s="160"/>
      <c r="Q223" s="3"/>
      <c r="R223" s="3"/>
      <c r="S223" s="3"/>
      <c r="T223" s="3"/>
    </row>
    <row r="224" spans="1:20">
      <c r="A224" s="14">
        <f t="shared" si="17"/>
        <v>219</v>
      </c>
      <c r="B224" s="3" t="s">
        <v>1201</v>
      </c>
      <c r="C224" s="4" t="s">
        <v>1202</v>
      </c>
      <c r="D224" s="4" t="s">
        <v>57</v>
      </c>
      <c r="E224" s="4"/>
      <c r="F224" s="3" t="s">
        <v>675</v>
      </c>
      <c r="G224" s="42" t="s">
        <v>1203</v>
      </c>
      <c r="H224" s="3" t="s">
        <v>6</v>
      </c>
      <c r="I224" s="35">
        <v>26</v>
      </c>
      <c r="J224" s="35">
        <f t="shared" si="18"/>
        <v>598</v>
      </c>
      <c r="K224" s="23"/>
      <c r="L224" s="3"/>
      <c r="M224" s="3"/>
      <c r="N224" s="3"/>
      <c r="O224" s="3"/>
      <c r="P224" s="160"/>
      <c r="Q224" s="3"/>
      <c r="R224" s="3"/>
      <c r="S224" s="3"/>
      <c r="T224" s="3"/>
    </row>
    <row r="225" spans="1:20">
      <c r="A225" s="13">
        <f t="shared" si="17"/>
        <v>220</v>
      </c>
      <c r="B225" s="3" t="s">
        <v>1204</v>
      </c>
      <c r="C225" s="4" t="s">
        <v>1205</v>
      </c>
      <c r="D225" s="4" t="s">
        <v>1206</v>
      </c>
      <c r="E225" s="4"/>
      <c r="F225" s="3" t="s">
        <v>675</v>
      </c>
      <c r="G225" s="42">
        <v>38</v>
      </c>
      <c r="H225" s="3" t="s">
        <v>6</v>
      </c>
      <c r="I225" s="35">
        <v>8</v>
      </c>
      <c r="J225" s="35">
        <f t="shared" si="18"/>
        <v>304</v>
      </c>
      <c r="K225" s="23"/>
      <c r="L225" s="3"/>
      <c r="M225" s="3"/>
      <c r="N225" s="3">
        <v>3</v>
      </c>
      <c r="O225" s="3"/>
      <c r="P225" s="160">
        <v>24</v>
      </c>
      <c r="Q225" s="3"/>
      <c r="R225" s="3"/>
      <c r="S225" s="3"/>
      <c r="T225" s="3"/>
    </row>
    <row r="226" spans="1:20">
      <c r="A226" s="14">
        <f t="shared" si="17"/>
        <v>221</v>
      </c>
      <c r="B226" s="3" t="s">
        <v>1207</v>
      </c>
      <c r="C226" s="4" t="s">
        <v>1205</v>
      </c>
      <c r="D226" s="4" t="s">
        <v>1208</v>
      </c>
      <c r="E226" s="4"/>
      <c r="F226" s="3" t="s">
        <v>675</v>
      </c>
      <c r="G226" s="42" t="s">
        <v>435</v>
      </c>
      <c r="H226" s="3" t="s">
        <v>6</v>
      </c>
      <c r="I226" s="35">
        <v>12</v>
      </c>
      <c r="J226" s="35">
        <f t="shared" si="18"/>
        <v>60</v>
      </c>
      <c r="K226" s="23"/>
      <c r="L226" s="3"/>
      <c r="M226" s="3"/>
      <c r="N226" s="3">
        <v>1</v>
      </c>
      <c r="O226" s="3"/>
      <c r="P226" s="160">
        <v>12</v>
      </c>
      <c r="Q226" s="3"/>
      <c r="R226" s="3"/>
      <c r="S226" s="3"/>
      <c r="T226" s="3"/>
    </row>
    <row r="227" spans="1:20">
      <c r="A227" s="13">
        <f t="shared" si="17"/>
        <v>222</v>
      </c>
      <c r="B227" s="3" t="s">
        <v>1209</v>
      </c>
      <c r="C227" s="4" t="s">
        <v>1210</v>
      </c>
      <c r="D227" s="4" t="s">
        <v>1211</v>
      </c>
      <c r="E227" s="4"/>
      <c r="F227" s="3" t="s">
        <v>675</v>
      </c>
      <c r="G227" s="42">
        <f>3-2-1</f>
        <v>0</v>
      </c>
      <c r="H227" s="3" t="s">
        <v>6</v>
      </c>
      <c r="I227" s="35">
        <v>50</v>
      </c>
      <c r="J227" s="35">
        <f t="shared" si="18"/>
        <v>0</v>
      </c>
      <c r="K227" s="23"/>
      <c r="L227" s="3"/>
      <c r="M227" s="3"/>
      <c r="N227" s="3"/>
      <c r="O227" s="3"/>
      <c r="P227" s="160"/>
      <c r="Q227" s="3"/>
      <c r="R227" s="3"/>
      <c r="S227" s="3"/>
      <c r="T227" s="3"/>
    </row>
    <row r="228" spans="1:20">
      <c r="A228" s="14">
        <f t="shared" si="17"/>
        <v>223</v>
      </c>
      <c r="B228" s="3" t="s">
        <v>1212</v>
      </c>
      <c r="C228" s="4" t="s">
        <v>1213</v>
      </c>
      <c r="D228" s="4" t="s">
        <v>57</v>
      </c>
      <c r="E228" s="4"/>
      <c r="F228" s="3" t="s">
        <v>675</v>
      </c>
      <c r="G228" s="42">
        <f>9-1-1</f>
        <v>7</v>
      </c>
      <c r="H228" s="3" t="s">
        <v>6</v>
      </c>
      <c r="I228" s="35">
        <v>270</v>
      </c>
      <c r="J228" s="35">
        <f t="shared" si="18"/>
        <v>1890</v>
      </c>
      <c r="K228" s="23"/>
      <c r="L228" s="3"/>
      <c r="M228" s="3"/>
      <c r="N228" s="3">
        <v>7</v>
      </c>
      <c r="O228" s="3"/>
      <c r="P228" s="160">
        <v>1890</v>
      </c>
      <c r="Q228" s="3"/>
      <c r="R228" s="3"/>
      <c r="S228" s="3"/>
      <c r="T228" s="3"/>
    </row>
    <row r="229" spans="1:20">
      <c r="A229" s="13">
        <f t="shared" si="17"/>
        <v>224</v>
      </c>
      <c r="B229" s="3" t="s">
        <v>1214</v>
      </c>
      <c r="C229" s="4" t="s">
        <v>1215</v>
      </c>
      <c r="D229" s="4" t="s">
        <v>1211</v>
      </c>
      <c r="E229" s="4"/>
      <c r="F229" s="3" t="s">
        <v>675</v>
      </c>
      <c r="G229" s="42">
        <f>30-3-3-4-1-1-2</f>
        <v>16</v>
      </c>
      <c r="H229" s="3" t="s">
        <v>6</v>
      </c>
      <c r="I229" s="35">
        <v>52</v>
      </c>
      <c r="J229" s="35">
        <f t="shared" si="18"/>
        <v>832</v>
      </c>
      <c r="K229" s="23">
        <v>15</v>
      </c>
      <c r="L229" s="3"/>
      <c r="M229" s="3">
        <v>502.5</v>
      </c>
      <c r="N229" s="3">
        <v>25</v>
      </c>
      <c r="O229" s="3"/>
      <c r="P229" s="160">
        <v>1133.5</v>
      </c>
      <c r="Q229" s="3"/>
      <c r="R229" s="3"/>
      <c r="S229" s="3"/>
      <c r="T229" s="3"/>
    </row>
    <row r="230" spans="1:20">
      <c r="A230" s="14">
        <f t="shared" si="17"/>
        <v>225</v>
      </c>
      <c r="B230" s="3" t="s">
        <v>1216</v>
      </c>
      <c r="C230" s="4" t="s">
        <v>1217</v>
      </c>
      <c r="D230" s="4" t="s">
        <v>1211</v>
      </c>
      <c r="E230" s="4"/>
      <c r="F230" s="3" t="s">
        <v>675</v>
      </c>
      <c r="G230" s="42">
        <v>1</v>
      </c>
      <c r="H230" s="3" t="s">
        <v>6</v>
      </c>
      <c r="I230" s="35">
        <v>85</v>
      </c>
      <c r="J230" s="35">
        <f t="shared" si="18"/>
        <v>85</v>
      </c>
      <c r="K230" s="23">
        <v>20</v>
      </c>
      <c r="L230" s="3"/>
      <c r="M230" s="3">
        <v>1095.8599999999999</v>
      </c>
      <c r="N230" s="3">
        <v>21</v>
      </c>
      <c r="O230" s="3"/>
      <c r="P230" s="160">
        <v>1085.3599999999999</v>
      </c>
      <c r="Q230" s="3"/>
      <c r="R230" s="3"/>
      <c r="S230" s="3"/>
      <c r="T230" s="3"/>
    </row>
    <row r="231" spans="1:20">
      <c r="A231" s="13">
        <f t="shared" si="17"/>
        <v>226</v>
      </c>
      <c r="B231" s="3" t="s">
        <v>1218</v>
      </c>
      <c r="C231" s="4" t="s">
        <v>1219</v>
      </c>
      <c r="D231" s="4" t="s">
        <v>57</v>
      </c>
      <c r="E231" s="4"/>
      <c r="F231" s="3" t="s">
        <v>675</v>
      </c>
      <c r="G231" s="42">
        <v>17</v>
      </c>
      <c r="H231" s="3" t="s">
        <v>6</v>
      </c>
      <c r="I231" s="35">
        <v>29</v>
      </c>
      <c r="J231" s="35">
        <f t="shared" si="18"/>
        <v>493</v>
      </c>
      <c r="K231" s="23"/>
      <c r="L231" s="3"/>
      <c r="M231" s="3"/>
      <c r="N231" s="3">
        <v>1</v>
      </c>
      <c r="O231" s="3"/>
      <c r="P231" s="160">
        <v>29</v>
      </c>
      <c r="Q231" s="3"/>
      <c r="R231" s="3"/>
      <c r="S231" s="3"/>
      <c r="T231" s="3"/>
    </row>
    <row r="232" spans="1:20">
      <c r="A232" s="14">
        <f t="shared" si="17"/>
        <v>227</v>
      </c>
      <c r="B232" s="3" t="s">
        <v>1220</v>
      </c>
      <c r="C232" s="4" t="s">
        <v>1215</v>
      </c>
      <c r="D232" s="4" t="s">
        <v>1221</v>
      </c>
      <c r="E232" s="4"/>
      <c r="F232" s="3" t="s">
        <v>675</v>
      </c>
      <c r="G232" s="42">
        <f>6-1+1</f>
        <v>6</v>
      </c>
      <c r="H232" s="3" t="s">
        <v>6</v>
      </c>
      <c r="I232" s="35">
        <v>95</v>
      </c>
      <c r="J232" s="35">
        <f t="shared" si="18"/>
        <v>570</v>
      </c>
      <c r="K232" s="23"/>
      <c r="L232" s="3"/>
      <c r="M232" s="3"/>
      <c r="N232" s="3">
        <v>3</v>
      </c>
      <c r="O232" s="3"/>
      <c r="P232" s="160">
        <v>285</v>
      </c>
      <c r="Q232" s="3"/>
      <c r="R232" s="3"/>
      <c r="S232" s="3"/>
      <c r="T232" s="3"/>
    </row>
    <row r="233" spans="1:20">
      <c r="A233" s="13">
        <f t="shared" si="17"/>
        <v>228</v>
      </c>
      <c r="B233" s="3" t="s">
        <v>1222</v>
      </c>
      <c r="C233" s="4" t="s">
        <v>1217</v>
      </c>
      <c r="D233" s="4" t="s">
        <v>1221</v>
      </c>
      <c r="E233" s="4"/>
      <c r="F233" s="3" t="s">
        <v>675</v>
      </c>
      <c r="G233" s="42">
        <v>6</v>
      </c>
      <c r="H233" s="3" t="s">
        <v>6</v>
      </c>
      <c r="I233" s="35">
        <v>117</v>
      </c>
      <c r="J233" s="35">
        <f t="shared" si="18"/>
        <v>702</v>
      </c>
      <c r="K233" s="23"/>
      <c r="L233" s="3"/>
      <c r="M233" s="3"/>
      <c r="N233" s="3">
        <v>3</v>
      </c>
      <c r="O233" s="3"/>
      <c r="P233" s="160">
        <v>351</v>
      </c>
      <c r="Q233" s="3"/>
      <c r="R233" s="3"/>
      <c r="S233" s="3"/>
      <c r="T233" s="3"/>
    </row>
    <row r="234" spans="1:20">
      <c r="A234" s="14">
        <f t="shared" si="17"/>
        <v>229</v>
      </c>
      <c r="B234" s="3" t="s">
        <v>1223</v>
      </c>
      <c r="C234" s="4" t="s">
        <v>1224</v>
      </c>
      <c r="D234" s="4" t="s">
        <v>57</v>
      </c>
      <c r="E234" s="4"/>
      <c r="F234" s="3" t="s">
        <v>675</v>
      </c>
      <c r="G234" s="42">
        <f>11-1+3</f>
        <v>13</v>
      </c>
      <c r="H234" s="3" t="s">
        <v>6</v>
      </c>
      <c r="I234" s="35">
        <v>40</v>
      </c>
      <c r="J234" s="35">
        <f t="shared" si="18"/>
        <v>520</v>
      </c>
      <c r="K234" s="23"/>
      <c r="L234" s="3"/>
      <c r="M234" s="3"/>
      <c r="N234" s="3">
        <v>6</v>
      </c>
      <c r="O234" s="3"/>
      <c r="P234" s="160">
        <v>240</v>
      </c>
      <c r="Q234" s="3"/>
      <c r="R234" s="3"/>
      <c r="S234" s="3"/>
      <c r="T234" s="3"/>
    </row>
    <row r="235" spans="1:20">
      <c r="A235" s="13">
        <f t="shared" si="17"/>
        <v>230</v>
      </c>
      <c r="B235" s="3" t="s">
        <v>1225</v>
      </c>
      <c r="C235" s="4" t="s">
        <v>1226</v>
      </c>
      <c r="D235" s="4" t="s">
        <v>57</v>
      </c>
      <c r="E235" s="4"/>
      <c r="F235" s="3" t="s">
        <v>675</v>
      </c>
      <c r="G235" s="42" t="s">
        <v>422</v>
      </c>
      <c r="H235" s="3" t="s">
        <v>6</v>
      </c>
      <c r="I235" s="35">
        <v>70</v>
      </c>
      <c r="J235" s="35">
        <f t="shared" si="18"/>
        <v>70</v>
      </c>
      <c r="K235" s="23"/>
      <c r="L235" s="3"/>
      <c r="M235" s="3"/>
      <c r="N235" s="3">
        <v>1</v>
      </c>
      <c r="O235" s="3"/>
      <c r="P235" s="160">
        <v>70</v>
      </c>
      <c r="Q235" s="3"/>
      <c r="R235" s="3"/>
      <c r="S235" s="3"/>
      <c r="T235" s="3"/>
    </row>
    <row r="236" spans="1:20" s="55" customFormat="1">
      <c r="A236" s="14">
        <f t="shared" si="17"/>
        <v>231</v>
      </c>
      <c r="B236" s="28" t="s">
        <v>1626</v>
      </c>
      <c r="C236" s="28" t="s">
        <v>1627</v>
      </c>
      <c r="D236" s="28" t="s">
        <v>57</v>
      </c>
      <c r="E236" s="28"/>
      <c r="F236" s="28" t="s">
        <v>675</v>
      </c>
      <c r="G236" s="85">
        <f>74-27-18-2-1-2-4</f>
        <v>20</v>
      </c>
      <c r="H236" s="28" t="s">
        <v>6</v>
      </c>
      <c r="I236" s="54">
        <v>8</v>
      </c>
      <c r="J236" s="54">
        <f t="shared" si="18"/>
        <v>160</v>
      </c>
      <c r="K236" s="23">
        <v>270</v>
      </c>
      <c r="L236" s="28"/>
      <c r="M236" s="28">
        <v>2673.41</v>
      </c>
      <c r="N236" s="28">
        <v>241</v>
      </c>
      <c r="O236" s="28"/>
      <c r="P236" s="161">
        <v>2373.89</v>
      </c>
      <c r="Q236" s="28"/>
      <c r="R236" s="28"/>
      <c r="S236" s="28"/>
      <c r="T236" s="28"/>
    </row>
    <row r="237" spans="1:20">
      <c r="A237" s="13">
        <f t="shared" si="17"/>
        <v>232</v>
      </c>
      <c r="B237" s="3" t="s">
        <v>1628</v>
      </c>
      <c r="C237" s="28" t="s">
        <v>194</v>
      </c>
      <c r="D237" s="28" t="s">
        <v>1629</v>
      </c>
      <c r="E237" s="28"/>
      <c r="F237" s="28" t="s">
        <v>675</v>
      </c>
      <c r="G237" s="81" t="s">
        <v>819</v>
      </c>
      <c r="H237" s="28" t="s">
        <v>63</v>
      </c>
      <c r="I237" s="54">
        <v>85.74</v>
      </c>
      <c r="J237" s="35">
        <f t="shared" si="18"/>
        <v>77166</v>
      </c>
      <c r="K237" s="23"/>
      <c r="L237" s="3"/>
      <c r="M237" s="3"/>
      <c r="N237" s="3">
        <v>299</v>
      </c>
      <c r="O237" s="3"/>
      <c r="P237" s="160">
        <v>25636.26</v>
      </c>
      <c r="Q237" s="3"/>
      <c r="R237" s="3"/>
      <c r="S237" s="3"/>
      <c r="T237" s="3"/>
    </row>
    <row r="238" spans="1:20">
      <c r="A238" s="14">
        <f t="shared" si="17"/>
        <v>233</v>
      </c>
      <c r="B238" s="3" t="s">
        <v>1630</v>
      </c>
      <c r="C238" s="28" t="s">
        <v>1244</v>
      </c>
      <c r="D238" s="28" t="s">
        <v>1682</v>
      </c>
      <c r="E238" s="28" t="s">
        <v>2088</v>
      </c>
      <c r="F238" s="28" t="s">
        <v>675</v>
      </c>
      <c r="G238" s="81">
        <v>4</v>
      </c>
      <c r="H238" s="28" t="s">
        <v>6</v>
      </c>
      <c r="I238" s="54">
        <v>16754.75</v>
      </c>
      <c r="J238" s="35">
        <f t="shared" si="18"/>
        <v>67019</v>
      </c>
      <c r="K238" s="23"/>
      <c r="L238" s="3"/>
      <c r="M238" s="3"/>
      <c r="N238" s="3"/>
      <c r="O238" s="3"/>
      <c r="P238" s="160"/>
      <c r="Q238" s="3"/>
      <c r="R238" s="3"/>
      <c r="S238" s="3"/>
      <c r="T238" s="3"/>
    </row>
    <row r="239" spans="1:20">
      <c r="A239" s="13">
        <f t="shared" si="17"/>
        <v>234</v>
      </c>
      <c r="B239" s="3" t="s">
        <v>1631</v>
      </c>
      <c r="C239" s="3" t="s">
        <v>1632</v>
      </c>
      <c r="D239" s="3" t="s">
        <v>1633</v>
      </c>
      <c r="E239" s="3"/>
      <c r="F239" s="3" t="s">
        <v>675</v>
      </c>
      <c r="G239" s="42" t="s">
        <v>1634</v>
      </c>
      <c r="H239" s="3" t="s">
        <v>63</v>
      </c>
      <c r="I239" s="35">
        <v>596.25</v>
      </c>
      <c r="J239" s="35">
        <f t="shared" si="18"/>
        <v>178875</v>
      </c>
      <c r="K239" s="120"/>
      <c r="L239" s="3"/>
      <c r="M239" s="3"/>
      <c r="N239" s="3">
        <v>150</v>
      </c>
      <c r="O239" s="3"/>
      <c r="P239" s="158">
        <v>89437.5</v>
      </c>
      <c r="Q239" s="3"/>
      <c r="R239" s="3"/>
      <c r="S239" s="3"/>
      <c r="T239" s="3"/>
    </row>
    <row r="240" spans="1:20">
      <c r="A240" s="14">
        <f t="shared" si="17"/>
        <v>235</v>
      </c>
      <c r="B240" s="3" t="s">
        <v>1635</v>
      </c>
      <c r="C240" s="3" t="s">
        <v>683</v>
      </c>
      <c r="D240" s="3" t="s">
        <v>1636</v>
      </c>
      <c r="E240" s="3"/>
      <c r="F240" s="3" t="s">
        <v>675</v>
      </c>
      <c r="G240" s="42" t="s">
        <v>418</v>
      </c>
      <c r="H240" s="3" t="s">
        <v>6</v>
      </c>
      <c r="I240" s="35">
        <v>1007.72</v>
      </c>
      <c r="J240" s="35">
        <f>G240*I240</f>
        <v>4030.88</v>
      </c>
      <c r="K240" s="23"/>
      <c r="L240" s="3"/>
      <c r="M240" s="3"/>
      <c r="N240" s="3">
        <v>1</v>
      </c>
      <c r="O240" s="3"/>
      <c r="P240" s="158">
        <v>1007.72</v>
      </c>
      <c r="Q240" s="3"/>
      <c r="R240" s="3"/>
      <c r="S240" s="3"/>
      <c r="T240" s="3"/>
    </row>
    <row r="241" spans="1:20">
      <c r="A241" s="13">
        <f t="shared" si="17"/>
        <v>236</v>
      </c>
      <c r="B241" s="28" t="s">
        <v>1227</v>
      </c>
      <c r="C241" s="4" t="s">
        <v>194</v>
      </c>
      <c r="D241" s="4" t="s">
        <v>1138</v>
      </c>
      <c r="E241" s="4" t="s">
        <v>2076</v>
      </c>
      <c r="F241" s="3" t="s">
        <v>675</v>
      </c>
      <c r="G241" s="42" t="s">
        <v>1228</v>
      </c>
      <c r="H241" s="3" t="s">
        <v>63</v>
      </c>
      <c r="I241" s="35">
        <v>46.48</v>
      </c>
      <c r="J241" s="35">
        <f t="shared" ref="J241:J249" si="19">G241*I241</f>
        <v>9296</v>
      </c>
      <c r="K241" s="23"/>
      <c r="L241" s="3"/>
      <c r="M241" s="3"/>
      <c r="N241" s="3">
        <v>200</v>
      </c>
      <c r="O241" s="3"/>
      <c r="P241" s="160">
        <v>9296</v>
      </c>
      <c r="Q241" s="3"/>
      <c r="R241" s="3"/>
      <c r="S241" s="3"/>
      <c r="T241" s="3"/>
    </row>
    <row r="242" spans="1:20" ht="30">
      <c r="A242" s="14">
        <f t="shared" si="17"/>
        <v>237</v>
      </c>
      <c r="B242" s="3" t="s">
        <v>1229</v>
      </c>
      <c r="C242" s="4" t="s">
        <v>1230</v>
      </c>
      <c r="D242" s="4" t="s">
        <v>1231</v>
      </c>
      <c r="E242" s="4" t="s">
        <v>2076</v>
      </c>
      <c r="F242" s="3" t="s">
        <v>675</v>
      </c>
      <c r="G242" s="42" t="s">
        <v>1232</v>
      </c>
      <c r="H242" s="3" t="s">
        <v>63</v>
      </c>
      <c r="I242" s="35">
        <v>79.06</v>
      </c>
      <c r="J242" s="35">
        <f t="shared" si="19"/>
        <v>19527.82</v>
      </c>
      <c r="K242" s="23"/>
      <c r="L242" s="3"/>
      <c r="M242" s="3"/>
      <c r="N242" s="3">
        <v>247</v>
      </c>
      <c r="O242" s="3"/>
      <c r="P242" s="160">
        <v>19527.82</v>
      </c>
      <c r="Q242" s="3"/>
      <c r="R242" s="3"/>
      <c r="S242" s="3"/>
      <c r="T242" s="3"/>
    </row>
    <row r="243" spans="1:20">
      <c r="A243" s="13">
        <f t="shared" si="17"/>
        <v>238</v>
      </c>
      <c r="B243" s="3" t="s">
        <v>1233</v>
      </c>
      <c r="C243" s="4" t="s">
        <v>1234</v>
      </c>
      <c r="D243" s="4" t="s">
        <v>57</v>
      </c>
      <c r="E243" s="4"/>
      <c r="F243" s="3" t="s">
        <v>675</v>
      </c>
      <c r="G243" s="42" t="s">
        <v>676</v>
      </c>
      <c r="H243" s="3" t="s">
        <v>6</v>
      </c>
      <c r="I243" s="35">
        <v>11174.6</v>
      </c>
      <c r="J243" s="35">
        <f t="shared" si="19"/>
        <v>0</v>
      </c>
      <c r="K243" s="23"/>
      <c r="L243" s="3"/>
      <c r="M243" s="3"/>
      <c r="N243" s="3"/>
      <c r="O243" s="3"/>
      <c r="P243" s="160"/>
      <c r="Q243" s="3"/>
      <c r="R243" s="3"/>
      <c r="S243" s="3"/>
      <c r="T243" s="3"/>
    </row>
    <row r="244" spans="1:20" ht="30">
      <c r="A244" s="14">
        <f t="shared" si="17"/>
        <v>239</v>
      </c>
      <c r="B244" s="9" t="s">
        <v>1235</v>
      </c>
      <c r="C244" s="10" t="s">
        <v>1236</v>
      </c>
      <c r="D244" s="10" t="s">
        <v>57</v>
      </c>
      <c r="E244" s="10"/>
      <c r="F244" s="9" t="s">
        <v>675</v>
      </c>
      <c r="G244" s="83" t="s">
        <v>743</v>
      </c>
      <c r="H244" s="9" t="s">
        <v>6</v>
      </c>
      <c r="I244" s="35">
        <v>21122</v>
      </c>
      <c r="J244" s="35">
        <f t="shared" si="19"/>
        <v>63366</v>
      </c>
      <c r="K244" s="23"/>
      <c r="L244" s="3"/>
      <c r="M244" s="3"/>
      <c r="N244" s="3"/>
      <c r="O244" s="3"/>
      <c r="P244" s="160"/>
      <c r="Q244" s="3"/>
      <c r="R244" s="3"/>
      <c r="S244" s="3"/>
      <c r="T244" s="3"/>
    </row>
    <row r="245" spans="1:20">
      <c r="A245" s="13">
        <f t="shared" si="17"/>
        <v>240</v>
      </c>
      <c r="B245" s="3" t="s">
        <v>1237</v>
      </c>
      <c r="C245" s="4" t="s">
        <v>1238</v>
      </c>
      <c r="D245" s="4" t="s">
        <v>1239</v>
      </c>
      <c r="E245" s="4"/>
      <c r="F245" s="3" t="s">
        <v>675</v>
      </c>
      <c r="G245" s="42" t="s">
        <v>816</v>
      </c>
      <c r="H245" s="3" t="s">
        <v>63</v>
      </c>
      <c r="I245" s="35">
        <v>602.9</v>
      </c>
      <c r="J245" s="35">
        <f t="shared" si="19"/>
        <v>60290</v>
      </c>
      <c r="K245" s="120"/>
      <c r="L245" s="3"/>
      <c r="M245" s="3"/>
      <c r="N245" s="3">
        <v>100</v>
      </c>
      <c r="O245" s="3"/>
      <c r="P245" s="158">
        <v>60290</v>
      </c>
      <c r="Q245" s="3"/>
      <c r="R245" s="3"/>
      <c r="S245" s="3"/>
      <c r="T245" s="3"/>
    </row>
    <row r="246" spans="1:20">
      <c r="A246" s="14">
        <f t="shared" si="17"/>
        <v>241</v>
      </c>
      <c r="B246" s="3" t="s">
        <v>1240</v>
      </c>
      <c r="C246" s="8" t="s">
        <v>1241</v>
      </c>
      <c r="D246" s="8" t="s">
        <v>1242</v>
      </c>
      <c r="E246" s="8"/>
      <c r="F246" s="28" t="s">
        <v>675</v>
      </c>
      <c r="G246" s="81">
        <f>1-1</f>
        <v>0</v>
      </c>
      <c r="H246" s="28" t="s">
        <v>6</v>
      </c>
      <c r="I246" s="54"/>
      <c r="J246" s="35">
        <f t="shared" si="19"/>
        <v>0</v>
      </c>
      <c r="K246" s="23"/>
      <c r="L246" s="3"/>
      <c r="M246" s="3"/>
      <c r="N246" s="3"/>
      <c r="O246" s="3"/>
      <c r="P246" s="160"/>
      <c r="Q246" s="3"/>
      <c r="R246" s="3"/>
      <c r="S246" s="3"/>
      <c r="T246" s="3"/>
    </row>
    <row r="247" spans="1:20">
      <c r="A247" s="13">
        <f t="shared" si="17"/>
        <v>242</v>
      </c>
      <c r="B247" s="3" t="s">
        <v>1243</v>
      </c>
      <c r="C247" s="8" t="s">
        <v>1244</v>
      </c>
      <c r="D247" s="8" t="s">
        <v>1245</v>
      </c>
      <c r="E247" s="8"/>
      <c r="F247" s="28" t="s">
        <v>675</v>
      </c>
      <c r="G247" s="81">
        <v>1</v>
      </c>
      <c r="H247" s="28" t="s">
        <v>6</v>
      </c>
      <c r="I247" s="54">
        <v>15000</v>
      </c>
      <c r="J247" s="35">
        <f t="shared" si="19"/>
        <v>15000</v>
      </c>
      <c r="K247" s="23"/>
      <c r="L247" s="3"/>
      <c r="M247" s="3"/>
      <c r="N247" s="3"/>
      <c r="O247" s="3"/>
      <c r="P247" s="160"/>
      <c r="Q247" s="3"/>
      <c r="R247" s="3"/>
      <c r="S247" s="3"/>
      <c r="T247" s="3"/>
    </row>
    <row r="248" spans="1:20">
      <c r="A248" s="14">
        <f t="shared" si="17"/>
        <v>243</v>
      </c>
      <c r="B248" s="3" t="s">
        <v>1246</v>
      </c>
      <c r="C248" s="8" t="s">
        <v>1244</v>
      </c>
      <c r="D248" s="8" t="s">
        <v>1678</v>
      </c>
      <c r="E248" s="8"/>
      <c r="F248" s="28" t="s">
        <v>675</v>
      </c>
      <c r="G248" s="81">
        <v>1</v>
      </c>
      <c r="H248" s="28" t="s">
        <v>6</v>
      </c>
      <c r="I248" s="54">
        <v>10000</v>
      </c>
      <c r="J248" s="35">
        <f t="shared" si="19"/>
        <v>10000</v>
      </c>
      <c r="K248" s="23"/>
      <c r="L248" s="3"/>
      <c r="M248" s="3"/>
      <c r="N248" s="3"/>
      <c r="O248" s="3"/>
      <c r="P248" s="160"/>
      <c r="Q248" s="3"/>
      <c r="R248" s="3"/>
      <c r="S248" s="3"/>
      <c r="T248" s="3"/>
    </row>
    <row r="249" spans="1:20">
      <c r="A249" s="13">
        <f t="shared" si="17"/>
        <v>244</v>
      </c>
      <c r="B249" s="3" t="s">
        <v>1247</v>
      </c>
      <c r="C249" s="8" t="s">
        <v>1244</v>
      </c>
      <c r="D249" s="8" t="s">
        <v>1248</v>
      </c>
      <c r="E249" s="8"/>
      <c r="F249" s="28" t="s">
        <v>675</v>
      </c>
      <c r="G249" s="81">
        <v>2</v>
      </c>
      <c r="H249" s="28" t="s">
        <v>6</v>
      </c>
      <c r="I249" s="54">
        <v>7500</v>
      </c>
      <c r="J249" s="35">
        <f t="shared" si="19"/>
        <v>15000</v>
      </c>
      <c r="K249" s="23"/>
      <c r="L249" s="3"/>
      <c r="M249" s="3"/>
      <c r="N249" s="3"/>
      <c r="O249" s="3"/>
      <c r="P249" s="160"/>
      <c r="Q249" s="3"/>
      <c r="R249" s="3"/>
      <c r="S249" s="3"/>
      <c r="T249" s="3"/>
    </row>
    <row r="250" spans="1:20">
      <c r="A250" s="14">
        <f t="shared" si="17"/>
        <v>245</v>
      </c>
      <c r="B250" s="9" t="s">
        <v>1249</v>
      </c>
      <c r="C250" s="10" t="s">
        <v>1250</v>
      </c>
      <c r="D250" s="10" t="s">
        <v>1705</v>
      </c>
      <c r="E250" s="10" t="s">
        <v>2089</v>
      </c>
      <c r="F250" s="9" t="s">
        <v>675</v>
      </c>
      <c r="G250" s="83" t="s">
        <v>418</v>
      </c>
      <c r="H250" s="9" t="s">
        <v>6</v>
      </c>
      <c r="I250" s="35">
        <v>21417</v>
      </c>
      <c r="J250" s="35">
        <f t="shared" ref="J250:J252" si="20">G250*I250</f>
        <v>85668</v>
      </c>
      <c r="K250" s="89">
        <v>7</v>
      </c>
      <c r="L250" s="3"/>
      <c r="M250" s="158">
        <v>163411.71</v>
      </c>
      <c r="N250" s="3">
        <v>3</v>
      </c>
      <c r="O250" s="3"/>
      <c r="P250" s="158">
        <v>75816.179999999993</v>
      </c>
      <c r="Q250" s="3"/>
      <c r="R250" s="3"/>
      <c r="S250" s="3"/>
      <c r="T250" s="3"/>
    </row>
    <row r="251" spans="1:20">
      <c r="A251" s="13">
        <f t="shared" si="17"/>
        <v>246</v>
      </c>
      <c r="B251" s="3" t="s">
        <v>1251</v>
      </c>
      <c r="C251" s="49" t="s">
        <v>1252</v>
      </c>
      <c r="D251" s="49" t="s">
        <v>1253</v>
      </c>
      <c r="E251" s="49"/>
      <c r="F251" s="3" t="s">
        <v>675</v>
      </c>
      <c r="G251" s="42" t="s">
        <v>422</v>
      </c>
      <c r="H251" s="3" t="s">
        <v>6</v>
      </c>
      <c r="I251" s="35">
        <v>10700.24</v>
      </c>
      <c r="J251" s="35">
        <f t="shared" si="20"/>
        <v>10700.24</v>
      </c>
      <c r="K251" s="23"/>
      <c r="L251" s="3"/>
      <c r="M251" s="3"/>
      <c r="N251" s="3">
        <v>1</v>
      </c>
      <c r="O251" s="3"/>
      <c r="P251" s="158">
        <v>10700.24</v>
      </c>
      <c r="Q251" s="3"/>
      <c r="R251" s="3"/>
      <c r="S251" s="3"/>
      <c r="T251" s="3"/>
    </row>
    <row r="252" spans="1:20">
      <c r="A252" s="14">
        <f t="shared" si="17"/>
        <v>247</v>
      </c>
      <c r="B252" s="3" t="s">
        <v>1254</v>
      </c>
      <c r="C252" s="49" t="s">
        <v>1252</v>
      </c>
      <c r="D252" s="49" t="s">
        <v>1255</v>
      </c>
      <c r="E252" s="49"/>
      <c r="F252" s="3" t="s">
        <v>675</v>
      </c>
      <c r="G252" s="42">
        <f>1-1</f>
        <v>0</v>
      </c>
      <c r="H252" s="3" t="s">
        <v>6</v>
      </c>
      <c r="I252" s="35">
        <v>12899.76</v>
      </c>
      <c r="J252" s="35">
        <f t="shared" si="20"/>
        <v>0</v>
      </c>
      <c r="K252" s="23"/>
      <c r="L252" s="3"/>
      <c r="M252" s="3"/>
      <c r="N252" s="3"/>
      <c r="O252" s="3"/>
      <c r="P252" s="160"/>
      <c r="Q252" s="3"/>
      <c r="R252" s="3"/>
      <c r="S252" s="3"/>
      <c r="T252" s="3"/>
    </row>
    <row r="253" spans="1:20">
      <c r="A253" s="13">
        <f t="shared" si="17"/>
        <v>248</v>
      </c>
      <c r="B253" s="3" t="s">
        <v>1256</v>
      </c>
      <c r="C253" s="4" t="s">
        <v>1244</v>
      </c>
      <c r="D253" s="4" t="s">
        <v>1931</v>
      </c>
      <c r="E253" s="4" t="s">
        <v>2088</v>
      </c>
      <c r="F253" s="3" t="s">
        <v>675</v>
      </c>
      <c r="G253" s="42">
        <v>2</v>
      </c>
      <c r="H253" s="3" t="s">
        <v>6</v>
      </c>
      <c r="I253" s="35">
        <f>29173/2</f>
        <v>14586.5</v>
      </c>
      <c r="J253" s="35">
        <f t="shared" ref="J253:J297" si="21">G253*I253</f>
        <v>29173</v>
      </c>
      <c r="K253" s="23"/>
      <c r="L253" s="3"/>
      <c r="M253" s="3"/>
      <c r="N253" s="3"/>
      <c r="O253" s="3"/>
      <c r="P253" s="160"/>
      <c r="Q253" s="3"/>
      <c r="R253" s="3"/>
      <c r="S253" s="3"/>
      <c r="T253" s="3"/>
    </row>
    <row r="254" spans="1:20">
      <c r="A254" s="14">
        <f t="shared" si="17"/>
        <v>249</v>
      </c>
      <c r="B254" s="3" t="s">
        <v>1257</v>
      </c>
      <c r="C254" s="4" t="s">
        <v>1244</v>
      </c>
      <c r="D254" s="4" t="s">
        <v>1932</v>
      </c>
      <c r="E254" s="4" t="s">
        <v>2088</v>
      </c>
      <c r="F254" s="3" t="s">
        <v>675</v>
      </c>
      <c r="G254" s="42">
        <v>1</v>
      </c>
      <c r="H254" s="3" t="s">
        <v>6</v>
      </c>
      <c r="I254" s="35">
        <v>63163</v>
      </c>
      <c r="J254" s="35">
        <f t="shared" si="21"/>
        <v>63163</v>
      </c>
      <c r="K254" s="23"/>
      <c r="L254" s="3"/>
      <c r="M254" s="3"/>
      <c r="N254" s="3"/>
      <c r="O254" s="3"/>
      <c r="P254" s="160"/>
      <c r="Q254" s="3"/>
      <c r="R254" s="3"/>
      <c r="S254" s="3"/>
      <c r="T254" s="3"/>
    </row>
    <row r="255" spans="1:20">
      <c r="A255" s="13">
        <f t="shared" si="17"/>
        <v>250</v>
      </c>
      <c r="B255" s="3" t="s">
        <v>1258</v>
      </c>
      <c r="C255" s="4" t="s">
        <v>1259</v>
      </c>
      <c r="D255" s="4" t="s">
        <v>1260</v>
      </c>
      <c r="E255" s="4"/>
      <c r="F255" s="3" t="s">
        <v>675</v>
      </c>
      <c r="G255" s="42">
        <v>50</v>
      </c>
      <c r="H255" s="3" t="s">
        <v>6</v>
      </c>
      <c r="I255" s="35">
        <v>12.04</v>
      </c>
      <c r="J255" s="35">
        <f t="shared" si="21"/>
        <v>602</v>
      </c>
      <c r="K255" s="23"/>
      <c r="L255" s="3"/>
      <c r="M255" s="3"/>
      <c r="N255" s="3">
        <v>32</v>
      </c>
      <c r="O255" s="3"/>
      <c r="P255" s="160">
        <v>385.28</v>
      </c>
      <c r="Q255" s="3"/>
      <c r="R255" s="3"/>
      <c r="S255" s="3"/>
      <c r="T255" s="3"/>
    </row>
    <row r="256" spans="1:20">
      <c r="A256" s="14">
        <f t="shared" si="17"/>
        <v>251</v>
      </c>
      <c r="B256" s="3" t="s">
        <v>1261</v>
      </c>
      <c r="C256" s="4" t="s">
        <v>1097</v>
      </c>
      <c r="D256" s="4" t="s">
        <v>1262</v>
      </c>
      <c r="E256" s="4"/>
      <c r="F256" s="3" t="s">
        <v>675</v>
      </c>
      <c r="G256" s="42">
        <f>50-6</f>
        <v>44</v>
      </c>
      <c r="H256" s="3" t="s">
        <v>6</v>
      </c>
      <c r="I256" s="35">
        <f>836.62/50</f>
        <v>16.732399999999998</v>
      </c>
      <c r="J256" s="35">
        <f t="shared" si="21"/>
        <v>736.22559999999999</v>
      </c>
      <c r="K256" s="23"/>
      <c r="L256" s="3"/>
      <c r="M256" s="3"/>
      <c r="N256" s="3">
        <v>34</v>
      </c>
      <c r="O256" s="3"/>
      <c r="P256" s="160">
        <v>671.2</v>
      </c>
      <c r="Q256" s="3"/>
      <c r="R256" s="3"/>
      <c r="S256" s="3"/>
      <c r="T256" s="3"/>
    </row>
    <row r="257" spans="1:20">
      <c r="A257" s="13">
        <f t="shared" si="17"/>
        <v>252</v>
      </c>
      <c r="B257" s="3" t="s">
        <v>1263</v>
      </c>
      <c r="C257" s="4" t="s">
        <v>1097</v>
      </c>
      <c r="D257" s="4" t="s">
        <v>1264</v>
      </c>
      <c r="E257" s="4"/>
      <c r="F257" s="3" t="s">
        <v>675</v>
      </c>
      <c r="G257" s="42" t="s">
        <v>1139</v>
      </c>
      <c r="H257" s="3" t="s">
        <v>6</v>
      </c>
      <c r="I257" s="35">
        <f>646.64/50</f>
        <v>12.9328</v>
      </c>
      <c r="J257" s="35">
        <f t="shared" si="21"/>
        <v>646.64</v>
      </c>
      <c r="K257" s="23"/>
      <c r="L257" s="3"/>
      <c r="M257" s="3"/>
      <c r="N257" s="3">
        <v>15</v>
      </c>
      <c r="O257" s="3"/>
      <c r="P257" s="160">
        <v>193.95</v>
      </c>
      <c r="Q257" s="3"/>
      <c r="R257" s="3"/>
      <c r="S257" s="3"/>
      <c r="T257" s="3"/>
    </row>
    <row r="258" spans="1:20">
      <c r="A258" s="14">
        <f t="shared" si="17"/>
        <v>253</v>
      </c>
      <c r="B258" s="3" t="s">
        <v>1265</v>
      </c>
      <c r="C258" s="4" t="s">
        <v>1097</v>
      </c>
      <c r="D258" s="4" t="s">
        <v>1266</v>
      </c>
      <c r="E258" s="4"/>
      <c r="F258" s="3" t="s">
        <v>675</v>
      </c>
      <c r="G258" s="42" t="s">
        <v>1139</v>
      </c>
      <c r="H258" s="3" t="s">
        <v>6</v>
      </c>
      <c r="I258" s="35">
        <v>9.23</v>
      </c>
      <c r="J258" s="35">
        <f t="shared" si="21"/>
        <v>461.5</v>
      </c>
      <c r="K258" s="23"/>
      <c r="L258" s="3"/>
      <c r="M258" s="3"/>
      <c r="N258" s="3">
        <v>10</v>
      </c>
      <c r="O258" s="3"/>
      <c r="P258" s="158">
        <v>92.3</v>
      </c>
      <c r="Q258" s="3"/>
      <c r="R258" s="3"/>
      <c r="S258" s="3"/>
      <c r="T258" s="3"/>
    </row>
    <row r="259" spans="1:20">
      <c r="A259" s="13">
        <f t="shared" si="17"/>
        <v>254</v>
      </c>
      <c r="B259" s="3" t="s">
        <v>1267</v>
      </c>
      <c r="C259" s="4" t="s">
        <v>1097</v>
      </c>
      <c r="D259" s="4" t="s">
        <v>1268</v>
      </c>
      <c r="E259" s="4"/>
      <c r="F259" s="3" t="s">
        <v>675</v>
      </c>
      <c r="G259" s="42">
        <f>50-6</f>
        <v>44</v>
      </c>
      <c r="H259" s="3" t="s">
        <v>6</v>
      </c>
      <c r="I259" s="35">
        <v>5.58</v>
      </c>
      <c r="J259" s="35">
        <f t="shared" si="21"/>
        <v>245.52</v>
      </c>
      <c r="K259" s="3">
        <v>30</v>
      </c>
      <c r="L259" s="3"/>
      <c r="M259" s="149">
        <v>187.27</v>
      </c>
      <c r="N259" s="3">
        <v>74</v>
      </c>
      <c r="O259" s="3"/>
      <c r="P259" s="160">
        <v>461.93</v>
      </c>
      <c r="Q259" s="3"/>
      <c r="R259" s="3"/>
      <c r="S259" s="3"/>
      <c r="T259" s="3"/>
    </row>
    <row r="260" spans="1:20">
      <c r="A260" s="14">
        <f t="shared" si="17"/>
        <v>255</v>
      </c>
      <c r="B260" s="3" t="s">
        <v>1269</v>
      </c>
      <c r="C260" s="4" t="s">
        <v>1270</v>
      </c>
      <c r="D260" s="4" t="s">
        <v>57</v>
      </c>
      <c r="E260" s="4"/>
      <c r="F260" s="3" t="s">
        <v>675</v>
      </c>
      <c r="G260" s="42" t="s">
        <v>422</v>
      </c>
      <c r="H260" s="3" t="s">
        <v>6</v>
      </c>
      <c r="I260" s="35">
        <v>25200</v>
      </c>
      <c r="J260" s="35">
        <f t="shared" si="21"/>
        <v>25200</v>
      </c>
      <c r="K260" s="23"/>
      <c r="L260" s="3"/>
      <c r="M260" s="3"/>
      <c r="N260" s="3">
        <v>1</v>
      </c>
      <c r="O260" s="3"/>
      <c r="P260" s="158">
        <v>25200</v>
      </c>
      <c r="Q260" s="3"/>
      <c r="R260" s="3"/>
      <c r="S260" s="3"/>
      <c r="T260" s="3"/>
    </row>
    <row r="261" spans="1:20">
      <c r="A261" s="13">
        <f t="shared" si="17"/>
        <v>256</v>
      </c>
      <c r="B261" s="3" t="s">
        <v>1271</v>
      </c>
      <c r="C261" s="4" t="s">
        <v>1272</v>
      </c>
      <c r="D261" s="4" t="s">
        <v>1273</v>
      </c>
      <c r="E261" s="4"/>
      <c r="F261" s="3" t="s">
        <v>675</v>
      </c>
      <c r="G261" s="42" t="s">
        <v>1274</v>
      </c>
      <c r="H261" s="3" t="s">
        <v>1</v>
      </c>
      <c r="I261" s="35">
        <v>705.64</v>
      </c>
      <c r="J261" s="35">
        <f t="shared" si="21"/>
        <v>70535.774399999995</v>
      </c>
      <c r="K261" s="23"/>
      <c r="L261" s="3"/>
      <c r="M261" s="3"/>
      <c r="N261" s="149">
        <v>99.96</v>
      </c>
      <c r="O261" s="3"/>
      <c r="P261" s="158">
        <v>70535.77</v>
      </c>
      <c r="Q261" s="3"/>
      <c r="R261" s="3"/>
      <c r="S261" s="3"/>
      <c r="T261" s="3"/>
    </row>
    <row r="262" spans="1:20">
      <c r="A262" s="14">
        <f t="shared" si="17"/>
        <v>257</v>
      </c>
      <c r="B262" s="3" t="s">
        <v>1704</v>
      </c>
      <c r="C262" s="4" t="s">
        <v>1272</v>
      </c>
      <c r="D262" s="4" t="s">
        <v>1703</v>
      </c>
      <c r="E262" s="4"/>
      <c r="F262" s="3" t="s">
        <v>675</v>
      </c>
      <c r="G262" s="42">
        <v>26.5</v>
      </c>
      <c r="H262" s="3" t="s">
        <v>1</v>
      </c>
      <c r="I262" s="35">
        <v>705.64</v>
      </c>
      <c r="J262" s="35">
        <f t="shared" si="21"/>
        <v>18699.46</v>
      </c>
      <c r="K262" s="23"/>
      <c r="L262" s="3"/>
      <c r="M262" s="3"/>
      <c r="N262" s="3"/>
      <c r="O262" s="3"/>
      <c r="P262" s="160"/>
      <c r="Q262" s="3"/>
      <c r="R262" s="3"/>
      <c r="S262" s="3"/>
      <c r="T262" s="3"/>
    </row>
    <row r="263" spans="1:20">
      <c r="A263" s="13">
        <f t="shared" si="17"/>
        <v>258</v>
      </c>
      <c r="B263" s="3" t="s">
        <v>1762</v>
      </c>
      <c r="C263" s="4" t="s">
        <v>1763</v>
      </c>
      <c r="D263" s="4" t="s">
        <v>1764</v>
      </c>
      <c r="E263" s="4" t="s">
        <v>2076</v>
      </c>
      <c r="F263" s="3" t="s">
        <v>675</v>
      </c>
      <c r="G263" s="42">
        <f>12-6-2</f>
        <v>4</v>
      </c>
      <c r="H263" s="3" t="s">
        <v>6</v>
      </c>
      <c r="I263" s="35">
        <v>1365.73</v>
      </c>
      <c r="J263" s="35">
        <f t="shared" si="21"/>
        <v>5462.92</v>
      </c>
      <c r="K263" s="23"/>
      <c r="L263" s="3"/>
      <c r="M263" s="3"/>
      <c r="N263" s="3"/>
      <c r="O263" s="3"/>
      <c r="P263" s="160"/>
      <c r="Q263" s="3"/>
      <c r="R263" s="3"/>
      <c r="S263" s="3"/>
      <c r="T263" s="3"/>
    </row>
    <row r="264" spans="1:20">
      <c r="A264" s="14">
        <f t="shared" ref="A264:A297" si="22">A263+1</f>
        <v>259</v>
      </c>
      <c r="B264" s="3" t="s">
        <v>1823</v>
      </c>
      <c r="C264" s="4" t="s">
        <v>1827</v>
      </c>
      <c r="D264" s="4" t="s">
        <v>1828</v>
      </c>
      <c r="E264" s="4"/>
      <c r="F264" s="3" t="s">
        <v>675</v>
      </c>
      <c r="G264" s="42">
        <f>21-3</f>
        <v>18</v>
      </c>
      <c r="H264" s="3" t="s">
        <v>6</v>
      </c>
      <c r="I264" s="35">
        <v>141.6</v>
      </c>
      <c r="J264" s="35">
        <f t="shared" si="21"/>
        <v>2548.7999999999997</v>
      </c>
      <c r="K264" s="23"/>
      <c r="L264" s="3"/>
      <c r="M264" s="3"/>
      <c r="N264" s="3"/>
      <c r="O264" s="3"/>
      <c r="P264" s="160"/>
      <c r="Q264" s="3"/>
      <c r="R264" s="3"/>
      <c r="S264" s="3"/>
      <c r="T264" s="3"/>
    </row>
    <row r="265" spans="1:20">
      <c r="A265" s="13">
        <f t="shared" si="22"/>
        <v>260</v>
      </c>
      <c r="B265" s="3" t="s">
        <v>1824</v>
      </c>
      <c r="C265" s="4" t="s">
        <v>1827</v>
      </c>
      <c r="D265" s="4" t="s">
        <v>1829</v>
      </c>
      <c r="E265" s="4"/>
      <c r="F265" s="3" t="s">
        <v>675</v>
      </c>
      <c r="G265" s="42">
        <v>20</v>
      </c>
      <c r="H265" s="3" t="s">
        <v>6</v>
      </c>
      <c r="I265" s="35">
        <v>141.6</v>
      </c>
      <c r="J265" s="35">
        <f t="shared" si="21"/>
        <v>2832</v>
      </c>
      <c r="K265" s="23"/>
      <c r="L265" s="3"/>
      <c r="M265" s="3"/>
      <c r="N265" s="3"/>
      <c r="O265" s="3"/>
      <c r="P265" s="160"/>
      <c r="Q265" s="3"/>
      <c r="R265" s="3"/>
      <c r="S265" s="3"/>
      <c r="T265" s="3"/>
    </row>
    <row r="266" spans="1:20">
      <c r="A266" s="14">
        <f t="shared" si="22"/>
        <v>261</v>
      </c>
      <c r="B266" s="3" t="s">
        <v>1825</v>
      </c>
      <c r="C266" s="4" t="s">
        <v>1827</v>
      </c>
      <c r="D266" s="4" t="s">
        <v>1830</v>
      </c>
      <c r="E266" s="4"/>
      <c r="F266" s="3" t="s">
        <v>675</v>
      </c>
      <c r="G266" s="42">
        <f>20-2</f>
        <v>18</v>
      </c>
      <c r="H266" s="3" t="s">
        <v>6</v>
      </c>
      <c r="I266" s="35">
        <v>165.2</v>
      </c>
      <c r="J266" s="35">
        <f t="shared" si="21"/>
        <v>2973.6</v>
      </c>
      <c r="K266" s="23"/>
      <c r="L266" s="3"/>
      <c r="M266" s="3"/>
      <c r="N266" s="3"/>
      <c r="O266" s="3"/>
      <c r="P266" s="160"/>
      <c r="Q266" s="3"/>
      <c r="R266" s="3"/>
      <c r="S266" s="3"/>
      <c r="T266" s="3"/>
    </row>
    <row r="267" spans="1:20">
      <c r="A267" s="13">
        <f t="shared" si="22"/>
        <v>262</v>
      </c>
      <c r="B267" s="3" t="s">
        <v>1826</v>
      </c>
      <c r="C267" s="4" t="s">
        <v>1827</v>
      </c>
      <c r="D267" s="4" t="s">
        <v>1831</v>
      </c>
      <c r="E267" s="4"/>
      <c r="F267" s="3" t="s">
        <v>675</v>
      </c>
      <c r="G267" s="42">
        <v>20</v>
      </c>
      <c r="H267" s="3" t="s">
        <v>6</v>
      </c>
      <c r="I267" s="35">
        <v>141.6</v>
      </c>
      <c r="J267" s="35">
        <f t="shared" si="21"/>
        <v>2832</v>
      </c>
      <c r="K267" s="23"/>
      <c r="L267" s="3"/>
      <c r="M267" s="3"/>
      <c r="N267" s="3"/>
      <c r="O267" s="3"/>
      <c r="P267" s="160"/>
      <c r="Q267" s="3"/>
      <c r="R267" s="3"/>
      <c r="S267" s="3"/>
      <c r="T267" s="3"/>
    </row>
    <row r="268" spans="1:20">
      <c r="A268" s="14">
        <f t="shared" si="22"/>
        <v>263</v>
      </c>
      <c r="B268" s="3" t="s">
        <v>1844</v>
      </c>
      <c r="C268" s="4" t="s">
        <v>1845</v>
      </c>
      <c r="D268" s="4" t="s">
        <v>1846</v>
      </c>
      <c r="E268" s="4"/>
      <c r="F268" s="3" t="s">
        <v>675</v>
      </c>
      <c r="G268" s="42">
        <v>2</v>
      </c>
      <c r="H268" s="3" t="s">
        <v>6</v>
      </c>
      <c r="I268" s="35">
        <v>60</v>
      </c>
      <c r="J268" s="35">
        <f t="shared" si="21"/>
        <v>120</v>
      </c>
      <c r="K268" s="89"/>
      <c r="L268" s="3"/>
      <c r="M268" s="3"/>
      <c r="N268" s="3">
        <v>2</v>
      </c>
      <c r="O268" s="3"/>
      <c r="P268" s="160">
        <v>120</v>
      </c>
      <c r="Q268" s="3"/>
      <c r="R268" s="3"/>
      <c r="S268" s="3"/>
      <c r="T268" s="3"/>
    </row>
    <row r="269" spans="1:20">
      <c r="A269" s="13">
        <f t="shared" si="22"/>
        <v>264</v>
      </c>
      <c r="B269" s="3" t="s">
        <v>1852</v>
      </c>
      <c r="C269" s="4" t="s">
        <v>1115</v>
      </c>
      <c r="D269" s="4" t="s">
        <v>1853</v>
      </c>
      <c r="E269" s="4"/>
      <c r="F269" s="3" t="s">
        <v>675</v>
      </c>
      <c r="G269" s="42">
        <v>100</v>
      </c>
      <c r="H269" s="3" t="s">
        <v>6</v>
      </c>
      <c r="I269" s="35">
        <v>17.11</v>
      </c>
      <c r="J269" s="35">
        <f t="shared" si="21"/>
        <v>1711</v>
      </c>
      <c r="K269" s="23"/>
      <c r="L269" s="3"/>
      <c r="M269" s="3"/>
      <c r="N269" s="3">
        <v>10</v>
      </c>
      <c r="O269" s="3"/>
      <c r="P269" s="158">
        <v>171.1</v>
      </c>
      <c r="Q269" s="3"/>
      <c r="R269" s="3"/>
      <c r="S269" s="3"/>
      <c r="T269" s="3"/>
    </row>
    <row r="270" spans="1:20">
      <c r="A270" s="14">
        <f t="shared" si="22"/>
        <v>265</v>
      </c>
      <c r="B270" s="3" t="s">
        <v>1881</v>
      </c>
      <c r="C270" s="4" t="s">
        <v>1882</v>
      </c>
      <c r="D270" s="4"/>
      <c r="E270" s="4"/>
      <c r="F270" s="3" t="s">
        <v>675</v>
      </c>
      <c r="G270" s="42">
        <v>25</v>
      </c>
      <c r="H270" s="3" t="s">
        <v>1</v>
      </c>
      <c r="I270" s="54">
        <v>259</v>
      </c>
      <c r="J270" s="35">
        <f t="shared" si="21"/>
        <v>6475</v>
      </c>
      <c r="K270" s="89"/>
      <c r="L270" s="3"/>
      <c r="M270" s="3"/>
      <c r="N270" s="3">
        <v>9</v>
      </c>
      <c r="O270" s="3"/>
      <c r="P270" s="158">
        <v>2331</v>
      </c>
      <c r="Q270" s="3"/>
      <c r="R270" s="3"/>
      <c r="S270" s="3"/>
      <c r="T270" s="3"/>
    </row>
    <row r="271" spans="1:20">
      <c r="A271" s="13">
        <f t="shared" si="22"/>
        <v>266</v>
      </c>
      <c r="B271" s="3" t="s">
        <v>1883</v>
      </c>
      <c r="C271" s="4" t="s">
        <v>1884</v>
      </c>
      <c r="D271" s="4"/>
      <c r="E271" s="4"/>
      <c r="F271" s="3" t="s">
        <v>675</v>
      </c>
      <c r="G271" s="42">
        <f>3-1-1</f>
        <v>1</v>
      </c>
      <c r="H271" s="3" t="s">
        <v>77</v>
      </c>
      <c r="I271" s="35">
        <v>177</v>
      </c>
      <c r="J271" s="35">
        <f t="shared" si="21"/>
        <v>177</v>
      </c>
      <c r="K271" s="89">
        <v>6</v>
      </c>
      <c r="L271" s="3"/>
      <c r="M271" s="158">
        <v>1051.3800000000001</v>
      </c>
      <c r="N271" s="3">
        <v>6</v>
      </c>
      <c r="O271" s="3"/>
      <c r="P271" s="160">
        <v>1085.01</v>
      </c>
      <c r="Q271" s="3"/>
      <c r="R271" s="3"/>
      <c r="S271" s="3"/>
      <c r="T271" s="3"/>
    </row>
    <row r="272" spans="1:20">
      <c r="A272" s="14">
        <f t="shared" si="22"/>
        <v>267</v>
      </c>
      <c r="B272" s="3" t="s">
        <v>1890</v>
      </c>
      <c r="C272" s="4" t="s">
        <v>1891</v>
      </c>
      <c r="D272" s="4" t="s">
        <v>1892</v>
      </c>
      <c r="E272" s="4"/>
      <c r="F272" s="3" t="s">
        <v>675</v>
      </c>
      <c r="G272" s="42">
        <v>42</v>
      </c>
      <c r="H272" s="3" t="s">
        <v>63</v>
      </c>
      <c r="I272" s="35">
        <v>35.64</v>
      </c>
      <c r="J272" s="35">
        <f t="shared" si="21"/>
        <v>1496.88</v>
      </c>
      <c r="K272" s="3">
        <v>60</v>
      </c>
      <c r="L272" s="3"/>
      <c r="M272" s="158">
        <v>2840.5</v>
      </c>
      <c r="N272" s="3">
        <v>102</v>
      </c>
      <c r="O272" s="3"/>
      <c r="P272" s="160">
        <v>4606.8100000000004</v>
      </c>
      <c r="Q272" s="3"/>
      <c r="R272" s="3"/>
      <c r="S272" s="3"/>
      <c r="T272" s="3"/>
    </row>
    <row r="273" spans="1:20">
      <c r="A273" s="13">
        <f t="shared" si="22"/>
        <v>268</v>
      </c>
      <c r="B273" s="3" t="s">
        <v>1908</v>
      </c>
      <c r="C273" s="4" t="s">
        <v>890</v>
      </c>
      <c r="D273" s="4" t="s">
        <v>1909</v>
      </c>
      <c r="E273" s="4" t="s">
        <v>2063</v>
      </c>
      <c r="F273" s="3" t="s">
        <v>675</v>
      </c>
      <c r="G273" s="42">
        <f>2-2</f>
        <v>0</v>
      </c>
      <c r="H273" s="3" t="s">
        <v>6</v>
      </c>
      <c r="I273" s="35">
        <v>74.319999999999993</v>
      </c>
      <c r="J273" s="35">
        <f t="shared" si="21"/>
        <v>0</v>
      </c>
      <c r="K273" s="158">
        <v>2840.5</v>
      </c>
      <c r="L273" s="3"/>
      <c r="M273" s="3"/>
      <c r="N273" s="3"/>
      <c r="O273" s="3"/>
      <c r="P273" s="160"/>
      <c r="Q273" s="3"/>
      <c r="R273" s="3"/>
      <c r="S273" s="3"/>
      <c r="T273" s="3"/>
    </row>
    <row r="274" spans="1:20">
      <c r="A274" s="14">
        <f t="shared" si="22"/>
        <v>269</v>
      </c>
      <c r="B274" s="3" t="s">
        <v>1910</v>
      </c>
      <c r="C274" s="4" t="s">
        <v>890</v>
      </c>
      <c r="D274" s="4" t="s">
        <v>1911</v>
      </c>
      <c r="E274" s="4" t="s">
        <v>2063</v>
      </c>
      <c r="F274" s="3" t="s">
        <v>675</v>
      </c>
      <c r="G274" s="42">
        <f>2-2</f>
        <v>0</v>
      </c>
      <c r="H274" s="3" t="s">
        <v>6</v>
      </c>
      <c r="I274" s="35">
        <v>64.040000000000006</v>
      </c>
      <c r="J274" s="35">
        <f t="shared" si="21"/>
        <v>0</v>
      </c>
      <c r="K274" s="89"/>
      <c r="L274" s="3"/>
      <c r="M274" s="3"/>
      <c r="N274" s="3"/>
      <c r="O274" s="3"/>
      <c r="P274" s="160"/>
      <c r="Q274" s="3"/>
      <c r="R274" s="3"/>
      <c r="S274" s="3"/>
      <c r="T274" s="3"/>
    </row>
    <row r="275" spans="1:20">
      <c r="A275" s="13">
        <f t="shared" si="22"/>
        <v>270</v>
      </c>
      <c r="B275" s="3" t="s">
        <v>1912</v>
      </c>
      <c r="C275" s="4" t="s">
        <v>1913</v>
      </c>
      <c r="D275" s="4"/>
      <c r="E275" s="4" t="s">
        <v>2063</v>
      </c>
      <c r="F275" s="3" t="s">
        <v>675</v>
      </c>
      <c r="G275" s="42">
        <f>2-2</f>
        <v>0</v>
      </c>
      <c r="H275" s="3" t="s">
        <v>6</v>
      </c>
      <c r="I275" s="35">
        <v>43.48</v>
      </c>
      <c r="J275" s="35">
        <f t="shared" si="21"/>
        <v>0</v>
      </c>
      <c r="K275" s="89"/>
      <c r="L275" s="3"/>
      <c r="M275" s="3"/>
      <c r="N275" s="3"/>
      <c r="O275" s="3"/>
      <c r="P275" s="160"/>
      <c r="Q275" s="3"/>
      <c r="R275" s="3"/>
      <c r="S275" s="3"/>
      <c r="T275" s="3"/>
    </row>
    <row r="276" spans="1:20">
      <c r="A276" s="14">
        <f t="shared" si="22"/>
        <v>271</v>
      </c>
      <c r="B276" s="3" t="s">
        <v>1915</v>
      </c>
      <c r="C276" s="4" t="s">
        <v>1916</v>
      </c>
      <c r="D276" s="4"/>
      <c r="E276" s="4" t="s">
        <v>2063</v>
      </c>
      <c r="F276" s="3" t="s">
        <v>675</v>
      </c>
      <c r="G276" s="42">
        <f>1-1</f>
        <v>0</v>
      </c>
      <c r="H276" s="3" t="s">
        <v>6</v>
      </c>
      <c r="I276" s="35">
        <v>226.9</v>
      </c>
      <c r="J276" s="35">
        <f t="shared" si="21"/>
        <v>0</v>
      </c>
      <c r="K276" s="89"/>
      <c r="L276" s="3"/>
      <c r="M276" s="3"/>
      <c r="N276" s="3"/>
      <c r="O276" s="3"/>
      <c r="P276" s="160"/>
      <c r="Q276" s="3"/>
      <c r="R276" s="3"/>
      <c r="S276" s="3"/>
      <c r="T276" s="3"/>
    </row>
    <row r="277" spans="1:20">
      <c r="A277" s="13">
        <f t="shared" si="22"/>
        <v>272</v>
      </c>
      <c r="B277" s="3" t="s">
        <v>1917</v>
      </c>
      <c r="C277" s="4" t="s">
        <v>1918</v>
      </c>
      <c r="D277" s="4" t="s">
        <v>1919</v>
      </c>
      <c r="E277" s="4" t="s">
        <v>2063</v>
      </c>
      <c r="F277" s="3" t="s">
        <v>675</v>
      </c>
      <c r="G277" s="42">
        <f>2-2</f>
        <v>0</v>
      </c>
      <c r="H277" s="3" t="s">
        <v>6</v>
      </c>
      <c r="I277" s="35">
        <v>206.35</v>
      </c>
      <c r="J277" s="35">
        <f t="shared" si="21"/>
        <v>0</v>
      </c>
      <c r="K277" s="89"/>
      <c r="L277" s="3"/>
      <c r="M277" s="3"/>
      <c r="N277" s="3"/>
      <c r="O277" s="3"/>
      <c r="P277" s="160"/>
      <c r="Q277" s="3"/>
      <c r="R277" s="3"/>
      <c r="S277" s="3"/>
      <c r="T277" s="3"/>
    </row>
    <row r="278" spans="1:20">
      <c r="A278" s="14">
        <f t="shared" si="22"/>
        <v>273</v>
      </c>
      <c r="B278" s="3" t="s">
        <v>1917</v>
      </c>
      <c r="C278" s="4" t="s">
        <v>1920</v>
      </c>
      <c r="D278" s="4"/>
      <c r="E278" s="4"/>
      <c r="F278" s="3" t="s">
        <v>675</v>
      </c>
      <c r="G278" s="42">
        <f>1-1</f>
        <v>0</v>
      </c>
      <c r="H278" s="3" t="s">
        <v>6</v>
      </c>
      <c r="I278" s="35">
        <v>49.02</v>
      </c>
      <c r="J278" s="35">
        <f t="shared" si="21"/>
        <v>0</v>
      </c>
      <c r="K278" s="89"/>
      <c r="L278" s="3"/>
      <c r="M278" s="3"/>
      <c r="N278" s="3"/>
      <c r="O278" s="3"/>
      <c r="P278" s="160"/>
      <c r="Q278" s="3"/>
      <c r="R278" s="3"/>
      <c r="S278" s="3"/>
      <c r="T278" s="3"/>
    </row>
    <row r="279" spans="1:20">
      <c r="A279" s="13">
        <f t="shared" si="22"/>
        <v>274</v>
      </c>
      <c r="B279" s="3" t="s">
        <v>1933</v>
      </c>
      <c r="C279" s="4" t="s">
        <v>1244</v>
      </c>
      <c r="D279" s="4" t="s">
        <v>1934</v>
      </c>
      <c r="E279" s="4" t="s">
        <v>2088</v>
      </c>
      <c r="F279" s="3" t="s">
        <v>675</v>
      </c>
      <c r="G279" s="42">
        <v>1</v>
      </c>
      <c r="H279" s="3" t="s">
        <v>6</v>
      </c>
      <c r="I279" s="35">
        <v>72767</v>
      </c>
      <c r="J279" s="35">
        <f t="shared" si="21"/>
        <v>72767</v>
      </c>
      <c r="K279" s="23"/>
      <c r="L279" s="3"/>
      <c r="M279" s="3"/>
      <c r="N279" s="3"/>
      <c r="O279" s="3"/>
      <c r="P279" s="160"/>
      <c r="Q279" s="3"/>
      <c r="R279" s="3"/>
      <c r="S279" s="3"/>
      <c r="T279" s="3"/>
    </row>
    <row r="280" spans="1:20" ht="30">
      <c r="A280" s="14">
        <f t="shared" si="22"/>
        <v>275</v>
      </c>
      <c r="B280" s="3" t="s">
        <v>1974</v>
      </c>
      <c r="C280" s="4" t="s">
        <v>1953</v>
      </c>
      <c r="D280" s="4"/>
      <c r="E280" s="4"/>
      <c r="F280" s="3" t="s">
        <v>675</v>
      </c>
      <c r="G280" s="42">
        <v>1</v>
      </c>
      <c r="H280" s="3" t="s">
        <v>6</v>
      </c>
      <c r="I280" s="35">
        <v>149423</v>
      </c>
      <c r="J280" s="35">
        <f t="shared" si="21"/>
        <v>149423</v>
      </c>
      <c r="K280" s="23"/>
      <c r="L280" s="3"/>
      <c r="M280" s="3"/>
      <c r="N280" s="3"/>
      <c r="O280" s="3"/>
      <c r="P280" s="160"/>
      <c r="Q280" s="3"/>
      <c r="R280" s="3"/>
      <c r="S280" s="3"/>
      <c r="T280" s="3"/>
    </row>
    <row r="281" spans="1:20">
      <c r="A281" s="13">
        <f t="shared" si="22"/>
        <v>276</v>
      </c>
      <c r="B281" s="3" t="s">
        <v>1956</v>
      </c>
      <c r="C281" s="4" t="s">
        <v>1806</v>
      </c>
      <c r="D281" s="4" t="s">
        <v>1957</v>
      </c>
      <c r="E281" s="4" t="s">
        <v>2087</v>
      </c>
      <c r="F281" s="3" t="s">
        <v>675</v>
      </c>
      <c r="G281" s="42">
        <v>1</v>
      </c>
      <c r="H281" s="3" t="s">
        <v>6</v>
      </c>
      <c r="I281" s="35">
        <v>17600</v>
      </c>
      <c r="J281" s="35">
        <f t="shared" si="21"/>
        <v>17600</v>
      </c>
      <c r="K281" s="23"/>
      <c r="L281" s="3"/>
      <c r="M281" s="3"/>
      <c r="N281" s="3">
        <v>1</v>
      </c>
      <c r="O281" s="3"/>
      <c r="P281" s="158">
        <v>17600</v>
      </c>
      <c r="Q281" s="3"/>
      <c r="R281" s="3"/>
      <c r="S281" s="3"/>
      <c r="T281" s="3"/>
    </row>
    <row r="282" spans="1:20">
      <c r="A282" s="14">
        <f t="shared" si="22"/>
        <v>277</v>
      </c>
      <c r="B282" s="3" t="s">
        <v>1958</v>
      </c>
      <c r="C282" s="4" t="s">
        <v>1959</v>
      </c>
      <c r="D282" s="4" t="s">
        <v>1960</v>
      </c>
      <c r="E282" s="4"/>
      <c r="F282" s="3" t="s">
        <v>675</v>
      </c>
      <c r="G282" s="42">
        <f>1-1</f>
        <v>0</v>
      </c>
      <c r="H282" s="3" t="s">
        <v>6</v>
      </c>
      <c r="I282" s="35">
        <v>3740</v>
      </c>
      <c r="J282" s="35">
        <f t="shared" si="21"/>
        <v>0</v>
      </c>
      <c r="K282" s="89"/>
      <c r="L282" s="3"/>
      <c r="M282" s="3"/>
      <c r="N282" s="3"/>
      <c r="O282" s="3"/>
      <c r="P282" s="160"/>
      <c r="Q282" s="3"/>
      <c r="R282" s="3"/>
      <c r="S282" s="3"/>
      <c r="T282" s="3"/>
    </row>
    <row r="283" spans="1:20">
      <c r="A283" s="13">
        <f t="shared" si="22"/>
        <v>278</v>
      </c>
      <c r="B283" s="3" t="s">
        <v>1984</v>
      </c>
      <c r="C283" s="4" t="s">
        <v>1985</v>
      </c>
      <c r="D283" s="4"/>
      <c r="E283" s="4"/>
      <c r="F283" s="3" t="s">
        <v>675</v>
      </c>
      <c r="G283" s="42">
        <v>2</v>
      </c>
      <c r="H283" s="3" t="s">
        <v>6</v>
      </c>
      <c r="I283" s="35"/>
      <c r="J283" s="35">
        <f t="shared" si="21"/>
        <v>0</v>
      </c>
      <c r="K283" s="89"/>
      <c r="L283" s="3"/>
      <c r="M283" s="3"/>
      <c r="N283" s="3">
        <v>1</v>
      </c>
      <c r="O283" s="3"/>
      <c r="P283" s="160">
        <v>220</v>
      </c>
      <c r="Q283" s="3"/>
      <c r="R283" s="3"/>
      <c r="S283" s="3"/>
      <c r="T283" s="3"/>
    </row>
    <row r="284" spans="1:20">
      <c r="A284" s="14">
        <f t="shared" si="22"/>
        <v>279</v>
      </c>
      <c r="B284" s="3" t="s">
        <v>1987</v>
      </c>
      <c r="C284" s="4" t="s">
        <v>1986</v>
      </c>
      <c r="D284" s="4" t="s">
        <v>91</v>
      </c>
      <c r="E284" s="4"/>
      <c r="F284" s="3" t="s">
        <v>675</v>
      </c>
      <c r="G284" s="42">
        <f>1-1</f>
        <v>0</v>
      </c>
      <c r="H284" s="3" t="s">
        <v>6</v>
      </c>
      <c r="I284" s="35">
        <v>342.2</v>
      </c>
      <c r="J284" s="35">
        <f t="shared" si="21"/>
        <v>0</v>
      </c>
      <c r="K284" s="89"/>
      <c r="L284" s="3"/>
      <c r="M284" s="3"/>
      <c r="N284" s="3"/>
      <c r="O284" s="3"/>
      <c r="P284" s="160"/>
      <c r="Q284" s="3"/>
      <c r="R284" s="3"/>
      <c r="S284" s="3"/>
      <c r="T284" s="3"/>
    </row>
    <row r="285" spans="1:20">
      <c r="A285" s="13">
        <f t="shared" si="22"/>
        <v>280</v>
      </c>
      <c r="B285" s="97" t="s">
        <v>1990</v>
      </c>
      <c r="C285" s="4" t="s">
        <v>1991</v>
      </c>
      <c r="D285" s="4" t="s">
        <v>1992</v>
      </c>
      <c r="E285" s="4"/>
      <c r="F285" s="3" t="s">
        <v>675</v>
      </c>
      <c r="G285" s="42">
        <v>12</v>
      </c>
      <c r="H285" s="3" t="s">
        <v>6</v>
      </c>
      <c r="I285" s="35">
        <v>129.80000000000001</v>
      </c>
      <c r="J285" s="35">
        <f t="shared" si="21"/>
        <v>1557.6000000000001</v>
      </c>
      <c r="K285" s="89">
        <v>20</v>
      </c>
      <c r="L285" s="3"/>
      <c r="M285" s="158">
        <v>2605.44</v>
      </c>
      <c r="N285" s="3">
        <v>18</v>
      </c>
      <c r="O285" s="3"/>
      <c r="P285" s="160">
        <v>2619.6</v>
      </c>
      <c r="Q285" s="3"/>
      <c r="R285" s="3"/>
      <c r="S285" s="3"/>
      <c r="T285" s="3"/>
    </row>
    <row r="286" spans="1:20">
      <c r="A286" s="14">
        <f t="shared" si="22"/>
        <v>281</v>
      </c>
      <c r="B286" s="9" t="s">
        <v>1993</v>
      </c>
      <c r="C286" s="10" t="s">
        <v>1994</v>
      </c>
      <c r="D286" s="10" t="s">
        <v>1992</v>
      </c>
      <c r="E286" s="10"/>
      <c r="F286" s="9" t="s">
        <v>675</v>
      </c>
      <c r="G286" s="83">
        <v>12</v>
      </c>
      <c r="H286" s="9" t="s">
        <v>6</v>
      </c>
      <c r="I286" s="36">
        <v>129.80000000000001</v>
      </c>
      <c r="J286" s="36">
        <f t="shared" si="21"/>
        <v>1557.6000000000001</v>
      </c>
      <c r="K286" s="89">
        <v>20</v>
      </c>
      <c r="L286" s="3"/>
      <c r="M286" s="158">
        <v>2605.44</v>
      </c>
      <c r="N286" s="3">
        <v>18</v>
      </c>
      <c r="O286" s="3"/>
      <c r="P286" s="160">
        <v>2619.6</v>
      </c>
      <c r="Q286" s="3"/>
      <c r="R286" s="3"/>
      <c r="S286" s="3"/>
      <c r="T286" s="3"/>
    </row>
    <row r="287" spans="1:20">
      <c r="A287" s="13">
        <f t="shared" si="22"/>
        <v>282</v>
      </c>
      <c r="B287" s="97"/>
      <c r="C287" s="4" t="s">
        <v>2013</v>
      </c>
      <c r="D287" s="4" t="s">
        <v>2014</v>
      </c>
      <c r="E287" s="4" t="s">
        <v>2090</v>
      </c>
      <c r="F287" s="3" t="s">
        <v>675</v>
      </c>
      <c r="G287" s="42">
        <f>4-2</f>
        <v>2</v>
      </c>
      <c r="H287" s="3" t="s">
        <v>6</v>
      </c>
      <c r="I287" s="35">
        <v>601.79999999999995</v>
      </c>
      <c r="J287" s="35">
        <f t="shared" si="21"/>
        <v>1203.5999999999999</v>
      </c>
      <c r="K287" s="89"/>
      <c r="L287" s="3"/>
      <c r="M287" s="3"/>
      <c r="N287" s="3"/>
      <c r="O287" s="3"/>
      <c r="P287" s="160"/>
      <c r="Q287" s="3"/>
      <c r="R287" s="3"/>
      <c r="S287" s="3"/>
      <c r="T287" s="3"/>
    </row>
    <row r="288" spans="1:20" ht="47.25">
      <c r="A288" s="14">
        <f t="shared" si="22"/>
        <v>283</v>
      </c>
      <c r="B288" s="105" t="s">
        <v>1062</v>
      </c>
      <c r="C288" s="106" t="s">
        <v>2016</v>
      </c>
      <c r="D288" s="107" t="s">
        <v>2017</v>
      </c>
      <c r="E288" s="107" t="s">
        <v>2091</v>
      </c>
      <c r="F288" s="9" t="s">
        <v>675</v>
      </c>
      <c r="G288" s="83">
        <v>12</v>
      </c>
      <c r="H288" s="9" t="s">
        <v>6</v>
      </c>
      <c r="I288" s="36">
        <v>160.77000000000001</v>
      </c>
      <c r="J288" s="36">
        <f t="shared" si="21"/>
        <v>1929.2400000000002</v>
      </c>
      <c r="K288" s="89"/>
      <c r="L288" s="3"/>
      <c r="M288" s="3"/>
      <c r="N288" s="3"/>
      <c r="O288" s="3"/>
      <c r="P288" s="160"/>
      <c r="Q288" s="3"/>
      <c r="R288" s="3"/>
      <c r="S288" s="3"/>
      <c r="T288" s="3"/>
    </row>
    <row r="289" spans="1:20" ht="15.75">
      <c r="A289" s="13">
        <f t="shared" si="22"/>
        <v>284</v>
      </c>
      <c r="B289" s="105" t="s">
        <v>1049</v>
      </c>
      <c r="C289" s="108" t="s">
        <v>2018</v>
      </c>
      <c r="D289" s="108" t="s">
        <v>87</v>
      </c>
      <c r="E289" s="108"/>
      <c r="F289" s="3" t="s">
        <v>675</v>
      </c>
      <c r="G289" s="113">
        <v>2</v>
      </c>
      <c r="H289" s="3" t="s">
        <v>77</v>
      </c>
      <c r="I289" s="35">
        <v>271.39999999999998</v>
      </c>
      <c r="J289" s="35">
        <f t="shared" si="21"/>
        <v>542.79999999999995</v>
      </c>
      <c r="K289" s="89"/>
      <c r="L289" s="3"/>
      <c r="M289" s="3"/>
      <c r="N289" s="3">
        <v>1</v>
      </c>
      <c r="O289" s="3"/>
      <c r="P289" s="158">
        <v>271.39999999999998</v>
      </c>
      <c r="Q289" s="3"/>
      <c r="R289" s="3"/>
      <c r="S289" s="3"/>
      <c r="T289" s="3"/>
    </row>
    <row r="290" spans="1:20" ht="15.75">
      <c r="A290" s="14">
        <f t="shared" si="22"/>
        <v>285</v>
      </c>
      <c r="B290" s="105" t="s">
        <v>1054</v>
      </c>
      <c r="C290" s="108" t="s">
        <v>2019</v>
      </c>
      <c r="D290" s="108" t="s">
        <v>1361</v>
      </c>
      <c r="E290" s="108"/>
      <c r="F290" s="3" t="s">
        <v>675</v>
      </c>
      <c r="G290" s="113">
        <v>2</v>
      </c>
      <c r="H290" t="s">
        <v>2020</v>
      </c>
      <c r="I290" s="35">
        <v>112.1</v>
      </c>
      <c r="J290" s="35">
        <f t="shared" si="21"/>
        <v>224.2</v>
      </c>
      <c r="K290" s="89"/>
      <c r="L290" s="3"/>
      <c r="M290" s="3"/>
      <c r="N290" s="3">
        <v>1</v>
      </c>
      <c r="O290" s="3"/>
      <c r="P290" s="158">
        <v>112.1</v>
      </c>
      <c r="Q290" s="3"/>
      <c r="R290" s="3"/>
      <c r="S290" s="3"/>
      <c r="T290" s="3"/>
    </row>
    <row r="291" spans="1:20" ht="47.25">
      <c r="A291" s="13">
        <f t="shared" si="22"/>
        <v>286</v>
      </c>
      <c r="B291" s="9" t="s">
        <v>2093</v>
      </c>
      <c r="C291" s="108" t="s">
        <v>2024</v>
      </c>
      <c r="D291" s="112" t="s">
        <v>2025</v>
      </c>
      <c r="E291" s="112" t="s">
        <v>2077</v>
      </c>
      <c r="F291" s="3" t="s">
        <v>675</v>
      </c>
      <c r="G291" s="113">
        <f>3-2</f>
        <v>1</v>
      </c>
      <c r="H291" s="105" t="s">
        <v>6</v>
      </c>
      <c r="I291" s="36">
        <v>27730</v>
      </c>
      <c r="J291" s="36">
        <f t="shared" si="21"/>
        <v>27730</v>
      </c>
      <c r="K291" s="89"/>
      <c r="L291" s="3"/>
      <c r="M291" s="3"/>
      <c r="N291" s="3">
        <v>1</v>
      </c>
      <c r="O291" s="3"/>
      <c r="P291" s="158">
        <v>27730</v>
      </c>
      <c r="Q291" s="3"/>
      <c r="R291" s="3"/>
      <c r="S291" s="3"/>
      <c r="T291" s="3"/>
    </row>
    <row r="292" spans="1:20" ht="15.75">
      <c r="A292" s="14">
        <f t="shared" si="22"/>
        <v>287</v>
      </c>
      <c r="B292" s="9" t="s">
        <v>2094</v>
      </c>
      <c r="C292" s="108" t="s">
        <v>2031</v>
      </c>
      <c r="D292" s="112" t="s">
        <v>2032</v>
      </c>
      <c r="E292" s="112" t="s">
        <v>2092</v>
      </c>
      <c r="F292" s="3" t="s">
        <v>675</v>
      </c>
      <c r="G292" s="113">
        <v>15</v>
      </c>
      <c r="H292" s="105" t="s">
        <v>6</v>
      </c>
      <c r="I292" s="36">
        <v>3540</v>
      </c>
      <c r="J292" s="36">
        <f t="shared" si="21"/>
        <v>53100</v>
      </c>
      <c r="K292" s="89"/>
      <c r="L292" s="3"/>
      <c r="M292" s="3"/>
      <c r="N292" s="3">
        <v>6</v>
      </c>
      <c r="O292" s="3"/>
      <c r="P292" s="160">
        <v>21240</v>
      </c>
      <c r="Q292" s="3"/>
      <c r="R292" s="3"/>
      <c r="S292" s="3"/>
      <c r="T292" s="3"/>
    </row>
    <row r="293" spans="1:20" ht="15.75">
      <c r="A293" s="13">
        <f t="shared" si="22"/>
        <v>288</v>
      </c>
      <c r="B293" s="9" t="s">
        <v>2095</v>
      </c>
      <c r="C293" s="108" t="s">
        <v>2053</v>
      </c>
      <c r="D293" s="112" t="s">
        <v>2054</v>
      </c>
      <c r="E293" s="112" t="s">
        <v>2069</v>
      </c>
      <c r="F293" s="3" t="s">
        <v>675</v>
      </c>
      <c r="G293" s="113">
        <v>27</v>
      </c>
      <c r="H293" s="105" t="s">
        <v>6</v>
      </c>
      <c r="I293" s="36">
        <v>81</v>
      </c>
      <c r="J293" s="36">
        <f t="shared" si="21"/>
        <v>2187</v>
      </c>
      <c r="K293" s="89"/>
      <c r="L293" s="3"/>
      <c r="M293" s="3"/>
      <c r="N293" s="3">
        <v>20</v>
      </c>
      <c r="O293" s="3"/>
      <c r="P293" s="158">
        <v>1620</v>
      </c>
      <c r="Q293" s="3"/>
      <c r="R293" s="3"/>
      <c r="S293" s="3"/>
      <c r="T293" s="3"/>
    </row>
    <row r="294" spans="1:20">
      <c r="A294" s="14">
        <f t="shared" si="22"/>
        <v>289</v>
      </c>
      <c r="B294" s="9" t="s">
        <v>2096</v>
      </c>
      <c r="C294" s="4" t="s">
        <v>1007</v>
      </c>
      <c r="D294" s="4" t="s">
        <v>2055</v>
      </c>
      <c r="E294" s="4"/>
      <c r="F294" s="3" t="s">
        <v>675</v>
      </c>
      <c r="G294" s="42">
        <v>10</v>
      </c>
      <c r="H294" s="3" t="s">
        <v>6</v>
      </c>
      <c r="I294" s="36">
        <v>70</v>
      </c>
      <c r="J294" s="36">
        <f t="shared" si="21"/>
        <v>700</v>
      </c>
      <c r="K294" s="89"/>
      <c r="L294" s="3"/>
      <c r="M294" s="3"/>
      <c r="N294" s="3"/>
      <c r="O294" s="3"/>
      <c r="P294" s="160"/>
      <c r="Q294" s="3"/>
      <c r="R294" s="3"/>
      <c r="S294" s="3"/>
      <c r="T294" s="3"/>
    </row>
    <row r="295" spans="1:20">
      <c r="A295" s="13">
        <f t="shared" si="22"/>
        <v>290</v>
      </c>
      <c r="B295" s="9" t="s">
        <v>2097</v>
      </c>
      <c r="C295" s="4" t="s">
        <v>1047</v>
      </c>
      <c r="D295" s="4" t="s">
        <v>2058</v>
      </c>
      <c r="E295" s="4" t="s">
        <v>2086</v>
      </c>
      <c r="F295" s="3" t="s">
        <v>675</v>
      </c>
      <c r="G295" s="42">
        <v>2</v>
      </c>
      <c r="H295" s="3" t="s">
        <v>6</v>
      </c>
      <c r="I295" s="36"/>
      <c r="J295" s="36">
        <f t="shared" si="21"/>
        <v>0</v>
      </c>
      <c r="K295" s="89"/>
      <c r="L295" s="3"/>
      <c r="M295" s="3"/>
      <c r="N295" s="3">
        <v>2</v>
      </c>
      <c r="O295" s="3"/>
      <c r="P295" s="158">
        <v>160</v>
      </c>
      <c r="Q295" s="3"/>
      <c r="R295" s="3"/>
      <c r="S295" s="3"/>
      <c r="T295" s="3"/>
    </row>
    <row r="296" spans="1:20">
      <c r="A296" s="14">
        <f t="shared" si="22"/>
        <v>291</v>
      </c>
      <c r="B296" s="9" t="s">
        <v>2098</v>
      </c>
      <c r="C296" s="4" t="s">
        <v>1088</v>
      </c>
      <c r="D296" s="4" t="s">
        <v>2059</v>
      </c>
      <c r="E296" s="4"/>
      <c r="F296" s="3" t="s">
        <v>675</v>
      </c>
      <c r="G296" s="42">
        <v>19</v>
      </c>
      <c r="H296" s="3" t="s">
        <v>6</v>
      </c>
      <c r="I296" s="36"/>
      <c r="J296" s="36">
        <f t="shared" si="21"/>
        <v>0</v>
      </c>
      <c r="K296" s="89"/>
      <c r="L296" s="3"/>
      <c r="M296" s="3"/>
      <c r="N296" s="3"/>
      <c r="O296" s="3"/>
      <c r="P296" s="160"/>
      <c r="Q296" s="3"/>
      <c r="R296" s="3"/>
      <c r="S296" s="3"/>
      <c r="T296" s="3"/>
    </row>
    <row r="297" spans="1:20">
      <c r="A297" s="14">
        <f t="shared" si="22"/>
        <v>292</v>
      </c>
      <c r="B297" s="9" t="s">
        <v>2110</v>
      </c>
      <c r="C297" s="4" t="s">
        <v>683</v>
      </c>
      <c r="D297" s="4" t="s">
        <v>2109</v>
      </c>
      <c r="E297" s="4" t="s">
        <v>2069</v>
      </c>
      <c r="F297" s="3" t="s">
        <v>675</v>
      </c>
      <c r="G297" s="42">
        <v>3</v>
      </c>
      <c r="H297" s="3" t="s">
        <v>6</v>
      </c>
      <c r="I297" s="36">
        <v>900</v>
      </c>
      <c r="J297" s="36">
        <f t="shared" si="21"/>
        <v>2700</v>
      </c>
      <c r="K297" s="89">
        <v>3</v>
      </c>
      <c r="L297" s="3"/>
      <c r="M297" s="158">
        <v>3322.29</v>
      </c>
      <c r="N297" s="3">
        <v>1</v>
      </c>
      <c r="O297" s="3"/>
      <c r="P297" s="158">
        <v>1107.43</v>
      </c>
      <c r="Q297" s="3"/>
      <c r="R297" s="3"/>
      <c r="S297" s="3"/>
      <c r="T297" s="3"/>
    </row>
    <row r="298" spans="1:20">
      <c r="A298" s="14"/>
      <c r="B298" s="134" t="s">
        <v>2233</v>
      </c>
      <c r="C298" s="134" t="s">
        <v>2232</v>
      </c>
      <c r="D298" s="4"/>
      <c r="E298" s="4"/>
      <c r="F298" s="3"/>
      <c r="G298" s="42"/>
      <c r="H298" s="3" t="s">
        <v>6</v>
      </c>
      <c r="I298" s="36"/>
      <c r="J298" s="36"/>
      <c r="K298" s="89">
        <v>3</v>
      </c>
      <c r="L298" s="3"/>
      <c r="M298" s="158">
        <v>6520.68</v>
      </c>
      <c r="N298" s="3">
        <v>1</v>
      </c>
      <c r="O298" s="3"/>
      <c r="P298" s="158">
        <v>2173.56</v>
      </c>
      <c r="Q298" s="3"/>
      <c r="R298" s="3"/>
      <c r="S298" s="3"/>
      <c r="T298" s="3"/>
    </row>
    <row r="299" spans="1:20">
      <c r="A299" s="14"/>
      <c r="B299" s="134" t="s">
        <v>2235</v>
      </c>
      <c r="C299" s="134" t="s">
        <v>2234</v>
      </c>
      <c r="D299" s="4"/>
      <c r="E299" s="4"/>
      <c r="F299" s="3"/>
      <c r="G299" s="42"/>
      <c r="H299" s="3" t="s">
        <v>63</v>
      </c>
      <c r="I299" s="36"/>
      <c r="J299" s="36"/>
      <c r="K299" s="89">
        <v>450</v>
      </c>
      <c r="L299" s="3"/>
      <c r="M299" s="158">
        <v>9674.82</v>
      </c>
      <c r="N299" s="3">
        <v>270</v>
      </c>
      <c r="O299" s="3"/>
      <c r="P299" s="160">
        <v>5804.89</v>
      </c>
      <c r="Q299" s="3"/>
      <c r="R299" s="3"/>
      <c r="S299" s="3"/>
      <c r="T299" s="3"/>
    </row>
    <row r="300" spans="1:20">
      <c r="A300" s="14"/>
      <c r="B300" s="134" t="s">
        <v>2236</v>
      </c>
      <c r="C300" s="134" t="s">
        <v>2237</v>
      </c>
      <c r="D300" s="4"/>
      <c r="E300" s="4"/>
      <c r="F300" s="3"/>
      <c r="G300" s="42"/>
      <c r="H300" s="3" t="s">
        <v>63</v>
      </c>
      <c r="I300" s="36"/>
      <c r="J300" s="36"/>
      <c r="K300" s="89">
        <v>250</v>
      </c>
      <c r="L300" s="3"/>
      <c r="M300" s="158">
        <v>234525</v>
      </c>
      <c r="N300" s="3"/>
      <c r="O300" s="3"/>
      <c r="P300" s="160"/>
      <c r="Q300" s="3"/>
      <c r="R300" s="3"/>
      <c r="S300" s="3"/>
      <c r="T300" s="3"/>
    </row>
    <row r="301" spans="1:20">
      <c r="A301" s="14"/>
      <c r="B301" s="131" t="s">
        <v>2239</v>
      </c>
      <c r="C301" s="131" t="s">
        <v>2238</v>
      </c>
      <c r="D301" s="4"/>
      <c r="E301" s="4"/>
      <c r="F301" s="3"/>
      <c r="G301" s="42"/>
      <c r="H301" s="3" t="s">
        <v>6</v>
      </c>
      <c r="I301" s="36"/>
      <c r="J301" s="36"/>
      <c r="K301" s="89">
        <v>10</v>
      </c>
      <c r="L301" s="3"/>
      <c r="M301" s="158">
        <v>150</v>
      </c>
      <c r="N301" s="3"/>
      <c r="O301" s="3"/>
      <c r="P301" s="160"/>
      <c r="Q301" s="3"/>
      <c r="R301" s="3"/>
      <c r="S301" s="3"/>
      <c r="T301" s="3"/>
    </row>
    <row r="302" spans="1:20">
      <c r="A302" s="14"/>
      <c r="B302" s="131" t="s">
        <v>2241</v>
      </c>
      <c r="C302" s="131" t="s">
        <v>2240</v>
      </c>
      <c r="D302" s="4"/>
      <c r="E302" s="4"/>
      <c r="F302" s="3"/>
      <c r="G302" s="42"/>
      <c r="H302" s="3" t="s">
        <v>6</v>
      </c>
      <c r="I302" s="36"/>
      <c r="J302" s="36"/>
      <c r="K302" s="89">
        <v>2</v>
      </c>
      <c r="L302" s="3"/>
      <c r="M302" s="149">
        <v>262.43</v>
      </c>
      <c r="N302" s="3"/>
      <c r="O302" s="3"/>
      <c r="P302" s="160"/>
      <c r="Q302" s="3"/>
      <c r="R302" s="3"/>
      <c r="S302" s="3"/>
      <c r="T302" s="3"/>
    </row>
    <row r="303" spans="1:20">
      <c r="A303" s="14"/>
      <c r="B303" s="131" t="s">
        <v>2243</v>
      </c>
      <c r="C303" s="131" t="s">
        <v>2242</v>
      </c>
      <c r="D303" s="4"/>
      <c r="E303" s="4"/>
      <c r="F303" s="3"/>
      <c r="G303" s="42"/>
      <c r="H303" s="3" t="s">
        <v>6</v>
      </c>
      <c r="I303" s="36"/>
      <c r="J303" s="36"/>
      <c r="K303" s="89">
        <v>1</v>
      </c>
      <c r="L303" s="3"/>
      <c r="M303" s="149">
        <v>923.06</v>
      </c>
      <c r="N303" s="3">
        <v>1</v>
      </c>
      <c r="O303" s="3"/>
      <c r="P303" s="158">
        <v>923.06</v>
      </c>
      <c r="Q303" s="3"/>
      <c r="R303" s="3"/>
      <c r="S303" s="3"/>
      <c r="T303" s="3"/>
    </row>
    <row r="304" spans="1:20" ht="30">
      <c r="A304" s="14"/>
      <c r="B304" s="131" t="s">
        <v>2245</v>
      </c>
      <c r="C304" s="157" t="s">
        <v>2244</v>
      </c>
      <c r="D304" s="4"/>
      <c r="E304" s="4"/>
      <c r="F304" s="3"/>
      <c r="G304" s="42"/>
      <c r="H304" s="3" t="s">
        <v>6</v>
      </c>
      <c r="I304" s="36"/>
      <c r="J304" s="36"/>
      <c r="K304" s="89">
        <v>3</v>
      </c>
      <c r="L304" s="3"/>
      <c r="M304" s="158">
        <v>442500</v>
      </c>
      <c r="N304" s="3"/>
      <c r="O304" s="3"/>
      <c r="P304" s="160"/>
      <c r="Q304" s="3"/>
      <c r="R304" s="3"/>
      <c r="S304" s="3"/>
      <c r="T304" s="3"/>
    </row>
    <row r="305" spans="1:20">
      <c r="A305" s="14"/>
      <c r="B305" s="131" t="s">
        <v>2246</v>
      </c>
      <c r="C305" s="131" t="s">
        <v>1115</v>
      </c>
      <c r="D305" s="4"/>
      <c r="E305" s="4"/>
      <c r="F305" s="3"/>
      <c r="G305" s="42"/>
      <c r="H305" s="3" t="s">
        <v>6</v>
      </c>
      <c r="I305" s="36"/>
      <c r="J305" s="36"/>
      <c r="K305" s="89">
        <v>100</v>
      </c>
      <c r="L305" s="3"/>
      <c r="M305" s="149">
        <v>377.6</v>
      </c>
      <c r="N305" s="3">
        <v>8</v>
      </c>
      <c r="O305" s="3"/>
      <c r="P305" s="158">
        <v>30.21</v>
      </c>
      <c r="Q305" s="3"/>
      <c r="R305" s="3"/>
      <c r="S305" s="3"/>
      <c r="T305" s="3"/>
    </row>
    <row r="306" spans="1:20">
      <c r="A306" s="14"/>
      <c r="B306" s="131" t="s">
        <v>2248</v>
      </c>
      <c r="C306" s="131" t="s">
        <v>2247</v>
      </c>
      <c r="D306" s="4"/>
      <c r="E306" s="4"/>
      <c r="F306" s="3"/>
      <c r="G306" s="42"/>
      <c r="H306" s="3" t="s">
        <v>6</v>
      </c>
      <c r="I306" s="36"/>
      <c r="J306" s="36"/>
      <c r="K306" s="89">
        <v>2</v>
      </c>
      <c r="L306" s="3"/>
      <c r="M306" s="149">
        <v>254.01</v>
      </c>
      <c r="N306" s="3">
        <v>2</v>
      </c>
      <c r="O306" s="3"/>
      <c r="P306" s="158">
        <v>254.01</v>
      </c>
      <c r="Q306" s="3"/>
      <c r="R306" s="3"/>
      <c r="S306" s="3"/>
      <c r="T306" s="3"/>
    </row>
    <row r="307" spans="1:20">
      <c r="A307" s="14"/>
      <c r="B307" s="131" t="s">
        <v>2250</v>
      </c>
      <c r="C307" s="131" t="s">
        <v>2249</v>
      </c>
      <c r="D307" s="4"/>
      <c r="E307" s="4"/>
      <c r="F307" s="3"/>
      <c r="G307" s="42"/>
      <c r="H307" s="3" t="s">
        <v>6</v>
      </c>
      <c r="I307" s="36"/>
      <c r="J307" s="36"/>
      <c r="K307" s="89">
        <v>20</v>
      </c>
      <c r="L307" s="3"/>
      <c r="M307" s="149">
        <v>3256.8</v>
      </c>
      <c r="N307" s="3">
        <v>16</v>
      </c>
      <c r="O307" s="3"/>
      <c r="P307" s="158">
        <v>1736.96</v>
      </c>
      <c r="Q307" s="3"/>
      <c r="R307" s="3"/>
      <c r="S307" s="3"/>
      <c r="T307" s="3"/>
    </row>
    <row r="308" spans="1:20">
      <c r="A308" s="14"/>
      <c r="B308" s="131" t="s">
        <v>2251</v>
      </c>
      <c r="C308" s="131" t="s">
        <v>2249</v>
      </c>
      <c r="D308" s="4"/>
      <c r="E308" s="4"/>
      <c r="F308" s="3"/>
      <c r="G308" s="42"/>
      <c r="H308" s="3" t="s">
        <v>6</v>
      </c>
      <c r="I308" s="36"/>
      <c r="J308" s="36"/>
      <c r="K308" s="89">
        <v>10</v>
      </c>
      <c r="L308" s="3"/>
      <c r="M308" s="158">
        <v>2478</v>
      </c>
      <c r="N308" s="3">
        <v>4</v>
      </c>
      <c r="O308" s="3"/>
      <c r="P308" s="158">
        <v>991.2</v>
      </c>
      <c r="Q308" s="3"/>
      <c r="R308" s="3"/>
      <c r="S308" s="3"/>
      <c r="T308" s="3"/>
    </row>
    <row r="309" spans="1:20">
      <c r="A309" s="14"/>
      <c r="B309" s="131" t="s">
        <v>2253</v>
      </c>
      <c r="C309" s="131" t="s">
        <v>2252</v>
      </c>
      <c r="D309" s="4"/>
      <c r="E309" s="4"/>
      <c r="F309" s="3"/>
      <c r="G309" s="42"/>
      <c r="H309" s="3" t="s">
        <v>6</v>
      </c>
      <c r="I309" s="36"/>
      <c r="J309" s="36"/>
      <c r="K309" s="89">
        <v>10</v>
      </c>
      <c r="L309" s="3"/>
      <c r="M309" s="158">
        <v>3776</v>
      </c>
      <c r="N309" s="3">
        <v>4</v>
      </c>
      <c r="O309" s="3"/>
      <c r="P309" s="158">
        <v>1510.4</v>
      </c>
      <c r="Q309" s="3"/>
      <c r="R309" s="3"/>
      <c r="S309" s="3"/>
      <c r="T309" s="3"/>
    </row>
    <row r="310" spans="1:20">
      <c r="A310" s="14"/>
      <c r="B310" s="131" t="s">
        <v>2255</v>
      </c>
      <c r="C310" s="131" t="s">
        <v>2254</v>
      </c>
      <c r="D310" s="4"/>
      <c r="E310" s="4"/>
      <c r="F310" s="3"/>
      <c r="G310" s="42"/>
      <c r="H310" s="3" t="s">
        <v>6</v>
      </c>
      <c r="I310" s="36"/>
      <c r="J310" s="36"/>
      <c r="K310" s="89">
        <v>2</v>
      </c>
      <c r="L310" s="3"/>
      <c r="M310" s="149">
        <v>200</v>
      </c>
      <c r="N310" s="3"/>
      <c r="O310" s="3"/>
      <c r="P310" s="160"/>
      <c r="Q310" s="3"/>
      <c r="R310" s="3"/>
      <c r="S310" s="3"/>
      <c r="T310" s="3"/>
    </row>
    <row r="311" spans="1:20">
      <c r="A311" s="14"/>
      <c r="B311" s="131" t="s">
        <v>2257</v>
      </c>
      <c r="C311" s="131" t="s">
        <v>2256</v>
      </c>
      <c r="D311" s="4"/>
      <c r="E311" s="4"/>
      <c r="F311" s="3"/>
      <c r="G311" s="42"/>
      <c r="H311" s="3" t="s">
        <v>6</v>
      </c>
      <c r="I311" s="36"/>
      <c r="J311" s="36"/>
      <c r="K311" s="89">
        <v>10</v>
      </c>
      <c r="L311" s="3"/>
      <c r="M311" s="158">
        <v>18499.919999999998</v>
      </c>
      <c r="N311" s="3">
        <v>2</v>
      </c>
      <c r="O311" s="3"/>
      <c r="P311" s="158">
        <v>3699.98</v>
      </c>
      <c r="Q311" s="3"/>
      <c r="R311" s="3"/>
      <c r="S311" s="3"/>
      <c r="T311" s="3"/>
    </row>
    <row r="312" spans="1:20">
      <c r="A312" s="14"/>
      <c r="B312" s="131" t="s">
        <v>2259</v>
      </c>
      <c r="C312" s="131" t="s">
        <v>2258</v>
      </c>
      <c r="D312" s="4"/>
      <c r="E312" s="4"/>
      <c r="F312" s="3"/>
      <c r="G312" s="42"/>
      <c r="H312" s="3" t="s">
        <v>6</v>
      </c>
      <c r="I312" s="36"/>
      <c r="J312" s="36"/>
      <c r="K312" s="89">
        <v>6</v>
      </c>
      <c r="L312" s="3"/>
      <c r="M312" s="149">
        <v>969.96</v>
      </c>
      <c r="N312" s="3">
        <v>2</v>
      </c>
      <c r="O312" s="3"/>
      <c r="P312" s="158">
        <v>323.32</v>
      </c>
      <c r="Q312" s="3"/>
      <c r="R312" s="3"/>
      <c r="S312" s="3"/>
      <c r="T312" s="3"/>
    </row>
    <row r="313" spans="1:20">
      <c r="A313" s="14"/>
      <c r="B313" s="131" t="s">
        <v>2261</v>
      </c>
      <c r="C313" s="131" t="s">
        <v>2260</v>
      </c>
      <c r="D313" s="4"/>
      <c r="E313" s="4"/>
      <c r="F313" s="3"/>
      <c r="G313" s="42"/>
      <c r="H313" s="3" t="s">
        <v>6</v>
      </c>
      <c r="I313" s="36"/>
      <c r="J313" s="36"/>
      <c r="K313" s="89">
        <v>1</v>
      </c>
      <c r="L313" s="3"/>
      <c r="M313" s="158">
        <v>2115.3000000000002</v>
      </c>
      <c r="N313" s="3"/>
      <c r="O313" s="3"/>
      <c r="P313" s="160"/>
      <c r="Q313" s="3"/>
      <c r="R313" s="3"/>
      <c r="S313" s="3"/>
      <c r="T313" s="3"/>
    </row>
    <row r="314" spans="1:20">
      <c r="A314" s="14"/>
      <c r="B314" s="131" t="s">
        <v>2263</v>
      </c>
      <c r="C314" s="131" t="s">
        <v>2262</v>
      </c>
      <c r="D314" s="4"/>
      <c r="E314" s="4"/>
      <c r="F314" s="3"/>
      <c r="G314" s="42"/>
      <c r="H314" s="3" t="s">
        <v>6</v>
      </c>
      <c r="I314" s="36"/>
      <c r="J314" s="36"/>
      <c r="K314" s="89">
        <v>1</v>
      </c>
      <c r="L314" s="3"/>
      <c r="M314" s="158">
        <v>1211.8599999999999</v>
      </c>
      <c r="N314" s="3">
        <v>1</v>
      </c>
      <c r="O314" s="3"/>
      <c r="P314" s="158">
        <v>1211.8599999999999</v>
      </c>
      <c r="Q314" s="3"/>
      <c r="R314" s="3"/>
      <c r="S314" s="3"/>
      <c r="T314" s="3"/>
    </row>
    <row r="315" spans="1:20">
      <c r="A315" s="14"/>
      <c r="B315" s="131" t="s">
        <v>2265</v>
      </c>
      <c r="C315" s="131" t="s">
        <v>2264</v>
      </c>
      <c r="D315" s="4"/>
      <c r="E315" s="4"/>
      <c r="F315" s="3"/>
      <c r="G315" s="42"/>
      <c r="H315" s="3" t="s">
        <v>6</v>
      </c>
      <c r="I315" s="36"/>
      <c r="J315" s="36"/>
      <c r="K315" s="89">
        <v>1</v>
      </c>
      <c r="L315" s="3"/>
      <c r="M315" s="158">
        <v>1059.6400000000001</v>
      </c>
      <c r="N315" s="3">
        <v>1</v>
      </c>
      <c r="O315" s="3"/>
      <c r="P315" s="158">
        <v>1059.6400000000001</v>
      </c>
      <c r="Q315" s="3"/>
      <c r="R315" s="3"/>
      <c r="S315" s="3"/>
      <c r="T315" s="3"/>
    </row>
    <row r="316" spans="1:20">
      <c r="A316" s="14"/>
      <c r="B316" s="131" t="s">
        <v>2266</v>
      </c>
      <c r="C316" s="131" t="s">
        <v>1244</v>
      </c>
      <c r="D316" s="4"/>
      <c r="E316" s="4"/>
      <c r="F316" s="3"/>
      <c r="G316" s="42"/>
      <c r="H316" s="3" t="s">
        <v>6</v>
      </c>
      <c r="I316" s="36"/>
      <c r="J316" s="36"/>
      <c r="K316" s="89">
        <v>1</v>
      </c>
      <c r="L316" s="3"/>
      <c r="M316" s="158">
        <v>106790</v>
      </c>
      <c r="N316" s="3">
        <v>1</v>
      </c>
      <c r="O316" s="3"/>
      <c r="P316" s="158">
        <v>106790</v>
      </c>
      <c r="Q316" s="3"/>
      <c r="R316" s="3"/>
      <c r="S316" s="3"/>
      <c r="T316" s="3"/>
    </row>
    <row r="317" spans="1:20">
      <c r="A317" s="14"/>
      <c r="B317" s="131" t="s">
        <v>2267</v>
      </c>
      <c r="C317" s="131" t="s">
        <v>1244</v>
      </c>
      <c r="D317" s="4"/>
      <c r="E317" s="4"/>
      <c r="F317" s="3"/>
      <c r="G317" s="42"/>
      <c r="H317" s="3" t="s">
        <v>6</v>
      </c>
      <c r="I317" s="36"/>
      <c r="J317" s="36"/>
      <c r="K317" s="89">
        <v>1</v>
      </c>
      <c r="L317" s="3"/>
      <c r="M317" s="158">
        <v>30680</v>
      </c>
      <c r="N317" s="3"/>
      <c r="O317" s="3"/>
      <c r="P317" s="160"/>
      <c r="Q317" s="3"/>
      <c r="R317" s="3"/>
      <c r="S317" s="3"/>
      <c r="T317" s="3"/>
    </row>
    <row r="318" spans="1:20">
      <c r="A318" s="14"/>
      <c r="B318" s="131" t="s">
        <v>2269</v>
      </c>
      <c r="C318" s="131" t="s">
        <v>2268</v>
      </c>
      <c r="D318" s="4"/>
      <c r="E318" s="4"/>
      <c r="F318" s="3"/>
      <c r="G318" s="42"/>
      <c r="H318" s="3" t="s">
        <v>6</v>
      </c>
      <c r="I318" s="36"/>
      <c r="J318" s="36"/>
      <c r="K318" s="89">
        <v>10</v>
      </c>
      <c r="L318" s="3"/>
      <c r="M318" s="149">
        <v>944</v>
      </c>
      <c r="N318" s="3">
        <v>8</v>
      </c>
      <c r="O318" s="3"/>
      <c r="P318" s="158">
        <v>755.2</v>
      </c>
      <c r="Q318" s="3"/>
      <c r="R318" s="3"/>
      <c r="S318" s="3"/>
      <c r="T318" s="3"/>
    </row>
    <row r="319" spans="1:20">
      <c r="A319" s="14"/>
      <c r="B319" s="131" t="s">
        <v>2271</v>
      </c>
      <c r="C319" s="131" t="s">
        <v>2270</v>
      </c>
      <c r="D319" s="4"/>
      <c r="E319" s="4"/>
      <c r="F319" s="3"/>
      <c r="G319" s="42"/>
      <c r="H319" s="3" t="s">
        <v>6</v>
      </c>
      <c r="I319" s="36"/>
      <c r="J319" s="36"/>
      <c r="K319" s="89">
        <v>2</v>
      </c>
      <c r="L319" s="3"/>
      <c r="M319" s="158">
        <v>8496</v>
      </c>
      <c r="N319" s="3">
        <v>2</v>
      </c>
      <c r="O319" s="3"/>
      <c r="P319" s="158">
        <v>8496</v>
      </c>
      <c r="Q319" s="3"/>
      <c r="R319" s="3"/>
      <c r="S319" s="3"/>
      <c r="T319" s="3"/>
    </row>
    <row r="320" spans="1:20">
      <c r="A320" s="14"/>
      <c r="B320" s="131" t="s">
        <v>2272</v>
      </c>
      <c r="C320" s="131" t="s">
        <v>2270</v>
      </c>
      <c r="D320" s="4"/>
      <c r="E320" s="4"/>
      <c r="F320" s="3"/>
      <c r="G320" s="42"/>
      <c r="H320" s="3" t="s">
        <v>6</v>
      </c>
      <c r="I320" s="36"/>
      <c r="J320" s="36"/>
      <c r="K320" s="89">
        <v>4</v>
      </c>
      <c r="L320" s="3"/>
      <c r="M320" s="158">
        <v>16992</v>
      </c>
      <c r="N320" s="3">
        <v>2</v>
      </c>
      <c r="O320" s="3"/>
      <c r="P320" s="158">
        <v>8496</v>
      </c>
      <c r="Q320" s="3"/>
      <c r="R320" s="3"/>
      <c r="S320" s="3"/>
      <c r="T320" s="3"/>
    </row>
    <row r="321" spans="1:20">
      <c r="A321" s="14"/>
      <c r="B321" s="131" t="s">
        <v>2274</v>
      </c>
      <c r="C321" s="131" t="s">
        <v>2273</v>
      </c>
      <c r="D321" s="4"/>
      <c r="E321" s="4"/>
      <c r="F321" s="3"/>
      <c r="G321" s="42"/>
      <c r="H321" s="3" t="s">
        <v>1</v>
      </c>
      <c r="I321" s="36"/>
      <c r="J321" s="36"/>
      <c r="K321" s="89">
        <v>20</v>
      </c>
      <c r="L321" s="3"/>
      <c r="M321" s="158">
        <v>6844</v>
      </c>
      <c r="N321" s="3">
        <v>20</v>
      </c>
      <c r="O321" s="3"/>
      <c r="P321" s="158">
        <v>6844</v>
      </c>
      <c r="Q321" s="3"/>
      <c r="R321" s="3"/>
      <c r="S321" s="3"/>
      <c r="T321" s="3"/>
    </row>
    <row r="322" spans="1:20">
      <c r="A322" s="14"/>
      <c r="B322" s="131" t="s">
        <v>2276</v>
      </c>
      <c r="C322" s="131" t="s">
        <v>2275</v>
      </c>
      <c r="D322" s="4"/>
      <c r="E322" s="4"/>
      <c r="F322" s="3"/>
      <c r="G322" s="42"/>
      <c r="H322" s="3" t="s">
        <v>6</v>
      </c>
      <c r="I322" s="36"/>
      <c r="J322" s="36"/>
      <c r="K322" s="89">
        <v>12</v>
      </c>
      <c r="L322" s="3"/>
      <c r="M322" s="158">
        <v>200054.39999999999</v>
      </c>
      <c r="N322" s="3">
        <v>12</v>
      </c>
      <c r="O322" s="3"/>
      <c r="P322" s="158">
        <v>200054.39999999999</v>
      </c>
      <c r="Q322" s="3"/>
      <c r="R322" s="3"/>
      <c r="S322" s="3"/>
      <c r="T322" s="3"/>
    </row>
    <row r="323" spans="1:20">
      <c r="A323" s="14"/>
      <c r="B323" s="131" t="s">
        <v>2278</v>
      </c>
      <c r="C323" s="131" t="s">
        <v>2277</v>
      </c>
      <c r="D323" s="4"/>
      <c r="E323" s="4"/>
      <c r="F323" s="3"/>
      <c r="G323" s="42"/>
      <c r="H323" s="3" t="s">
        <v>6</v>
      </c>
      <c r="I323" s="36"/>
      <c r="J323" s="36"/>
      <c r="K323" s="89">
        <v>12</v>
      </c>
      <c r="L323" s="3"/>
      <c r="M323" s="158">
        <v>27955.200000000001</v>
      </c>
      <c r="N323" s="3">
        <v>12</v>
      </c>
      <c r="O323" s="3"/>
      <c r="P323" s="158">
        <v>27955.200000000001</v>
      </c>
      <c r="Q323" s="3"/>
      <c r="R323" s="3"/>
      <c r="S323" s="3"/>
      <c r="T323" s="3"/>
    </row>
    <row r="324" spans="1:20">
      <c r="A324" s="14"/>
      <c r="B324" s="131" t="s">
        <v>2280</v>
      </c>
      <c r="C324" s="131" t="s">
        <v>2279</v>
      </c>
      <c r="D324" s="4"/>
      <c r="E324" s="4"/>
      <c r="F324" s="3"/>
      <c r="G324" s="42"/>
      <c r="H324" s="3" t="s">
        <v>6</v>
      </c>
      <c r="I324" s="36"/>
      <c r="J324" s="36"/>
      <c r="K324" s="89">
        <v>100</v>
      </c>
      <c r="L324" s="3"/>
      <c r="M324" s="158">
        <v>150</v>
      </c>
      <c r="N324" s="3">
        <v>50</v>
      </c>
      <c r="O324" s="3"/>
      <c r="P324" s="158">
        <v>50</v>
      </c>
      <c r="Q324" s="3"/>
      <c r="R324" s="3"/>
      <c r="S324" s="3"/>
      <c r="T324" s="3"/>
    </row>
    <row r="325" spans="1:20">
      <c r="A325" s="14"/>
      <c r="B325" s="131" t="s">
        <v>2282</v>
      </c>
      <c r="C325" s="131" t="s">
        <v>2281</v>
      </c>
      <c r="D325" s="4"/>
      <c r="E325" s="4"/>
      <c r="F325" s="3"/>
      <c r="G325" s="42"/>
      <c r="H325" s="3" t="s">
        <v>6</v>
      </c>
      <c r="I325" s="36"/>
      <c r="J325" s="36"/>
      <c r="K325" s="89">
        <v>2</v>
      </c>
      <c r="L325" s="3"/>
      <c r="M325" s="158">
        <v>10516.16</v>
      </c>
      <c r="N325" s="3">
        <v>2</v>
      </c>
      <c r="O325" s="3"/>
      <c r="P325" s="158">
        <v>10561.16</v>
      </c>
      <c r="Q325" s="3"/>
      <c r="R325" s="3"/>
      <c r="S325" s="3"/>
      <c r="T325" s="3"/>
    </row>
    <row r="326" spans="1:20">
      <c r="A326" s="14"/>
      <c r="B326" s="131" t="s">
        <v>2283</v>
      </c>
      <c r="C326" s="131" t="s">
        <v>821</v>
      </c>
      <c r="D326" s="4"/>
      <c r="E326" s="4"/>
      <c r="F326" s="3"/>
      <c r="G326" s="42"/>
      <c r="H326" s="3" t="s">
        <v>6</v>
      </c>
      <c r="I326" s="36"/>
      <c r="J326" s="36"/>
      <c r="K326" s="89">
        <v>10</v>
      </c>
      <c r="L326" s="3"/>
      <c r="M326" s="158">
        <v>1876.2</v>
      </c>
      <c r="N326" s="3">
        <v>5</v>
      </c>
      <c r="O326" s="3"/>
      <c r="P326" s="158">
        <v>938.1</v>
      </c>
      <c r="Q326" s="3"/>
      <c r="R326" s="3"/>
      <c r="S326" s="3"/>
      <c r="T326" s="3"/>
    </row>
    <row r="327" spans="1:20">
      <c r="A327" s="14"/>
      <c r="B327" s="131" t="s">
        <v>2285</v>
      </c>
      <c r="C327" s="131" t="s">
        <v>2284</v>
      </c>
      <c r="D327" s="4"/>
      <c r="E327" s="4"/>
      <c r="F327" s="3"/>
      <c r="G327" s="42"/>
      <c r="H327" s="3" t="s">
        <v>6</v>
      </c>
      <c r="I327" s="36"/>
      <c r="J327" s="36"/>
      <c r="K327" s="89">
        <v>1</v>
      </c>
      <c r="L327" s="3"/>
      <c r="M327" s="158">
        <v>418274.95</v>
      </c>
      <c r="N327" s="3">
        <v>1</v>
      </c>
      <c r="O327" s="3"/>
      <c r="P327" s="158">
        <v>418274.95</v>
      </c>
      <c r="Q327" s="3"/>
      <c r="R327" s="3"/>
      <c r="S327" s="3"/>
      <c r="T327" s="3"/>
    </row>
    <row r="328" spans="1:20">
      <c r="A328" s="14"/>
      <c r="B328" s="131" t="s">
        <v>2287</v>
      </c>
      <c r="C328" s="131" t="s">
        <v>2286</v>
      </c>
      <c r="D328" s="4"/>
      <c r="E328" s="4"/>
      <c r="F328" s="3"/>
      <c r="G328" s="42"/>
      <c r="H328" s="3" t="s">
        <v>6</v>
      </c>
      <c r="I328" s="36"/>
      <c r="J328" s="36"/>
      <c r="K328" s="89">
        <v>2</v>
      </c>
      <c r="L328" s="3"/>
      <c r="M328" s="149">
        <v>831.99</v>
      </c>
      <c r="N328" s="3">
        <v>2</v>
      </c>
      <c r="O328" s="3"/>
      <c r="P328" s="158">
        <v>831.99</v>
      </c>
      <c r="Q328" s="3"/>
      <c r="R328" s="3"/>
      <c r="S328" s="3"/>
      <c r="T328" s="3"/>
    </row>
    <row r="329" spans="1:20">
      <c r="A329" s="14"/>
      <c r="B329" s="131" t="s">
        <v>2289</v>
      </c>
      <c r="C329" s="131" t="s">
        <v>2288</v>
      </c>
      <c r="D329" s="4"/>
      <c r="E329" s="4"/>
      <c r="F329" s="3"/>
      <c r="G329" s="42"/>
      <c r="H329" s="3" t="s">
        <v>6</v>
      </c>
      <c r="I329" s="36"/>
      <c r="J329" s="36"/>
      <c r="K329" s="89">
        <v>3</v>
      </c>
      <c r="L329" s="3"/>
      <c r="M329" s="158">
        <v>7575.6</v>
      </c>
      <c r="N329" s="3">
        <v>1</v>
      </c>
      <c r="O329" s="3"/>
      <c r="P329" s="158">
        <v>2525.1999999999998</v>
      </c>
      <c r="Q329" s="3"/>
      <c r="R329" s="3"/>
      <c r="S329" s="3"/>
      <c r="T329" s="3"/>
    </row>
    <row r="330" spans="1:20">
      <c r="A330" s="14"/>
      <c r="B330" s="131" t="s">
        <v>2291</v>
      </c>
      <c r="C330" s="131" t="s">
        <v>2290</v>
      </c>
      <c r="D330" s="4"/>
      <c r="E330" s="4"/>
      <c r="F330" s="3"/>
      <c r="G330" s="42"/>
      <c r="H330" s="3" t="s">
        <v>6</v>
      </c>
      <c r="I330" s="36"/>
      <c r="J330" s="36"/>
      <c r="K330" s="89">
        <v>3</v>
      </c>
      <c r="L330" s="3"/>
      <c r="M330" s="158">
        <v>10758.06</v>
      </c>
      <c r="N330" s="3">
        <v>1</v>
      </c>
      <c r="O330" s="3"/>
      <c r="P330" s="158">
        <v>3586.02</v>
      </c>
      <c r="Q330" s="3"/>
      <c r="R330" s="3"/>
      <c r="S330" s="3"/>
      <c r="T330" s="3"/>
    </row>
    <row r="331" spans="1:20">
      <c r="A331" s="14"/>
      <c r="B331" s="131" t="s">
        <v>2293</v>
      </c>
      <c r="C331" s="131" t="s">
        <v>2292</v>
      </c>
      <c r="D331" s="4"/>
      <c r="E331" s="4"/>
      <c r="F331" s="3"/>
      <c r="G331" s="42"/>
      <c r="H331" s="3" t="s">
        <v>1</v>
      </c>
      <c r="I331" s="36"/>
      <c r="J331" s="36"/>
      <c r="K331" s="134">
        <v>276.3</v>
      </c>
      <c r="L331" s="3"/>
      <c r="M331" s="158">
        <v>13259.8</v>
      </c>
      <c r="N331" s="134">
        <v>276.3</v>
      </c>
      <c r="O331" s="3"/>
      <c r="P331" s="158">
        <v>13259.8</v>
      </c>
      <c r="Q331" s="3"/>
      <c r="R331" s="3"/>
      <c r="S331" s="3"/>
      <c r="T331" s="3"/>
    </row>
    <row r="332" spans="1:20" ht="30">
      <c r="A332" s="14"/>
      <c r="B332" s="131" t="s">
        <v>2295</v>
      </c>
      <c r="C332" s="157" t="s">
        <v>2294</v>
      </c>
      <c r="D332" s="4"/>
      <c r="E332" s="4"/>
      <c r="F332" s="3"/>
      <c r="G332" s="42"/>
      <c r="H332" s="3" t="s">
        <v>6</v>
      </c>
      <c r="I332" s="36"/>
      <c r="J332" s="36"/>
      <c r="K332" s="89">
        <v>50</v>
      </c>
      <c r="L332" s="3"/>
      <c r="M332" s="149">
        <v>250</v>
      </c>
      <c r="N332" s="134">
        <v>6</v>
      </c>
      <c r="O332" s="3"/>
      <c r="P332" s="158">
        <v>30</v>
      </c>
      <c r="Q332" s="3"/>
      <c r="R332" s="3"/>
      <c r="S332" s="3"/>
      <c r="T332" s="3"/>
    </row>
    <row r="333" spans="1:20">
      <c r="A333" s="14"/>
      <c r="B333" s="131" t="s">
        <v>2297</v>
      </c>
      <c r="C333" s="131" t="s">
        <v>2296</v>
      </c>
      <c r="D333" s="4"/>
      <c r="E333" s="4"/>
      <c r="F333" s="3"/>
      <c r="G333" s="42"/>
      <c r="H333" s="3" t="s">
        <v>6</v>
      </c>
      <c r="I333" s="36"/>
      <c r="J333" s="36"/>
      <c r="K333" s="89">
        <v>1</v>
      </c>
      <c r="L333" s="3"/>
      <c r="M333" s="158">
        <v>450</v>
      </c>
      <c r="N333" s="134">
        <v>1</v>
      </c>
      <c r="O333" s="3"/>
      <c r="P333" s="158">
        <v>450</v>
      </c>
      <c r="Q333" s="3"/>
      <c r="R333" s="3"/>
      <c r="S333" s="3"/>
      <c r="T333" s="3"/>
    </row>
    <row r="334" spans="1:20">
      <c r="A334" s="14"/>
      <c r="B334" s="131" t="s">
        <v>2299</v>
      </c>
      <c r="C334" s="131" t="s">
        <v>2298</v>
      </c>
      <c r="D334" s="4"/>
      <c r="E334" s="4"/>
      <c r="F334" s="3"/>
      <c r="G334" s="42"/>
      <c r="H334" s="3" t="s">
        <v>6</v>
      </c>
      <c r="I334" s="36"/>
      <c r="J334" s="36"/>
      <c r="K334" s="89">
        <v>2</v>
      </c>
      <c r="L334" s="3"/>
      <c r="M334" s="158">
        <v>23937.48</v>
      </c>
      <c r="N334" s="134">
        <v>2</v>
      </c>
      <c r="O334" s="3"/>
      <c r="P334" s="158">
        <v>23937.48</v>
      </c>
      <c r="Q334" s="3"/>
      <c r="R334" s="3"/>
      <c r="S334" s="3"/>
      <c r="T334" s="3"/>
    </row>
    <row r="335" spans="1:20">
      <c r="A335" s="14"/>
      <c r="B335" s="131" t="s">
        <v>2301</v>
      </c>
      <c r="C335" s="131" t="s">
        <v>2300</v>
      </c>
      <c r="D335" s="4"/>
      <c r="E335" s="4"/>
      <c r="F335" s="3"/>
      <c r="G335" s="42"/>
      <c r="H335" s="3" t="s">
        <v>6</v>
      </c>
      <c r="I335" s="36"/>
      <c r="J335" s="36"/>
      <c r="K335" s="89">
        <v>2</v>
      </c>
      <c r="L335" s="3"/>
      <c r="M335" s="158">
        <v>13371.76</v>
      </c>
      <c r="N335" s="134">
        <v>2</v>
      </c>
      <c r="O335" s="3"/>
      <c r="P335" s="158">
        <v>13371.76</v>
      </c>
      <c r="Q335" s="3"/>
      <c r="R335" s="3"/>
      <c r="S335" s="3"/>
      <c r="T335" s="3"/>
    </row>
    <row r="336" spans="1:20">
      <c r="A336" s="14"/>
      <c r="B336" s="131" t="s">
        <v>2302</v>
      </c>
      <c r="C336" s="131" t="s">
        <v>2300</v>
      </c>
      <c r="D336" s="4"/>
      <c r="E336" s="4"/>
      <c r="F336" s="3"/>
      <c r="G336" s="42"/>
      <c r="H336" s="3" t="s">
        <v>6</v>
      </c>
      <c r="I336" s="36"/>
      <c r="J336" s="36"/>
      <c r="K336" s="89">
        <v>6</v>
      </c>
      <c r="L336" s="3"/>
      <c r="M336" s="158">
        <v>14659.73</v>
      </c>
      <c r="N336" s="134">
        <v>4</v>
      </c>
      <c r="O336" s="3"/>
      <c r="P336" s="158">
        <v>9796.9500000000007</v>
      </c>
      <c r="Q336" s="3"/>
      <c r="R336" s="3"/>
      <c r="S336" s="3"/>
      <c r="T336" s="3"/>
    </row>
    <row r="337" spans="1:20">
      <c r="A337" s="14"/>
      <c r="B337" s="131" t="s">
        <v>2304</v>
      </c>
      <c r="C337" s="131" t="s">
        <v>2303</v>
      </c>
      <c r="D337" s="4"/>
      <c r="E337" s="4"/>
      <c r="F337" s="3"/>
      <c r="G337" s="42"/>
      <c r="H337" s="3" t="s">
        <v>63</v>
      </c>
      <c r="I337" s="36"/>
      <c r="J337" s="36"/>
      <c r="K337" s="89">
        <v>1534</v>
      </c>
      <c r="L337" s="3"/>
      <c r="M337" s="158">
        <v>212902.09</v>
      </c>
      <c r="N337" s="134">
        <v>900</v>
      </c>
      <c r="O337" s="3"/>
      <c r="P337" s="158">
        <v>125316</v>
      </c>
      <c r="Q337" s="3"/>
      <c r="R337" s="3"/>
      <c r="S337" s="3"/>
      <c r="T337" s="3"/>
    </row>
    <row r="338" spans="1:20">
      <c r="A338" s="14"/>
      <c r="B338" s="131" t="s">
        <v>2305</v>
      </c>
      <c r="C338" s="131" t="s">
        <v>2303</v>
      </c>
      <c r="D338" s="4"/>
      <c r="E338" s="4"/>
      <c r="F338" s="3"/>
      <c r="G338" s="42"/>
      <c r="H338" s="3" t="s">
        <v>63</v>
      </c>
      <c r="I338" s="36"/>
      <c r="J338" s="36"/>
      <c r="K338" s="89">
        <v>795</v>
      </c>
      <c r="L338" s="3"/>
      <c r="M338" s="158">
        <v>189496.2</v>
      </c>
      <c r="N338" s="134">
        <v>380</v>
      </c>
      <c r="O338" s="3"/>
      <c r="P338" s="158">
        <v>90576.8</v>
      </c>
      <c r="Q338" s="3"/>
      <c r="R338" s="3"/>
      <c r="S338" s="3"/>
      <c r="T338" s="3"/>
    </row>
    <row r="339" spans="1:20">
      <c r="A339" s="14"/>
      <c r="B339" s="131" t="s">
        <v>2307</v>
      </c>
      <c r="C339" s="131" t="s">
        <v>2306</v>
      </c>
      <c r="D339" s="4"/>
      <c r="E339" s="4"/>
      <c r="F339" s="3"/>
      <c r="G339" s="42"/>
      <c r="H339" s="3" t="s">
        <v>6</v>
      </c>
      <c r="I339" s="36"/>
      <c r="J339" s="36"/>
      <c r="K339" s="89">
        <v>4</v>
      </c>
      <c r="L339" s="3"/>
      <c r="M339" s="158">
        <v>4956</v>
      </c>
      <c r="N339" s="134">
        <v>2</v>
      </c>
      <c r="O339" s="3"/>
      <c r="P339" s="158">
        <v>2478</v>
      </c>
      <c r="Q339" s="3"/>
      <c r="R339" s="3"/>
      <c r="S339" s="3"/>
      <c r="T339" s="3"/>
    </row>
    <row r="340" spans="1:20">
      <c r="A340" s="14"/>
      <c r="B340" s="131" t="s">
        <v>2309</v>
      </c>
      <c r="C340" s="131" t="s">
        <v>2308</v>
      </c>
      <c r="D340" s="4"/>
      <c r="E340" s="4"/>
      <c r="F340" s="3"/>
      <c r="G340" s="42"/>
      <c r="H340" s="3" t="s">
        <v>2310</v>
      </c>
      <c r="I340" s="36"/>
      <c r="J340" s="36"/>
      <c r="K340" s="89">
        <v>1</v>
      </c>
      <c r="L340" s="3"/>
      <c r="M340" s="158">
        <v>3780</v>
      </c>
      <c r="N340" s="134">
        <v>820</v>
      </c>
      <c r="O340" s="3"/>
      <c r="P340" s="158">
        <v>3099.6</v>
      </c>
      <c r="Q340" s="3"/>
      <c r="R340" s="3"/>
      <c r="S340" s="3"/>
      <c r="T340" s="3"/>
    </row>
    <row r="341" spans="1:20">
      <c r="A341" s="14"/>
      <c r="B341" s="131" t="s">
        <v>2312</v>
      </c>
      <c r="C341" s="131" t="s">
        <v>2311</v>
      </c>
      <c r="D341" s="4"/>
      <c r="E341" s="4"/>
      <c r="F341" s="3"/>
      <c r="G341" s="42"/>
      <c r="H341" s="3" t="s">
        <v>6</v>
      </c>
      <c r="I341" s="36"/>
      <c r="J341" s="36"/>
      <c r="K341" s="89">
        <v>2</v>
      </c>
      <c r="L341" s="3"/>
      <c r="M341" s="158">
        <v>84960</v>
      </c>
      <c r="N341" s="134">
        <v>1</v>
      </c>
      <c r="O341" s="3"/>
      <c r="P341" s="158">
        <v>42480</v>
      </c>
      <c r="Q341" s="3"/>
      <c r="R341" s="3"/>
      <c r="S341" s="3"/>
      <c r="T341" s="3"/>
    </row>
    <row r="342" spans="1:20" ht="30">
      <c r="A342" s="14"/>
      <c r="B342" s="131" t="s">
        <v>2314</v>
      </c>
      <c r="C342" s="157" t="s">
        <v>2313</v>
      </c>
      <c r="D342" s="4"/>
      <c r="E342" s="4"/>
      <c r="F342" s="3"/>
      <c r="G342" s="42"/>
      <c r="H342" s="3" t="s">
        <v>6</v>
      </c>
      <c r="I342" s="36"/>
      <c r="J342" s="36"/>
      <c r="K342" s="89">
        <v>1</v>
      </c>
      <c r="L342" s="3"/>
      <c r="M342" s="158">
        <v>1982.4</v>
      </c>
      <c r="N342" s="134">
        <v>1</v>
      </c>
      <c r="O342" s="3"/>
      <c r="P342" s="158">
        <v>1982.4</v>
      </c>
      <c r="Q342" s="3"/>
      <c r="R342" s="3"/>
      <c r="S342" s="3"/>
      <c r="T342" s="3"/>
    </row>
    <row r="343" spans="1:20">
      <c r="A343" s="14"/>
      <c r="B343" s="131" t="s">
        <v>2316</v>
      </c>
      <c r="C343" s="131" t="s">
        <v>2315</v>
      </c>
      <c r="D343" s="4"/>
      <c r="E343" s="4"/>
      <c r="F343" s="3"/>
      <c r="G343" s="42"/>
      <c r="H343" s="3" t="s">
        <v>3</v>
      </c>
      <c r="I343" s="36"/>
      <c r="J343" s="36"/>
      <c r="K343" s="89">
        <v>3135</v>
      </c>
      <c r="L343" s="3"/>
      <c r="M343" s="158">
        <v>236015.34</v>
      </c>
      <c r="N343" s="3"/>
      <c r="O343" s="3"/>
      <c r="P343" s="160"/>
      <c r="Q343" s="3"/>
      <c r="R343" s="3"/>
      <c r="S343" s="3"/>
      <c r="T343" s="3"/>
    </row>
    <row r="344" spans="1:20">
      <c r="A344" s="14"/>
      <c r="B344" s="131" t="s">
        <v>2318</v>
      </c>
      <c r="C344" s="131" t="s">
        <v>2317</v>
      </c>
      <c r="D344" s="4"/>
      <c r="E344" s="4"/>
      <c r="F344" s="3"/>
      <c r="G344" s="42"/>
      <c r="H344" s="3" t="s">
        <v>6</v>
      </c>
      <c r="I344" s="36"/>
      <c r="J344" s="36"/>
      <c r="K344" s="89">
        <v>2</v>
      </c>
      <c r="L344" s="3"/>
      <c r="M344" s="149">
        <v>743.4</v>
      </c>
      <c r="N344" s="3">
        <v>2</v>
      </c>
      <c r="O344" s="3"/>
      <c r="P344" s="158">
        <v>743.4</v>
      </c>
      <c r="Q344" s="3"/>
      <c r="R344" s="3"/>
      <c r="S344" s="3"/>
      <c r="T344" s="3"/>
    </row>
    <row r="345" spans="1:20">
      <c r="A345" s="14"/>
      <c r="B345" s="131" t="s">
        <v>2320</v>
      </c>
      <c r="C345" s="131" t="s">
        <v>2319</v>
      </c>
      <c r="D345" s="4"/>
      <c r="E345" s="4"/>
      <c r="F345" s="3"/>
      <c r="G345" s="42"/>
      <c r="H345" s="3" t="s">
        <v>6</v>
      </c>
      <c r="I345" s="36"/>
      <c r="J345" s="36"/>
      <c r="K345" s="89">
        <v>1</v>
      </c>
      <c r="L345" s="3"/>
      <c r="M345" s="158">
        <v>80240</v>
      </c>
      <c r="N345" s="3">
        <v>1</v>
      </c>
      <c r="O345" s="3"/>
      <c r="P345" s="158">
        <v>80240</v>
      </c>
      <c r="Q345" s="3"/>
      <c r="R345" s="3"/>
      <c r="S345" s="3"/>
      <c r="T345" s="3"/>
    </row>
    <row r="346" spans="1:20">
      <c r="A346" s="14"/>
      <c r="B346" s="9" t="s">
        <v>2321</v>
      </c>
      <c r="C346" s="4" t="s">
        <v>2322</v>
      </c>
      <c r="D346" s="4"/>
      <c r="E346" s="4"/>
      <c r="F346" s="3"/>
      <c r="G346" s="42"/>
      <c r="H346" s="3" t="s">
        <v>6</v>
      </c>
      <c r="I346" s="36"/>
      <c r="J346" s="36"/>
      <c r="K346" s="89">
        <v>10</v>
      </c>
      <c r="L346" s="3"/>
      <c r="M346" s="158">
        <v>3144.96</v>
      </c>
      <c r="N346" s="3">
        <v>10</v>
      </c>
      <c r="O346" s="3"/>
      <c r="P346" s="160">
        <v>3144.97</v>
      </c>
      <c r="Q346" s="3"/>
      <c r="R346" s="3"/>
      <c r="S346" s="3"/>
      <c r="T346" s="3"/>
    </row>
    <row r="347" spans="1:20">
      <c r="A347" s="14"/>
      <c r="B347" s="9"/>
      <c r="C347" s="4"/>
      <c r="D347" s="4"/>
      <c r="E347" s="4"/>
      <c r="F347" s="3"/>
      <c r="G347" s="42"/>
      <c r="H347" s="3"/>
      <c r="I347" s="36"/>
      <c r="J347" s="36"/>
      <c r="K347" s="89"/>
      <c r="L347" s="3"/>
      <c r="M347" s="3"/>
      <c r="N347" s="3"/>
      <c r="O347" s="3"/>
      <c r="P347" s="160"/>
      <c r="Q347" s="3"/>
      <c r="R347" s="3"/>
      <c r="S347" s="3"/>
      <c r="T347" s="3"/>
    </row>
    <row r="348" spans="1:20">
      <c r="A348" s="14"/>
      <c r="B348" s="9"/>
      <c r="C348" s="4"/>
      <c r="D348" s="4"/>
      <c r="E348" s="4"/>
      <c r="F348" s="3"/>
      <c r="G348" s="42"/>
      <c r="H348" s="3"/>
      <c r="I348" s="36"/>
      <c r="J348" s="36"/>
      <c r="K348" s="89"/>
      <c r="L348" s="3"/>
      <c r="M348" s="3"/>
      <c r="N348" s="3"/>
      <c r="O348" s="3"/>
      <c r="P348" s="160"/>
      <c r="Q348" s="3"/>
      <c r="R348" s="3"/>
      <c r="S348" s="3"/>
      <c r="T348" s="3"/>
    </row>
    <row r="349" spans="1:20">
      <c r="A349" s="14"/>
      <c r="B349" s="9"/>
      <c r="C349" s="4"/>
      <c r="D349" s="4"/>
      <c r="E349" s="4"/>
      <c r="F349" s="3"/>
      <c r="G349" s="42"/>
      <c r="H349" s="3"/>
      <c r="I349" s="36"/>
      <c r="J349" s="36"/>
      <c r="K349" s="89"/>
      <c r="L349" s="3"/>
      <c r="M349" s="3"/>
      <c r="N349" s="3"/>
      <c r="O349" s="3"/>
      <c r="P349" s="160"/>
      <c r="Q349" s="3"/>
      <c r="R349" s="3"/>
      <c r="S349" s="3"/>
      <c r="T349" s="3"/>
    </row>
    <row r="350" spans="1:20">
      <c r="A350" s="14"/>
      <c r="B350" s="9"/>
      <c r="C350" s="4"/>
      <c r="D350" s="4"/>
      <c r="E350" s="4"/>
      <c r="F350" s="3"/>
      <c r="G350" s="42"/>
      <c r="H350" s="3"/>
      <c r="I350" s="36"/>
      <c r="J350" s="36"/>
      <c r="K350" s="89"/>
      <c r="L350" s="3"/>
      <c r="M350" s="3"/>
      <c r="N350" s="3"/>
      <c r="O350" s="3"/>
      <c r="P350" s="160"/>
      <c r="Q350" s="3"/>
      <c r="R350" s="3"/>
      <c r="S350" s="3"/>
      <c r="T350" s="3"/>
    </row>
    <row r="351" spans="1:20">
      <c r="A351" s="14"/>
      <c r="B351" s="9"/>
      <c r="C351" s="4"/>
      <c r="D351" s="4"/>
      <c r="E351" s="4"/>
      <c r="F351" s="3"/>
      <c r="G351" s="42"/>
      <c r="H351" s="3"/>
      <c r="I351" s="36"/>
      <c r="J351" s="36"/>
      <c r="K351" s="89"/>
      <c r="L351" s="3"/>
      <c r="M351" s="3"/>
      <c r="N351" s="3"/>
      <c r="O351" s="3"/>
      <c r="P351" s="160"/>
      <c r="Q351" s="3"/>
      <c r="R351" s="3"/>
      <c r="S351" s="3"/>
      <c r="T351" s="3"/>
    </row>
    <row r="352" spans="1:20">
      <c r="A352" s="14"/>
      <c r="B352" s="9"/>
      <c r="C352" s="4"/>
      <c r="D352" s="4"/>
      <c r="E352" s="4"/>
      <c r="F352" s="3"/>
      <c r="G352" s="42"/>
      <c r="H352" s="3"/>
      <c r="I352" s="36"/>
      <c r="J352" s="36"/>
      <c r="K352" s="89"/>
      <c r="L352" s="3"/>
      <c r="M352" s="3"/>
      <c r="N352" s="3"/>
      <c r="O352" s="3"/>
      <c r="P352" s="160"/>
      <c r="Q352" s="3"/>
      <c r="R352" s="3"/>
      <c r="S352" s="3"/>
      <c r="T352" s="3"/>
    </row>
    <row r="353" spans="1:20">
      <c r="A353" s="14"/>
      <c r="B353" s="9"/>
      <c r="C353" s="4"/>
      <c r="D353" s="4"/>
      <c r="E353" s="4"/>
      <c r="F353" s="3"/>
      <c r="G353" s="42"/>
      <c r="H353" s="3"/>
      <c r="I353" s="36"/>
      <c r="J353" s="36"/>
      <c r="K353" s="89"/>
      <c r="L353" s="3"/>
      <c r="M353" s="3"/>
      <c r="N353" s="3"/>
      <c r="O353" s="3"/>
      <c r="P353" s="160"/>
      <c r="Q353" s="3"/>
      <c r="R353" s="3"/>
      <c r="S353" s="3"/>
      <c r="T353" s="3"/>
    </row>
    <row r="354" spans="1:20">
      <c r="A354" s="175" t="s">
        <v>1637</v>
      </c>
      <c r="B354" s="175"/>
      <c r="C354" s="175"/>
      <c r="D354" s="175"/>
      <c r="E354" s="175"/>
      <c r="F354" s="175"/>
      <c r="G354" s="175"/>
      <c r="H354" s="175"/>
      <c r="I354" s="175"/>
      <c r="J354" s="37">
        <f>SUM(J6:J297)</f>
        <v>2743951.74</v>
      </c>
    </row>
    <row r="357" spans="1:20" ht="18.75">
      <c r="C357" s="109"/>
      <c r="D357" s="110"/>
      <c r="E357" s="110"/>
      <c r="F357" s="111"/>
    </row>
    <row r="359" spans="1:20" ht="14.25" customHeight="1">
      <c r="H359" s="128"/>
    </row>
    <row r="360" spans="1:20">
      <c r="H360" s="128"/>
    </row>
    <row r="361" spans="1:20">
      <c r="N361" s="129"/>
    </row>
    <row r="363" spans="1:20">
      <c r="H363" s="128"/>
    </row>
    <row r="364" spans="1:20">
      <c r="H364" s="128"/>
    </row>
  </sheetData>
  <mergeCells count="15">
    <mergeCell ref="A354:I354"/>
    <mergeCell ref="A4:A5"/>
    <mergeCell ref="B4:B5"/>
    <mergeCell ref="C4:C5"/>
    <mergeCell ref="D4:D5"/>
    <mergeCell ref="E4:E5"/>
    <mergeCell ref="F4:F5"/>
    <mergeCell ref="G4:G5"/>
    <mergeCell ref="H4:J4"/>
    <mergeCell ref="K4:M4"/>
    <mergeCell ref="N4:P4"/>
    <mergeCell ref="Q4:S4"/>
    <mergeCell ref="A1:J1"/>
    <mergeCell ref="A2:J2"/>
    <mergeCell ref="A3:J3"/>
  </mergeCells>
  <pageMargins left="0.16" right="0.22" top="0.32" bottom="0.39" header="0.3" footer="0.3"/>
  <pageSetup paperSize="9" scale="7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01"/>
  <sheetViews>
    <sheetView tabSelected="1" workbookViewId="0">
      <selection activeCell="R6" sqref="R6"/>
    </sheetView>
  </sheetViews>
  <sheetFormatPr defaultRowHeight="15"/>
  <cols>
    <col min="1" max="1" width="9.140625" style="15"/>
    <col min="2" max="2" width="16" customWidth="1"/>
    <col min="3" max="3" width="34.5703125" bestFit="1" customWidth="1"/>
    <col min="4" max="4" width="18.85546875" customWidth="1"/>
    <col min="5" max="5" width="11.5703125" customWidth="1"/>
    <col min="6" max="6" width="14.85546875" customWidth="1"/>
    <col min="7" max="7" width="6.7109375" style="22" bestFit="1" customWidth="1"/>
    <col min="9" max="9" width="12.140625" bestFit="1" customWidth="1"/>
    <col min="10" max="10" width="17" bestFit="1" customWidth="1"/>
    <col min="11" max="11" width="13.28515625" bestFit="1" customWidth="1"/>
    <col min="13" max="13" width="10.5703125" bestFit="1" customWidth="1"/>
    <col min="16" max="16" width="10.140625" bestFit="1" customWidth="1"/>
  </cols>
  <sheetData>
    <row r="1" spans="1:20" ht="18">
      <c r="A1" s="182" t="s">
        <v>670</v>
      </c>
      <c r="B1" s="183"/>
      <c r="C1" s="183"/>
      <c r="D1" s="183"/>
      <c r="E1" s="183"/>
      <c r="F1" s="183"/>
      <c r="G1" s="183"/>
      <c r="H1" s="183"/>
      <c r="I1" s="183"/>
      <c r="J1" s="183"/>
    </row>
    <row r="2" spans="1:20" ht="18">
      <c r="A2" s="182" t="s">
        <v>1493</v>
      </c>
      <c r="B2" s="183"/>
      <c r="C2" s="183"/>
      <c r="D2" s="183"/>
      <c r="E2" s="183"/>
      <c r="F2" s="183"/>
      <c r="G2" s="183"/>
      <c r="H2" s="183"/>
      <c r="I2" s="183"/>
      <c r="J2" s="183"/>
    </row>
    <row r="3" spans="1:20" ht="18">
      <c r="A3" s="184" t="s">
        <v>1976</v>
      </c>
      <c r="B3" s="178"/>
      <c r="C3" s="178"/>
      <c r="D3" s="178"/>
      <c r="E3" s="178"/>
      <c r="F3" s="178"/>
      <c r="G3" s="178"/>
      <c r="H3" s="178"/>
      <c r="I3" s="178"/>
      <c r="J3" s="178"/>
    </row>
    <row r="4" spans="1:20">
      <c r="A4" s="179" t="s">
        <v>667</v>
      </c>
      <c r="B4" s="180" t="s">
        <v>27</v>
      </c>
      <c r="C4" s="180" t="s">
        <v>28</v>
      </c>
      <c r="D4" s="180" t="s">
        <v>29</v>
      </c>
      <c r="E4" s="180" t="s">
        <v>2062</v>
      </c>
      <c r="F4" s="181" t="s">
        <v>30</v>
      </c>
      <c r="G4" s="181" t="s">
        <v>32</v>
      </c>
      <c r="H4" s="176" t="s">
        <v>2397</v>
      </c>
      <c r="I4" s="176"/>
      <c r="J4" s="176"/>
      <c r="K4" s="176" t="s">
        <v>2174</v>
      </c>
      <c r="L4" s="176"/>
      <c r="M4" s="176"/>
      <c r="N4" s="176" t="s">
        <v>2175</v>
      </c>
      <c r="O4" s="176"/>
      <c r="P4" s="176"/>
      <c r="Q4" s="176" t="s">
        <v>2176</v>
      </c>
      <c r="R4" s="176"/>
      <c r="S4" s="176"/>
      <c r="T4" s="3"/>
    </row>
    <row r="5" spans="1:20" ht="30">
      <c r="A5" s="179"/>
      <c r="B5" s="180"/>
      <c r="C5" s="180"/>
      <c r="D5" s="180"/>
      <c r="E5" s="180"/>
      <c r="F5" s="181"/>
      <c r="G5" s="181"/>
      <c r="H5" s="163" t="s">
        <v>31</v>
      </c>
      <c r="I5" s="162" t="s">
        <v>668</v>
      </c>
      <c r="J5" s="162" t="s">
        <v>669</v>
      </c>
      <c r="K5" s="163" t="s">
        <v>31</v>
      </c>
      <c r="L5" s="162" t="s">
        <v>668</v>
      </c>
      <c r="M5" s="162" t="s">
        <v>669</v>
      </c>
      <c r="N5" s="163" t="s">
        <v>31</v>
      </c>
      <c r="O5" s="162" t="s">
        <v>668</v>
      </c>
      <c r="P5" s="162" t="s">
        <v>669</v>
      </c>
      <c r="Q5" s="163" t="s">
        <v>31</v>
      </c>
      <c r="R5" s="162" t="s">
        <v>668</v>
      </c>
      <c r="S5" s="162" t="s">
        <v>669</v>
      </c>
      <c r="T5" s="130" t="s">
        <v>2118</v>
      </c>
    </row>
    <row r="6" spans="1:20">
      <c r="A6" s="23">
        <v>1</v>
      </c>
      <c r="B6" s="3" t="s">
        <v>1279</v>
      </c>
      <c r="C6" s="4" t="s">
        <v>1280</v>
      </c>
      <c r="D6" s="4" t="s">
        <v>57</v>
      </c>
      <c r="E6" s="4"/>
      <c r="F6" s="3" t="s">
        <v>428</v>
      </c>
      <c r="G6" s="23">
        <f>40-20-6-5-1-1-4</f>
        <v>3</v>
      </c>
      <c r="H6" s="3" t="s">
        <v>3</v>
      </c>
      <c r="I6" s="35">
        <v>87.5</v>
      </c>
      <c r="J6" s="35">
        <f t="shared" ref="J6:J8" si="0">G6*I6</f>
        <v>262.5</v>
      </c>
      <c r="K6" s="164">
        <v>100</v>
      </c>
      <c r="L6" s="3"/>
      <c r="M6" s="148">
        <v>7062.2</v>
      </c>
      <c r="N6" s="3">
        <v>79</v>
      </c>
      <c r="O6" s="3"/>
      <c r="P6" s="3">
        <v>5638.18</v>
      </c>
      <c r="Q6" s="3">
        <f>(G6+K6)-N6</f>
        <v>24</v>
      </c>
      <c r="R6" s="3"/>
      <c r="S6" s="3"/>
      <c r="T6" s="3"/>
    </row>
    <row r="7" spans="1:20">
      <c r="A7" s="91">
        <v>2</v>
      </c>
      <c r="B7" s="9" t="s">
        <v>1281</v>
      </c>
      <c r="C7" s="10" t="s">
        <v>1282</v>
      </c>
      <c r="D7" s="10" t="s">
        <v>1283</v>
      </c>
      <c r="E7" s="10"/>
      <c r="F7" s="9" t="s">
        <v>428</v>
      </c>
      <c r="G7" s="91">
        <f>1+2-2-1</f>
        <v>0</v>
      </c>
      <c r="H7" s="9" t="s">
        <v>6</v>
      </c>
      <c r="I7" s="36">
        <v>900</v>
      </c>
      <c r="J7" s="36">
        <f t="shared" si="0"/>
        <v>0</v>
      </c>
      <c r="K7" s="165"/>
      <c r="L7" s="3"/>
      <c r="M7" s="148"/>
      <c r="N7" s="3"/>
      <c r="O7" s="3"/>
      <c r="P7" s="3"/>
      <c r="Q7" s="3"/>
      <c r="R7" s="3"/>
      <c r="S7" s="3"/>
      <c r="T7" s="3"/>
    </row>
    <row r="8" spans="1:20">
      <c r="A8" s="23">
        <v>3</v>
      </c>
      <c r="B8" s="3" t="s">
        <v>1284</v>
      </c>
      <c r="C8" s="4" t="s">
        <v>1285</v>
      </c>
      <c r="D8" s="4" t="s">
        <v>57</v>
      </c>
      <c r="E8" s="4"/>
      <c r="F8" s="3" t="s">
        <v>428</v>
      </c>
      <c r="G8" s="23">
        <f>120-40-21-5-20</f>
        <v>34</v>
      </c>
      <c r="H8" s="3" t="s">
        <v>3</v>
      </c>
      <c r="I8" s="35">
        <v>144.07</v>
      </c>
      <c r="J8" s="35">
        <f t="shared" si="0"/>
        <v>4898.38</v>
      </c>
      <c r="K8" s="164">
        <v>260</v>
      </c>
      <c r="L8" s="3"/>
      <c r="M8" s="148">
        <v>29904.26</v>
      </c>
      <c r="N8" s="3">
        <v>254</v>
      </c>
      <c r="O8" s="3"/>
      <c r="P8" s="3">
        <v>30256.71</v>
      </c>
      <c r="Q8" s="3"/>
      <c r="R8" s="3"/>
      <c r="S8" s="3"/>
      <c r="T8" s="3"/>
    </row>
    <row r="9" spans="1:20" ht="30">
      <c r="A9" s="23">
        <v>4</v>
      </c>
      <c r="B9" s="3" t="s">
        <v>1286</v>
      </c>
      <c r="C9" s="4" t="s">
        <v>1287</v>
      </c>
      <c r="D9" s="4" t="s">
        <v>1288</v>
      </c>
      <c r="E9" s="4" t="s">
        <v>2099</v>
      </c>
      <c r="F9" s="3" t="s">
        <v>428</v>
      </c>
      <c r="G9" s="23">
        <v>200</v>
      </c>
      <c r="H9" s="3" t="s">
        <v>3</v>
      </c>
      <c r="I9" s="35">
        <v>338.3</v>
      </c>
      <c r="J9" s="35">
        <f>G9*I9</f>
        <v>67660</v>
      </c>
      <c r="K9" s="164"/>
      <c r="L9" s="3"/>
      <c r="M9" s="148"/>
      <c r="N9" s="3">
        <v>80</v>
      </c>
      <c r="O9" s="3"/>
      <c r="P9" s="3">
        <v>27064</v>
      </c>
      <c r="Q9" s="3"/>
      <c r="R9" s="3"/>
      <c r="S9" s="3"/>
      <c r="T9" s="3"/>
    </row>
    <row r="10" spans="1:20">
      <c r="A10" s="23">
        <v>5</v>
      </c>
      <c r="B10" s="3" t="s">
        <v>1289</v>
      </c>
      <c r="C10" s="4" t="s">
        <v>1290</v>
      </c>
      <c r="D10" s="4" t="s">
        <v>1291</v>
      </c>
      <c r="E10" s="4" t="s">
        <v>2100</v>
      </c>
      <c r="F10" s="3" t="s">
        <v>428</v>
      </c>
      <c r="G10" s="23" t="s">
        <v>422</v>
      </c>
      <c r="H10" s="3" t="s">
        <v>3</v>
      </c>
      <c r="I10" s="35">
        <v>256</v>
      </c>
      <c r="J10" s="35">
        <f t="shared" ref="J10:J15" si="1">G10*I10</f>
        <v>256</v>
      </c>
      <c r="K10" s="164">
        <v>20</v>
      </c>
      <c r="L10" s="3"/>
      <c r="M10" s="149">
        <v>5616.8</v>
      </c>
      <c r="N10" s="3">
        <v>21</v>
      </c>
      <c r="O10" s="3"/>
      <c r="P10" s="3">
        <v>5918.88</v>
      </c>
      <c r="Q10" s="3"/>
      <c r="R10" s="3"/>
      <c r="S10" s="3"/>
      <c r="T10" s="3"/>
    </row>
    <row r="11" spans="1:20">
      <c r="A11" s="23">
        <v>6</v>
      </c>
      <c r="B11" s="3" t="s">
        <v>1292</v>
      </c>
      <c r="C11" s="4" t="s">
        <v>1669</v>
      </c>
      <c r="D11" s="4" t="s">
        <v>57</v>
      </c>
      <c r="E11" s="4" t="s">
        <v>2100</v>
      </c>
      <c r="F11" s="3" t="s">
        <v>428</v>
      </c>
      <c r="G11" s="23">
        <f>1-0.3</f>
        <v>0.7</v>
      </c>
      <c r="H11" s="3" t="s">
        <v>3</v>
      </c>
      <c r="I11" s="35">
        <v>341</v>
      </c>
      <c r="J11" s="35">
        <f t="shared" si="1"/>
        <v>238.7</v>
      </c>
      <c r="K11" s="164"/>
      <c r="L11" s="3"/>
      <c r="M11" s="148"/>
      <c r="N11" s="3"/>
      <c r="O11" s="3"/>
      <c r="P11" s="3"/>
      <c r="Q11" s="3"/>
      <c r="R11" s="3"/>
      <c r="S11" s="3"/>
      <c r="T11" s="3"/>
    </row>
    <row r="12" spans="1:20">
      <c r="A12" s="23">
        <v>7</v>
      </c>
      <c r="B12" s="3" t="s">
        <v>1293</v>
      </c>
      <c r="C12" s="4" t="s">
        <v>1855</v>
      </c>
      <c r="D12" s="4" t="s">
        <v>1295</v>
      </c>
      <c r="E12" s="4"/>
      <c r="F12" s="3" t="s">
        <v>428</v>
      </c>
      <c r="G12" s="23">
        <f>7-5+20-2-1-1</f>
        <v>18</v>
      </c>
      <c r="H12" s="3" t="s">
        <v>6</v>
      </c>
      <c r="I12" s="35">
        <v>51.84</v>
      </c>
      <c r="J12" s="35">
        <f t="shared" si="1"/>
        <v>933.12000000000012</v>
      </c>
      <c r="K12" s="164"/>
      <c r="L12" s="3"/>
      <c r="M12" s="148"/>
      <c r="N12" s="3">
        <v>18</v>
      </c>
      <c r="O12" s="3"/>
      <c r="P12" s="3">
        <v>933.12</v>
      </c>
      <c r="Q12" s="3"/>
      <c r="R12" s="3"/>
      <c r="S12" s="3"/>
      <c r="T12" s="3"/>
    </row>
    <row r="13" spans="1:20">
      <c r="A13" s="23">
        <v>8</v>
      </c>
      <c r="B13" s="3" t="s">
        <v>1297</v>
      </c>
      <c r="C13" s="4" t="s">
        <v>1855</v>
      </c>
      <c r="D13" s="4" t="s">
        <v>1298</v>
      </c>
      <c r="E13" s="4"/>
      <c r="F13" s="3" t="s">
        <v>428</v>
      </c>
      <c r="G13" s="23">
        <f>20-2</f>
        <v>18</v>
      </c>
      <c r="H13" s="3" t="s">
        <v>6</v>
      </c>
      <c r="I13" s="35">
        <v>84.96</v>
      </c>
      <c r="J13" s="35">
        <f t="shared" si="1"/>
        <v>1529.28</v>
      </c>
      <c r="K13" s="164">
        <v>10</v>
      </c>
      <c r="L13" s="3"/>
      <c r="M13" s="149">
        <v>961.46</v>
      </c>
      <c r="N13" s="3">
        <v>22</v>
      </c>
      <c r="O13" s="3"/>
      <c r="P13" s="3">
        <v>2189.13</v>
      </c>
      <c r="Q13" s="3"/>
      <c r="R13" s="3"/>
      <c r="S13" s="3"/>
      <c r="T13" s="3"/>
    </row>
    <row r="14" spans="1:20">
      <c r="A14" s="23">
        <v>9</v>
      </c>
      <c r="B14" s="3" t="s">
        <v>1299</v>
      </c>
      <c r="C14" s="4" t="s">
        <v>1294</v>
      </c>
      <c r="D14" s="4" t="s">
        <v>1300</v>
      </c>
      <c r="E14" s="4"/>
      <c r="F14" s="3" t="s">
        <v>428</v>
      </c>
      <c r="G14" s="23">
        <f>20-3-1-1-1-2-1</f>
        <v>11</v>
      </c>
      <c r="H14" s="3" t="s">
        <v>6</v>
      </c>
      <c r="I14" s="35">
        <v>99.12</v>
      </c>
      <c r="J14" s="35">
        <f t="shared" si="1"/>
        <v>1090.3200000000002</v>
      </c>
      <c r="K14" s="164">
        <v>10</v>
      </c>
      <c r="L14" s="3"/>
      <c r="M14" s="149">
        <v>1121.71</v>
      </c>
      <c r="N14" s="3">
        <v>18</v>
      </c>
      <c r="O14" s="3"/>
      <c r="P14" s="3">
        <v>2071.75</v>
      </c>
      <c r="Q14" s="3"/>
      <c r="R14" s="3"/>
      <c r="S14" s="3"/>
      <c r="T14" s="3"/>
    </row>
    <row r="15" spans="1:20">
      <c r="A15" s="23">
        <v>10</v>
      </c>
      <c r="B15" s="3" t="s">
        <v>1301</v>
      </c>
      <c r="C15" s="4" t="s">
        <v>1302</v>
      </c>
      <c r="D15" s="4" t="s">
        <v>57</v>
      </c>
      <c r="E15" s="4"/>
      <c r="F15" s="3" t="s">
        <v>428</v>
      </c>
      <c r="G15" s="23">
        <v>16</v>
      </c>
      <c r="H15" s="3" t="s">
        <v>6</v>
      </c>
      <c r="I15" s="35">
        <v>106.2</v>
      </c>
      <c r="J15" s="35">
        <f t="shared" si="1"/>
        <v>1699.2</v>
      </c>
      <c r="K15" s="164">
        <v>10</v>
      </c>
      <c r="L15" s="3"/>
      <c r="M15" s="149">
        <v>3649.74</v>
      </c>
      <c r="N15" s="3">
        <v>46</v>
      </c>
      <c r="O15" s="3"/>
      <c r="P15" s="3">
        <v>5640.15</v>
      </c>
      <c r="Q15" s="3"/>
      <c r="R15" s="3"/>
      <c r="S15" s="3"/>
      <c r="T15" s="3"/>
    </row>
    <row r="16" spans="1:20">
      <c r="A16" s="23">
        <v>11</v>
      </c>
      <c r="B16" s="3" t="s">
        <v>1303</v>
      </c>
      <c r="C16" s="4" t="s">
        <v>1304</v>
      </c>
      <c r="D16" s="4" t="s">
        <v>57</v>
      </c>
      <c r="E16" s="4"/>
      <c r="F16" s="3" t="s">
        <v>428</v>
      </c>
      <c r="G16" s="23">
        <v>23</v>
      </c>
      <c r="H16" s="3" t="s">
        <v>6</v>
      </c>
      <c r="I16" s="35">
        <f>318.6/15</f>
        <v>21.240000000000002</v>
      </c>
      <c r="J16" s="35">
        <f>G16*I16</f>
        <v>488.52000000000004</v>
      </c>
      <c r="K16" s="164">
        <v>74</v>
      </c>
      <c r="L16" s="3"/>
      <c r="M16" s="148">
        <v>1940.55</v>
      </c>
      <c r="N16" s="3">
        <v>94</v>
      </c>
      <c r="O16" s="3"/>
      <c r="P16" s="3">
        <v>2475.12</v>
      </c>
      <c r="Q16" s="3"/>
      <c r="R16" s="3"/>
      <c r="S16" s="3"/>
      <c r="T16" s="3"/>
    </row>
    <row r="17" spans="1:20">
      <c r="A17" s="23">
        <v>12</v>
      </c>
      <c r="B17" s="3" t="s">
        <v>1305</v>
      </c>
      <c r="C17" s="4" t="s">
        <v>1306</v>
      </c>
      <c r="D17" s="4" t="s">
        <v>57</v>
      </c>
      <c r="E17" s="4"/>
      <c r="F17" s="3" t="s">
        <v>428</v>
      </c>
      <c r="G17" s="23">
        <v>28</v>
      </c>
      <c r="H17" s="3" t="s">
        <v>6</v>
      </c>
      <c r="I17" s="35">
        <v>16.690000000000001</v>
      </c>
      <c r="J17" s="35">
        <f t="shared" ref="J17:J26" si="2">G17*I17</f>
        <v>467.32000000000005</v>
      </c>
      <c r="K17" s="164"/>
      <c r="L17" s="3"/>
      <c r="M17" s="148"/>
      <c r="N17" s="3">
        <v>18</v>
      </c>
      <c r="O17" s="3"/>
      <c r="P17" s="3">
        <v>300.42</v>
      </c>
      <c r="Q17" s="3"/>
      <c r="R17" s="3"/>
      <c r="S17" s="3"/>
      <c r="T17" s="3"/>
    </row>
    <row r="18" spans="1:20">
      <c r="A18" s="23">
        <v>13</v>
      </c>
      <c r="B18" s="3" t="s">
        <v>1307</v>
      </c>
      <c r="C18" s="4" t="s">
        <v>1308</v>
      </c>
      <c r="D18" s="4" t="s">
        <v>57</v>
      </c>
      <c r="E18" s="4"/>
      <c r="F18" s="3" t="s">
        <v>428</v>
      </c>
      <c r="G18" s="23">
        <f>30-12-12+22</f>
        <v>28</v>
      </c>
      <c r="H18" s="3" t="s">
        <v>6</v>
      </c>
      <c r="I18" s="35">
        <v>14.16</v>
      </c>
      <c r="J18" s="35">
        <f t="shared" si="2"/>
        <v>396.48</v>
      </c>
      <c r="K18" s="164">
        <v>24</v>
      </c>
      <c r="L18" s="3"/>
      <c r="M18" s="149">
        <v>483.71</v>
      </c>
      <c r="N18" s="3">
        <v>52</v>
      </c>
      <c r="O18" s="3"/>
      <c r="P18" s="3">
        <v>951.55</v>
      </c>
      <c r="Q18" s="3"/>
      <c r="R18" s="3"/>
      <c r="S18" s="3"/>
      <c r="T18" s="3"/>
    </row>
    <row r="19" spans="1:20">
      <c r="A19" s="23">
        <v>14</v>
      </c>
      <c r="B19" s="3" t="s">
        <v>1309</v>
      </c>
      <c r="C19" s="4" t="s">
        <v>1310</v>
      </c>
      <c r="D19" s="4" t="s">
        <v>1296</v>
      </c>
      <c r="E19" s="4"/>
      <c r="F19" s="3" t="s">
        <v>428</v>
      </c>
      <c r="G19" s="23">
        <f>11-1-1-1-5</f>
        <v>3</v>
      </c>
      <c r="H19" s="3" t="s">
        <v>6</v>
      </c>
      <c r="I19" s="35">
        <v>53.1</v>
      </c>
      <c r="J19" s="35">
        <f t="shared" si="2"/>
        <v>159.30000000000001</v>
      </c>
      <c r="K19" s="164"/>
      <c r="L19" s="3"/>
      <c r="M19" s="148"/>
      <c r="N19" s="3">
        <v>3</v>
      </c>
      <c r="O19" s="3"/>
      <c r="P19" s="3">
        <v>159.30000000000001</v>
      </c>
      <c r="Q19" s="3"/>
      <c r="R19" s="3"/>
      <c r="S19" s="3"/>
      <c r="T19" s="3"/>
    </row>
    <row r="20" spans="1:20">
      <c r="A20" s="23">
        <v>15</v>
      </c>
      <c r="B20" s="3" t="s">
        <v>1311</v>
      </c>
      <c r="C20" s="4" t="s">
        <v>1312</v>
      </c>
      <c r="D20" s="4" t="s">
        <v>1296</v>
      </c>
      <c r="E20" s="4"/>
      <c r="F20" s="3" t="s">
        <v>428</v>
      </c>
      <c r="G20" s="23">
        <f>4-2+20-2-1-1</f>
        <v>18</v>
      </c>
      <c r="H20" s="3" t="s">
        <v>11</v>
      </c>
      <c r="I20" s="35">
        <v>7</v>
      </c>
      <c r="J20" s="35">
        <f t="shared" si="2"/>
        <v>126</v>
      </c>
      <c r="K20" s="164">
        <v>20</v>
      </c>
      <c r="L20" s="3"/>
      <c r="M20" s="149">
        <v>171.1</v>
      </c>
      <c r="N20" s="3">
        <v>22</v>
      </c>
      <c r="O20" s="3"/>
      <c r="P20" s="3">
        <v>183.5</v>
      </c>
      <c r="Q20" s="3"/>
      <c r="R20" s="3"/>
      <c r="S20" s="3"/>
      <c r="T20" s="3"/>
    </row>
    <row r="21" spans="1:20">
      <c r="A21" s="23">
        <v>16</v>
      </c>
      <c r="B21" s="3" t="s">
        <v>1677</v>
      </c>
      <c r="C21" s="4" t="s">
        <v>1312</v>
      </c>
      <c r="D21" s="4" t="s">
        <v>1676</v>
      </c>
      <c r="E21" s="4"/>
      <c r="F21" s="3" t="s">
        <v>428</v>
      </c>
      <c r="G21" s="23">
        <v>16</v>
      </c>
      <c r="H21" s="3" t="s">
        <v>11</v>
      </c>
      <c r="I21" s="35">
        <v>17</v>
      </c>
      <c r="J21" s="35">
        <f t="shared" si="2"/>
        <v>272</v>
      </c>
      <c r="K21" s="164"/>
      <c r="L21" s="3"/>
      <c r="M21" s="148"/>
      <c r="N21" s="3"/>
      <c r="O21" s="3"/>
      <c r="P21" s="3"/>
      <c r="Q21" s="3"/>
      <c r="R21" s="3"/>
      <c r="S21" s="3"/>
      <c r="T21" s="3"/>
    </row>
    <row r="22" spans="1:20">
      <c r="A22" s="23">
        <v>17</v>
      </c>
      <c r="B22" s="3" t="s">
        <v>1313</v>
      </c>
      <c r="C22" s="4" t="s">
        <v>1314</v>
      </c>
      <c r="D22" s="4" t="s">
        <v>57</v>
      </c>
      <c r="E22" s="4"/>
      <c r="F22" s="3" t="s">
        <v>428</v>
      </c>
      <c r="G22" s="23">
        <f>4-1</f>
        <v>3</v>
      </c>
      <c r="H22" s="3" t="s">
        <v>6</v>
      </c>
      <c r="I22" s="35">
        <v>88.5</v>
      </c>
      <c r="J22" s="35">
        <f t="shared" si="2"/>
        <v>265.5</v>
      </c>
      <c r="K22" s="164"/>
      <c r="L22" s="3"/>
      <c r="M22" s="148"/>
      <c r="N22" s="3">
        <v>1</v>
      </c>
      <c r="O22" s="3"/>
      <c r="P22" s="3">
        <v>88.5</v>
      </c>
      <c r="Q22" s="3"/>
      <c r="R22" s="3"/>
      <c r="S22" s="3"/>
      <c r="T22" s="3"/>
    </row>
    <row r="23" spans="1:20">
      <c r="A23" s="23">
        <v>18</v>
      </c>
      <c r="B23" s="3" t="s">
        <v>1315</v>
      </c>
      <c r="C23" s="4" t="s">
        <v>1316</v>
      </c>
      <c r="D23" s="4" t="s">
        <v>1317</v>
      </c>
      <c r="E23" s="4"/>
      <c r="F23" s="3" t="s">
        <v>428</v>
      </c>
      <c r="G23" s="23">
        <f>12-1</f>
        <v>11</v>
      </c>
      <c r="H23" s="3" t="s">
        <v>6</v>
      </c>
      <c r="I23" s="35">
        <v>3</v>
      </c>
      <c r="J23" s="35">
        <f t="shared" si="2"/>
        <v>33</v>
      </c>
      <c r="K23" s="164"/>
      <c r="L23" s="3"/>
      <c r="M23" s="148"/>
      <c r="N23" s="3"/>
      <c r="O23" s="3"/>
      <c r="P23" s="3"/>
      <c r="Q23" s="3"/>
      <c r="R23" s="3"/>
      <c r="S23" s="3"/>
      <c r="T23" s="3"/>
    </row>
    <row r="24" spans="1:20">
      <c r="A24" s="23">
        <v>19</v>
      </c>
      <c r="B24" s="3" t="s">
        <v>1318</v>
      </c>
      <c r="C24" s="4" t="s">
        <v>1319</v>
      </c>
      <c r="D24" s="4" t="s">
        <v>57</v>
      </c>
      <c r="E24" s="4"/>
      <c r="F24" s="3" t="s">
        <v>428</v>
      </c>
      <c r="G24" s="23">
        <f>15-1</f>
        <v>14</v>
      </c>
      <c r="H24" s="3" t="s">
        <v>6</v>
      </c>
      <c r="I24" s="35">
        <v>3</v>
      </c>
      <c r="J24" s="35">
        <f t="shared" si="2"/>
        <v>42</v>
      </c>
      <c r="K24" s="164"/>
      <c r="L24" s="3"/>
      <c r="M24" s="148"/>
      <c r="N24" s="3"/>
      <c r="O24" s="3"/>
      <c r="P24" s="3"/>
      <c r="Q24" s="3"/>
      <c r="R24" s="3"/>
      <c r="S24" s="3"/>
      <c r="T24" s="3"/>
    </row>
    <row r="25" spans="1:20">
      <c r="A25" s="23">
        <v>20</v>
      </c>
      <c r="B25" s="3" t="s">
        <v>1320</v>
      </c>
      <c r="C25" s="4" t="s">
        <v>1321</v>
      </c>
      <c r="D25" s="4" t="s">
        <v>57</v>
      </c>
      <c r="E25" s="4"/>
      <c r="F25" s="3" t="s">
        <v>428</v>
      </c>
      <c r="G25" s="23">
        <f>30-1</f>
        <v>29</v>
      </c>
      <c r="H25" s="3" t="s">
        <v>6</v>
      </c>
      <c r="I25" s="35">
        <v>4</v>
      </c>
      <c r="J25" s="35">
        <f t="shared" si="2"/>
        <v>116</v>
      </c>
      <c r="K25" s="164"/>
      <c r="L25" s="3"/>
      <c r="M25" s="148"/>
      <c r="N25" s="3">
        <v>12</v>
      </c>
      <c r="O25" s="3"/>
      <c r="P25" s="3">
        <v>48</v>
      </c>
      <c r="Q25" s="3"/>
      <c r="R25" s="3"/>
      <c r="S25" s="3"/>
      <c r="T25" s="3"/>
    </row>
    <row r="26" spans="1:20">
      <c r="A26" s="23">
        <v>21</v>
      </c>
      <c r="B26" s="3" t="s">
        <v>1322</v>
      </c>
      <c r="C26" s="4" t="s">
        <v>1323</v>
      </c>
      <c r="D26" s="4" t="s">
        <v>57</v>
      </c>
      <c r="E26" s="4"/>
      <c r="F26" s="3" t="s">
        <v>428</v>
      </c>
      <c r="G26" s="23">
        <f>140-47-56-3-5-5-2+60-5-5-1-3-2-5-2+25</f>
        <v>84</v>
      </c>
      <c r="H26" s="3" t="s">
        <v>6</v>
      </c>
      <c r="I26" s="35">
        <v>3</v>
      </c>
      <c r="J26" s="35">
        <f t="shared" si="2"/>
        <v>252</v>
      </c>
      <c r="K26" s="164">
        <v>175</v>
      </c>
      <c r="L26" s="3"/>
      <c r="M26" s="148">
        <v>528.08000000000004</v>
      </c>
      <c r="N26" s="3">
        <v>259</v>
      </c>
      <c r="O26" s="3"/>
      <c r="P26" s="3">
        <v>801.94</v>
      </c>
      <c r="Q26" s="3"/>
      <c r="R26" s="3"/>
      <c r="S26" s="3"/>
      <c r="T26" s="3"/>
    </row>
    <row r="27" spans="1:20">
      <c r="A27" s="23">
        <v>22</v>
      </c>
      <c r="B27" s="3" t="s">
        <v>1324</v>
      </c>
      <c r="C27" s="4" t="s">
        <v>1325</v>
      </c>
      <c r="D27" s="4" t="s">
        <v>1298</v>
      </c>
      <c r="E27" s="4"/>
      <c r="F27" s="3" t="s">
        <v>428</v>
      </c>
      <c r="G27" s="23">
        <f>8-4+10-1-1</f>
        <v>12</v>
      </c>
      <c r="H27" s="3" t="s">
        <v>6</v>
      </c>
      <c r="I27" s="35">
        <f>806.4/8</f>
        <v>100.8</v>
      </c>
      <c r="J27" s="35">
        <f>G27*I27</f>
        <v>1209.5999999999999</v>
      </c>
      <c r="K27" s="164"/>
      <c r="L27" s="3"/>
      <c r="M27" s="148"/>
      <c r="N27" s="3">
        <v>11</v>
      </c>
      <c r="O27" s="3"/>
      <c r="P27" s="3">
        <v>1108.8</v>
      </c>
      <c r="Q27" s="3"/>
      <c r="R27" s="3"/>
      <c r="S27" s="3"/>
      <c r="T27" s="3"/>
    </row>
    <row r="28" spans="1:20">
      <c r="A28" s="23">
        <v>23</v>
      </c>
      <c r="B28" s="3" t="s">
        <v>1326</v>
      </c>
      <c r="C28" s="8" t="s">
        <v>1294</v>
      </c>
      <c r="D28" s="8" t="s">
        <v>1327</v>
      </c>
      <c r="E28" s="8" t="s">
        <v>2101</v>
      </c>
      <c r="F28" s="28" t="s">
        <v>428</v>
      </c>
      <c r="G28" s="89">
        <f>35-3-13-1-2</f>
        <v>16</v>
      </c>
      <c r="H28" s="28" t="s">
        <v>6</v>
      </c>
      <c r="I28" s="54">
        <v>100.72</v>
      </c>
      <c r="J28" s="35">
        <f t="shared" ref="J28:J31" si="3">G28*I28</f>
        <v>1611.52</v>
      </c>
      <c r="K28" s="164">
        <v>36</v>
      </c>
      <c r="L28" s="3"/>
      <c r="M28" s="149">
        <v>4046.52</v>
      </c>
      <c r="N28" s="3">
        <v>51</v>
      </c>
      <c r="O28" s="3"/>
      <c r="P28" s="3">
        <v>5735.78</v>
      </c>
      <c r="Q28" s="3"/>
      <c r="R28" s="3"/>
      <c r="S28" s="3"/>
      <c r="T28" s="3"/>
    </row>
    <row r="29" spans="1:20">
      <c r="A29" s="23">
        <v>24</v>
      </c>
      <c r="B29" s="3" t="s">
        <v>1328</v>
      </c>
      <c r="C29" s="4" t="s">
        <v>1700</v>
      </c>
      <c r="D29" s="4" t="s">
        <v>57</v>
      </c>
      <c r="E29" s="4" t="s">
        <v>2105</v>
      </c>
      <c r="F29" s="3" t="s">
        <v>428</v>
      </c>
      <c r="G29" s="23">
        <v>3</v>
      </c>
      <c r="H29" s="3" t="s">
        <v>6</v>
      </c>
      <c r="I29" s="35">
        <v>47.5</v>
      </c>
      <c r="J29" s="35">
        <f t="shared" si="3"/>
        <v>142.5</v>
      </c>
      <c r="K29" s="164"/>
      <c r="L29" s="3"/>
      <c r="M29" s="148"/>
      <c r="N29" s="3">
        <v>1</v>
      </c>
      <c r="O29" s="3"/>
      <c r="P29" s="3">
        <v>47.5</v>
      </c>
      <c r="Q29" s="3"/>
      <c r="R29" s="3"/>
      <c r="S29" s="3"/>
      <c r="T29" s="3"/>
    </row>
    <row r="30" spans="1:20">
      <c r="A30" s="23">
        <v>25</v>
      </c>
      <c r="B30" s="3" t="s">
        <v>1329</v>
      </c>
      <c r="C30" s="4" t="s">
        <v>1330</v>
      </c>
      <c r="D30" s="4" t="s">
        <v>1331</v>
      </c>
      <c r="E30" s="4"/>
      <c r="F30" s="3" t="s">
        <v>428</v>
      </c>
      <c r="G30" s="23">
        <v>2</v>
      </c>
      <c r="H30" s="3" t="s">
        <v>6</v>
      </c>
      <c r="I30" s="35">
        <v>6254</v>
      </c>
      <c r="J30" s="35">
        <f t="shared" si="3"/>
        <v>12508</v>
      </c>
      <c r="K30" s="164"/>
      <c r="L30" s="3"/>
      <c r="M30" s="148"/>
      <c r="N30" s="3"/>
      <c r="O30" s="3"/>
      <c r="P30" s="3"/>
      <c r="Q30" s="3"/>
      <c r="R30" s="3"/>
      <c r="S30" s="3"/>
      <c r="T30" s="3"/>
    </row>
    <row r="31" spans="1:20">
      <c r="A31" s="23">
        <v>26</v>
      </c>
      <c r="B31" s="3" t="s">
        <v>1332</v>
      </c>
      <c r="C31" s="4" t="s">
        <v>1333</v>
      </c>
      <c r="D31" s="4" t="s">
        <v>1334</v>
      </c>
      <c r="E31" s="4"/>
      <c r="F31" s="3" t="s">
        <v>428</v>
      </c>
      <c r="G31" s="23">
        <v>1</v>
      </c>
      <c r="H31" s="3" t="s">
        <v>6</v>
      </c>
      <c r="I31" s="35">
        <v>13226</v>
      </c>
      <c r="J31" s="35">
        <f t="shared" si="3"/>
        <v>13226</v>
      </c>
      <c r="K31" s="164"/>
      <c r="L31" s="3"/>
      <c r="M31" s="148"/>
      <c r="N31" s="3"/>
      <c r="O31" s="3"/>
      <c r="P31" s="3"/>
      <c r="Q31" s="3"/>
      <c r="R31" s="3"/>
      <c r="S31" s="3"/>
      <c r="T31" s="3"/>
    </row>
    <row r="32" spans="1:20">
      <c r="A32" s="23">
        <v>27</v>
      </c>
      <c r="B32" s="3" t="s">
        <v>1335</v>
      </c>
      <c r="C32" s="4" t="s">
        <v>1336</v>
      </c>
      <c r="D32" s="4" t="s">
        <v>57</v>
      </c>
      <c r="E32" s="4" t="s">
        <v>2106</v>
      </c>
      <c r="F32" s="3" t="s">
        <v>428</v>
      </c>
      <c r="G32" s="23">
        <v>1</v>
      </c>
      <c r="H32" s="3" t="s">
        <v>6</v>
      </c>
      <c r="I32" s="35">
        <f>5264/1</f>
        <v>5264</v>
      </c>
      <c r="J32" s="35">
        <f>G32*I32</f>
        <v>5264</v>
      </c>
      <c r="K32" s="164"/>
      <c r="L32" s="3"/>
      <c r="M32" s="148"/>
      <c r="N32" s="3"/>
      <c r="O32" s="3"/>
      <c r="P32" s="3"/>
      <c r="Q32" s="3"/>
      <c r="R32" s="3"/>
      <c r="S32" s="3"/>
      <c r="T32" s="3"/>
    </row>
    <row r="33" spans="1:20">
      <c r="A33" s="23">
        <v>28</v>
      </c>
      <c r="B33" s="9" t="s">
        <v>1337</v>
      </c>
      <c r="C33" s="64" t="s">
        <v>1333</v>
      </c>
      <c r="D33" s="64" t="s">
        <v>1693</v>
      </c>
      <c r="E33" s="64"/>
      <c r="F33" s="63" t="s">
        <v>428</v>
      </c>
      <c r="G33" s="90">
        <v>1</v>
      </c>
      <c r="H33" s="63" t="s">
        <v>6</v>
      </c>
      <c r="I33" s="75">
        <v>43660</v>
      </c>
      <c r="J33" s="36">
        <f t="shared" ref="J33:J40" si="4">G33*I33</f>
        <v>43660</v>
      </c>
      <c r="K33" s="164"/>
      <c r="L33" s="3"/>
      <c r="M33" s="148"/>
      <c r="N33" s="3"/>
      <c r="O33" s="3"/>
      <c r="P33" s="3"/>
      <c r="Q33" s="3"/>
      <c r="R33" s="3"/>
      <c r="S33" s="3"/>
      <c r="T33" s="3"/>
    </row>
    <row r="34" spans="1:20">
      <c r="A34" s="23">
        <v>29</v>
      </c>
      <c r="B34" s="3" t="s">
        <v>1338</v>
      </c>
      <c r="C34" s="4" t="s">
        <v>594</v>
      </c>
      <c r="D34" s="4" t="s">
        <v>1339</v>
      </c>
      <c r="E34" s="4"/>
      <c r="F34" s="3" t="s">
        <v>428</v>
      </c>
      <c r="G34" s="23">
        <f>9-1-1-3</f>
        <v>4</v>
      </c>
      <c r="H34" s="3" t="s">
        <v>6</v>
      </c>
      <c r="I34" s="35">
        <v>38.14</v>
      </c>
      <c r="J34" s="35">
        <f t="shared" si="4"/>
        <v>152.56</v>
      </c>
      <c r="K34" s="164"/>
      <c r="L34" s="3"/>
      <c r="M34" s="148"/>
      <c r="N34" s="3">
        <v>2</v>
      </c>
      <c r="O34" s="3"/>
      <c r="P34" s="3">
        <v>76.28</v>
      </c>
      <c r="Q34" s="3"/>
      <c r="R34" s="3"/>
      <c r="S34" s="3"/>
      <c r="T34" s="3"/>
    </row>
    <row r="35" spans="1:20">
      <c r="A35" s="23">
        <v>31</v>
      </c>
      <c r="B35" s="3" t="s">
        <v>1341</v>
      </c>
      <c r="C35" s="4" t="s">
        <v>1342</v>
      </c>
      <c r="D35" s="4" t="s">
        <v>57</v>
      </c>
      <c r="E35" s="4"/>
      <c r="F35" s="3" t="s">
        <v>428</v>
      </c>
      <c r="G35" s="23">
        <v>42.5</v>
      </c>
      <c r="H35" s="3" t="s">
        <v>3</v>
      </c>
      <c r="I35" s="35">
        <v>187.62</v>
      </c>
      <c r="J35" s="35">
        <f t="shared" si="4"/>
        <v>7973.85</v>
      </c>
      <c r="K35" s="164">
        <v>60</v>
      </c>
      <c r="L35" s="3"/>
      <c r="M35" s="148">
        <v>15027.3</v>
      </c>
      <c r="N35" s="3">
        <v>77</v>
      </c>
      <c r="O35" s="3"/>
      <c r="P35" s="3">
        <v>18037.169999999998</v>
      </c>
      <c r="Q35" s="3"/>
      <c r="R35" s="3"/>
      <c r="S35" s="3"/>
      <c r="T35" s="3"/>
    </row>
    <row r="36" spans="1:20">
      <c r="A36" s="23">
        <v>32</v>
      </c>
      <c r="B36" s="3" t="s">
        <v>1343</v>
      </c>
      <c r="C36" s="4" t="s">
        <v>1344</v>
      </c>
      <c r="D36" s="4" t="s">
        <v>1345</v>
      </c>
      <c r="E36" s="4"/>
      <c r="F36" s="3" t="s">
        <v>428</v>
      </c>
      <c r="G36" s="23">
        <v>289</v>
      </c>
      <c r="H36" s="3" t="s">
        <v>3</v>
      </c>
      <c r="I36" s="35">
        <v>147.5</v>
      </c>
      <c r="J36" s="35">
        <f t="shared" si="4"/>
        <v>42627.5</v>
      </c>
      <c r="K36" s="164">
        <v>420</v>
      </c>
      <c r="L36" s="3"/>
      <c r="M36" s="149">
        <v>67525.5</v>
      </c>
      <c r="N36" s="3">
        <v>709</v>
      </c>
      <c r="O36" s="3"/>
      <c r="P36" s="3">
        <v>113989.61</v>
      </c>
      <c r="Q36" s="3"/>
      <c r="R36" s="3"/>
      <c r="S36" s="3"/>
      <c r="T36" s="3"/>
    </row>
    <row r="37" spans="1:20">
      <c r="A37" s="23">
        <v>33</v>
      </c>
      <c r="B37" s="3" t="s">
        <v>1346</v>
      </c>
      <c r="C37" s="4" t="s">
        <v>1347</v>
      </c>
      <c r="D37" s="4" t="s">
        <v>1348</v>
      </c>
      <c r="E37" s="4"/>
      <c r="F37" s="3" t="s">
        <v>428</v>
      </c>
      <c r="G37" s="23">
        <f>430-15</f>
        <v>415</v>
      </c>
      <c r="H37" s="3" t="s">
        <v>3</v>
      </c>
      <c r="I37" s="35">
        <v>147.5</v>
      </c>
      <c r="J37" s="35">
        <f t="shared" si="4"/>
        <v>61212.5</v>
      </c>
      <c r="K37" s="164"/>
      <c r="L37" s="3"/>
      <c r="M37" s="148"/>
      <c r="N37" s="3">
        <v>77</v>
      </c>
      <c r="O37" s="3"/>
      <c r="P37" s="3">
        <v>11357.5</v>
      </c>
      <c r="Q37" s="3"/>
      <c r="R37" s="3"/>
      <c r="S37" s="3"/>
      <c r="T37" s="3"/>
    </row>
    <row r="38" spans="1:20">
      <c r="A38" s="23">
        <v>34</v>
      </c>
      <c r="B38" s="3" t="s">
        <v>1349</v>
      </c>
      <c r="C38" s="4" t="s">
        <v>1350</v>
      </c>
      <c r="D38" s="4" t="s">
        <v>57</v>
      </c>
      <c r="E38" s="4"/>
      <c r="F38" s="3" t="s">
        <v>428</v>
      </c>
      <c r="G38" s="23">
        <v>53.2</v>
      </c>
      <c r="H38" s="3" t="s">
        <v>1</v>
      </c>
      <c r="I38" s="35">
        <v>83.33</v>
      </c>
      <c r="J38" s="35">
        <f t="shared" si="4"/>
        <v>4433.1559999999999</v>
      </c>
      <c r="K38" s="132">
        <v>180</v>
      </c>
      <c r="L38" s="3"/>
      <c r="M38" s="149">
        <v>31256.78</v>
      </c>
      <c r="N38" s="3">
        <v>118</v>
      </c>
      <c r="O38" s="3"/>
      <c r="P38" s="3">
        <v>17692.22</v>
      </c>
      <c r="Q38" s="3"/>
      <c r="R38" s="3"/>
      <c r="S38" s="3"/>
      <c r="T38" s="3"/>
    </row>
    <row r="39" spans="1:20">
      <c r="A39" s="23">
        <v>35</v>
      </c>
      <c r="B39" s="3" t="s">
        <v>1351</v>
      </c>
      <c r="C39" s="8" t="s">
        <v>1352</v>
      </c>
      <c r="D39" s="8" t="s">
        <v>57</v>
      </c>
      <c r="E39" s="8"/>
      <c r="F39" s="28" t="s">
        <v>428</v>
      </c>
      <c r="G39" s="89">
        <f>3-0.5</f>
        <v>2.5</v>
      </c>
      <c r="H39" s="28" t="s">
        <v>3</v>
      </c>
      <c r="I39" s="54">
        <v>278.48</v>
      </c>
      <c r="J39" s="35">
        <f t="shared" si="4"/>
        <v>696.2</v>
      </c>
      <c r="K39" s="164">
        <v>20</v>
      </c>
      <c r="L39" s="3"/>
      <c r="M39" s="149">
        <v>4688.1400000000003</v>
      </c>
      <c r="N39" s="3">
        <v>3.5</v>
      </c>
      <c r="O39" s="3"/>
      <c r="P39" s="3">
        <v>1055.93</v>
      </c>
      <c r="Q39" s="3"/>
      <c r="R39" s="3"/>
      <c r="S39" s="3"/>
      <c r="T39" s="3"/>
    </row>
    <row r="40" spans="1:20">
      <c r="A40" s="23">
        <v>36</v>
      </c>
      <c r="B40" s="3" t="s">
        <v>1353</v>
      </c>
      <c r="C40" s="8" t="s">
        <v>1354</v>
      </c>
      <c r="D40" s="8" t="s">
        <v>57</v>
      </c>
      <c r="E40" s="8"/>
      <c r="F40" s="28" t="s">
        <v>428</v>
      </c>
      <c r="G40" s="89">
        <f>10-1.5-2</f>
        <v>6.5</v>
      </c>
      <c r="H40" s="28" t="s">
        <v>3</v>
      </c>
      <c r="I40" s="54">
        <v>10</v>
      </c>
      <c r="J40" s="35">
        <f t="shared" si="4"/>
        <v>65</v>
      </c>
      <c r="K40" s="164"/>
      <c r="L40" s="3"/>
      <c r="M40" s="148"/>
      <c r="N40" s="3">
        <v>6.5</v>
      </c>
      <c r="O40" s="3"/>
      <c r="P40" s="3">
        <v>65</v>
      </c>
      <c r="Q40" s="3"/>
      <c r="R40" s="3"/>
      <c r="S40" s="3"/>
      <c r="T40" s="3"/>
    </row>
    <row r="41" spans="1:20">
      <c r="A41" s="23">
        <v>37</v>
      </c>
      <c r="B41" s="3" t="s">
        <v>1355</v>
      </c>
      <c r="C41" s="4" t="s">
        <v>1356</v>
      </c>
      <c r="D41" s="4" t="s">
        <v>1357</v>
      </c>
      <c r="E41" s="4"/>
      <c r="F41" s="3" t="s">
        <v>428</v>
      </c>
      <c r="G41" s="23">
        <f>1-1+2-1</f>
        <v>1</v>
      </c>
      <c r="H41" s="3" t="s">
        <v>6</v>
      </c>
      <c r="I41" s="35">
        <f>306.8/1</f>
        <v>306.8</v>
      </c>
      <c r="J41" s="35">
        <f>G41*I41</f>
        <v>306.8</v>
      </c>
      <c r="K41" s="164">
        <v>5</v>
      </c>
      <c r="L41" s="3"/>
      <c r="M41" s="149">
        <v>1642.56</v>
      </c>
      <c r="N41" s="3">
        <v>2</v>
      </c>
      <c r="O41" s="3"/>
      <c r="P41" s="3">
        <v>690.53</v>
      </c>
      <c r="Q41" s="3"/>
      <c r="R41" s="3"/>
      <c r="S41" s="3"/>
      <c r="T41" s="3"/>
    </row>
    <row r="42" spans="1:20">
      <c r="A42" s="23">
        <v>38</v>
      </c>
      <c r="B42" s="3" t="s">
        <v>1358</v>
      </c>
      <c r="C42" s="4" t="s">
        <v>1359</v>
      </c>
      <c r="D42" s="4" t="s">
        <v>57</v>
      </c>
      <c r="E42" s="4"/>
      <c r="F42" s="3" t="s">
        <v>428</v>
      </c>
      <c r="G42" s="23">
        <v>1</v>
      </c>
      <c r="H42" s="5" t="s">
        <v>11</v>
      </c>
      <c r="I42" s="35">
        <v>210</v>
      </c>
      <c r="J42" s="35">
        <f>G42*I42</f>
        <v>210</v>
      </c>
      <c r="K42" s="164"/>
      <c r="L42" s="3"/>
      <c r="M42" s="148"/>
      <c r="N42" s="3"/>
      <c r="O42" s="3"/>
      <c r="P42" s="3"/>
      <c r="Q42" s="3"/>
      <c r="R42" s="3"/>
      <c r="S42" s="3"/>
      <c r="T42" s="3"/>
    </row>
    <row r="43" spans="1:20">
      <c r="A43" s="23"/>
      <c r="B43" s="3" t="s">
        <v>2005</v>
      </c>
      <c r="C43" s="4" t="s">
        <v>2006</v>
      </c>
      <c r="D43" s="4" t="s">
        <v>57</v>
      </c>
      <c r="E43" s="4"/>
      <c r="F43" s="3" t="s">
        <v>428</v>
      </c>
      <c r="G43" s="23">
        <f>40-20</f>
        <v>20</v>
      </c>
      <c r="H43" s="5" t="s">
        <v>3</v>
      </c>
      <c r="I43" s="35"/>
      <c r="J43" s="35">
        <f>G43*I43</f>
        <v>0</v>
      </c>
      <c r="K43" s="164">
        <v>100</v>
      </c>
      <c r="L43" s="3"/>
      <c r="M43" s="149">
        <v>15624.38</v>
      </c>
      <c r="N43" s="3">
        <v>105</v>
      </c>
      <c r="O43" s="3"/>
      <c r="P43" s="3">
        <v>16405.62</v>
      </c>
      <c r="Q43" s="3"/>
      <c r="R43" s="3"/>
      <c r="S43" s="3"/>
      <c r="T43" s="3"/>
    </row>
    <row r="44" spans="1:20">
      <c r="A44" s="23">
        <v>39</v>
      </c>
      <c r="B44" s="3" t="s">
        <v>1362</v>
      </c>
      <c r="C44" s="4" t="s">
        <v>1363</v>
      </c>
      <c r="D44" s="4" t="s">
        <v>1364</v>
      </c>
      <c r="E44" s="4" t="s">
        <v>2104</v>
      </c>
      <c r="F44" s="3" t="s">
        <v>428</v>
      </c>
      <c r="G44" s="23">
        <f>6-3-1-1</f>
        <v>1</v>
      </c>
      <c r="H44" s="3" t="s">
        <v>6</v>
      </c>
      <c r="I44" s="35">
        <v>110</v>
      </c>
      <c r="J44" s="35">
        <f>G44*I44</f>
        <v>110</v>
      </c>
      <c r="K44" s="164"/>
      <c r="L44" s="3"/>
      <c r="M44" s="148"/>
      <c r="N44" s="3">
        <v>1</v>
      </c>
      <c r="O44" s="3"/>
      <c r="P44" s="3">
        <v>110</v>
      </c>
      <c r="Q44" s="3"/>
      <c r="R44" s="3"/>
      <c r="S44" s="3"/>
      <c r="T44" s="3"/>
    </row>
    <row r="45" spans="1:20">
      <c r="A45" s="23">
        <v>40</v>
      </c>
      <c r="B45" s="3" t="s">
        <v>1365</v>
      </c>
      <c r="C45" s="4" t="s">
        <v>1366</v>
      </c>
      <c r="D45" s="4" t="s">
        <v>1367</v>
      </c>
      <c r="E45" s="4"/>
      <c r="F45" s="3" t="s">
        <v>428</v>
      </c>
      <c r="G45" s="23">
        <f>12-5</f>
        <v>7</v>
      </c>
      <c r="H45" s="3" t="s">
        <v>6</v>
      </c>
      <c r="I45" s="35">
        <v>10</v>
      </c>
      <c r="J45" s="35">
        <f>G45*I45</f>
        <v>70</v>
      </c>
      <c r="K45" s="164"/>
      <c r="L45" s="3"/>
      <c r="M45" s="148"/>
      <c r="N45" s="3">
        <v>7</v>
      </c>
      <c r="O45" s="3"/>
      <c r="P45" s="3">
        <v>70</v>
      </c>
      <c r="Q45" s="3"/>
      <c r="R45" s="3"/>
      <c r="S45" s="3"/>
      <c r="T45" s="3"/>
    </row>
    <row r="46" spans="1:20">
      <c r="A46" s="23">
        <v>41</v>
      </c>
      <c r="B46" s="3" t="s">
        <v>1368</v>
      </c>
      <c r="C46" s="4" t="s">
        <v>1369</v>
      </c>
      <c r="D46" s="4" t="s">
        <v>57</v>
      </c>
      <c r="E46" s="4"/>
      <c r="F46" s="3" t="s">
        <v>428</v>
      </c>
      <c r="G46" s="23">
        <f>40-24-16+2500-200-50</f>
        <v>2250</v>
      </c>
      <c r="H46" s="3" t="s">
        <v>6</v>
      </c>
      <c r="I46" s="35">
        <v>7.55</v>
      </c>
      <c r="J46" s="35">
        <f t="shared" ref="J46:J51" si="5">G46*I46</f>
        <v>16987.5</v>
      </c>
      <c r="K46" s="164">
        <v>6800</v>
      </c>
      <c r="L46" s="3"/>
      <c r="M46" s="148">
        <v>54010.96</v>
      </c>
      <c r="N46" s="3">
        <v>7050</v>
      </c>
      <c r="O46" s="3"/>
      <c r="P46" s="3">
        <v>57755.69</v>
      </c>
      <c r="Q46" s="3"/>
      <c r="R46" s="3"/>
      <c r="S46" s="3"/>
      <c r="T46" s="3"/>
    </row>
    <row r="47" spans="1:20">
      <c r="A47" s="23">
        <v>42</v>
      </c>
      <c r="B47" s="3" t="s">
        <v>1370</v>
      </c>
      <c r="C47" s="4" t="s">
        <v>1371</v>
      </c>
      <c r="D47" s="4" t="s">
        <v>57</v>
      </c>
      <c r="E47" s="4"/>
      <c r="F47" s="3" t="s">
        <v>428</v>
      </c>
      <c r="G47" s="23">
        <f>1-0.5-0.5</f>
        <v>0</v>
      </c>
      <c r="H47" s="3" t="s">
        <v>11</v>
      </c>
      <c r="I47" s="35">
        <v>3255</v>
      </c>
      <c r="J47" s="35">
        <f t="shared" si="5"/>
        <v>0</v>
      </c>
      <c r="K47" s="164">
        <v>31</v>
      </c>
      <c r="L47" s="3"/>
      <c r="M47" s="148">
        <v>103386.94</v>
      </c>
      <c r="N47" s="3">
        <v>31</v>
      </c>
      <c r="O47" s="3"/>
      <c r="P47" s="148">
        <v>103386.94</v>
      </c>
      <c r="Q47" s="3"/>
      <c r="R47" s="3"/>
      <c r="S47" s="3"/>
      <c r="T47" s="3"/>
    </row>
    <row r="48" spans="1:20">
      <c r="A48" s="23">
        <v>43</v>
      </c>
      <c r="B48" s="3" t="s">
        <v>1372</v>
      </c>
      <c r="C48" s="4" t="s">
        <v>1282</v>
      </c>
      <c r="D48" s="4" t="s">
        <v>1373</v>
      </c>
      <c r="E48" s="4"/>
      <c r="F48" s="3" t="s">
        <v>428</v>
      </c>
      <c r="G48" s="23">
        <v>1</v>
      </c>
      <c r="H48" s="3" t="s">
        <v>6</v>
      </c>
      <c r="I48" s="35">
        <v>900</v>
      </c>
      <c r="J48" s="35">
        <f t="shared" si="5"/>
        <v>900</v>
      </c>
      <c r="K48" s="164"/>
      <c r="L48" s="3"/>
      <c r="M48" s="148"/>
      <c r="N48" s="3"/>
      <c r="O48" s="3"/>
      <c r="P48" s="3"/>
      <c r="Q48" s="3"/>
      <c r="R48" s="3"/>
      <c r="S48" s="3"/>
      <c r="T48" s="3"/>
    </row>
    <row r="49" spans="1:20">
      <c r="A49" s="23">
        <v>44</v>
      </c>
      <c r="B49" s="3" t="s">
        <v>1374</v>
      </c>
      <c r="C49" s="4" t="s">
        <v>1375</v>
      </c>
      <c r="D49" s="4" t="s">
        <v>57</v>
      </c>
      <c r="E49" s="4"/>
      <c r="F49" s="3" t="s">
        <v>428</v>
      </c>
      <c r="G49" s="116">
        <v>5</v>
      </c>
      <c r="H49" s="3" t="s">
        <v>1</v>
      </c>
      <c r="I49" s="35">
        <v>70</v>
      </c>
      <c r="J49" s="35">
        <f t="shared" si="5"/>
        <v>350</v>
      </c>
      <c r="K49" s="164"/>
      <c r="L49" s="3"/>
      <c r="M49" s="148"/>
      <c r="N49" s="3">
        <v>5</v>
      </c>
      <c r="O49" s="3"/>
      <c r="P49" s="3">
        <v>350</v>
      </c>
      <c r="Q49" s="3"/>
      <c r="R49" s="3"/>
      <c r="S49" s="3"/>
      <c r="T49" s="3"/>
    </row>
    <row r="50" spans="1:20">
      <c r="A50" s="23">
        <v>45</v>
      </c>
      <c r="B50" s="3" t="s">
        <v>1376</v>
      </c>
      <c r="C50" s="4" t="s">
        <v>1377</v>
      </c>
      <c r="D50" s="4" t="s">
        <v>57</v>
      </c>
      <c r="E50" s="4"/>
      <c r="F50" s="3" t="s">
        <v>428</v>
      </c>
      <c r="G50" s="23">
        <f>8-4-2</f>
        <v>2</v>
      </c>
      <c r="H50" s="3" t="s">
        <v>6</v>
      </c>
      <c r="I50" s="35">
        <v>29.5</v>
      </c>
      <c r="J50" s="35">
        <f t="shared" si="5"/>
        <v>59</v>
      </c>
      <c r="K50" s="164"/>
      <c r="L50" s="3"/>
      <c r="M50" s="148"/>
      <c r="N50" s="3">
        <v>2</v>
      </c>
      <c r="O50" s="3"/>
      <c r="P50" s="3">
        <v>59</v>
      </c>
      <c r="Q50" s="3"/>
      <c r="R50" s="3"/>
      <c r="S50" s="3"/>
      <c r="T50" s="3"/>
    </row>
    <row r="51" spans="1:20">
      <c r="A51" s="23">
        <v>46</v>
      </c>
      <c r="B51" s="3" t="s">
        <v>1378</v>
      </c>
      <c r="C51" s="4" t="s">
        <v>1379</v>
      </c>
      <c r="D51" s="4" t="s">
        <v>57</v>
      </c>
      <c r="E51" s="4"/>
      <c r="F51" s="3" t="s">
        <v>428</v>
      </c>
      <c r="G51" s="23">
        <v>5</v>
      </c>
      <c r="H51" s="3" t="s">
        <v>11</v>
      </c>
      <c r="I51" s="35">
        <v>37.5</v>
      </c>
      <c r="J51" s="35">
        <f t="shared" si="5"/>
        <v>187.5</v>
      </c>
      <c r="K51" s="164"/>
      <c r="L51" s="3"/>
      <c r="M51" s="148"/>
      <c r="N51" s="3">
        <v>3</v>
      </c>
      <c r="O51" s="3"/>
      <c r="P51" s="3">
        <v>112.5</v>
      </c>
      <c r="Q51" s="3"/>
      <c r="R51" s="3"/>
      <c r="S51" s="3"/>
      <c r="T51" s="3"/>
    </row>
    <row r="52" spans="1:20">
      <c r="A52" s="23">
        <v>47</v>
      </c>
      <c r="B52" s="9" t="s">
        <v>1380</v>
      </c>
      <c r="C52" s="10" t="s">
        <v>1381</v>
      </c>
      <c r="D52" s="10" t="s">
        <v>1361</v>
      </c>
      <c r="E52" s="10"/>
      <c r="F52" s="9" t="s">
        <v>428</v>
      </c>
      <c r="G52" s="91">
        <f>2-2</f>
        <v>0</v>
      </c>
      <c r="H52" s="9" t="s">
        <v>6</v>
      </c>
      <c r="I52" s="36">
        <f>23.6/2</f>
        <v>11.8</v>
      </c>
      <c r="J52" s="36">
        <f>G52*I52</f>
        <v>0</v>
      </c>
      <c r="K52" s="164"/>
      <c r="L52" s="3"/>
      <c r="M52" s="148"/>
      <c r="N52" s="3"/>
      <c r="O52" s="3"/>
      <c r="P52" s="3"/>
      <c r="Q52" s="3"/>
      <c r="R52" s="3"/>
      <c r="S52" s="3"/>
      <c r="T52" s="3"/>
    </row>
    <row r="53" spans="1:20">
      <c r="A53" s="23">
        <v>48</v>
      </c>
      <c r="B53" s="3" t="s">
        <v>1382</v>
      </c>
      <c r="C53" s="4" t="s">
        <v>1383</v>
      </c>
      <c r="D53" s="4" t="s">
        <v>57</v>
      </c>
      <c r="E53" s="4"/>
      <c r="F53" s="9" t="s">
        <v>428</v>
      </c>
      <c r="G53" s="23">
        <f>18-1-1-1-1-2</f>
        <v>12</v>
      </c>
      <c r="H53" s="3" t="s">
        <v>6</v>
      </c>
      <c r="I53" s="35">
        <v>80</v>
      </c>
      <c r="J53" s="35">
        <f t="shared" ref="J53:J65" si="6">G53*I53</f>
        <v>960</v>
      </c>
      <c r="K53" s="164">
        <v>10</v>
      </c>
      <c r="L53" s="3"/>
      <c r="M53" s="149">
        <v>869.66</v>
      </c>
      <c r="N53" s="3">
        <v>22</v>
      </c>
      <c r="O53" s="3"/>
      <c r="P53" s="3">
        <v>1935.61</v>
      </c>
      <c r="Q53" s="3"/>
      <c r="R53" s="3"/>
      <c r="S53" s="3"/>
      <c r="T53" s="3"/>
    </row>
    <row r="54" spans="1:20">
      <c r="A54" s="23">
        <v>49</v>
      </c>
      <c r="B54" s="3" t="s">
        <v>1385</v>
      </c>
      <c r="C54" s="4" t="s">
        <v>1386</v>
      </c>
      <c r="D54" s="4" t="s">
        <v>57</v>
      </c>
      <c r="E54" s="4"/>
      <c r="F54" s="3" t="s">
        <v>428</v>
      </c>
      <c r="G54" s="23">
        <v>5</v>
      </c>
      <c r="H54" s="3" t="s">
        <v>6</v>
      </c>
      <c r="I54" s="35">
        <v>6</v>
      </c>
      <c r="J54" s="35">
        <f t="shared" si="6"/>
        <v>30</v>
      </c>
      <c r="K54" s="164"/>
      <c r="L54" s="3"/>
      <c r="M54" s="148"/>
      <c r="N54" s="3"/>
      <c r="O54" s="3"/>
      <c r="P54" s="3"/>
      <c r="Q54" s="3"/>
      <c r="R54" s="3"/>
      <c r="S54" s="3"/>
      <c r="T54" s="3"/>
    </row>
    <row r="55" spans="1:20">
      <c r="A55" s="23">
        <v>50</v>
      </c>
      <c r="B55" s="3" t="s">
        <v>1387</v>
      </c>
      <c r="C55" s="8" t="s">
        <v>1388</v>
      </c>
      <c r="D55" s="8" t="s">
        <v>57</v>
      </c>
      <c r="E55" s="8"/>
      <c r="F55" s="28" t="s">
        <v>428</v>
      </c>
      <c r="G55" s="89">
        <f>7-2-1-1-3</f>
        <v>0</v>
      </c>
      <c r="H55" s="28" t="s">
        <v>6</v>
      </c>
      <c r="I55" s="54">
        <v>50</v>
      </c>
      <c r="J55" s="35">
        <f t="shared" si="6"/>
        <v>0</v>
      </c>
      <c r="K55" s="164">
        <v>24</v>
      </c>
      <c r="L55" s="3"/>
      <c r="M55" s="149">
        <v>1404.11</v>
      </c>
      <c r="N55" s="3">
        <v>9</v>
      </c>
      <c r="O55" s="3"/>
      <c r="P55" s="3">
        <v>526.5</v>
      </c>
      <c r="Q55" s="3"/>
      <c r="R55" s="3"/>
      <c r="S55" s="3"/>
      <c r="T55" s="3"/>
    </row>
    <row r="56" spans="1:20">
      <c r="A56" s="23">
        <v>51</v>
      </c>
      <c r="B56" s="3" t="s">
        <v>1389</v>
      </c>
      <c r="C56" s="8" t="s">
        <v>1390</v>
      </c>
      <c r="D56" s="8" t="s">
        <v>57</v>
      </c>
      <c r="E56" s="8"/>
      <c r="F56" s="28" t="s">
        <v>428</v>
      </c>
      <c r="G56" s="89">
        <f>5-1</f>
        <v>4</v>
      </c>
      <c r="H56" s="28" t="s">
        <v>1391</v>
      </c>
      <c r="I56" s="54">
        <v>12</v>
      </c>
      <c r="J56" s="35">
        <f t="shared" si="6"/>
        <v>48</v>
      </c>
      <c r="K56" s="164">
        <v>20</v>
      </c>
      <c r="L56" s="3"/>
      <c r="M56" s="149">
        <v>263.2</v>
      </c>
      <c r="N56" s="3">
        <v>1</v>
      </c>
      <c r="O56" s="3"/>
      <c r="P56" s="3">
        <v>13.16</v>
      </c>
      <c r="Q56" s="3"/>
      <c r="R56" s="3"/>
      <c r="S56" s="3"/>
      <c r="T56" s="3"/>
    </row>
    <row r="57" spans="1:20">
      <c r="A57" s="23">
        <v>52</v>
      </c>
      <c r="B57" s="3" t="s">
        <v>1392</v>
      </c>
      <c r="C57" s="8" t="s">
        <v>1849</v>
      </c>
      <c r="D57" s="8" t="s">
        <v>57</v>
      </c>
      <c r="E57" s="8"/>
      <c r="F57" s="28" t="s">
        <v>428</v>
      </c>
      <c r="G57" s="89">
        <f>27+54-81</f>
        <v>0</v>
      </c>
      <c r="H57" s="28" t="s">
        <v>6</v>
      </c>
      <c r="I57" s="54">
        <v>29.63</v>
      </c>
      <c r="J57" s="35">
        <f t="shared" si="6"/>
        <v>0</v>
      </c>
      <c r="K57" s="164"/>
      <c r="L57" s="3"/>
      <c r="M57" s="148"/>
      <c r="N57" s="3"/>
      <c r="O57" s="3"/>
      <c r="P57" s="3"/>
      <c r="Q57" s="3"/>
      <c r="R57" s="3"/>
      <c r="S57" s="3"/>
      <c r="T57" s="3"/>
    </row>
    <row r="58" spans="1:20">
      <c r="A58" s="23">
        <v>53</v>
      </c>
      <c r="B58" s="3" t="s">
        <v>1393</v>
      </c>
      <c r="C58" s="4" t="s">
        <v>1394</v>
      </c>
      <c r="D58" s="4" t="s">
        <v>57</v>
      </c>
      <c r="E58" s="4"/>
      <c r="F58" s="3" t="s">
        <v>428</v>
      </c>
      <c r="G58" s="23">
        <f>9-2-1-1-3</f>
        <v>2</v>
      </c>
      <c r="H58" s="3" t="s">
        <v>6</v>
      </c>
      <c r="I58" s="35">
        <v>30</v>
      </c>
      <c r="J58" s="35">
        <f t="shared" si="6"/>
        <v>60</v>
      </c>
      <c r="K58" s="164"/>
      <c r="L58" s="3"/>
      <c r="M58" s="148"/>
      <c r="N58" s="3">
        <v>2</v>
      </c>
      <c r="O58" s="3"/>
      <c r="P58" s="3">
        <v>60</v>
      </c>
      <c r="Q58" s="3"/>
      <c r="R58" s="3"/>
      <c r="S58" s="3"/>
      <c r="T58" s="3"/>
    </row>
    <row r="59" spans="1:20">
      <c r="A59" s="23">
        <v>54</v>
      </c>
      <c r="B59" s="3" t="s">
        <v>1395</v>
      </c>
      <c r="C59" s="4" t="s">
        <v>1396</v>
      </c>
      <c r="D59" s="4" t="s">
        <v>57</v>
      </c>
      <c r="E59" s="4"/>
      <c r="F59" s="3" t="s">
        <v>428</v>
      </c>
      <c r="G59" s="23">
        <f>15-6+10-6-1-2-1-2+2</f>
        <v>9</v>
      </c>
      <c r="H59" s="3" t="s">
        <v>11</v>
      </c>
      <c r="I59" s="35">
        <v>235.2</v>
      </c>
      <c r="J59" s="35">
        <f t="shared" si="6"/>
        <v>2116.7999999999997</v>
      </c>
      <c r="K59" s="164">
        <v>45</v>
      </c>
      <c r="L59" s="3"/>
      <c r="M59" s="148">
        <v>9027.1</v>
      </c>
      <c r="N59" s="3">
        <v>51</v>
      </c>
      <c r="O59" s="3"/>
      <c r="P59" s="3">
        <v>10455.43</v>
      </c>
      <c r="Q59" s="3"/>
      <c r="R59" s="3"/>
      <c r="S59" s="3"/>
      <c r="T59" s="3"/>
    </row>
    <row r="60" spans="1:20" ht="30">
      <c r="A60" s="23">
        <v>55</v>
      </c>
      <c r="B60" s="9" t="s">
        <v>1397</v>
      </c>
      <c r="C60" s="64" t="s">
        <v>1398</v>
      </c>
      <c r="D60" s="64" t="s">
        <v>1399</v>
      </c>
      <c r="E60" s="64"/>
      <c r="F60" s="63" t="s">
        <v>428</v>
      </c>
      <c r="G60" s="90">
        <v>1</v>
      </c>
      <c r="H60" s="63" t="s">
        <v>6</v>
      </c>
      <c r="I60" s="75">
        <v>35000</v>
      </c>
      <c r="J60" s="36">
        <f t="shared" si="6"/>
        <v>35000</v>
      </c>
      <c r="K60" s="164"/>
      <c r="L60" s="3"/>
      <c r="M60" s="148"/>
      <c r="N60" s="3"/>
      <c r="O60" s="3"/>
      <c r="P60" s="3"/>
      <c r="Q60" s="3"/>
      <c r="R60" s="3"/>
      <c r="S60" s="3"/>
      <c r="T60" s="3"/>
    </row>
    <row r="61" spans="1:20">
      <c r="A61" s="23">
        <v>56</v>
      </c>
      <c r="B61" s="3" t="s">
        <v>1400</v>
      </c>
      <c r="C61" s="8" t="s">
        <v>1701</v>
      </c>
      <c r="D61" s="8" t="s">
        <v>1401</v>
      </c>
      <c r="E61" s="8"/>
      <c r="F61" s="28" t="s">
        <v>428</v>
      </c>
      <c r="G61" s="89">
        <v>1</v>
      </c>
      <c r="H61" s="28" t="s">
        <v>6</v>
      </c>
      <c r="I61" s="54">
        <v>5000</v>
      </c>
      <c r="J61" s="35">
        <f t="shared" si="6"/>
        <v>5000</v>
      </c>
      <c r="K61" s="164"/>
      <c r="L61" s="3"/>
      <c r="M61" s="148"/>
      <c r="N61" s="3"/>
      <c r="O61" s="3"/>
      <c r="P61" s="3"/>
      <c r="Q61" s="3"/>
      <c r="R61" s="3"/>
      <c r="S61" s="3"/>
      <c r="T61" s="3"/>
    </row>
    <row r="62" spans="1:20">
      <c r="A62" s="23">
        <v>57</v>
      </c>
      <c r="B62" s="3" t="s">
        <v>1402</v>
      </c>
      <c r="C62" s="8" t="s">
        <v>1403</v>
      </c>
      <c r="D62" s="8" t="s">
        <v>57</v>
      </c>
      <c r="E62" s="8"/>
      <c r="F62" s="28" t="s">
        <v>428</v>
      </c>
      <c r="G62" s="89">
        <v>3</v>
      </c>
      <c r="H62" s="28" t="s">
        <v>6</v>
      </c>
      <c r="I62" s="54">
        <v>1200</v>
      </c>
      <c r="J62" s="35">
        <f t="shared" si="6"/>
        <v>3600</v>
      </c>
      <c r="K62" s="164"/>
      <c r="L62" s="3"/>
      <c r="M62" s="148"/>
      <c r="N62" s="3"/>
      <c r="O62" s="3"/>
      <c r="P62" s="3"/>
      <c r="Q62" s="3"/>
      <c r="R62" s="3"/>
      <c r="S62" s="3"/>
      <c r="T62" s="3"/>
    </row>
    <row r="63" spans="1:20">
      <c r="A63" s="23">
        <v>58</v>
      </c>
      <c r="B63" s="3" t="s">
        <v>1404</v>
      </c>
      <c r="C63" s="8" t="s">
        <v>1405</v>
      </c>
      <c r="D63" s="8" t="s">
        <v>57</v>
      </c>
      <c r="E63" s="8"/>
      <c r="F63" s="28" t="s">
        <v>428</v>
      </c>
      <c r="G63" s="89">
        <v>2</v>
      </c>
      <c r="H63" s="28" t="s">
        <v>6</v>
      </c>
      <c r="I63" s="54">
        <v>800</v>
      </c>
      <c r="J63" s="35">
        <f t="shared" si="6"/>
        <v>1600</v>
      </c>
      <c r="K63" s="164"/>
      <c r="L63" s="3"/>
      <c r="M63" s="148"/>
      <c r="N63" s="3"/>
      <c r="O63" s="3"/>
      <c r="P63" s="3"/>
      <c r="Q63" s="3"/>
      <c r="R63" s="3"/>
      <c r="S63" s="3"/>
      <c r="T63" s="3"/>
    </row>
    <row r="64" spans="1:20">
      <c r="A64" s="23">
        <v>59</v>
      </c>
      <c r="B64" s="3" t="s">
        <v>1406</v>
      </c>
      <c r="C64" s="8" t="s">
        <v>1407</v>
      </c>
      <c r="D64" s="8" t="s">
        <v>57</v>
      </c>
      <c r="E64" s="8"/>
      <c r="F64" s="28" t="s">
        <v>428</v>
      </c>
      <c r="G64" s="89">
        <v>2</v>
      </c>
      <c r="H64" s="28" t="s">
        <v>6</v>
      </c>
      <c r="I64" s="54">
        <v>600</v>
      </c>
      <c r="J64" s="35">
        <f t="shared" si="6"/>
        <v>1200</v>
      </c>
      <c r="K64" s="164"/>
      <c r="L64" s="3"/>
      <c r="M64" s="148"/>
      <c r="N64" s="3"/>
      <c r="O64" s="3"/>
      <c r="P64" s="3"/>
      <c r="Q64" s="3"/>
      <c r="R64" s="3"/>
      <c r="S64" s="3"/>
      <c r="T64" s="3"/>
    </row>
    <row r="65" spans="1:20">
      <c r="A65" s="23">
        <v>60</v>
      </c>
      <c r="B65" s="3" t="s">
        <v>1408</v>
      </c>
      <c r="C65" s="8" t="s">
        <v>1409</v>
      </c>
      <c r="D65" s="8" t="s">
        <v>57</v>
      </c>
      <c r="E65" s="8"/>
      <c r="F65" s="28" t="s">
        <v>428</v>
      </c>
      <c r="G65" s="89">
        <v>1</v>
      </c>
      <c r="H65" s="28" t="s">
        <v>6</v>
      </c>
      <c r="I65" s="54">
        <v>2800</v>
      </c>
      <c r="J65" s="35">
        <f t="shared" si="6"/>
        <v>2800</v>
      </c>
      <c r="K65" s="164"/>
      <c r="L65" s="3"/>
      <c r="M65" s="148"/>
      <c r="N65" s="3"/>
      <c r="O65" s="3"/>
      <c r="P65" s="3"/>
      <c r="Q65" s="3"/>
      <c r="R65" s="3"/>
      <c r="S65" s="3"/>
      <c r="T65" s="3"/>
    </row>
    <row r="66" spans="1:20">
      <c r="A66" s="23">
        <v>61</v>
      </c>
      <c r="B66" s="3" t="s">
        <v>1411</v>
      </c>
      <c r="C66" s="4" t="s">
        <v>1412</v>
      </c>
      <c r="D66" s="4" t="s">
        <v>57</v>
      </c>
      <c r="E66" s="4"/>
      <c r="F66" s="3" t="s">
        <v>428</v>
      </c>
      <c r="G66" s="23">
        <v>10</v>
      </c>
      <c r="H66" s="3" t="s">
        <v>6</v>
      </c>
      <c r="I66" s="35">
        <v>300</v>
      </c>
      <c r="J66" s="35">
        <f>G66*I66</f>
        <v>3000</v>
      </c>
      <c r="K66" s="166"/>
      <c r="L66" s="3"/>
      <c r="M66" s="148"/>
      <c r="N66" s="3"/>
      <c r="O66" s="3"/>
      <c r="P66" s="3"/>
      <c r="Q66" s="3"/>
      <c r="R66" s="3"/>
      <c r="S66" s="3"/>
      <c r="T66" s="3"/>
    </row>
    <row r="67" spans="1:20">
      <c r="A67" s="23">
        <v>62</v>
      </c>
      <c r="B67" s="3" t="s">
        <v>1413</v>
      </c>
      <c r="C67" s="8" t="s">
        <v>1414</v>
      </c>
      <c r="D67" s="8" t="s">
        <v>57</v>
      </c>
      <c r="E67" s="8"/>
      <c r="F67" s="28" t="s">
        <v>428</v>
      </c>
      <c r="G67" s="89">
        <v>1</v>
      </c>
      <c r="H67" s="28" t="s">
        <v>6</v>
      </c>
      <c r="I67" s="54">
        <v>150</v>
      </c>
      <c r="J67" s="35">
        <f t="shared" ref="J67" si="7">G67*I67</f>
        <v>150</v>
      </c>
      <c r="K67" s="164"/>
      <c r="L67" s="3"/>
      <c r="M67" s="148"/>
      <c r="N67" s="3"/>
      <c r="O67" s="3"/>
      <c r="P67" s="3"/>
      <c r="Q67" s="3"/>
      <c r="R67" s="3"/>
      <c r="S67" s="3"/>
      <c r="T67" s="3"/>
    </row>
    <row r="68" spans="1:20">
      <c r="A68" s="23">
        <v>63</v>
      </c>
      <c r="B68" s="3" t="s">
        <v>1415</v>
      </c>
      <c r="C68" s="4" t="s">
        <v>1416</v>
      </c>
      <c r="D68" s="4" t="s">
        <v>57</v>
      </c>
      <c r="E68" s="4"/>
      <c r="F68" s="3" t="s">
        <v>428</v>
      </c>
      <c r="G68" s="23">
        <v>15</v>
      </c>
      <c r="H68" s="3" t="s">
        <v>6</v>
      </c>
      <c r="I68" s="35">
        <v>20</v>
      </c>
      <c r="J68" s="35">
        <f>G68*I68</f>
        <v>300</v>
      </c>
      <c r="K68" s="164"/>
      <c r="L68" s="3"/>
      <c r="M68" s="148"/>
      <c r="N68" s="3"/>
      <c r="O68" s="3"/>
      <c r="P68" s="3"/>
      <c r="Q68" s="3"/>
      <c r="R68" s="3"/>
      <c r="S68" s="3"/>
      <c r="T68" s="3"/>
    </row>
    <row r="69" spans="1:20">
      <c r="A69" s="23">
        <v>64</v>
      </c>
      <c r="B69" s="3" t="s">
        <v>1419</v>
      </c>
      <c r="C69" s="8" t="s">
        <v>1417</v>
      </c>
      <c r="D69" s="8" t="s">
        <v>1420</v>
      </c>
      <c r="E69" s="8"/>
      <c r="F69" s="28" t="s">
        <v>428</v>
      </c>
      <c r="G69" s="89">
        <f>12+42</f>
        <v>54</v>
      </c>
      <c r="H69" s="28" t="s">
        <v>63</v>
      </c>
      <c r="I69" s="54">
        <v>60</v>
      </c>
      <c r="J69" s="35">
        <f t="shared" ref="J69:J80" si="8">G69*I69</f>
        <v>3240</v>
      </c>
      <c r="K69" s="164"/>
      <c r="L69" s="3"/>
      <c r="M69" s="148"/>
      <c r="N69" s="3"/>
      <c r="O69" s="3"/>
      <c r="P69" s="3"/>
      <c r="Q69" s="3"/>
      <c r="R69" s="3"/>
      <c r="S69" s="3"/>
      <c r="T69" s="3"/>
    </row>
    <row r="70" spans="1:20">
      <c r="A70" s="23">
        <v>65</v>
      </c>
      <c r="B70" s="3" t="s">
        <v>1421</v>
      </c>
      <c r="C70" s="8" t="s">
        <v>1418</v>
      </c>
      <c r="D70" s="8" t="s">
        <v>1422</v>
      </c>
      <c r="E70" s="8"/>
      <c r="F70" s="28" t="s">
        <v>428</v>
      </c>
      <c r="G70" s="89">
        <v>12</v>
      </c>
      <c r="H70" s="28" t="s">
        <v>63</v>
      </c>
      <c r="I70" s="54">
        <v>135</v>
      </c>
      <c r="J70" s="35">
        <f t="shared" si="8"/>
        <v>1620</v>
      </c>
      <c r="K70" s="164"/>
      <c r="L70" s="3"/>
      <c r="M70" s="148"/>
      <c r="N70" s="3"/>
      <c r="O70" s="3"/>
      <c r="P70" s="3"/>
      <c r="Q70" s="3"/>
      <c r="R70" s="3"/>
      <c r="S70" s="3"/>
      <c r="T70" s="3"/>
    </row>
    <row r="71" spans="1:20">
      <c r="A71" s="23">
        <v>66</v>
      </c>
      <c r="B71" s="3" t="s">
        <v>1423</v>
      </c>
      <c r="C71" s="8" t="s">
        <v>1424</v>
      </c>
      <c r="D71" s="8" t="s">
        <v>76</v>
      </c>
      <c r="E71" s="8"/>
      <c r="F71" s="28" t="s">
        <v>428</v>
      </c>
      <c r="G71" s="89">
        <v>22</v>
      </c>
      <c r="H71" s="28" t="s">
        <v>6</v>
      </c>
      <c r="I71" s="54">
        <v>52</v>
      </c>
      <c r="J71" s="35">
        <f t="shared" si="8"/>
        <v>1144</v>
      </c>
      <c r="K71" s="164"/>
      <c r="L71" s="3"/>
      <c r="M71" s="148"/>
      <c r="N71" s="3"/>
      <c r="O71" s="3"/>
      <c r="P71" s="3"/>
      <c r="Q71" s="3"/>
      <c r="R71" s="3"/>
      <c r="S71" s="3"/>
      <c r="T71" s="3"/>
    </row>
    <row r="72" spans="1:20">
      <c r="A72" s="23">
        <v>67</v>
      </c>
      <c r="B72" s="3" t="s">
        <v>1425</v>
      </c>
      <c r="C72" s="8" t="s">
        <v>1424</v>
      </c>
      <c r="D72" s="8" t="s">
        <v>207</v>
      </c>
      <c r="E72" s="8"/>
      <c r="F72" s="28" t="s">
        <v>428</v>
      </c>
      <c r="G72" s="89">
        <v>8</v>
      </c>
      <c r="H72" s="28" t="s">
        <v>6</v>
      </c>
      <c r="I72" s="54">
        <v>25</v>
      </c>
      <c r="J72" s="35">
        <f t="shared" si="8"/>
        <v>200</v>
      </c>
      <c r="K72" s="164"/>
      <c r="L72" s="3"/>
      <c r="M72" s="148"/>
      <c r="N72" s="3"/>
      <c r="O72" s="3"/>
      <c r="P72" s="3"/>
      <c r="Q72" s="3"/>
      <c r="R72" s="3"/>
      <c r="S72" s="3"/>
      <c r="T72" s="3"/>
    </row>
    <row r="73" spans="1:20">
      <c r="A73" s="23">
        <v>68</v>
      </c>
      <c r="B73" s="3" t="s">
        <v>1426</v>
      </c>
      <c r="C73" s="8" t="s">
        <v>1418</v>
      </c>
      <c r="D73" s="8" t="s">
        <v>1361</v>
      </c>
      <c r="E73" s="8"/>
      <c r="F73" s="28" t="s">
        <v>428</v>
      </c>
      <c r="G73" s="89">
        <v>6</v>
      </c>
      <c r="H73" s="28" t="s">
        <v>63</v>
      </c>
      <c r="I73" s="54">
        <v>75</v>
      </c>
      <c r="J73" s="35">
        <f t="shared" si="8"/>
        <v>450</v>
      </c>
      <c r="K73" s="164"/>
      <c r="L73" s="3"/>
      <c r="M73" s="148"/>
      <c r="N73" s="3"/>
      <c r="O73" s="3"/>
      <c r="P73" s="3"/>
      <c r="Q73" s="3"/>
      <c r="R73" s="3"/>
      <c r="S73" s="3"/>
      <c r="T73" s="3"/>
    </row>
    <row r="74" spans="1:20">
      <c r="A74" s="23">
        <v>69</v>
      </c>
      <c r="B74" s="3" t="s">
        <v>1428</v>
      </c>
      <c r="C74" s="8" t="s">
        <v>1424</v>
      </c>
      <c r="D74" s="8" t="s">
        <v>1429</v>
      </c>
      <c r="E74" s="8"/>
      <c r="F74" s="28" t="s">
        <v>428</v>
      </c>
      <c r="G74" s="89">
        <v>15</v>
      </c>
      <c r="H74" s="28" t="s">
        <v>6</v>
      </c>
      <c r="I74" s="54">
        <v>80</v>
      </c>
      <c r="J74" s="35">
        <f t="shared" si="8"/>
        <v>1200</v>
      </c>
      <c r="K74" s="164"/>
      <c r="L74" s="3"/>
      <c r="M74" s="148"/>
      <c r="N74" s="3"/>
      <c r="O74" s="3"/>
      <c r="P74" s="3"/>
      <c r="Q74" s="3"/>
      <c r="R74" s="3"/>
      <c r="S74" s="3"/>
      <c r="T74" s="3"/>
    </row>
    <row r="75" spans="1:20">
      <c r="A75" s="23">
        <v>70</v>
      </c>
      <c r="B75" s="3" t="s">
        <v>1430</v>
      </c>
      <c r="C75" s="8" t="s">
        <v>1427</v>
      </c>
      <c r="D75" s="8" t="s">
        <v>207</v>
      </c>
      <c r="E75" s="8"/>
      <c r="F75" s="28" t="s">
        <v>428</v>
      </c>
      <c r="G75" s="89">
        <v>9</v>
      </c>
      <c r="H75" s="28" t="s">
        <v>6</v>
      </c>
      <c r="I75" s="54">
        <v>32</v>
      </c>
      <c r="J75" s="35">
        <f t="shared" si="8"/>
        <v>288</v>
      </c>
      <c r="K75" s="164"/>
      <c r="L75" s="3"/>
      <c r="M75" s="148"/>
      <c r="N75" s="3"/>
      <c r="O75" s="3"/>
      <c r="P75" s="3"/>
      <c r="Q75" s="3"/>
      <c r="R75" s="3"/>
      <c r="S75" s="3"/>
      <c r="T75" s="3"/>
    </row>
    <row r="76" spans="1:20">
      <c r="A76" s="23">
        <v>71</v>
      </c>
      <c r="B76" s="3" t="s">
        <v>1431</v>
      </c>
      <c r="C76" s="8" t="s">
        <v>1427</v>
      </c>
      <c r="D76" s="8" t="s">
        <v>76</v>
      </c>
      <c r="E76" s="8"/>
      <c r="F76" s="28" t="s">
        <v>428</v>
      </c>
      <c r="G76" s="89">
        <v>13</v>
      </c>
      <c r="H76" s="28" t="s">
        <v>6</v>
      </c>
      <c r="I76" s="54">
        <v>62</v>
      </c>
      <c r="J76" s="35">
        <f t="shared" si="8"/>
        <v>806</v>
      </c>
      <c r="K76" s="164"/>
      <c r="L76" s="3"/>
      <c r="M76" s="148"/>
      <c r="N76" s="3"/>
      <c r="O76" s="3"/>
      <c r="P76" s="3"/>
      <c r="Q76" s="3"/>
      <c r="R76" s="3"/>
      <c r="S76" s="3"/>
      <c r="T76" s="3"/>
    </row>
    <row r="77" spans="1:20">
      <c r="A77" s="23">
        <v>72</v>
      </c>
      <c r="B77" s="3" t="s">
        <v>1432</v>
      </c>
      <c r="C77" s="8" t="s">
        <v>1424</v>
      </c>
      <c r="D77" s="8" t="s">
        <v>46</v>
      </c>
      <c r="E77" s="8"/>
      <c r="F77" s="28" t="s">
        <v>428</v>
      </c>
      <c r="G77" s="89">
        <v>14</v>
      </c>
      <c r="H77" s="28" t="s">
        <v>6</v>
      </c>
      <c r="I77" s="54">
        <v>15</v>
      </c>
      <c r="J77" s="35">
        <f t="shared" si="8"/>
        <v>210</v>
      </c>
      <c r="K77" s="164"/>
      <c r="L77" s="3"/>
      <c r="M77" s="148"/>
      <c r="N77" s="3"/>
      <c r="O77" s="3"/>
      <c r="P77" s="3"/>
      <c r="Q77" s="3"/>
      <c r="R77" s="3"/>
      <c r="S77" s="3"/>
      <c r="T77" s="3"/>
    </row>
    <row r="78" spans="1:20">
      <c r="A78" s="23">
        <v>73</v>
      </c>
      <c r="B78" s="3" t="s">
        <v>1433</v>
      </c>
      <c r="C78" s="8" t="s">
        <v>1434</v>
      </c>
      <c r="D78" s="8" t="s">
        <v>57</v>
      </c>
      <c r="E78" s="8"/>
      <c r="F78" s="28" t="s">
        <v>428</v>
      </c>
      <c r="G78" s="89">
        <v>5</v>
      </c>
      <c r="H78" s="28" t="s">
        <v>6</v>
      </c>
      <c r="I78" s="54">
        <v>220</v>
      </c>
      <c r="J78" s="35">
        <f t="shared" si="8"/>
        <v>1100</v>
      </c>
      <c r="K78" s="164"/>
      <c r="L78" s="3"/>
      <c r="M78" s="148"/>
      <c r="N78" s="3"/>
      <c r="O78" s="3"/>
      <c r="P78" s="3"/>
      <c r="Q78" s="3"/>
      <c r="R78" s="3"/>
      <c r="S78" s="3"/>
      <c r="T78" s="3"/>
    </row>
    <row r="79" spans="1:20">
      <c r="A79" s="23">
        <v>74</v>
      </c>
      <c r="B79" s="3" t="s">
        <v>1435</v>
      </c>
      <c r="C79" s="8" t="s">
        <v>1436</v>
      </c>
      <c r="D79" s="8" t="s">
        <v>57</v>
      </c>
      <c r="E79" s="8"/>
      <c r="F79" s="28" t="s">
        <v>428</v>
      </c>
      <c r="G79" s="89">
        <v>4</v>
      </c>
      <c r="H79" s="28" t="s">
        <v>6</v>
      </c>
      <c r="I79" s="54">
        <v>98</v>
      </c>
      <c r="J79" s="35">
        <f t="shared" si="8"/>
        <v>392</v>
      </c>
      <c r="K79" s="164"/>
      <c r="L79" s="3"/>
      <c r="M79" s="148"/>
      <c r="N79" s="3"/>
      <c r="O79" s="3"/>
      <c r="P79" s="3"/>
      <c r="Q79" s="3"/>
      <c r="R79" s="3"/>
      <c r="S79" s="3"/>
      <c r="T79" s="3"/>
    </row>
    <row r="80" spans="1:20">
      <c r="A80" s="23">
        <v>75</v>
      </c>
      <c r="B80" s="3" t="s">
        <v>1437</v>
      </c>
      <c r="C80" s="8" t="s">
        <v>1438</v>
      </c>
      <c r="D80" s="8" t="s">
        <v>57</v>
      </c>
      <c r="E80" s="8"/>
      <c r="F80" s="28" t="s">
        <v>428</v>
      </c>
      <c r="G80" s="89">
        <v>4</v>
      </c>
      <c r="H80" s="28" t="s">
        <v>6</v>
      </c>
      <c r="I80" s="54">
        <v>245</v>
      </c>
      <c r="J80" s="35">
        <f t="shared" si="8"/>
        <v>980</v>
      </c>
      <c r="K80" s="164"/>
      <c r="L80" s="3"/>
      <c r="M80" s="148"/>
      <c r="N80" s="3"/>
      <c r="O80" s="3"/>
      <c r="P80" s="3"/>
      <c r="Q80" s="3"/>
      <c r="R80" s="3"/>
      <c r="S80" s="3"/>
      <c r="T80" s="3"/>
    </row>
    <row r="81" spans="1:20">
      <c r="A81" s="23">
        <v>76</v>
      </c>
      <c r="B81" s="3" t="s">
        <v>1439</v>
      </c>
      <c r="C81" s="4" t="s">
        <v>2034</v>
      </c>
      <c r="D81" s="4" t="s">
        <v>57</v>
      </c>
      <c r="E81" s="4"/>
      <c r="F81" s="3" t="s">
        <v>428</v>
      </c>
      <c r="G81" s="23">
        <v>11</v>
      </c>
      <c r="H81" s="3" t="s">
        <v>6</v>
      </c>
      <c r="I81" s="35">
        <v>38</v>
      </c>
      <c r="J81" s="35">
        <f>G81*I81</f>
        <v>418</v>
      </c>
      <c r="K81" s="167"/>
      <c r="L81" s="3"/>
      <c r="M81" s="148"/>
      <c r="N81" s="3"/>
      <c r="O81" s="3"/>
      <c r="P81" s="3"/>
      <c r="Q81" s="3"/>
      <c r="R81" s="3"/>
      <c r="S81" s="3"/>
      <c r="T81" s="3"/>
    </row>
    <row r="82" spans="1:20">
      <c r="A82" s="23">
        <v>77</v>
      </c>
      <c r="B82" s="3" t="s">
        <v>1440</v>
      </c>
      <c r="C82" s="53" t="s">
        <v>1441</v>
      </c>
      <c r="D82" s="53" t="s">
        <v>1442</v>
      </c>
      <c r="E82" s="53"/>
      <c r="F82" s="51" t="s">
        <v>428</v>
      </c>
      <c r="G82" s="92">
        <v>1</v>
      </c>
      <c r="H82" s="51" t="s">
        <v>6</v>
      </c>
      <c r="I82" s="52"/>
      <c r="J82" s="35">
        <f t="shared" ref="J82:J145" si="9">G82*I82</f>
        <v>0</v>
      </c>
      <c r="K82" s="164"/>
      <c r="L82" s="3"/>
      <c r="M82" s="148"/>
      <c r="N82" s="3"/>
      <c r="O82" s="3"/>
      <c r="P82" s="3"/>
      <c r="Q82" s="3"/>
      <c r="R82" s="3"/>
      <c r="S82" s="3"/>
      <c r="T82" s="3"/>
    </row>
    <row r="83" spans="1:20">
      <c r="A83" s="23">
        <v>78</v>
      </c>
      <c r="B83" s="3" t="s">
        <v>1443</v>
      </c>
      <c r="C83" s="53" t="s">
        <v>1441</v>
      </c>
      <c r="D83" s="53" t="s">
        <v>1444</v>
      </c>
      <c r="E83" s="53"/>
      <c r="F83" s="51" t="s">
        <v>428</v>
      </c>
      <c r="G83" s="92">
        <v>1</v>
      </c>
      <c r="H83" s="51" t="s">
        <v>6</v>
      </c>
      <c r="I83" s="52"/>
      <c r="J83" s="35">
        <f t="shared" si="9"/>
        <v>0</v>
      </c>
      <c r="K83" s="164"/>
      <c r="L83" s="3"/>
      <c r="M83" s="148"/>
      <c r="N83" s="3"/>
      <c r="O83" s="3"/>
      <c r="P83" s="3"/>
      <c r="Q83" s="3"/>
      <c r="R83" s="3"/>
      <c r="S83" s="3"/>
      <c r="T83" s="3"/>
    </row>
    <row r="84" spans="1:20">
      <c r="A84" s="23">
        <v>79</v>
      </c>
      <c r="B84" s="3" t="s">
        <v>1445</v>
      </c>
      <c r="C84" s="8" t="s">
        <v>1446</v>
      </c>
      <c r="D84" s="8" t="s">
        <v>57</v>
      </c>
      <c r="E84" s="8"/>
      <c r="F84" s="28" t="s">
        <v>428</v>
      </c>
      <c r="G84" s="89">
        <v>3</v>
      </c>
      <c r="H84" s="28" t="s">
        <v>6</v>
      </c>
      <c r="I84" s="54">
        <v>3500</v>
      </c>
      <c r="J84" s="35">
        <f t="shared" si="9"/>
        <v>10500</v>
      </c>
      <c r="K84" s="166"/>
      <c r="L84" s="3"/>
      <c r="M84" s="148"/>
      <c r="N84" s="3"/>
      <c r="O84" s="3"/>
      <c r="P84" s="3"/>
      <c r="Q84" s="3"/>
      <c r="R84" s="3"/>
      <c r="S84" s="3"/>
      <c r="T84" s="3"/>
    </row>
    <row r="85" spans="1:20" ht="30">
      <c r="A85" s="23">
        <v>80</v>
      </c>
      <c r="B85" s="9" t="s">
        <v>1447</v>
      </c>
      <c r="C85" s="64" t="s">
        <v>1448</v>
      </c>
      <c r="D85" s="64" t="s">
        <v>57</v>
      </c>
      <c r="E85" s="64"/>
      <c r="F85" s="63" t="s">
        <v>428</v>
      </c>
      <c r="G85" s="90">
        <v>1</v>
      </c>
      <c r="H85" s="63" t="s">
        <v>6</v>
      </c>
      <c r="I85" s="54">
        <v>350</v>
      </c>
      <c r="J85" s="35">
        <f t="shared" si="9"/>
        <v>350</v>
      </c>
      <c r="K85" s="164"/>
      <c r="L85" s="3"/>
      <c r="M85" s="148"/>
      <c r="N85" s="3"/>
      <c r="O85" s="3"/>
      <c r="P85" s="3"/>
      <c r="Q85" s="3"/>
      <c r="R85" s="3"/>
      <c r="S85" s="3"/>
      <c r="T85" s="3"/>
    </row>
    <row r="86" spans="1:20">
      <c r="A86" s="23">
        <v>81</v>
      </c>
      <c r="B86" s="3" t="s">
        <v>1449</v>
      </c>
      <c r="C86" s="8" t="s">
        <v>1450</v>
      </c>
      <c r="D86" s="8" t="s">
        <v>1451</v>
      </c>
      <c r="E86" s="8"/>
      <c r="F86" s="28" t="s">
        <v>428</v>
      </c>
      <c r="G86" s="89">
        <v>2</v>
      </c>
      <c r="H86" s="28" t="s">
        <v>6</v>
      </c>
      <c r="I86" s="54">
        <v>2200</v>
      </c>
      <c r="J86" s="35">
        <f t="shared" si="9"/>
        <v>4400</v>
      </c>
      <c r="K86" s="166"/>
      <c r="L86" s="3"/>
      <c r="M86" s="148"/>
      <c r="N86" s="3"/>
      <c r="O86" s="3"/>
      <c r="P86" s="3"/>
      <c r="Q86" s="3"/>
      <c r="R86" s="3"/>
      <c r="S86" s="3"/>
      <c r="T86" s="3"/>
    </row>
    <row r="87" spans="1:20">
      <c r="A87" s="23">
        <v>82</v>
      </c>
      <c r="B87" s="3" t="s">
        <v>1452</v>
      </c>
      <c r="C87" s="8" t="s">
        <v>1450</v>
      </c>
      <c r="D87" s="8" t="s">
        <v>1453</v>
      </c>
      <c r="E87" s="8"/>
      <c r="F87" s="28" t="s">
        <v>428</v>
      </c>
      <c r="G87" s="89">
        <v>4</v>
      </c>
      <c r="H87" s="28" t="s">
        <v>6</v>
      </c>
      <c r="I87" s="54">
        <v>2500</v>
      </c>
      <c r="J87" s="35">
        <f t="shared" si="9"/>
        <v>10000</v>
      </c>
      <c r="K87" s="166"/>
      <c r="L87" s="3"/>
      <c r="M87" s="148"/>
      <c r="N87" s="3"/>
      <c r="O87" s="3"/>
      <c r="P87" s="3"/>
      <c r="Q87" s="3"/>
      <c r="R87" s="3"/>
      <c r="S87" s="3"/>
      <c r="T87" s="3"/>
    </row>
    <row r="88" spans="1:20">
      <c r="A88" s="23">
        <v>83</v>
      </c>
      <c r="B88" s="3" t="s">
        <v>1454</v>
      </c>
      <c r="C88" s="8" t="s">
        <v>1450</v>
      </c>
      <c r="D88" s="8" t="s">
        <v>1455</v>
      </c>
      <c r="E88" s="8"/>
      <c r="F88" s="28" t="s">
        <v>428</v>
      </c>
      <c r="G88" s="89">
        <v>6</v>
      </c>
      <c r="H88" s="28" t="s">
        <v>6</v>
      </c>
      <c r="I88" s="54">
        <v>2400</v>
      </c>
      <c r="J88" s="35">
        <f t="shared" si="9"/>
        <v>14400</v>
      </c>
      <c r="K88" s="166"/>
      <c r="L88" s="3"/>
      <c r="M88" s="148"/>
      <c r="N88" s="3"/>
      <c r="O88" s="3"/>
      <c r="P88" s="3"/>
      <c r="Q88" s="3"/>
      <c r="R88" s="3"/>
      <c r="S88" s="3"/>
      <c r="T88" s="3"/>
    </row>
    <row r="89" spans="1:20">
      <c r="A89" s="23">
        <v>84</v>
      </c>
      <c r="B89" s="3" t="s">
        <v>1456</v>
      </c>
      <c r="C89" s="8" t="s">
        <v>1450</v>
      </c>
      <c r="D89" s="8" t="s">
        <v>1457</v>
      </c>
      <c r="E89" s="8"/>
      <c r="F89" s="28" t="s">
        <v>428</v>
      </c>
      <c r="G89" s="89">
        <v>1</v>
      </c>
      <c r="H89" s="28" t="s">
        <v>6</v>
      </c>
      <c r="I89" s="54">
        <v>1900</v>
      </c>
      <c r="J89" s="35">
        <f t="shared" si="9"/>
        <v>1900</v>
      </c>
      <c r="K89" s="166"/>
      <c r="L89" s="3"/>
      <c r="M89" s="148"/>
      <c r="N89" s="3"/>
      <c r="O89" s="3"/>
      <c r="P89" s="3"/>
      <c r="Q89" s="3"/>
      <c r="R89" s="3"/>
      <c r="S89" s="3"/>
      <c r="T89" s="3"/>
    </row>
    <row r="90" spans="1:20">
      <c r="A90" s="23">
        <v>85</v>
      </c>
      <c r="B90" s="3" t="s">
        <v>1458</v>
      </c>
      <c r="C90" s="8" t="s">
        <v>1450</v>
      </c>
      <c r="D90" s="8" t="s">
        <v>1459</v>
      </c>
      <c r="E90" s="8"/>
      <c r="F90" s="28" t="s">
        <v>428</v>
      </c>
      <c r="G90" s="89">
        <v>6</v>
      </c>
      <c r="H90" s="28" t="s">
        <v>6</v>
      </c>
      <c r="I90" s="54">
        <v>1700</v>
      </c>
      <c r="J90" s="35">
        <f t="shared" si="9"/>
        <v>10200</v>
      </c>
      <c r="K90" s="166"/>
      <c r="L90" s="3"/>
      <c r="M90" s="148"/>
      <c r="N90" s="3"/>
      <c r="O90" s="3"/>
      <c r="P90" s="3"/>
      <c r="Q90" s="3"/>
      <c r="R90" s="3"/>
      <c r="S90" s="3"/>
      <c r="T90" s="3"/>
    </row>
    <row r="91" spans="1:20">
      <c r="A91" s="23">
        <v>86</v>
      </c>
      <c r="B91" s="3" t="s">
        <v>1460</v>
      </c>
      <c r="C91" s="8" t="s">
        <v>1450</v>
      </c>
      <c r="D91" s="8" t="s">
        <v>1461</v>
      </c>
      <c r="E91" s="8"/>
      <c r="F91" s="28" t="s">
        <v>428</v>
      </c>
      <c r="G91" s="89">
        <v>1</v>
      </c>
      <c r="H91" s="28" t="s">
        <v>6</v>
      </c>
      <c r="I91" s="54">
        <v>1600</v>
      </c>
      <c r="J91" s="35">
        <f t="shared" si="9"/>
        <v>1600</v>
      </c>
      <c r="K91" s="166"/>
      <c r="L91" s="3"/>
      <c r="M91" s="148"/>
      <c r="N91" s="3"/>
      <c r="O91" s="3"/>
      <c r="P91" s="3"/>
      <c r="Q91" s="3"/>
      <c r="R91" s="3"/>
      <c r="S91" s="3"/>
      <c r="T91" s="3"/>
    </row>
    <row r="92" spans="1:20">
      <c r="A92" s="23">
        <v>87</v>
      </c>
      <c r="B92" s="3" t="s">
        <v>1462</v>
      </c>
      <c r="C92" s="8" t="s">
        <v>1450</v>
      </c>
      <c r="D92" s="8" t="s">
        <v>1463</v>
      </c>
      <c r="E92" s="8"/>
      <c r="F92" s="28" t="s">
        <v>428</v>
      </c>
      <c r="G92" s="89">
        <v>1</v>
      </c>
      <c r="H92" s="28" t="s">
        <v>6</v>
      </c>
      <c r="I92" s="54">
        <v>1200</v>
      </c>
      <c r="J92" s="35">
        <f t="shared" si="9"/>
        <v>1200</v>
      </c>
      <c r="K92" s="166"/>
      <c r="L92" s="3"/>
      <c r="M92" s="148"/>
      <c r="N92" s="3"/>
      <c r="O92" s="3"/>
      <c r="P92" s="3"/>
      <c r="Q92" s="3"/>
      <c r="R92" s="3"/>
      <c r="S92" s="3"/>
      <c r="T92" s="3"/>
    </row>
    <row r="93" spans="1:20">
      <c r="A93" s="23">
        <v>88</v>
      </c>
      <c r="B93" s="3" t="s">
        <v>1464</v>
      </c>
      <c r="C93" s="8" t="s">
        <v>1450</v>
      </c>
      <c r="D93" s="8" t="s">
        <v>1465</v>
      </c>
      <c r="E93" s="8"/>
      <c r="F93" s="28" t="s">
        <v>428</v>
      </c>
      <c r="G93" s="89">
        <v>8</v>
      </c>
      <c r="H93" s="28" t="s">
        <v>6</v>
      </c>
      <c r="I93" s="54">
        <v>100</v>
      </c>
      <c r="J93" s="35">
        <f t="shared" si="9"/>
        <v>800</v>
      </c>
      <c r="K93" s="166"/>
      <c r="L93" s="3"/>
      <c r="M93" s="148"/>
      <c r="N93" s="3"/>
      <c r="O93" s="3"/>
      <c r="P93" s="3"/>
      <c r="Q93" s="3"/>
      <c r="R93" s="3"/>
      <c r="S93" s="3"/>
      <c r="T93" s="3"/>
    </row>
    <row r="94" spans="1:20">
      <c r="A94" s="23">
        <v>89</v>
      </c>
      <c r="B94" s="3" t="s">
        <v>1466</v>
      </c>
      <c r="C94" s="8" t="s">
        <v>1450</v>
      </c>
      <c r="D94" s="8" t="s">
        <v>1467</v>
      </c>
      <c r="E94" s="8"/>
      <c r="F94" s="28" t="s">
        <v>428</v>
      </c>
      <c r="G94" s="89">
        <v>3</v>
      </c>
      <c r="H94" s="28" t="s">
        <v>6</v>
      </c>
      <c r="I94" s="54">
        <v>800</v>
      </c>
      <c r="J94" s="35">
        <f t="shared" si="9"/>
        <v>2400</v>
      </c>
      <c r="K94" s="166"/>
      <c r="L94" s="3"/>
      <c r="M94" s="148"/>
      <c r="N94" s="3"/>
      <c r="O94" s="3"/>
      <c r="P94" s="3"/>
      <c r="Q94" s="3"/>
      <c r="R94" s="3"/>
      <c r="S94" s="3"/>
      <c r="T94" s="3"/>
    </row>
    <row r="95" spans="1:20">
      <c r="A95" s="23">
        <v>90</v>
      </c>
      <c r="B95" s="3" t="s">
        <v>1468</v>
      </c>
      <c r="C95" s="4" t="s">
        <v>1469</v>
      </c>
      <c r="D95" s="4" t="s">
        <v>57</v>
      </c>
      <c r="E95" s="4"/>
      <c r="F95" s="3" t="s">
        <v>428</v>
      </c>
      <c r="G95" s="23">
        <f>9-1</f>
        <v>8</v>
      </c>
      <c r="H95" s="3" t="s">
        <v>11</v>
      </c>
      <c r="I95" s="35">
        <v>320</v>
      </c>
      <c r="J95" s="35">
        <f t="shared" si="9"/>
        <v>2560</v>
      </c>
      <c r="K95" s="164"/>
      <c r="L95" s="3"/>
      <c r="M95" s="148"/>
      <c r="N95" s="3"/>
      <c r="O95" s="3"/>
      <c r="P95" s="3"/>
      <c r="Q95" s="3"/>
      <c r="R95" s="3"/>
      <c r="S95" s="3"/>
      <c r="T95" s="3"/>
    </row>
    <row r="96" spans="1:20">
      <c r="A96" s="23">
        <v>91</v>
      </c>
      <c r="B96" s="3" t="s">
        <v>1470</v>
      </c>
      <c r="C96" s="4" t="s">
        <v>1471</v>
      </c>
      <c r="D96" s="4" t="s">
        <v>1472</v>
      </c>
      <c r="E96" s="4"/>
      <c r="F96" s="3" t="s">
        <v>428</v>
      </c>
      <c r="G96" s="23">
        <f>5-5</f>
        <v>0</v>
      </c>
      <c r="H96" s="3" t="s">
        <v>6</v>
      </c>
      <c r="I96" s="35">
        <v>4799.0600000000004</v>
      </c>
      <c r="J96" s="35">
        <f t="shared" si="9"/>
        <v>0</v>
      </c>
      <c r="K96" s="164">
        <v>33</v>
      </c>
      <c r="L96" s="3"/>
      <c r="M96" s="148">
        <v>498138.85</v>
      </c>
      <c r="N96" s="3"/>
      <c r="O96" s="3"/>
      <c r="P96" s="3"/>
      <c r="Q96" s="3"/>
      <c r="R96" s="3"/>
      <c r="S96" s="3"/>
      <c r="T96" s="3"/>
    </row>
    <row r="97" spans="1:20">
      <c r="A97" s="23">
        <v>92</v>
      </c>
      <c r="B97" s="9" t="s">
        <v>1473</v>
      </c>
      <c r="C97" s="64" t="s">
        <v>1474</v>
      </c>
      <c r="D97" s="64" t="s">
        <v>57</v>
      </c>
      <c r="E97" s="64"/>
      <c r="F97" s="63" t="s">
        <v>428</v>
      </c>
      <c r="G97" s="90">
        <v>1200</v>
      </c>
      <c r="H97" s="63" t="s">
        <v>6</v>
      </c>
      <c r="I97" s="75">
        <v>324.5</v>
      </c>
      <c r="J97" s="36">
        <f t="shared" si="9"/>
        <v>389400</v>
      </c>
      <c r="K97" s="164">
        <v>11800</v>
      </c>
      <c r="L97" s="3"/>
      <c r="M97" s="148">
        <v>3710013.4399999999</v>
      </c>
      <c r="N97" s="3"/>
      <c r="O97" s="3"/>
      <c r="P97" s="3"/>
      <c r="Q97" s="3"/>
      <c r="R97" s="3"/>
      <c r="S97" s="3"/>
      <c r="T97" s="3"/>
    </row>
    <row r="98" spans="1:20">
      <c r="A98" s="23">
        <v>93</v>
      </c>
      <c r="B98" s="9" t="s">
        <v>563</v>
      </c>
      <c r="C98" s="10" t="s">
        <v>564</v>
      </c>
      <c r="D98" s="10" t="s">
        <v>57</v>
      </c>
      <c r="E98" s="10"/>
      <c r="F98" s="9" t="s">
        <v>428</v>
      </c>
      <c r="G98" s="91">
        <f>25-6-4-1-2-2-1-2-1-2+30-1-1-2</f>
        <v>30</v>
      </c>
      <c r="H98" s="9" t="s">
        <v>6</v>
      </c>
      <c r="I98" s="36">
        <v>60</v>
      </c>
      <c r="J98" s="36">
        <f t="shared" si="9"/>
        <v>1800</v>
      </c>
      <c r="K98" s="164"/>
      <c r="L98" s="3"/>
      <c r="M98" s="148"/>
      <c r="N98" s="3"/>
      <c r="O98" s="3"/>
      <c r="P98" s="3"/>
      <c r="Q98" s="3"/>
      <c r="R98" s="3"/>
      <c r="S98" s="3"/>
      <c r="T98" s="3"/>
    </row>
    <row r="99" spans="1:20">
      <c r="A99" s="23">
        <v>94</v>
      </c>
      <c r="B99" s="3" t="s">
        <v>1475</v>
      </c>
      <c r="C99" s="8" t="s">
        <v>1476</v>
      </c>
      <c r="D99" s="8"/>
      <c r="E99" s="8"/>
      <c r="F99" s="28" t="s">
        <v>428</v>
      </c>
      <c r="G99" s="89">
        <v>1</v>
      </c>
      <c r="H99" s="29" t="s">
        <v>6</v>
      </c>
      <c r="I99" s="54">
        <v>100</v>
      </c>
      <c r="J99" s="35">
        <f t="shared" si="9"/>
        <v>100</v>
      </c>
      <c r="K99" s="164"/>
      <c r="L99" s="3"/>
      <c r="M99" s="148"/>
      <c r="N99" s="3"/>
      <c r="O99" s="3"/>
      <c r="P99" s="3"/>
      <c r="Q99" s="3"/>
      <c r="R99" s="3"/>
      <c r="S99" s="3"/>
      <c r="T99" s="3"/>
    </row>
    <row r="100" spans="1:20">
      <c r="A100" s="23">
        <v>95</v>
      </c>
      <c r="B100" s="3" t="s">
        <v>1477</v>
      </c>
      <c r="C100" s="8" t="s">
        <v>1478</v>
      </c>
      <c r="D100" s="8"/>
      <c r="E100" s="8"/>
      <c r="F100" s="28" t="s">
        <v>428</v>
      </c>
      <c r="G100" s="89">
        <v>11</v>
      </c>
      <c r="H100" s="29" t="s">
        <v>6</v>
      </c>
      <c r="I100" s="54">
        <v>50</v>
      </c>
      <c r="J100" s="35">
        <f t="shared" si="9"/>
        <v>550</v>
      </c>
      <c r="K100" s="164">
        <v>12</v>
      </c>
      <c r="L100" s="3"/>
      <c r="M100" s="149">
        <v>424.8</v>
      </c>
      <c r="N100" s="3"/>
      <c r="O100" s="3"/>
      <c r="P100" s="3"/>
      <c r="Q100" s="3"/>
      <c r="R100" s="3"/>
      <c r="S100" s="3"/>
      <c r="T100" s="3"/>
    </row>
    <row r="101" spans="1:20">
      <c r="A101" s="23">
        <v>96</v>
      </c>
      <c r="B101" s="3" t="s">
        <v>1479</v>
      </c>
      <c r="C101" s="8" t="s">
        <v>1480</v>
      </c>
      <c r="D101" s="8"/>
      <c r="E101" s="8"/>
      <c r="F101" s="28" t="s">
        <v>428</v>
      </c>
      <c r="G101" s="89">
        <v>4</v>
      </c>
      <c r="H101" s="29" t="s">
        <v>6</v>
      </c>
      <c r="I101" s="54">
        <v>300</v>
      </c>
      <c r="J101" s="35">
        <f t="shared" si="9"/>
        <v>1200</v>
      </c>
      <c r="K101" s="164"/>
      <c r="L101" s="3"/>
      <c r="M101" s="148"/>
      <c r="N101" s="3"/>
      <c r="O101" s="3"/>
      <c r="P101" s="3"/>
      <c r="Q101" s="3"/>
      <c r="R101" s="3"/>
      <c r="S101" s="3"/>
      <c r="T101" s="3"/>
    </row>
    <row r="102" spans="1:20">
      <c r="A102" s="23">
        <v>97</v>
      </c>
      <c r="B102" s="3" t="s">
        <v>1481</v>
      </c>
      <c r="C102" s="8" t="s">
        <v>1482</v>
      </c>
      <c r="D102" s="8"/>
      <c r="E102" s="8"/>
      <c r="F102" s="28" t="s">
        <v>428</v>
      </c>
      <c r="G102" s="89">
        <v>5</v>
      </c>
      <c r="H102" s="29" t="s">
        <v>6</v>
      </c>
      <c r="I102" s="54">
        <v>20</v>
      </c>
      <c r="J102" s="35">
        <f t="shared" si="9"/>
        <v>100</v>
      </c>
      <c r="K102" s="164"/>
      <c r="L102" s="3"/>
      <c r="M102" s="148"/>
      <c r="N102" s="3"/>
      <c r="O102" s="3"/>
      <c r="P102" s="3"/>
      <c r="Q102" s="3"/>
      <c r="R102" s="3"/>
      <c r="S102" s="3"/>
      <c r="T102" s="3"/>
    </row>
    <row r="103" spans="1:20">
      <c r="A103" s="23">
        <v>98</v>
      </c>
      <c r="B103" s="3" t="s">
        <v>1483</v>
      </c>
      <c r="C103" s="8" t="s">
        <v>1484</v>
      </c>
      <c r="D103" s="8"/>
      <c r="E103" s="8"/>
      <c r="F103" s="28" t="s">
        <v>428</v>
      </c>
      <c r="G103" s="89">
        <f>6-3</f>
        <v>3</v>
      </c>
      <c r="H103" s="29" t="s">
        <v>6</v>
      </c>
      <c r="I103" s="54">
        <v>85</v>
      </c>
      <c r="J103" s="35">
        <f t="shared" si="9"/>
        <v>255</v>
      </c>
      <c r="K103" s="164"/>
      <c r="L103" s="3"/>
      <c r="M103" s="148"/>
      <c r="N103" s="3"/>
      <c r="O103" s="3"/>
      <c r="P103" s="3"/>
      <c r="Q103" s="3"/>
      <c r="R103" s="3"/>
      <c r="S103" s="3"/>
      <c r="T103" s="3"/>
    </row>
    <row r="104" spans="1:20">
      <c r="A104" s="23">
        <v>99</v>
      </c>
      <c r="B104" s="3" t="s">
        <v>1485</v>
      </c>
      <c r="C104" s="8" t="s">
        <v>1486</v>
      </c>
      <c r="D104" s="8" t="s">
        <v>153</v>
      </c>
      <c r="E104" s="8"/>
      <c r="F104" s="28" t="s">
        <v>428</v>
      </c>
      <c r="G104" s="89">
        <v>1</v>
      </c>
      <c r="H104" s="29" t="s">
        <v>6</v>
      </c>
      <c r="I104" s="54">
        <v>300</v>
      </c>
      <c r="J104" s="35">
        <f t="shared" si="9"/>
        <v>300</v>
      </c>
      <c r="K104" s="164"/>
      <c r="L104" s="3"/>
      <c r="M104" s="148"/>
      <c r="N104" s="3"/>
      <c r="O104" s="3"/>
      <c r="P104" s="3"/>
      <c r="Q104" s="3"/>
      <c r="R104" s="3"/>
      <c r="S104" s="3"/>
      <c r="T104" s="3"/>
    </row>
    <row r="105" spans="1:20">
      <c r="A105" s="23">
        <v>100</v>
      </c>
      <c r="B105" s="3" t="s">
        <v>1487</v>
      </c>
      <c r="C105" s="8" t="s">
        <v>1488</v>
      </c>
      <c r="D105" s="8" t="s">
        <v>1702</v>
      </c>
      <c r="E105" s="8"/>
      <c r="F105" s="28" t="s">
        <v>428</v>
      </c>
      <c r="G105" s="89">
        <f>16-4</f>
        <v>12</v>
      </c>
      <c r="H105" s="29" t="s">
        <v>6</v>
      </c>
      <c r="I105" s="54">
        <v>12</v>
      </c>
      <c r="J105" s="35">
        <f t="shared" si="9"/>
        <v>144</v>
      </c>
      <c r="K105" s="164"/>
      <c r="L105" s="3"/>
      <c r="M105" s="148"/>
      <c r="N105" s="3"/>
      <c r="O105" s="3"/>
      <c r="P105" s="3"/>
      <c r="Q105" s="3"/>
      <c r="R105" s="3"/>
      <c r="S105" s="3"/>
      <c r="T105" s="3"/>
    </row>
    <row r="106" spans="1:20">
      <c r="A106" s="23">
        <v>101</v>
      </c>
      <c r="B106" s="3" t="s">
        <v>1489</v>
      </c>
      <c r="C106" s="8" t="s">
        <v>1490</v>
      </c>
      <c r="D106" s="8" t="s">
        <v>815</v>
      </c>
      <c r="E106" s="8"/>
      <c r="F106" s="28" t="s">
        <v>428</v>
      </c>
      <c r="G106" s="89">
        <v>60</v>
      </c>
      <c r="H106" s="29" t="s">
        <v>1</v>
      </c>
      <c r="I106" s="54">
        <v>120</v>
      </c>
      <c r="J106" s="35">
        <f t="shared" si="9"/>
        <v>7200</v>
      </c>
      <c r="K106" s="164"/>
      <c r="L106" s="3"/>
      <c r="M106" s="148"/>
      <c r="N106" s="3"/>
      <c r="O106" s="3"/>
      <c r="P106" s="3"/>
      <c r="Q106" s="3"/>
      <c r="R106" s="3"/>
      <c r="S106" s="3"/>
      <c r="T106" s="3"/>
    </row>
    <row r="107" spans="1:20">
      <c r="A107" s="23">
        <v>102</v>
      </c>
      <c r="B107" s="5" t="s">
        <v>1491</v>
      </c>
      <c r="C107" s="61" t="s">
        <v>1492</v>
      </c>
      <c r="D107" s="8"/>
      <c r="E107" s="8"/>
      <c r="F107" s="29" t="s">
        <v>428</v>
      </c>
      <c r="G107" s="81">
        <v>2</v>
      </c>
      <c r="H107" s="29" t="s">
        <v>77</v>
      </c>
      <c r="I107" s="54">
        <v>300</v>
      </c>
      <c r="J107" s="35">
        <f t="shared" si="9"/>
        <v>600</v>
      </c>
      <c r="K107" s="164"/>
      <c r="L107" s="3"/>
      <c r="M107" s="148"/>
      <c r="N107" s="3"/>
      <c r="O107" s="3"/>
      <c r="P107" s="3"/>
      <c r="Q107" s="3"/>
      <c r="R107" s="3"/>
      <c r="S107" s="3"/>
      <c r="T107" s="3"/>
    </row>
    <row r="108" spans="1:20" s="19" customFormat="1" ht="15.75" customHeight="1">
      <c r="A108" s="23">
        <v>103</v>
      </c>
      <c r="B108" s="45" t="s">
        <v>1663</v>
      </c>
      <c r="C108" s="46" t="s">
        <v>1662</v>
      </c>
      <c r="D108" s="47" t="s">
        <v>1879</v>
      </c>
      <c r="E108" s="47"/>
      <c r="F108" s="5" t="s">
        <v>428</v>
      </c>
      <c r="G108" s="83">
        <v>0</v>
      </c>
      <c r="H108" s="5" t="s">
        <v>77</v>
      </c>
      <c r="I108" s="44">
        <v>3499.88</v>
      </c>
      <c r="J108" s="44">
        <f t="shared" si="9"/>
        <v>0</v>
      </c>
      <c r="K108" s="168"/>
      <c r="L108" s="91"/>
      <c r="M108" s="169"/>
      <c r="N108" s="91"/>
      <c r="O108" s="91"/>
      <c r="P108" s="91"/>
      <c r="Q108" s="91"/>
      <c r="R108" s="91"/>
      <c r="S108" s="91"/>
      <c r="T108" s="91"/>
    </row>
    <row r="109" spans="1:20" s="19" customFormat="1" ht="15.75" customHeight="1">
      <c r="A109" s="23">
        <v>104</v>
      </c>
      <c r="B109" s="45" t="s">
        <v>1664</v>
      </c>
      <c r="C109" s="46" t="s">
        <v>1662</v>
      </c>
      <c r="D109" s="47" t="s">
        <v>1880</v>
      </c>
      <c r="E109" s="47"/>
      <c r="F109" s="5" t="s">
        <v>428</v>
      </c>
      <c r="G109" s="83">
        <v>0</v>
      </c>
      <c r="H109" s="5" t="s">
        <v>77</v>
      </c>
      <c r="I109" s="44">
        <v>4374.26</v>
      </c>
      <c r="J109" s="44">
        <f t="shared" si="9"/>
        <v>0</v>
      </c>
      <c r="K109" s="168"/>
      <c r="L109" s="91"/>
      <c r="M109" s="169"/>
      <c r="N109" s="91"/>
      <c r="O109" s="91"/>
      <c r="P109" s="91"/>
      <c r="Q109" s="91"/>
      <c r="R109" s="91"/>
      <c r="S109" s="91"/>
      <c r="T109" s="91"/>
    </row>
    <row r="110" spans="1:20" s="15" customFormat="1" ht="30">
      <c r="A110" s="91">
        <v>105</v>
      </c>
      <c r="B110" s="45" t="s">
        <v>1665</v>
      </c>
      <c r="C110" s="46" t="s">
        <v>1666</v>
      </c>
      <c r="D110" s="94" t="s">
        <v>1667</v>
      </c>
      <c r="E110" s="94"/>
      <c r="F110" s="95" t="s">
        <v>428</v>
      </c>
      <c r="G110" s="83">
        <v>5</v>
      </c>
      <c r="H110" s="95" t="s">
        <v>3</v>
      </c>
      <c r="I110" s="44">
        <v>141.6</v>
      </c>
      <c r="J110" s="44">
        <f t="shared" si="9"/>
        <v>708</v>
      </c>
      <c r="K110" s="164"/>
      <c r="L110" s="23"/>
      <c r="M110" s="170"/>
      <c r="N110" s="23"/>
      <c r="O110" s="23"/>
      <c r="P110" s="23"/>
      <c r="Q110" s="23"/>
      <c r="R110" s="23"/>
      <c r="S110" s="23"/>
      <c r="T110" s="23"/>
    </row>
    <row r="111" spans="1:20" s="15" customFormat="1">
      <c r="A111" s="23">
        <v>106</v>
      </c>
      <c r="B111" s="86" t="s">
        <v>1672</v>
      </c>
      <c r="C111" s="87" t="s">
        <v>1673</v>
      </c>
      <c r="D111" s="88" t="s">
        <v>1674</v>
      </c>
      <c r="E111" s="88"/>
      <c r="F111" s="41" t="s">
        <v>428</v>
      </c>
      <c r="G111" s="42">
        <f>17-1-5-1</f>
        <v>10</v>
      </c>
      <c r="H111" s="41" t="s">
        <v>1675</v>
      </c>
      <c r="I111" s="43">
        <v>17.920000000000002</v>
      </c>
      <c r="J111" s="43">
        <f t="shared" si="9"/>
        <v>179.20000000000002</v>
      </c>
      <c r="K111" s="164">
        <v>10</v>
      </c>
      <c r="L111" s="23"/>
      <c r="M111" s="149">
        <v>223.73</v>
      </c>
      <c r="N111" s="23"/>
      <c r="O111" s="23"/>
      <c r="P111" s="23"/>
      <c r="Q111" s="23"/>
      <c r="R111" s="23"/>
      <c r="S111" s="23"/>
      <c r="T111" s="23"/>
    </row>
    <row r="112" spans="1:20" s="15" customFormat="1">
      <c r="A112" s="23">
        <v>107</v>
      </c>
      <c r="B112" s="86" t="s">
        <v>1775</v>
      </c>
      <c r="C112" s="87" t="s">
        <v>1776</v>
      </c>
      <c r="D112" s="88"/>
      <c r="E112" s="88"/>
      <c r="F112" s="41" t="s">
        <v>428</v>
      </c>
      <c r="G112" s="42">
        <f>20-4-3-1-1</f>
        <v>11</v>
      </c>
      <c r="H112" s="41" t="s">
        <v>1675</v>
      </c>
      <c r="I112" s="43">
        <v>50</v>
      </c>
      <c r="J112" s="43">
        <f t="shared" si="9"/>
        <v>550</v>
      </c>
      <c r="K112" s="164"/>
      <c r="L112" s="23"/>
      <c r="M112" s="170"/>
      <c r="N112" s="23">
        <v>11</v>
      </c>
      <c r="O112" s="23"/>
      <c r="P112" s="23">
        <v>550</v>
      </c>
      <c r="Q112" s="23"/>
      <c r="R112" s="23"/>
      <c r="S112" s="23"/>
      <c r="T112" s="23"/>
    </row>
    <row r="113" spans="1:20" s="15" customFormat="1" ht="21.75" customHeight="1">
      <c r="A113" s="23">
        <v>108</v>
      </c>
      <c r="B113" s="86" t="s">
        <v>1929</v>
      </c>
      <c r="C113" s="87" t="s">
        <v>1930</v>
      </c>
      <c r="D113" s="88" t="s">
        <v>1777</v>
      </c>
      <c r="E113" s="88"/>
      <c r="F113" s="41" t="s">
        <v>428</v>
      </c>
      <c r="G113" s="42">
        <f>2-2+2-1</f>
        <v>1</v>
      </c>
      <c r="H113" s="41" t="s">
        <v>1675</v>
      </c>
      <c r="I113" s="43">
        <v>2200</v>
      </c>
      <c r="J113" s="43">
        <f t="shared" si="9"/>
        <v>2200</v>
      </c>
      <c r="K113" s="164"/>
      <c r="L113" s="23"/>
      <c r="M113" s="170"/>
      <c r="N113" s="23"/>
      <c r="O113" s="23"/>
      <c r="P113" s="23"/>
      <c r="Q113" s="23"/>
      <c r="R113" s="23"/>
      <c r="S113" s="23"/>
      <c r="T113" s="23"/>
    </row>
    <row r="114" spans="1:20" s="15" customFormat="1">
      <c r="A114" s="23">
        <v>109</v>
      </c>
      <c r="B114" s="86" t="s">
        <v>1778</v>
      </c>
      <c r="C114" s="87" t="s">
        <v>1779</v>
      </c>
      <c r="D114" s="88" t="s">
        <v>1780</v>
      </c>
      <c r="E114" s="88"/>
      <c r="F114" s="41" t="s">
        <v>428</v>
      </c>
      <c r="G114" s="42">
        <f>1-1</f>
        <v>0</v>
      </c>
      <c r="H114" s="41" t="s">
        <v>1675</v>
      </c>
      <c r="I114" s="43">
        <v>1888</v>
      </c>
      <c r="J114" s="43">
        <f t="shared" si="9"/>
        <v>0</v>
      </c>
      <c r="K114" s="164"/>
      <c r="L114" s="23"/>
      <c r="M114" s="170"/>
      <c r="N114" s="23"/>
      <c r="O114" s="23"/>
      <c r="P114" s="23"/>
      <c r="Q114" s="23"/>
      <c r="R114" s="23"/>
      <c r="S114" s="23"/>
      <c r="T114" s="23"/>
    </row>
    <row r="115" spans="1:20" s="15" customFormat="1">
      <c r="A115" s="23">
        <v>110</v>
      </c>
      <c r="B115" s="86" t="s">
        <v>1781</v>
      </c>
      <c r="C115" s="87" t="s">
        <v>1782</v>
      </c>
      <c r="D115" s="88" t="s">
        <v>1783</v>
      </c>
      <c r="E115" s="88"/>
      <c r="F115" s="41" t="s">
        <v>428</v>
      </c>
      <c r="G115" s="42">
        <f>1-1</f>
        <v>0</v>
      </c>
      <c r="H115" s="41" t="s">
        <v>1675</v>
      </c>
      <c r="I115" s="43">
        <v>3520</v>
      </c>
      <c r="J115" s="43">
        <f t="shared" si="9"/>
        <v>0</v>
      </c>
      <c r="K115" s="164"/>
      <c r="L115" s="23"/>
      <c r="M115" s="170"/>
      <c r="N115" s="23"/>
      <c r="O115" s="23"/>
      <c r="P115" s="23"/>
      <c r="Q115" s="23"/>
      <c r="R115" s="23"/>
      <c r="S115" s="23"/>
      <c r="T115" s="23"/>
    </row>
    <row r="116" spans="1:20" s="15" customFormat="1">
      <c r="A116" s="23">
        <v>111</v>
      </c>
      <c r="B116" s="86" t="s">
        <v>1784</v>
      </c>
      <c r="C116" s="87" t="s">
        <v>1785</v>
      </c>
      <c r="D116" s="88" t="s">
        <v>1786</v>
      </c>
      <c r="E116" s="88"/>
      <c r="F116" s="41" t="s">
        <v>428</v>
      </c>
      <c r="G116" s="42">
        <f>1-1</f>
        <v>0</v>
      </c>
      <c r="H116" s="41" t="s">
        <v>1675</v>
      </c>
      <c r="I116" s="43">
        <v>869.12</v>
      </c>
      <c r="J116" s="43">
        <f t="shared" si="9"/>
        <v>0</v>
      </c>
      <c r="K116" s="164"/>
      <c r="L116" s="23"/>
      <c r="M116" s="170"/>
      <c r="N116" s="23"/>
      <c r="O116" s="23"/>
      <c r="P116" s="23"/>
      <c r="Q116" s="23"/>
      <c r="R116" s="23"/>
      <c r="S116" s="23"/>
      <c r="T116" s="23"/>
    </row>
    <row r="117" spans="1:20" s="15" customFormat="1">
      <c r="A117" s="23">
        <v>112</v>
      </c>
      <c r="B117" s="86" t="s">
        <v>1787</v>
      </c>
      <c r="C117" s="87" t="s">
        <v>1788</v>
      </c>
      <c r="D117" s="88" t="s">
        <v>1789</v>
      </c>
      <c r="E117" s="88"/>
      <c r="F117" s="41" t="s">
        <v>428</v>
      </c>
      <c r="G117" s="42">
        <f>2-1-1</f>
        <v>0</v>
      </c>
      <c r="H117" s="41" t="s">
        <v>357</v>
      </c>
      <c r="I117" s="43">
        <v>445.02</v>
      </c>
      <c r="J117" s="43">
        <f t="shared" si="9"/>
        <v>0</v>
      </c>
      <c r="K117" s="164"/>
      <c r="L117" s="23"/>
      <c r="M117" s="170"/>
      <c r="N117" s="23"/>
      <c r="O117" s="23"/>
      <c r="P117" s="23"/>
      <c r="Q117" s="23"/>
      <c r="R117" s="23"/>
      <c r="S117" s="23"/>
      <c r="T117" s="23"/>
    </row>
    <row r="118" spans="1:20" s="15" customFormat="1">
      <c r="A118" s="23">
        <v>113</v>
      </c>
      <c r="B118" s="86" t="s">
        <v>1790</v>
      </c>
      <c r="C118" s="87" t="s">
        <v>1791</v>
      </c>
      <c r="D118" s="88" t="s">
        <v>1792</v>
      </c>
      <c r="E118" s="88"/>
      <c r="F118" s="41" t="s">
        <v>428</v>
      </c>
      <c r="G118" s="42">
        <f>2-1-1</f>
        <v>0</v>
      </c>
      <c r="H118" s="41" t="s">
        <v>357</v>
      </c>
      <c r="I118" s="43">
        <v>360.02</v>
      </c>
      <c r="J118" s="43">
        <f t="shared" si="9"/>
        <v>0</v>
      </c>
      <c r="K118" s="164"/>
      <c r="L118" s="23"/>
      <c r="M118" s="170"/>
      <c r="N118" s="23"/>
      <c r="O118" s="23"/>
      <c r="P118" s="23"/>
      <c r="Q118" s="23"/>
      <c r="R118" s="23"/>
      <c r="S118" s="23"/>
      <c r="T118" s="23"/>
    </row>
    <row r="119" spans="1:20" s="15" customFormat="1">
      <c r="A119" s="23">
        <v>114</v>
      </c>
      <c r="B119" s="86" t="s">
        <v>1793</v>
      </c>
      <c r="C119" s="86" t="s">
        <v>1794</v>
      </c>
      <c r="D119" s="88"/>
      <c r="E119" s="88"/>
      <c r="F119" s="41" t="s">
        <v>428</v>
      </c>
      <c r="G119" s="42">
        <f>20-3-11-2-4</f>
        <v>0</v>
      </c>
      <c r="H119" s="41" t="s">
        <v>1675</v>
      </c>
      <c r="I119" s="43">
        <v>20</v>
      </c>
      <c r="J119" s="43">
        <f t="shared" si="9"/>
        <v>0</v>
      </c>
      <c r="K119" s="164">
        <v>40</v>
      </c>
      <c r="L119" s="23"/>
      <c r="M119" s="149">
        <v>800</v>
      </c>
      <c r="N119" s="23"/>
      <c r="O119" s="23"/>
      <c r="P119" s="23"/>
      <c r="Q119" s="23"/>
      <c r="R119" s="23"/>
      <c r="S119" s="23"/>
      <c r="T119" s="23"/>
    </row>
    <row r="120" spans="1:20" s="15" customFormat="1">
      <c r="A120" s="23">
        <v>115</v>
      </c>
      <c r="B120" s="86" t="s">
        <v>1795</v>
      </c>
      <c r="C120" s="87" t="s">
        <v>1796</v>
      </c>
      <c r="D120" s="88" t="s">
        <v>1797</v>
      </c>
      <c r="E120" s="88"/>
      <c r="F120" s="41" t="s">
        <v>428</v>
      </c>
      <c r="G120" s="42">
        <f>6-3-1</f>
        <v>2</v>
      </c>
      <c r="H120" s="41" t="s">
        <v>1675</v>
      </c>
      <c r="I120" s="43">
        <v>22.4</v>
      </c>
      <c r="J120" s="43">
        <f t="shared" si="9"/>
        <v>44.8</v>
      </c>
      <c r="K120" s="164"/>
      <c r="L120" s="23"/>
      <c r="M120" s="170"/>
      <c r="N120" s="23"/>
      <c r="O120" s="23"/>
      <c r="P120" s="23"/>
      <c r="Q120" s="23"/>
      <c r="R120" s="23"/>
      <c r="S120" s="23"/>
      <c r="T120" s="23"/>
    </row>
    <row r="121" spans="1:20" s="15" customFormat="1">
      <c r="A121" s="23">
        <v>116</v>
      </c>
      <c r="B121" s="86" t="s">
        <v>1798</v>
      </c>
      <c r="C121" s="87" t="s">
        <v>1799</v>
      </c>
      <c r="D121" s="88" t="s">
        <v>1800</v>
      </c>
      <c r="E121" s="88"/>
      <c r="F121" s="41" t="s">
        <v>428</v>
      </c>
      <c r="G121" s="42">
        <f>1-1</f>
        <v>0</v>
      </c>
      <c r="H121" s="41" t="s">
        <v>1675</v>
      </c>
      <c r="I121" s="43">
        <v>1210</v>
      </c>
      <c r="J121" s="43">
        <f t="shared" si="9"/>
        <v>0</v>
      </c>
      <c r="K121" s="164"/>
      <c r="L121" s="23"/>
      <c r="M121" s="170"/>
      <c r="N121" s="23"/>
      <c r="O121" s="23"/>
      <c r="P121" s="23"/>
      <c r="Q121" s="23"/>
      <c r="R121" s="23"/>
      <c r="S121" s="23"/>
      <c r="T121" s="23"/>
    </row>
    <row r="122" spans="1:20" s="15" customFormat="1">
      <c r="A122" s="23">
        <v>117</v>
      </c>
      <c r="B122" s="86" t="s">
        <v>1801</v>
      </c>
      <c r="C122" s="87" t="s">
        <v>1802</v>
      </c>
      <c r="D122" s="88"/>
      <c r="E122" s="88"/>
      <c r="F122" s="41" t="s">
        <v>428</v>
      </c>
      <c r="G122" s="42">
        <f>4-3-1</f>
        <v>0</v>
      </c>
      <c r="H122" s="41" t="s">
        <v>77</v>
      </c>
      <c r="I122" s="43">
        <v>1052.97</v>
      </c>
      <c r="J122" s="43">
        <f t="shared" si="9"/>
        <v>0</v>
      </c>
      <c r="K122" s="164">
        <v>2</v>
      </c>
      <c r="L122" s="23"/>
      <c r="M122" s="149">
        <v>2275.56</v>
      </c>
      <c r="N122" s="23">
        <v>2</v>
      </c>
      <c r="O122" s="23"/>
      <c r="P122" s="149">
        <v>2275.56</v>
      </c>
      <c r="Q122" s="23"/>
      <c r="R122" s="23"/>
      <c r="S122" s="23"/>
      <c r="T122" s="23"/>
    </row>
    <row r="123" spans="1:20" s="15" customFormat="1">
      <c r="A123" s="23">
        <v>118</v>
      </c>
      <c r="B123" s="86" t="s">
        <v>1803</v>
      </c>
      <c r="C123" s="87" t="s">
        <v>1804</v>
      </c>
      <c r="D123" s="88"/>
      <c r="E123" s="88"/>
      <c r="F123" s="41" t="s">
        <v>428</v>
      </c>
      <c r="G123" s="42">
        <f>274.85-42-59.65</f>
        <v>173.20000000000002</v>
      </c>
      <c r="H123" s="41" t="s">
        <v>1761</v>
      </c>
      <c r="I123" s="43">
        <v>106.2</v>
      </c>
      <c r="J123" s="43">
        <f t="shared" si="9"/>
        <v>18393.840000000004</v>
      </c>
      <c r="K123" s="164"/>
      <c r="L123" s="23"/>
      <c r="M123" s="170"/>
      <c r="N123" s="23"/>
      <c r="O123" s="23"/>
      <c r="P123" s="23"/>
      <c r="Q123" s="23"/>
      <c r="R123" s="23"/>
      <c r="S123" s="23"/>
      <c r="T123" s="23"/>
    </row>
    <row r="124" spans="1:20" s="15" customFormat="1">
      <c r="A124" s="23">
        <v>119</v>
      </c>
      <c r="B124" s="86" t="s">
        <v>1805</v>
      </c>
      <c r="C124" s="87" t="s">
        <v>1806</v>
      </c>
      <c r="D124" s="88" t="s">
        <v>1807</v>
      </c>
      <c r="E124" s="88"/>
      <c r="F124" s="41" t="s">
        <v>428</v>
      </c>
      <c r="G124" s="42">
        <f>1-1</f>
        <v>0</v>
      </c>
      <c r="H124" s="41" t="s">
        <v>6</v>
      </c>
      <c r="I124" s="43">
        <v>24700</v>
      </c>
      <c r="J124" s="43">
        <f t="shared" si="9"/>
        <v>0</v>
      </c>
      <c r="K124" s="164"/>
      <c r="L124" s="23"/>
      <c r="M124" s="170"/>
      <c r="N124" s="23"/>
      <c r="O124" s="23"/>
      <c r="P124" s="23"/>
      <c r="Q124" s="23"/>
      <c r="R124" s="23"/>
      <c r="S124" s="23"/>
      <c r="T124" s="23"/>
    </row>
    <row r="125" spans="1:20" s="15" customFormat="1">
      <c r="A125" s="23">
        <v>120</v>
      </c>
      <c r="B125" s="86" t="s">
        <v>1842</v>
      </c>
      <c r="C125" s="87" t="s">
        <v>1843</v>
      </c>
      <c r="D125" s="88"/>
      <c r="E125" s="88"/>
      <c r="F125" s="41" t="s">
        <v>428</v>
      </c>
      <c r="G125" s="42">
        <f>6-6</f>
        <v>0</v>
      </c>
      <c r="H125" s="41" t="s">
        <v>6</v>
      </c>
      <c r="I125" s="43">
        <v>300</v>
      </c>
      <c r="J125" s="43">
        <f t="shared" si="9"/>
        <v>0</v>
      </c>
      <c r="K125" s="164"/>
      <c r="L125" s="23"/>
      <c r="M125" s="170"/>
      <c r="N125" s="23"/>
      <c r="O125" s="23"/>
      <c r="P125" s="23"/>
      <c r="Q125" s="23"/>
      <c r="R125" s="23"/>
      <c r="S125" s="23"/>
      <c r="T125" s="23"/>
    </row>
    <row r="126" spans="1:20" s="15" customFormat="1">
      <c r="A126" s="23">
        <v>121</v>
      </c>
      <c r="B126" s="86" t="s">
        <v>1847</v>
      </c>
      <c r="C126" s="87" t="s">
        <v>1848</v>
      </c>
      <c r="D126" s="88" t="s">
        <v>80</v>
      </c>
      <c r="E126" s="88"/>
      <c r="F126" s="41" t="s">
        <v>428</v>
      </c>
      <c r="G126" s="42">
        <f>1-1</f>
        <v>0</v>
      </c>
      <c r="H126" s="41" t="s">
        <v>77</v>
      </c>
      <c r="I126" s="43">
        <v>6815</v>
      </c>
      <c r="J126" s="43">
        <f t="shared" si="9"/>
        <v>0</v>
      </c>
      <c r="K126" s="164"/>
      <c r="L126" s="23"/>
      <c r="M126" s="170"/>
      <c r="N126" s="23"/>
      <c r="O126" s="23"/>
      <c r="P126" s="23"/>
      <c r="Q126" s="23"/>
      <c r="R126" s="23"/>
      <c r="S126" s="23"/>
      <c r="T126" s="23"/>
    </row>
    <row r="127" spans="1:20" s="15" customFormat="1">
      <c r="A127" s="23">
        <v>122</v>
      </c>
      <c r="B127" s="86" t="s">
        <v>1854</v>
      </c>
      <c r="C127" s="87" t="s">
        <v>1855</v>
      </c>
      <c r="D127" s="88" t="s">
        <v>1856</v>
      </c>
      <c r="E127" s="88"/>
      <c r="F127" s="41" t="s">
        <v>428</v>
      </c>
      <c r="G127" s="42">
        <f>20-1</f>
        <v>19</v>
      </c>
      <c r="H127" s="41" t="s">
        <v>6</v>
      </c>
      <c r="I127" s="43">
        <v>168</v>
      </c>
      <c r="J127" s="43">
        <f t="shared" si="9"/>
        <v>3192</v>
      </c>
      <c r="K127" s="164">
        <v>15</v>
      </c>
      <c r="L127" s="23"/>
      <c r="M127" s="149">
        <v>2671.2</v>
      </c>
      <c r="N127" s="23">
        <v>20</v>
      </c>
      <c r="O127" s="23"/>
      <c r="P127" s="23">
        <v>3722.88</v>
      </c>
      <c r="Q127" s="23"/>
      <c r="R127" s="23"/>
      <c r="S127" s="23"/>
      <c r="T127" s="23"/>
    </row>
    <row r="128" spans="1:20" s="15" customFormat="1">
      <c r="A128" s="23">
        <v>123</v>
      </c>
      <c r="B128" s="86" t="s">
        <v>1857</v>
      </c>
      <c r="C128" s="87" t="s">
        <v>1858</v>
      </c>
      <c r="D128" s="88" t="s">
        <v>57</v>
      </c>
      <c r="E128" s="88"/>
      <c r="F128" s="41" t="s">
        <v>428</v>
      </c>
      <c r="G128" s="42">
        <f>3-3</f>
        <v>0</v>
      </c>
      <c r="H128" s="41" t="s">
        <v>6</v>
      </c>
      <c r="I128" s="43">
        <v>236</v>
      </c>
      <c r="J128" s="43">
        <f t="shared" si="9"/>
        <v>0</v>
      </c>
      <c r="K128" s="164"/>
      <c r="L128" s="23"/>
      <c r="M128" s="170"/>
      <c r="N128" s="23"/>
      <c r="O128" s="23"/>
      <c r="P128" s="23"/>
      <c r="Q128" s="23"/>
      <c r="R128" s="23"/>
      <c r="S128" s="23"/>
      <c r="T128" s="23"/>
    </row>
    <row r="129" spans="1:20" s="15" customFormat="1">
      <c r="A129" s="23">
        <v>124</v>
      </c>
      <c r="B129" s="86" t="s">
        <v>1859</v>
      </c>
      <c r="C129" s="87" t="s">
        <v>1860</v>
      </c>
      <c r="D129" s="88" t="s">
        <v>57</v>
      </c>
      <c r="E129" s="88"/>
      <c r="F129" s="41" t="s">
        <v>428</v>
      </c>
      <c r="G129" s="42">
        <f>3-1</f>
        <v>2</v>
      </c>
      <c r="H129" s="41" t="s">
        <v>6</v>
      </c>
      <c r="I129" s="43">
        <v>35.4</v>
      </c>
      <c r="J129" s="43">
        <f t="shared" si="9"/>
        <v>70.8</v>
      </c>
      <c r="K129" s="164"/>
      <c r="L129" s="23"/>
      <c r="M129" s="170"/>
      <c r="N129" s="23">
        <v>1</v>
      </c>
      <c r="O129" s="23"/>
      <c r="P129" s="23">
        <v>35.4</v>
      </c>
      <c r="Q129" s="23"/>
      <c r="R129" s="23"/>
      <c r="S129" s="23"/>
      <c r="T129" s="23"/>
    </row>
    <row r="130" spans="1:20" s="15" customFormat="1">
      <c r="A130" s="23">
        <v>125</v>
      </c>
      <c r="B130" s="86" t="s">
        <v>1861</v>
      </c>
      <c r="C130" s="87" t="s">
        <v>1325</v>
      </c>
      <c r="D130" s="88" t="s">
        <v>1862</v>
      </c>
      <c r="E130" s="88"/>
      <c r="F130" s="41" t="s">
        <v>428</v>
      </c>
      <c r="G130" s="42">
        <f>10-3-1</f>
        <v>6</v>
      </c>
      <c r="H130" s="41" t="s">
        <v>6</v>
      </c>
      <c r="I130" s="43">
        <v>50.4</v>
      </c>
      <c r="J130" s="43">
        <f t="shared" si="9"/>
        <v>302.39999999999998</v>
      </c>
      <c r="K130" s="164"/>
      <c r="L130" s="23"/>
      <c r="M130" s="170"/>
      <c r="N130" s="23"/>
      <c r="O130" s="23"/>
      <c r="P130" s="23"/>
      <c r="Q130" s="23"/>
      <c r="R130" s="23"/>
      <c r="S130" s="23"/>
      <c r="T130" s="23"/>
    </row>
    <row r="131" spans="1:20" s="15" customFormat="1">
      <c r="A131" s="23">
        <v>126</v>
      </c>
      <c r="B131" s="86" t="s">
        <v>1863</v>
      </c>
      <c r="C131" s="87" t="s">
        <v>1864</v>
      </c>
      <c r="D131" s="88" t="s">
        <v>57</v>
      </c>
      <c r="E131" s="88"/>
      <c r="F131" s="41" t="s">
        <v>428</v>
      </c>
      <c r="G131" s="42">
        <f>20-10</f>
        <v>10</v>
      </c>
      <c r="H131" s="41" t="s">
        <v>6</v>
      </c>
      <c r="I131" s="43">
        <v>76.7</v>
      </c>
      <c r="J131" s="43">
        <f t="shared" si="9"/>
        <v>767</v>
      </c>
      <c r="K131" s="164"/>
      <c r="L131" s="23"/>
      <c r="M131" s="170"/>
      <c r="N131" s="23"/>
      <c r="O131" s="23"/>
      <c r="P131" s="23"/>
      <c r="Q131" s="23"/>
      <c r="R131" s="23"/>
      <c r="S131" s="23"/>
      <c r="T131" s="23"/>
    </row>
    <row r="132" spans="1:20" s="15" customFormat="1">
      <c r="A132" s="23">
        <v>127</v>
      </c>
      <c r="B132" s="86" t="s">
        <v>1865</v>
      </c>
      <c r="C132" s="87" t="s">
        <v>1866</v>
      </c>
      <c r="D132" s="88" t="s">
        <v>57</v>
      </c>
      <c r="E132" s="88"/>
      <c r="F132" s="41" t="s">
        <v>428</v>
      </c>
      <c r="G132" s="42">
        <f>5-2-1</f>
        <v>2</v>
      </c>
      <c r="H132" s="41" t="s">
        <v>11</v>
      </c>
      <c r="I132" s="43">
        <v>70.8</v>
      </c>
      <c r="J132" s="43">
        <f t="shared" si="9"/>
        <v>141.6</v>
      </c>
      <c r="K132" s="164"/>
      <c r="L132" s="23"/>
      <c r="M132" s="170"/>
      <c r="N132" s="23"/>
      <c r="O132" s="23"/>
      <c r="P132" s="23"/>
      <c r="Q132" s="23"/>
      <c r="R132" s="23"/>
      <c r="S132" s="23"/>
      <c r="T132" s="23"/>
    </row>
    <row r="133" spans="1:20" s="15" customFormat="1">
      <c r="A133" s="23">
        <v>128</v>
      </c>
      <c r="B133" s="86" t="s">
        <v>1867</v>
      </c>
      <c r="C133" s="87" t="s">
        <v>1868</v>
      </c>
      <c r="D133" s="88" t="s">
        <v>1869</v>
      </c>
      <c r="E133" s="88"/>
      <c r="F133" s="41" t="s">
        <v>428</v>
      </c>
      <c r="G133" s="42">
        <f>2-1</f>
        <v>1</v>
      </c>
      <c r="H133" s="41" t="s">
        <v>6</v>
      </c>
      <c r="I133" s="43">
        <v>135.69999999999999</v>
      </c>
      <c r="J133" s="43">
        <f t="shared" si="9"/>
        <v>135.69999999999999</v>
      </c>
      <c r="K133" s="164"/>
      <c r="L133" s="23"/>
      <c r="M133" s="170"/>
      <c r="N133" s="23"/>
      <c r="O133" s="23"/>
      <c r="P133" s="23"/>
      <c r="Q133" s="23"/>
      <c r="R133" s="23"/>
      <c r="S133" s="23"/>
      <c r="T133" s="23"/>
    </row>
    <row r="134" spans="1:20" s="15" customFormat="1">
      <c r="A134" s="23">
        <v>129</v>
      </c>
      <c r="B134" s="86" t="s">
        <v>1870</v>
      </c>
      <c r="C134" s="87" t="s">
        <v>1871</v>
      </c>
      <c r="D134" s="88" t="s">
        <v>87</v>
      </c>
      <c r="E134" s="88"/>
      <c r="F134" s="41" t="s">
        <v>428</v>
      </c>
      <c r="G134" s="42">
        <f>5-1+2-2</f>
        <v>4</v>
      </c>
      <c r="H134" s="41" t="s">
        <v>6</v>
      </c>
      <c r="I134" s="43">
        <v>47</v>
      </c>
      <c r="J134" s="43">
        <f t="shared" si="9"/>
        <v>188</v>
      </c>
      <c r="K134" s="164"/>
      <c r="L134" s="23"/>
      <c r="M134" s="170"/>
      <c r="N134" s="23">
        <v>4</v>
      </c>
      <c r="O134" s="23"/>
      <c r="P134" s="23">
        <v>188</v>
      </c>
      <c r="Q134" s="23"/>
      <c r="R134" s="23"/>
      <c r="S134" s="23"/>
      <c r="T134" s="23"/>
    </row>
    <row r="135" spans="1:20" s="15" customFormat="1">
      <c r="A135" s="23">
        <v>130</v>
      </c>
      <c r="B135" s="86" t="s">
        <v>1872</v>
      </c>
      <c r="C135" s="87" t="s">
        <v>1871</v>
      </c>
      <c r="D135" s="88" t="s">
        <v>1360</v>
      </c>
      <c r="E135" s="88"/>
      <c r="F135" s="41" t="s">
        <v>428</v>
      </c>
      <c r="G135" s="42">
        <f>5+2</f>
        <v>7</v>
      </c>
      <c r="H135" s="41" t="s">
        <v>6</v>
      </c>
      <c r="I135" s="43">
        <v>70</v>
      </c>
      <c r="J135" s="43">
        <f t="shared" si="9"/>
        <v>490</v>
      </c>
      <c r="K135" s="164">
        <v>4</v>
      </c>
      <c r="L135" s="23"/>
      <c r="M135" s="170">
        <v>250</v>
      </c>
      <c r="N135" s="23">
        <v>11</v>
      </c>
      <c r="O135" s="23"/>
      <c r="P135" s="23">
        <v>740</v>
      </c>
      <c r="Q135" s="23"/>
      <c r="R135" s="23"/>
      <c r="S135" s="23"/>
      <c r="T135" s="23"/>
    </row>
    <row r="136" spans="1:20" s="15" customFormat="1">
      <c r="A136" s="23">
        <v>131</v>
      </c>
      <c r="B136" s="86" t="s">
        <v>1873</v>
      </c>
      <c r="C136" s="87" t="s">
        <v>1871</v>
      </c>
      <c r="D136" s="88" t="s">
        <v>143</v>
      </c>
      <c r="E136" s="88"/>
      <c r="F136" s="41" t="s">
        <v>428</v>
      </c>
      <c r="G136" s="42">
        <f>5-2-2-1</f>
        <v>0</v>
      </c>
      <c r="H136" s="41" t="s">
        <v>6</v>
      </c>
      <c r="I136" s="43">
        <v>70</v>
      </c>
      <c r="J136" s="43">
        <f t="shared" si="9"/>
        <v>0</v>
      </c>
      <c r="K136" s="164"/>
      <c r="L136" s="23"/>
      <c r="M136" s="170"/>
      <c r="N136" s="23"/>
      <c r="O136" s="23"/>
      <c r="P136" s="23"/>
      <c r="Q136" s="23"/>
      <c r="R136" s="23"/>
      <c r="S136" s="23"/>
      <c r="T136" s="23"/>
    </row>
    <row r="137" spans="1:20" s="15" customFormat="1">
      <c r="A137" s="23">
        <v>132</v>
      </c>
      <c r="B137" s="86" t="s">
        <v>1885</v>
      </c>
      <c r="C137" s="87" t="s">
        <v>1886</v>
      </c>
      <c r="D137" s="88" t="s">
        <v>1887</v>
      </c>
      <c r="E137" s="88"/>
      <c r="F137" s="41" t="s">
        <v>428</v>
      </c>
      <c r="G137" s="42">
        <f>20-1</f>
        <v>19</v>
      </c>
      <c r="H137" s="41" t="s">
        <v>6</v>
      </c>
      <c r="I137" s="43">
        <v>30</v>
      </c>
      <c r="J137" s="43">
        <f t="shared" si="9"/>
        <v>570</v>
      </c>
      <c r="K137" s="164"/>
      <c r="L137" s="23"/>
      <c r="M137" s="170"/>
      <c r="N137" s="23">
        <v>12</v>
      </c>
      <c r="O137" s="23"/>
      <c r="P137" s="23">
        <v>360</v>
      </c>
      <c r="Q137" s="23"/>
      <c r="R137" s="23"/>
      <c r="S137" s="23"/>
      <c r="T137" s="23"/>
    </row>
    <row r="138" spans="1:20" s="15" customFormat="1">
      <c r="A138" s="23">
        <v>133</v>
      </c>
      <c r="B138" s="86" t="s">
        <v>1969</v>
      </c>
      <c r="C138" s="87" t="s">
        <v>1970</v>
      </c>
      <c r="D138" s="88"/>
      <c r="E138" s="88"/>
      <c r="F138" s="41" t="s">
        <v>428</v>
      </c>
      <c r="G138" s="42">
        <v>0</v>
      </c>
      <c r="H138" s="41" t="s">
        <v>6</v>
      </c>
      <c r="I138" s="43">
        <v>1700</v>
      </c>
      <c r="J138" s="43">
        <f t="shared" si="9"/>
        <v>0</v>
      </c>
      <c r="K138" s="164"/>
      <c r="L138" s="23"/>
      <c r="M138" s="170"/>
      <c r="N138" s="23"/>
      <c r="O138" s="23"/>
      <c r="P138" s="23"/>
      <c r="Q138" s="23"/>
      <c r="R138" s="23"/>
      <c r="S138" s="23"/>
      <c r="T138" s="23"/>
    </row>
    <row r="139" spans="1:20" s="15" customFormat="1">
      <c r="A139" s="23">
        <v>134</v>
      </c>
      <c r="B139" s="86" t="s">
        <v>1967</v>
      </c>
      <c r="C139" s="87" t="s">
        <v>1968</v>
      </c>
      <c r="D139" s="88"/>
      <c r="E139" s="88"/>
      <c r="F139" s="41" t="s">
        <v>428</v>
      </c>
      <c r="G139" s="42">
        <v>1</v>
      </c>
      <c r="H139" s="41" t="s">
        <v>6</v>
      </c>
      <c r="I139" s="43">
        <v>800</v>
      </c>
      <c r="J139" s="43">
        <f t="shared" si="9"/>
        <v>800</v>
      </c>
      <c r="K139" s="164"/>
      <c r="L139" s="23"/>
      <c r="M139" s="170"/>
      <c r="N139" s="23"/>
      <c r="O139" s="23"/>
      <c r="P139" s="23"/>
      <c r="Q139" s="23"/>
      <c r="R139" s="23"/>
      <c r="S139" s="23"/>
      <c r="T139" s="23"/>
    </row>
    <row r="140" spans="1:20" s="15" customFormat="1">
      <c r="A140" s="23">
        <v>135</v>
      </c>
      <c r="B140" s="45" t="s">
        <v>1921</v>
      </c>
      <c r="C140" s="46" t="s">
        <v>1922</v>
      </c>
      <c r="D140" s="47"/>
      <c r="E140" s="47"/>
      <c r="F140" s="95" t="s">
        <v>428</v>
      </c>
      <c r="G140" s="83">
        <f>1-1</f>
        <v>0</v>
      </c>
      <c r="H140" s="95" t="s">
        <v>6</v>
      </c>
      <c r="I140" s="44">
        <v>600</v>
      </c>
      <c r="J140" s="44">
        <f t="shared" si="9"/>
        <v>0</v>
      </c>
      <c r="K140" s="164">
        <v>1</v>
      </c>
      <c r="L140" s="23"/>
      <c r="M140" s="149">
        <v>679</v>
      </c>
      <c r="N140" s="23"/>
      <c r="O140" s="23"/>
      <c r="P140" s="23"/>
      <c r="Q140" s="23"/>
      <c r="R140" s="23"/>
      <c r="S140" s="23"/>
      <c r="T140" s="23"/>
    </row>
    <row r="141" spans="1:20" s="15" customFormat="1">
      <c r="A141" s="23">
        <v>136</v>
      </c>
      <c r="B141" s="86" t="s">
        <v>1946</v>
      </c>
      <c r="C141" s="87" t="s">
        <v>1947</v>
      </c>
      <c r="D141" s="88" t="s">
        <v>1948</v>
      </c>
      <c r="E141" s="88"/>
      <c r="F141" s="41" t="s">
        <v>428</v>
      </c>
      <c r="G141" s="42">
        <f>1-1</f>
        <v>0</v>
      </c>
      <c r="H141" s="41" t="s">
        <v>6</v>
      </c>
      <c r="I141" s="43">
        <v>3000</v>
      </c>
      <c r="J141" s="43">
        <f t="shared" si="9"/>
        <v>0</v>
      </c>
      <c r="K141" s="164"/>
      <c r="L141" s="23"/>
      <c r="M141" s="170"/>
      <c r="N141" s="23"/>
      <c r="O141" s="23"/>
      <c r="P141" s="23"/>
      <c r="Q141" s="23"/>
      <c r="R141" s="23"/>
      <c r="S141" s="23"/>
      <c r="T141" s="23"/>
    </row>
    <row r="142" spans="1:20" s="15" customFormat="1">
      <c r="A142" s="23">
        <v>137</v>
      </c>
      <c r="B142" s="86" t="s">
        <v>1949</v>
      </c>
      <c r="C142" s="87" t="s">
        <v>1950</v>
      </c>
      <c r="D142" s="88"/>
      <c r="E142" s="88"/>
      <c r="F142" s="41" t="s">
        <v>428</v>
      </c>
      <c r="G142" s="42">
        <f>3-3</f>
        <v>0</v>
      </c>
      <c r="H142" s="41" t="s">
        <v>6</v>
      </c>
      <c r="I142" s="43">
        <v>25</v>
      </c>
      <c r="J142" s="43">
        <f t="shared" si="9"/>
        <v>0</v>
      </c>
      <c r="K142" s="164"/>
      <c r="L142" s="23"/>
      <c r="M142" s="170"/>
      <c r="N142" s="23"/>
      <c r="O142" s="23"/>
      <c r="P142" s="23"/>
      <c r="Q142" s="23"/>
      <c r="R142" s="23"/>
      <c r="S142" s="23"/>
      <c r="T142" s="23"/>
    </row>
    <row r="143" spans="1:20" s="15" customFormat="1">
      <c r="A143" s="23">
        <v>138</v>
      </c>
      <c r="B143" s="86" t="s">
        <v>1971</v>
      </c>
      <c r="C143" s="87" t="s">
        <v>1972</v>
      </c>
      <c r="D143" s="88"/>
      <c r="E143" s="88"/>
      <c r="F143" s="41" t="s">
        <v>428</v>
      </c>
      <c r="G143" s="42">
        <f>1-1</f>
        <v>0</v>
      </c>
      <c r="H143" s="41" t="s">
        <v>6</v>
      </c>
      <c r="I143" s="43">
        <v>30</v>
      </c>
      <c r="J143" s="43">
        <f t="shared" si="9"/>
        <v>0</v>
      </c>
      <c r="K143" s="164"/>
      <c r="L143" s="23"/>
      <c r="M143" s="170"/>
      <c r="N143" s="23"/>
      <c r="O143" s="23"/>
      <c r="P143" s="23"/>
      <c r="Q143" s="23"/>
      <c r="R143" s="23"/>
      <c r="S143" s="23"/>
      <c r="T143" s="23"/>
    </row>
    <row r="144" spans="1:20" s="15" customFormat="1">
      <c r="A144" s="23">
        <v>139</v>
      </c>
      <c r="B144" s="86" t="s">
        <v>1951</v>
      </c>
      <c r="C144" s="87" t="s">
        <v>1952</v>
      </c>
      <c r="D144" s="88"/>
      <c r="E144" s="88"/>
      <c r="F144" s="41" t="s">
        <v>428</v>
      </c>
      <c r="G144" s="42">
        <f>15-15</f>
        <v>0</v>
      </c>
      <c r="H144" s="41" t="s">
        <v>6</v>
      </c>
      <c r="I144" s="43">
        <v>779.98</v>
      </c>
      <c r="J144" s="43">
        <f t="shared" si="9"/>
        <v>0</v>
      </c>
      <c r="K144" s="164"/>
      <c r="L144" s="23"/>
      <c r="M144" s="170"/>
      <c r="N144" s="23"/>
      <c r="O144" s="23"/>
      <c r="P144" s="23"/>
      <c r="Q144" s="23"/>
      <c r="R144" s="23"/>
      <c r="S144" s="23"/>
      <c r="T144" s="23"/>
    </row>
    <row r="145" spans="1:20" s="15" customFormat="1">
      <c r="A145" s="23">
        <v>140</v>
      </c>
      <c r="B145" s="86" t="s">
        <v>1981</v>
      </c>
      <c r="C145" s="87" t="s">
        <v>1982</v>
      </c>
      <c r="D145" s="88" t="s">
        <v>1983</v>
      </c>
      <c r="E145" s="88"/>
      <c r="F145" s="41" t="s">
        <v>428</v>
      </c>
      <c r="G145" s="42">
        <v>0</v>
      </c>
      <c r="H145" s="41" t="s">
        <v>6</v>
      </c>
      <c r="I145" s="43">
        <v>1239</v>
      </c>
      <c r="J145" s="43">
        <f t="shared" si="9"/>
        <v>0</v>
      </c>
      <c r="K145" s="164"/>
      <c r="L145" s="23"/>
      <c r="M145" s="170"/>
      <c r="N145" s="23"/>
      <c r="O145" s="23"/>
      <c r="P145" s="23"/>
      <c r="Q145" s="23"/>
      <c r="R145" s="23"/>
      <c r="S145" s="23"/>
      <c r="T145" s="23"/>
    </row>
    <row r="146" spans="1:20" s="15" customFormat="1">
      <c r="A146" s="23">
        <v>141</v>
      </c>
      <c r="B146" s="86"/>
      <c r="C146" s="87" t="s">
        <v>2015</v>
      </c>
      <c r="D146" s="88"/>
      <c r="E146" s="88"/>
      <c r="F146" s="41" t="s">
        <v>428</v>
      </c>
      <c r="G146" s="42">
        <f>10-10</f>
        <v>0</v>
      </c>
      <c r="H146" s="41" t="s">
        <v>6</v>
      </c>
      <c r="I146" s="43">
        <v>41.3</v>
      </c>
      <c r="J146" s="43">
        <f t="shared" ref="J146:J149" si="10">G146*I146</f>
        <v>0</v>
      </c>
      <c r="K146" s="164"/>
      <c r="L146" s="23"/>
      <c r="M146" s="170"/>
      <c r="N146" s="23"/>
      <c r="O146" s="23"/>
      <c r="P146" s="23"/>
      <c r="Q146" s="23"/>
      <c r="R146" s="23"/>
      <c r="S146" s="23"/>
      <c r="T146" s="23"/>
    </row>
    <row r="147" spans="1:20" s="15" customFormat="1">
      <c r="A147" s="23">
        <v>142</v>
      </c>
      <c r="B147" s="86"/>
      <c r="C147" s="87" t="s">
        <v>2021</v>
      </c>
      <c r="D147" s="88" t="s">
        <v>2022</v>
      </c>
      <c r="E147" s="88"/>
      <c r="F147" s="41" t="s">
        <v>428</v>
      </c>
      <c r="G147" s="42">
        <f>1-1</f>
        <v>0</v>
      </c>
      <c r="H147" s="41" t="s">
        <v>6</v>
      </c>
      <c r="I147" s="43">
        <v>9000.01</v>
      </c>
      <c r="J147" s="43">
        <f t="shared" si="10"/>
        <v>0</v>
      </c>
      <c r="K147" s="164"/>
      <c r="L147" s="23"/>
      <c r="M147" s="170"/>
      <c r="N147" s="23"/>
      <c r="O147" s="23"/>
      <c r="P147" s="23"/>
      <c r="Q147" s="23"/>
      <c r="R147" s="23"/>
      <c r="S147" s="23"/>
      <c r="T147" s="23"/>
    </row>
    <row r="148" spans="1:20" s="15" customFormat="1">
      <c r="A148" s="23"/>
      <c r="B148" s="86"/>
      <c r="C148" s="87" t="s">
        <v>2050</v>
      </c>
      <c r="D148" s="88"/>
      <c r="E148" s="88"/>
      <c r="F148" s="41" t="s">
        <v>428</v>
      </c>
      <c r="G148" s="42">
        <v>6</v>
      </c>
      <c r="H148" s="41" t="s">
        <v>6</v>
      </c>
      <c r="I148" s="43">
        <v>20</v>
      </c>
      <c r="J148" s="43">
        <f t="shared" si="10"/>
        <v>120</v>
      </c>
      <c r="K148" s="164"/>
      <c r="L148" s="23"/>
      <c r="M148" s="170"/>
      <c r="N148" s="23"/>
      <c r="O148" s="23"/>
      <c r="P148" s="23"/>
      <c r="Q148" s="23"/>
      <c r="R148" s="23"/>
      <c r="S148" s="23"/>
      <c r="T148" s="23"/>
    </row>
    <row r="149" spans="1:20" s="15" customFormat="1">
      <c r="A149" s="23"/>
      <c r="B149" s="86"/>
      <c r="C149" s="87" t="s">
        <v>2051</v>
      </c>
      <c r="D149" s="88"/>
      <c r="E149" s="88"/>
      <c r="F149" s="41" t="s">
        <v>428</v>
      </c>
      <c r="G149" s="42">
        <v>2</v>
      </c>
      <c r="H149" s="41" t="s">
        <v>6</v>
      </c>
      <c r="I149" s="43">
        <v>40</v>
      </c>
      <c r="J149" s="43">
        <f t="shared" si="10"/>
        <v>80</v>
      </c>
      <c r="K149" s="164"/>
      <c r="L149" s="23"/>
      <c r="M149" s="170"/>
      <c r="N149" s="23"/>
      <c r="O149" s="23"/>
      <c r="P149" s="23"/>
      <c r="Q149" s="23"/>
      <c r="R149" s="23"/>
      <c r="S149" s="23"/>
      <c r="T149" s="23"/>
    </row>
    <row r="150" spans="1:20" s="15" customFormat="1">
      <c r="A150" s="23"/>
      <c r="B150" s="134" t="s">
        <v>2323</v>
      </c>
      <c r="C150" s="134" t="s">
        <v>2324</v>
      </c>
      <c r="D150" s="88"/>
      <c r="E150" s="88"/>
      <c r="F150" s="41"/>
      <c r="G150" s="42"/>
      <c r="H150" s="41" t="s">
        <v>6</v>
      </c>
      <c r="I150" s="43"/>
      <c r="J150" s="43"/>
      <c r="K150" s="164">
        <v>5</v>
      </c>
      <c r="L150" s="23"/>
      <c r="M150" s="170">
        <v>2000</v>
      </c>
      <c r="N150" s="23">
        <v>5</v>
      </c>
      <c r="O150" s="23"/>
      <c r="P150" s="23">
        <v>2000</v>
      </c>
      <c r="Q150" s="23"/>
      <c r="R150" s="23"/>
      <c r="S150" s="23"/>
      <c r="T150" s="23"/>
    </row>
    <row r="151" spans="1:20" s="15" customFormat="1">
      <c r="A151" s="23"/>
      <c r="B151" s="134" t="s">
        <v>2326</v>
      </c>
      <c r="C151" s="134" t="s">
        <v>2325</v>
      </c>
      <c r="D151" s="88"/>
      <c r="E151" s="88"/>
      <c r="F151" s="41"/>
      <c r="G151" s="42"/>
      <c r="H151" s="41" t="s">
        <v>6</v>
      </c>
      <c r="I151" s="43"/>
      <c r="J151" s="43"/>
      <c r="K151" s="164">
        <v>3</v>
      </c>
      <c r="L151" s="23"/>
      <c r="M151" s="170">
        <v>3040</v>
      </c>
      <c r="N151" s="23"/>
      <c r="O151" s="23"/>
      <c r="P151" s="23"/>
      <c r="Q151" s="23"/>
      <c r="R151" s="23"/>
      <c r="S151" s="23"/>
      <c r="T151" s="23"/>
    </row>
    <row r="152" spans="1:20" s="15" customFormat="1">
      <c r="A152" s="23"/>
      <c r="B152" s="134" t="s">
        <v>2328</v>
      </c>
      <c r="C152" s="134" t="s">
        <v>2327</v>
      </c>
      <c r="D152" s="88"/>
      <c r="E152" s="88"/>
      <c r="F152" s="41"/>
      <c r="G152" s="42"/>
      <c r="H152" s="41" t="s">
        <v>3</v>
      </c>
      <c r="I152" s="43"/>
      <c r="J152" s="43"/>
      <c r="K152" s="164">
        <v>3</v>
      </c>
      <c r="L152" s="23"/>
      <c r="M152" s="149">
        <v>2973.6</v>
      </c>
      <c r="N152" s="23">
        <v>1</v>
      </c>
      <c r="O152" s="23"/>
      <c r="P152" s="23">
        <v>991.2</v>
      </c>
      <c r="Q152" s="23"/>
      <c r="R152" s="23"/>
      <c r="S152" s="23"/>
      <c r="T152" s="23"/>
    </row>
    <row r="153" spans="1:20" s="15" customFormat="1">
      <c r="A153" s="23"/>
      <c r="B153" s="134" t="s">
        <v>2329</v>
      </c>
      <c r="C153" s="134" t="s">
        <v>1282</v>
      </c>
      <c r="D153" s="88"/>
      <c r="E153" s="88"/>
      <c r="F153" s="41"/>
      <c r="G153" s="42"/>
      <c r="H153" s="41" t="s">
        <v>6</v>
      </c>
      <c r="I153" s="43"/>
      <c r="J153" s="43"/>
      <c r="K153" s="164">
        <v>2</v>
      </c>
      <c r="L153" s="23"/>
      <c r="M153" s="149">
        <v>1999.98</v>
      </c>
      <c r="N153" s="23">
        <v>2</v>
      </c>
      <c r="O153" s="23"/>
      <c r="P153" s="149">
        <v>1999.98</v>
      </c>
      <c r="Q153" s="23"/>
      <c r="R153" s="23"/>
      <c r="S153" s="23"/>
      <c r="T153" s="23"/>
    </row>
    <row r="154" spans="1:20" s="15" customFormat="1">
      <c r="A154" s="23"/>
      <c r="B154" s="134" t="s">
        <v>2331</v>
      </c>
      <c r="C154" s="134" t="s">
        <v>2330</v>
      </c>
      <c r="D154" s="88"/>
      <c r="E154" s="88"/>
      <c r="F154" s="41"/>
      <c r="G154" s="42"/>
      <c r="H154" s="41" t="s">
        <v>6</v>
      </c>
      <c r="I154" s="43"/>
      <c r="J154" s="43"/>
      <c r="K154" s="164">
        <v>3</v>
      </c>
      <c r="L154" s="23"/>
      <c r="M154" s="149">
        <v>141.6</v>
      </c>
      <c r="N154" s="23">
        <v>1</v>
      </c>
      <c r="O154" s="23"/>
      <c r="P154" s="23">
        <v>47.2</v>
      </c>
      <c r="Q154" s="23"/>
      <c r="R154" s="23"/>
      <c r="S154" s="23"/>
      <c r="T154" s="23"/>
    </row>
    <row r="155" spans="1:20" s="15" customFormat="1">
      <c r="A155" s="23"/>
      <c r="B155" s="134" t="s">
        <v>2332</v>
      </c>
      <c r="C155" s="80" t="s">
        <v>2395</v>
      </c>
      <c r="D155" s="88"/>
      <c r="E155" s="88"/>
      <c r="F155" s="41"/>
      <c r="G155" s="42"/>
      <c r="H155" s="41" t="s">
        <v>3</v>
      </c>
      <c r="I155" s="43"/>
      <c r="J155" s="43"/>
      <c r="K155" s="164">
        <v>6899</v>
      </c>
      <c r="L155" s="23"/>
      <c r="M155" s="170">
        <v>495079.81</v>
      </c>
      <c r="N155" s="23">
        <v>6899</v>
      </c>
      <c r="O155" s="23"/>
      <c r="P155" s="23">
        <v>495168.46</v>
      </c>
      <c r="Q155" s="23"/>
      <c r="R155" s="23"/>
      <c r="S155" s="23"/>
      <c r="T155" s="23"/>
    </row>
    <row r="156" spans="1:20" s="15" customFormat="1">
      <c r="A156" s="23"/>
      <c r="B156" s="134" t="s">
        <v>2334</v>
      </c>
      <c r="C156" s="134" t="s">
        <v>2333</v>
      </c>
      <c r="D156" s="88"/>
      <c r="E156" s="88"/>
      <c r="F156" s="41"/>
      <c r="G156" s="42"/>
      <c r="H156" s="41" t="s">
        <v>6</v>
      </c>
      <c r="I156" s="43"/>
      <c r="J156" s="43"/>
      <c r="K156" s="164">
        <v>1</v>
      </c>
      <c r="L156" s="23"/>
      <c r="M156" s="149">
        <v>1</v>
      </c>
      <c r="N156" s="23">
        <v>1</v>
      </c>
      <c r="O156" s="23"/>
      <c r="P156" s="149">
        <v>1</v>
      </c>
      <c r="Q156" s="23"/>
      <c r="R156" s="23"/>
      <c r="S156" s="23"/>
      <c r="T156" s="23"/>
    </row>
    <row r="157" spans="1:20" s="15" customFormat="1">
      <c r="A157" s="23"/>
      <c r="B157" s="134" t="s">
        <v>2336</v>
      </c>
      <c r="C157" s="134" t="s">
        <v>2335</v>
      </c>
      <c r="D157" s="88"/>
      <c r="E157" s="88"/>
      <c r="F157" s="41"/>
      <c r="G157" s="42"/>
      <c r="H157" s="41" t="s">
        <v>6</v>
      </c>
      <c r="I157" s="43"/>
      <c r="J157" s="43"/>
      <c r="K157" s="164">
        <v>6</v>
      </c>
      <c r="L157" s="23"/>
      <c r="M157" s="149">
        <v>2760</v>
      </c>
      <c r="N157" s="23">
        <v>6</v>
      </c>
      <c r="O157" s="23"/>
      <c r="P157" s="149">
        <v>2760</v>
      </c>
      <c r="Q157" s="23"/>
      <c r="R157" s="23"/>
      <c r="S157" s="23"/>
      <c r="T157" s="23"/>
    </row>
    <row r="158" spans="1:20" s="15" customFormat="1">
      <c r="A158" s="23"/>
      <c r="B158" s="134" t="s">
        <v>2338</v>
      </c>
      <c r="C158" s="134" t="s">
        <v>2337</v>
      </c>
      <c r="D158" s="88"/>
      <c r="E158" s="88"/>
      <c r="F158" s="41"/>
      <c r="G158" s="42"/>
      <c r="H158" s="41" t="s">
        <v>6</v>
      </c>
      <c r="I158" s="43"/>
      <c r="J158" s="43"/>
      <c r="K158" s="164">
        <v>1</v>
      </c>
      <c r="L158" s="23"/>
      <c r="M158" s="149">
        <v>1</v>
      </c>
      <c r="N158" s="23">
        <v>1</v>
      </c>
      <c r="O158" s="23"/>
      <c r="P158" s="149">
        <v>1</v>
      </c>
      <c r="Q158" s="23"/>
      <c r="R158" s="23"/>
      <c r="S158" s="23"/>
      <c r="T158" s="23"/>
    </row>
    <row r="159" spans="1:20" s="15" customFormat="1">
      <c r="A159" s="23"/>
      <c r="B159" s="134" t="s">
        <v>2340</v>
      </c>
      <c r="C159" s="134" t="s">
        <v>2339</v>
      </c>
      <c r="D159" s="88"/>
      <c r="E159" s="88"/>
      <c r="F159" s="41"/>
      <c r="G159" s="42"/>
      <c r="H159" s="41" t="s">
        <v>6</v>
      </c>
      <c r="I159" s="43"/>
      <c r="J159" s="43"/>
      <c r="K159" s="164">
        <v>1</v>
      </c>
      <c r="L159" s="23"/>
      <c r="M159" s="149">
        <v>1</v>
      </c>
      <c r="N159" s="23">
        <v>1</v>
      </c>
      <c r="O159" s="23"/>
      <c r="P159" s="149">
        <v>1</v>
      </c>
      <c r="Q159" s="23"/>
      <c r="R159" s="23"/>
      <c r="S159" s="23"/>
      <c r="T159" s="23"/>
    </row>
    <row r="160" spans="1:20" s="15" customFormat="1">
      <c r="A160" s="23"/>
      <c r="B160" s="134" t="s">
        <v>2342</v>
      </c>
      <c r="C160" s="134" t="s">
        <v>2341</v>
      </c>
      <c r="D160" s="88"/>
      <c r="E160" s="88"/>
      <c r="F160" s="41"/>
      <c r="G160" s="42"/>
      <c r="H160" s="41" t="s">
        <v>6</v>
      </c>
      <c r="I160" s="43"/>
      <c r="J160" s="43"/>
      <c r="K160" s="164">
        <v>1</v>
      </c>
      <c r="L160" s="23"/>
      <c r="M160" s="149">
        <v>1</v>
      </c>
      <c r="N160" s="23">
        <v>1</v>
      </c>
      <c r="O160" s="23"/>
      <c r="P160" s="149">
        <v>1</v>
      </c>
      <c r="Q160" s="23"/>
      <c r="R160" s="23"/>
      <c r="S160" s="23"/>
      <c r="T160" s="23"/>
    </row>
    <row r="161" spans="1:20" s="15" customFormat="1">
      <c r="A161" s="23"/>
      <c r="B161" s="134" t="s">
        <v>2344</v>
      </c>
      <c r="C161" s="134" t="s">
        <v>2343</v>
      </c>
      <c r="D161" s="88"/>
      <c r="E161" s="88"/>
      <c r="F161" s="41"/>
      <c r="G161" s="42"/>
      <c r="H161" s="41" t="s">
        <v>6</v>
      </c>
      <c r="I161" s="43"/>
      <c r="J161" s="43"/>
      <c r="K161" s="164">
        <v>1</v>
      </c>
      <c r="L161" s="23"/>
      <c r="M161" s="170">
        <v>120</v>
      </c>
      <c r="N161" s="23">
        <v>1</v>
      </c>
      <c r="O161" s="23"/>
      <c r="P161" s="170">
        <v>120</v>
      </c>
      <c r="Q161" s="23"/>
      <c r="R161" s="23"/>
      <c r="S161" s="23"/>
      <c r="T161" s="23"/>
    </row>
    <row r="162" spans="1:20" s="15" customFormat="1">
      <c r="A162" s="23"/>
      <c r="B162" s="134" t="s">
        <v>2346</v>
      </c>
      <c r="C162" s="134" t="s">
        <v>2345</v>
      </c>
      <c r="D162" s="88"/>
      <c r="E162" s="88"/>
      <c r="F162" s="41"/>
      <c r="G162" s="42"/>
      <c r="H162" s="41" t="s">
        <v>3</v>
      </c>
      <c r="I162" s="43"/>
      <c r="J162" s="43"/>
      <c r="K162" s="131">
        <v>8.5</v>
      </c>
      <c r="L162" s="23"/>
      <c r="M162" s="149">
        <v>2237.9699999999998</v>
      </c>
      <c r="N162" s="134">
        <v>8.5</v>
      </c>
      <c r="O162" s="23"/>
      <c r="P162" s="149">
        <v>2237.9699999999998</v>
      </c>
      <c r="Q162" s="23"/>
      <c r="R162" s="23"/>
      <c r="S162" s="23"/>
      <c r="T162" s="23"/>
    </row>
    <row r="163" spans="1:20" s="15" customFormat="1">
      <c r="A163" s="23"/>
      <c r="B163" s="134" t="s">
        <v>2348</v>
      </c>
      <c r="C163" s="134" t="s">
        <v>2347</v>
      </c>
      <c r="D163" s="88"/>
      <c r="E163" s="88"/>
      <c r="F163" s="41"/>
      <c r="G163" s="42"/>
      <c r="H163" s="41" t="s">
        <v>6</v>
      </c>
      <c r="I163" s="43"/>
      <c r="J163" s="43"/>
      <c r="K163" s="164">
        <v>4101</v>
      </c>
      <c r="L163" s="23"/>
      <c r="M163" s="170">
        <v>84540.17</v>
      </c>
      <c r="N163" s="23">
        <v>2640</v>
      </c>
      <c r="O163" s="23"/>
      <c r="P163" s="23">
        <v>54509.18</v>
      </c>
      <c r="Q163" s="23"/>
      <c r="R163" s="23"/>
      <c r="S163" s="23"/>
      <c r="T163" s="23"/>
    </row>
    <row r="164" spans="1:20" s="15" customFormat="1">
      <c r="A164" s="23"/>
      <c r="B164" s="134" t="s">
        <v>2350</v>
      </c>
      <c r="C164" s="134" t="s">
        <v>2349</v>
      </c>
      <c r="D164" s="88"/>
      <c r="E164" s="88"/>
      <c r="F164" s="41"/>
      <c r="G164" s="42"/>
      <c r="H164" s="41" t="s">
        <v>6</v>
      </c>
      <c r="I164" s="43"/>
      <c r="J164" s="43"/>
      <c r="K164" s="164">
        <v>11</v>
      </c>
      <c r="L164" s="23"/>
      <c r="M164" s="170">
        <v>264.17</v>
      </c>
      <c r="N164" s="23">
        <v>11</v>
      </c>
      <c r="O164" s="23"/>
      <c r="P164" s="23">
        <v>279.87</v>
      </c>
      <c r="Q164" s="23"/>
      <c r="R164" s="23"/>
      <c r="S164" s="23"/>
      <c r="T164" s="23"/>
    </row>
    <row r="165" spans="1:20" s="15" customFormat="1">
      <c r="A165" s="23"/>
      <c r="B165" s="134" t="s">
        <v>2351</v>
      </c>
      <c r="C165" s="134" t="s">
        <v>2352</v>
      </c>
      <c r="D165" s="88"/>
      <c r="E165" s="88"/>
      <c r="F165" s="41"/>
      <c r="G165" s="42"/>
      <c r="H165" s="41" t="s">
        <v>6</v>
      </c>
      <c r="I165" s="43"/>
      <c r="J165" s="43"/>
      <c r="K165" s="164">
        <v>10</v>
      </c>
      <c r="L165" s="23"/>
      <c r="M165" s="170">
        <v>991.2</v>
      </c>
      <c r="N165" s="23">
        <v>4</v>
      </c>
      <c r="O165" s="23"/>
      <c r="P165" s="149">
        <v>396.48</v>
      </c>
      <c r="Q165" s="23"/>
      <c r="R165" s="23"/>
      <c r="S165" s="23"/>
      <c r="T165" s="23"/>
    </row>
    <row r="166" spans="1:20" s="15" customFormat="1">
      <c r="A166" s="23"/>
      <c r="B166" s="134" t="s">
        <v>2353</v>
      </c>
      <c r="C166" s="134" t="s">
        <v>1623</v>
      </c>
      <c r="D166" s="88"/>
      <c r="E166" s="88"/>
      <c r="F166" s="41"/>
      <c r="G166" s="42"/>
      <c r="H166" s="41" t="s">
        <v>6</v>
      </c>
      <c r="I166" s="43"/>
      <c r="J166" s="43"/>
      <c r="K166" s="164">
        <v>80</v>
      </c>
      <c r="L166" s="23"/>
      <c r="M166" s="170">
        <v>124674.8</v>
      </c>
      <c r="N166" s="23">
        <v>80</v>
      </c>
      <c r="O166" s="23"/>
      <c r="P166" s="23" t="s">
        <v>2396</v>
      </c>
      <c r="Q166" s="23"/>
      <c r="R166" s="23"/>
      <c r="S166" s="23"/>
      <c r="T166" s="23"/>
    </row>
    <row r="167" spans="1:20" s="15" customFormat="1">
      <c r="A167" s="23"/>
      <c r="B167" s="134" t="s">
        <v>2355</v>
      </c>
      <c r="C167" s="134" t="s">
        <v>2354</v>
      </c>
      <c r="D167" s="88"/>
      <c r="E167" s="88"/>
      <c r="F167" s="41"/>
      <c r="G167" s="42"/>
      <c r="H167" s="41" t="s">
        <v>6</v>
      </c>
      <c r="I167" s="43"/>
      <c r="J167" s="43"/>
      <c r="K167" s="164">
        <v>1</v>
      </c>
      <c r="L167" s="23"/>
      <c r="M167" s="170">
        <v>250</v>
      </c>
      <c r="N167" s="23">
        <v>1</v>
      </c>
      <c r="O167" s="23"/>
      <c r="P167" s="170">
        <v>250</v>
      </c>
      <c r="Q167" s="23"/>
      <c r="R167" s="23"/>
      <c r="S167" s="23"/>
      <c r="T167" s="23"/>
    </row>
    <row r="168" spans="1:20" s="15" customFormat="1">
      <c r="A168" s="23"/>
      <c r="B168" s="134" t="s">
        <v>2357</v>
      </c>
      <c r="C168" s="134" t="s">
        <v>2356</v>
      </c>
      <c r="D168" s="88"/>
      <c r="E168" s="88"/>
      <c r="F168" s="41"/>
      <c r="G168" s="42"/>
      <c r="H168" s="41" t="s">
        <v>6</v>
      </c>
      <c r="I168" s="43"/>
      <c r="J168" s="43"/>
      <c r="K168" s="164">
        <v>4</v>
      </c>
      <c r="L168" s="23"/>
      <c r="M168" s="170">
        <v>40</v>
      </c>
      <c r="N168" s="23">
        <v>4</v>
      </c>
      <c r="O168" s="23"/>
      <c r="P168" s="170">
        <v>40</v>
      </c>
      <c r="Q168" s="23"/>
      <c r="R168" s="23"/>
      <c r="S168" s="23"/>
      <c r="T168" s="23"/>
    </row>
    <row r="169" spans="1:20" s="15" customFormat="1">
      <c r="A169" s="23"/>
      <c r="B169" s="134" t="s">
        <v>2359</v>
      </c>
      <c r="C169" s="134" t="s">
        <v>2358</v>
      </c>
      <c r="D169" s="88"/>
      <c r="E169" s="88"/>
      <c r="F169" s="41"/>
      <c r="G169" s="42"/>
      <c r="H169" s="41" t="s">
        <v>6</v>
      </c>
      <c r="I169" s="43"/>
      <c r="J169" s="43"/>
      <c r="K169" s="164">
        <v>12</v>
      </c>
      <c r="L169" s="23"/>
      <c r="M169" s="170">
        <v>7800</v>
      </c>
      <c r="N169" s="23">
        <v>4</v>
      </c>
      <c r="O169" s="23"/>
      <c r="P169" s="23">
        <v>2600</v>
      </c>
      <c r="Q169" s="23"/>
      <c r="R169" s="23"/>
      <c r="S169" s="23"/>
      <c r="T169" s="23"/>
    </row>
    <row r="170" spans="1:20" s="15" customFormat="1">
      <c r="A170" s="23"/>
      <c r="B170" s="134" t="s">
        <v>2360</v>
      </c>
      <c r="C170" s="134" t="s">
        <v>2361</v>
      </c>
      <c r="D170" s="88"/>
      <c r="E170" s="88"/>
      <c r="F170" s="41"/>
      <c r="G170" s="42"/>
      <c r="H170" s="41" t="s">
        <v>6</v>
      </c>
      <c r="I170" s="43"/>
      <c r="J170" s="43"/>
      <c r="K170" s="164">
        <v>1</v>
      </c>
      <c r="L170" s="23"/>
      <c r="M170" s="149">
        <v>1077.44</v>
      </c>
      <c r="N170" s="23"/>
      <c r="O170" s="23"/>
      <c r="P170" s="23"/>
      <c r="Q170" s="23"/>
      <c r="R170" s="23"/>
      <c r="S170" s="23"/>
      <c r="T170" s="23"/>
    </row>
    <row r="171" spans="1:20" s="15" customFormat="1">
      <c r="A171" s="23"/>
      <c r="B171" s="134" t="s">
        <v>2362</v>
      </c>
      <c r="C171" s="134" t="s">
        <v>1325</v>
      </c>
      <c r="D171" s="88"/>
      <c r="E171" s="88"/>
      <c r="F171" s="41"/>
      <c r="G171" s="42"/>
      <c r="H171" s="41" t="s">
        <v>6</v>
      </c>
      <c r="I171" s="43"/>
      <c r="J171" s="43"/>
      <c r="K171" s="164">
        <v>18</v>
      </c>
      <c r="L171" s="23"/>
      <c r="M171" s="170">
        <v>907.2</v>
      </c>
      <c r="N171" s="23">
        <v>14</v>
      </c>
      <c r="O171" s="23"/>
      <c r="P171" s="23">
        <v>705.6</v>
      </c>
      <c r="Q171" s="23"/>
      <c r="R171" s="23"/>
      <c r="S171" s="23"/>
      <c r="T171" s="23"/>
    </row>
    <row r="172" spans="1:20" s="15" customFormat="1">
      <c r="A172" s="23"/>
      <c r="B172" s="134" t="s">
        <v>2363</v>
      </c>
      <c r="C172" s="134" t="s">
        <v>2364</v>
      </c>
      <c r="D172" s="88"/>
      <c r="E172" s="88"/>
      <c r="F172" s="41"/>
      <c r="G172" s="42"/>
      <c r="H172" s="41" t="s">
        <v>6</v>
      </c>
      <c r="I172" s="43"/>
      <c r="J172" s="43"/>
      <c r="K172" s="164">
        <v>6</v>
      </c>
      <c r="L172" s="23"/>
      <c r="M172" s="170">
        <v>450</v>
      </c>
      <c r="N172" s="23"/>
      <c r="O172" s="23"/>
      <c r="P172" s="23"/>
      <c r="Q172" s="23"/>
      <c r="R172" s="23"/>
      <c r="S172" s="23"/>
      <c r="T172" s="23"/>
    </row>
    <row r="173" spans="1:20" s="15" customFormat="1">
      <c r="A173" s="23"/>
      <c r="B173" s="134" t="s">
        <v>2365</v>
      </c>
      <c r="C173" s="87" t="s">
        <v>1620</v>
      </c>
      <c r="D173" s="88"/>
      <c r="E173" s="88"/>
      <c r="F173" s="41"/>
      <c r="G173" s="42"/>
      <c r="H173" s="41" t="s">
        <v>6</v>
      </c>
      <c r="I173" s="43"/>
      <c r="J173" s="43"/>
      <c r="K173" s="164">
        <v>564</v>
      </c>
      <c r="L173" s="23"/>
      <c r="M173" s="170">
        <v>185815.44</v>
      </c>
      <c r="N173" s="23">
        <v>564</v>
      </c>
      <c r="O173" s="23"/>
      <c r="P173" s="23">
        <v>185815.44</v>
      </c>
      <c r="Q173" s="23"/>
      <c r="R173" s="23"/>
      <c r="S173" s="23"/>
      <c r="T173" s="23"/>
    </row>
    <row r="174" spans="1:20" s="15" customFormat="1">
      <c r="A174" s="23"/>
      <c r="B174" s="134" t="s">
        <v>2366</v>
      </c>
      <c r="C174" s="134" t="s">
        <v>2367</v>
      </c>
      <c r="D174" s="88"/>
      <c r="E174" s="88"/>
      <c r="F174" s="41"/>
      <c r="G174" s="42"/>
      <c r="H174" s="41" t="s">
        <v>6</v>
      </c>
      <c r="I174" s="43"/>
      <c r="J174" s="43"/>
      <c r="K174" s="164">
        <v>20</v>
      </c>
      <c r="L174" s="23"/>
      <c r="M174" s="149">
        <v>802.4</v>
      </c>
      <c r="N174" s="23">
        <v>20</v>
      </c>
      <c r="O174" s="23"/>
      <c r="P174" s="23">
        <v>802.4</v>
      </c>
      <c r="Q174" s="23"/>
      <c r="R174" s="23"/>
      <c r="S174" s="23"/>
      <c r="T174" s="23"/>
    </row>
    <row r="175" spans="1:20" s="15" customFormat="1">
      <c r="A175" s="23"/>
      <c r="B175" s="134" t="s">
        <v>2368</v>
      </c>
      <c r="C175" s="134" t="s">
        <v>2369</v>
      </c>
      <c r="D175" s="88"/>
      <c r="E175" s="88"/>
      <c r="F175" s="41"/>
      <c r="G175" s="42"/>
      <c r="H175" s="41" t="s">
        <v>6</v>
      </c>
      <c r="I175" s="43"/>
      <c r="J175" s="43"/>
      <c r="K175" s="164">
        <v>1</v>
      </c>
      <c r="L175" s="23"/>
      <c r="M175" s="170">
        <v>350</v>
      </c>
      <c r="N175" s="23">
        <v>1</v>
      </c>
      <c r="O175" s="23"/>
      <c r="P175" s="23">
        <v>350</v>
      </c>
      <c r="Q175" s="23"/>
      <c r="R175" s="23"/>
      <c r="S175" s="23"/>
      <c r="T175" s="23"/>
    </row>
    <row r="176" spans="1:20" s="15" customFormat="1">
      <c r="A176" s="23"/>
      <c r="B176" s="134" t="s">
        <v>2370</v>
      </c>
      <c r="C176" s="134" t="s">
        <v>2371</v>
      </c>
      <c r="D176" s="88"/>
      <c r="E176" s="88"/>
      <c r="F176" s="41"/>
      <c r="G176" s="42"/>
      <c r="H176" s="41" t="s">
        <v>6</v>
      </c>
      <c r="I176" s="43"/>
      <c r="J176" s="43"/>
      <c r="K176" s="164">
        <v>4</v>
      </c>
      <c r="L176" s="23"/>
      <c r="M176" s="149">
        <v>119.98</v>
      </c>
      <c r="N176" s="23">
        <v>3</v>
      </c>
      <c r="O176" s="23"/>
      <c r="P176" s="23">
        <v>90</v>
      </c>
      <c r="Q176" s="23"/>
      <c r="R176" s="23"/>
      <c r="S176" s="23"/>
      <c r="T176" s="23"/>
    </row>
    <row r="177" spans="1:20" s="15" customFormat="1">
      <c r="A177" s="23"/>
      <c r="B177" s="134" t="s">
        <v>2372</v>
      </c>
      <c r="C177" s="134" t="s">
        <v>2373</v>
      </c>
      <c r="D177" s="88"/>
      <c r="E177" s="88"/>
      <c r="F177" s="41"/>
      <c r="G177" s="42"/>
      <c r="H177" s="41" t="s">
        <v>6</v>
      </c>
      <c r="I177" s="43"/>
      <c r="J177" s="43"/>
      <c r="K177" s="164">
        <v>4</v>
      </c>
      <c r="L177" s="23"/>
      <c r="M177" s="170">
        <v>2402.4</v>
      </c>
      <c r="N177" s="23"/>
      <c r="O177" s="23"/>
      <c r="P177" s="23"/>
      <c r="Q177" s="23"/>
      <c r="R177" s="23"/>
      <c r="S177" s="23"/>
      <c r="T177" s="23"/>
    </row>
    <row r="178" spans="1:20" s="15" customFormat="1">
      <c r="A178" s="23"/>
      <c r="B178" s="134" t="s">
        <v>2374</v>
      </c>
      <c r="C178" s="23" t="s">
        <v>2375</v>
      </c>
      <c r="D178" s="88"/>
      <c r="E178" s="88"/>
      <c r="F178" s="41"/>
      <c r="G178" s="42"/>
      <c r="H178" s="41" t="s">
        <v>6</v>
      </c>
      <c r="I178" s="43"/>
      <c r="J178" s="43"/>
      <c r="K178" s="164">
        <v>20</v>
      </c>
      <c r="L178" s="23"/>
      <c r="M178" s="149">
        <v>92.98</v>
      </c>
      <c r="N178" s="23">
        <v>10</v>
      </c>
      <c r="O178" s="23"/>
      <c r="P178" s="23">
        <v>46.5</v>
      </c>
      <c r="Q178" s="23"/>
      <c r="R178" s="23"/>
      <c r="S178" s="23"/>
      <c r="T178" s="23"/>
    </row>
    <row r="179" spans="1:20" s="15" customFormat="1">
      <c r="A179" s="23"/>
      <c r="B179" s="134" t="s">
        <v>2376</v>
      </c>
      <c r="C179" s="87" t="s">
        <v>2377</v>
      </c>
      <c r="D179" s="88"/>
      <c r="E179" s="88"/>
      <c r="F179" s="41"/>
      <c r="G179" s="42"/>
      <c r="H179" s="41" t="s">
        <v>6</v>
      </c>
      <c r="I179" s="43"/>
      <c r="J179" s="43"/>
      <c r="K179" s="164">
        <v>12</v>
      </c>
      <c r="L179" s="23"/>
      <c r="M179" s="149">
        <v>604.79999999999995</v>
      </c>
      <c r="N179" s="23">
        <v>4</v>
      </c>
      <c r="O179" s="23"/>
      <c r="P179" s="23">
        <v>201.6</v>
      </c>
      <c r="Q179" s="23"/>
      <c r="R179" s="23"/>
      <c r="S179" s="23"/>
      <c r="T179" s="23"/>
    </row>
    <row r="180" spans="1:20" s="15" customFormat="1">
      <c r="A180" s="23"/>
      <c r="B180" s="134" t="s">
        <v>2378</v>
      </c>
      <c r="C180" s="87" t="s">
        <v>2379</v>
      </c>
      <c r="D180" s="88"/>
      <c r="E180" s="88"/>
      <c r="F180" s="41"/>
      <c r="G180" s="42"/>
      <c r="H180" s="41" t="s">
        <v>1</v>
      </c>
      <c r="I180" s="43"/>
      <c r="J180" s="43"/>
      <c r="K180" s="164">
        <v>6</v>
      </c>
      <c r="L180" s="23"/>
      <c r="M180" s="170">
        <v>544.12</v>
      </c>
      <c r="N180" s="23">
        <v>5.5</v>
      </c>
      <c r="O180" s="23"/>
      <c r="P180" s="23">
        <v>522.05999999999995</v>
      </c>
      <c r="Q180" s="23"/>
      <c r="R180" s="23"/>
      <c r="S180" s="23"/>
      <c r="T180" s="23"/>
    </row>
    <row r="181" spans="1:20" s="15" customFormat="1">
      <c r="A181" s="23"/>
      <c r="B181" s="134" t="s">
        <v>2380</v>
      </c>
      <c r="C181" s="134" t="s">
        <v>2381</v>
      </c>
      <c r="D181" s="88"/>
      <c r="E181" s="88"/>
      <c r="F181" s="41"/>
      <c r="G181" s="42"/>
      <c r="H181" s="41" t="s">
        <v>6</v>
      </c>
      <c r="I181" s="43"/>
      <c r="J181" s="43"/>
      <c r="K181" s="164">
        <v>1</v>
      </c>
      <c r="L181" s="23"/>
      <c r="M181" s="149">
        <v>2250</v>
      </c>
      <c r="N181" s="23">
        <v>1</v>
      </c>
      <c r="O181" s="23"/>
      <c r="P181" s="149">
        <v>2250</v>
      </c>
      <c r="Q181" s="23"/>
      <c r="R181" s="23"/>
      <c r="S181" s="23"/>
      <c r="T181" s="23"/>
    </row>
    <row r="182" spans="1:20" s="15" customFormat="1">
      <c r="A182" s="23"/>
      <c r="B182" s="134" t="s">
        <v>2382</v>
      </c>
      <c r="C182" s="134" t="s">
        <v>2383</v>
      </c>
      <c r="D182" s="88"/>
      <c r="E182" s="88"/>
      <c r="F182" s="41"/>
      <c r="G182" s="42"/>
      <c r="H182" s="41" t="s">
        <v>3</v>
      </c>
      <c r="I182" s="43"/>
      <c r="J182" s="43"/>
      <c r="K182" s="164">
        <v>40</v>
      </c>
      <c r="L182" s="23"/>
      <c r="M182" s="170">
        <v>6249.76</v>
      </c>
      <c r="N182" s="23">
        <v>20</v>
      </c>
      <c r="O182" s="23"/>
      <c r="P182" s="158">
        <v>3124.88</v>
      </c>
      <c r="Q182" s="23"/>
      <c r="R182" s="23"/>
      <c r="S182" s="23"/>
      <c r="T182" s="23"/>
    </row>
    <row r="183" spans="1:20" s="15" customFormat="1">
      <c r="A183" s="23"/>
      <c r="B183" s="134" t="s">
        <v>2384</v>
      </c>
      <c r="C183" s="134" t="s">
        <v>2385</v>
      </c>
      <c r="D183" s="88"/>
      <c r="E183" s="88"/>
      <c r="F183" s="41"/>
      <c r="G183" s="42"/>
      <c r="H183" s="41" t="s">
        <v>6</v>
      </c>
      <c r="I183" s="43"/>
      <c r="J183" s="43"/>
      <c r="K183" s="164">
        <v>2</v>
      </c>
      <c r="L183" s="23"/>
      <c r="M183" s="149">
        <v>1440</v>
      </c>
      <c r="N183" s="23">
        <v>2</v>
      </c>
      <c r="O183" s="23"/>
      <c r="P183" s="158">
        <v>1440</v>
      </c>
      <c r="Q183" s="23"/>
      <c r="R183" s="23"/>
      <c r="S183" s="23"/>
      <c r="T183" s="23"/>
    </row>
    <row r="184" spans="1:20" s="15" customFormat="1">
      <c r="A184" s="23"/>
      <c r="B184" s="134" t="s">
        <v>2386</v>
      </c>
      <c r="C184" s="134" t="s">
        <v>2387</v>
      </c>
      <c r="D184" s="88"/>
      <c r="E184" s="88"/>
      <c r="F184" s="41"/>
      <c r="G184" s="42"/>
      <c r="H184" s="41" t="s">
        <v>3</v>
      </c>
      <c r="I184" s="43"/>
      <c r="J184" s="43"/>
      <c r="K184" s="164">
        <v>20</v>
      </c>
      <c r="L184" s="23"/>
      <c r="M184" s="149">
        <v>2812.41</v>
      </c>
      <c r="N184" s="23"/>
      <c r="O184" s="23"/>
      <c r="P184" s="23"/>
      <c r="Q184" s="23"/>
      <c r="R184" s="23"/>
      <c r="S184" s="23"/>
      <c r="T184" s="23"/>
    </row>
    <row r="185" spans="1:20" s="15" customFormat="1">
      <c r="A185" s="23"/>
      <c r="B185" s="134" t="s">
        <v>2388</v>
      </c>
      <c r="C185" s="134" t="s">
        <v>2389</v>
      </c>
      <c r="D185" s="88"/>
      <c r="E185" s="88"/>
      <c r="F185" s="41"/>
      <c r="G185" s="42"/>
      <c r="H185" s="41" t="s">
        <v>3</v>
      </c>
      <c r="I185" s="43"/>
      <c r="J185" s="43"/>
      <c r="K185" s="164">
        <v>20</v>
      </c>
      <c r="L185" s="23"/>
      <c r="M185" s="149">
        <v>5729.14</v>
      </c>
      <c r="N185" s="23"/>
      <c r="O185" s="23"/>
      <c r="P185" s="23"/>
      <c r="Q185" s="23"/>
      <c r="R185" s="23"/>
      <c r="S185" s="23"/>
      <c r="T185" s="23"/>
    </row>
    <row r="186" spans="1:20" s="15" customFormat="1">
      <c r="A186" s="23"/>
      <c r="B186" s="134" t="s">
        <v>2390</v>
      </c>
      <c r="C186" s="134" t="s">
        <v>2391</v>
      </c>
      <c r="D186" s="88"/>
      <c r="E186" s="88"/>
      <c r="F186" s="41"/>
      <c r="G186" s="42"/>
      <c r="H186" s="41" t="s">
        <v>3</v>
      </c>
      <c r="I186" s="43"/>
      <c r="J186" s="43"/>
      <c r="K186" s="164">
        <v>12</v>
      </c>
      <c r="L186" s="23"/>
      <c r="M186" s="149">
        <v>2040.17</v>
      </c>
      <c r="N186" s="23"/>
      <c r="O186" s="23"/>
      <c r="P186" s="23"/>
      <c r="Q186" s="23"/>
      <c r="R186" s="23"/>
      <c r="S186" s="23"/>
      <c r="T186" s="23"/>
    </row>
    <row r="187" spans="1:20" s="15" customFormat="1">
      <c r="A187" s="23"/>
      <c r="B187" s="134" t="s">
        <v>2393</v>
      </c>
      <c r="C187" s="134" t="s">
        <v>2392</v>
      </c>
      <c r="D187" s="88"/>
      <c r="E187" s="88"/>
      <c r="F187" s="41"/>
      <c r="G187" s="42"/>
      <c r="H187" s="41" t="s">
        <v>6</v>
      </c>
      <c r="I187" s="43"/>
      <c r="J187" s="43"/>
      <c r="K187" s="164">
        <v>1</v>
      </c>
      <c r="L187" s="23"/>
      <c r="M187" s="170">
        <v>56</v>
      </c>
      <c r="N187" s="23"/>
      <c r="O187" s="23"/>
      <c r="P187" s="23"/>
      <c r="Q187" s="23"/>
      <c r="R187" s="23"/>
      <c r="S187" s="23"/>
      <c r="T187" s="23"/>
    </row>
    <row r="188" spans="1:20" s="15" customFormat="1">
      <c r="A188" s="23"/>
      <c r="B188" s="134" t="s">
        <v>2394</v>
      </c>
      <c r="C188" s="134" t="s">
        <v>2015</v>
      </c>
      <c r="D188" s="88"/>
      <c r="E188" s="88"/>
      <c r="F188" s="41"/>
      <c r="G188" s="42"/>
      <c r="H188" s="41"/>
      <c r="I188" s="43"/>
      <c r="J188" s="43"/>
      <c r="K188" s="164">
        <v>40</v>
      </c>
      <c r="L188" s="23"/>
      <c r="M188" s="149">
        <v>1800.68</v>
      </c>
      <c r="N188" s="23"/>
      <c r="O188" s="23"/>
      <c r="P188" s="23"/>
      <c r="Q188" s="23"/>
      <c r="R188" s="23"/>
      <c r="S188" s="23"/>
      <c r="T188" s="23"/>
    </row>
    <row r="189" spans="1:20" s="15" customFormat="1">
      <c r="A189" s="23"/>
      <c r="B189" s="171"/>
      <c r="D189" s="88"/>
      <c r="E189" s="88"/>
      <c r="F189" s="41"/>
      <c r="G189" s="42"/>
      <c r="H189" s="41"/>
      <c r="I189" s="43"/>
      <c r="J189" s="43"/>
      <c r="K189" s="164"/>
      <c r="L189" s="23"/>
      <c r="M189" s="170"/>
      <c r="N189" s="23"/>
      <c r="O189" s="23"/>
      <c r="P189" s="23"/>
      <c r="Q189" s="23"/>
      <c r="R189" s="23"/>
      <c r="S189" s="23"/>
      <c r="T189" s="23"/>
    </row>
    <row r="190" spans="1:20" s="15" customFormat="1">
      <c r="A190" s="23"/>
      <c r="B190" s="86"/>
      <c r="C190" s="87"/>
      <c r="D190" s="88"/>
      <c r="E190" s="88"/>
      <c r="F190" s="41"/>
      <c r="G190" s="42"/>
      <c r="H190" s="41"/>
      <c r="I190" s="43"/>
      <c r="J190" s="43"/>
      <c r="K190" s="164"/>
      <c r="L190" s="23"/>
      <c r="M190" s="170"/>
      <c r="N190" s="23"/>
      <c r="O190" s="23"/>
      <c r="P190" s="23"/>
      <c r="Q190" s="23"/>
      <c r="R190" s="23"/>
      <c r="S190" s="23"/>
      <c r="T190" s="23"/>
    </row>
    <row r="191" spans="1:20" s="15" customFormat="1">
      <c r="A191" s="23"/>
      <c r="B191" s="86"/>
      <c r="C191" s="87"/>
      <c r="D191" s="88"/>
      <c r="E191" s="88"/>
      <c r="F191" s="41"/>
      <c r="G191" s="42"/>
      <c r="H191" s="41"/>
      <c r="I191" s="43"/>
      <c r="J191" s="43"/>
      <c r="K191" s="164"/>
      <c r="L191" s="23"/>
      <c r="M191" s="170"/>
      <c r="N191" s="23"/>
      <c r="O191" s="23"/>
      <c r="P191" s="23"/>
      <c r="Q191" s="23"/>
      <c r="R191" s="23"/>
      <c r="S191" s="23"/>
      <c r="T191" s="23"/>
    </row>
    <row r="192" spans="1:20" s="15" customFormat="1">
      <c r="A192" s="23"/>
      <c r="B192" s="86"/>
      <c r="C192" s="87"/>
      <c r="D192" s="88"/>
      <c r="E192" s="88"/>
      <c r="F192" s="41"/>
      <c r="G192" s="42"/>
      <c r="H192" s="41"/>
      <c r="I192" s="43"/>
      <c r="J192" s="43"/>
      <c r="K192" s="164"/>
      <c r="L192" s="23"/>
      <c r="M192" s="170"/>
      <c r="N192" s="23"/>
      <c r="O192" s="23"/>
      <c r="P192" s="23"/>
      <c r="Q192" s="23"/>
      <c r="R192" s="23"/>
      <c r="S192" s="23"/>
      <c r="T192" s="23"/>
    </row>
    <row r="193" spans="1:20" s="15" customFormat="1">
      <c r="A193" s="23"/>
      <c r="B193" s="86"/>
      <c r="C193" s="87"/>
      <c r="D193" s="88"/>
      <c r="E193" s="88"/>
      <c r="F193" s="41"/>
      <c r="G193" s="42"/>
      <c r="H193" s="41"/>
      <c r="I193" s="43"/>
      <c r="J193" s="43"/>
      <c r="K193" s="164"/>
      <c r="L193" s="23"/>
      <c r="M193" s="170"/>
      <c r="N193" s="23"/>
      <c r="O193" s="23"/>
      <c r="P193" s="23"/>
      <c r="Q193" s="23"/>
      <c r="R193" s="23"/>
      <c r="S193" s="23"/>
      <c r="T193" s="23"/>
    </row>
    <row r="194" spans="1:20" s="15" customFormat="1">
      <c r="A194" s="23"/>
      <c r="B194" s="86"/>
      <c r="C194" s="87"/>
      <c r="D194" s="88"/>
      <c r="E194" s="88"/>
      <c r="F194" s="41"/>
      <c r="G194" s="42"/>
      <c r="H194" s="41"/>
      <c r="I194" s="43"/>
      <c r="J194" s="43"/>
      <c r="K194" s="164"/>
      <c r="L194" s="23"/>
      <c r="M194" s="170"/>
      <c r="N194" s="23"/>
      <c r="O194" s="23"/>
      <c r="P194" s="23"/>
      <c r="Q194" s="23"/>
      <c r="R194" s="23"/>
      <c r="S194" s="23"/>
      <c r="T194" s="23"/>
    </row>
    <row r="195" spans="1:20" s="15" customFormat="1">
      <c r="A195" s="23"/>
      <c r="B195" s="86"/>
      <c r="C195" s="87"/>
      <c r="D195" s="88"/>
      <c r="E195" s="88"/>
      <c r="F195" s="41"/>
      <c r="G195" s="42"/>
      <c r="H195" s="41"/>
      <c r="I195" s="43"/>
      <c r="J195" s="43"/>
      <c r="K195" s="164"/>
      <c r="L195" s="23"/>
      <c r="M195" s="170"/>
      <c r="N195" s="23"/>
      <c r="O195" s="23"/>
      <c r="P195" s="23"/>
      <c r="Q195" s="23"/>
      <c r="R195" s="23"/>
      <c r="S195" s="23"/>
      <c r="T195" s="23"/>
    </row>
    <row r="196" spans="1:20" s="15" customFormat="1">
      <c r="A196" s="23"/>
      <c r="B196" s="86"/>
      <c r="C196" s="87"/>
      <c r="D196" s="88"/>
      <c r="E196" s="88"/>
      <c r="F196" s="41"/>
      <c r="G196" s="42"/>
      <c r="H196" s="41"/>
      <c r="I196" s="43"/>
      <c r="J196" s="43"/>
      <c r="K196" s="164"/>
      <c r="L196" s="23"/>
      <c r="M196" s="170"/>
      <c r="N196" s="23"/>
      <c r="O196" s="23"/>
      <c r="P196" s="23"/>
      <c r="Q196" s="23"/>
      <c r="R196" s="23"/>
      <c r="S196" s="23"/>
      <c r="T196" s="23"/>
    </row>
    <row r="197" spans="1:20" s="15" customFormat="1">
      <c r="A197" s="23"/>
      <c r="B197" s="86"/>
      <c r="C197" s="87"/>
      <c r="D197" s="88"/>
      <c r="E197" s="88"/>
      <c r="F197" s="41"/>
      <c r="G197" s="42"/>
      <c r="H197" s="41"/>
      <c r="I197" s="43"/>
      <c r="J197" s="43"/>
      <c r="K197" s="164"/>
      <c r="L197" s="23"/>
      <c r="M197" s="170"/>
      <c r="N197" s="23"/>
      <c r="O197" s="23"/>
      <c r="P197" s="23"/>
      <c r="Q197" s="23"/>
      <c r="R197" s="23"/>
      <c r="S197" s="23"/>
      <c r="T197" s="23"/>
    </row>
    <row r="198" spans="1:20" s="15" customFormat="1">
      <c r="A198" s="23"/>
      <c r="B198" s="86"/>
      <c r="C198" s="87"/>
      <c r="D198" s="88"/>
      <c r="E198" s="88"/>
      <c r="F198" s="41"/>
      <c r="G198" s="42"/>
      <c r="H198" s="41"/>
      <c r="I198" s="43"/>
      <c r="J198" s="43"/>
      <c r="K198" s="164"/>
      <c r="L198" s="23"/>
      <c r="M198" s="170"/>
      <c r="N198" s="23"/>
      <c r="O198" s="23"/>
      <c r="P198" s="23"/>
      <c r="Q198" s="23"/>
      <c r="R198" s="23"/>
      <c r="S198" s="23"/>
      <c r="T198" s="23"/>
    </row>
    <row r="199" spans="1:20" s="15" customFormat="1">
      <c r="A199" s="23"/>
      <c r="B199" s="86"/>
      <c r="C199" s="87"/>
      <c r="D199" s="88"/>
      <c r="E199" s="88"/>
      <c r="F199" s="41"/>
      <c r="G199" s="42"/>
      <c r="H199" s="41"/>
      <c r="I199" s="43"/>
      <c r="J199" s="43"/>
      <c r="K199" s="164"/>
      <c r="L199" s="23"/>
      <c r="M199" s="170"/>
      <c r="N199" s="23"/>
      <c r="O199" s="23"/>
      <c r="P199" s="23"/>
      <c r="Q199" s="23"/>
      <c r="R199" s="23"/>
      <c r="S199" s="23"/>
      <c r="T199" s="23"/>
    </row>
    <row r="200" spans="1:20">
      <c r="A200" s="175" t="s">
        <v>1637</v>
      </c>
      <c r="B200" s="175"/>
      <c r="C200" s="175"/>
      <c r="D200" s="175"/>
      <c r="E200" s="175"/>
      <c r="F200" s="175"/>
      <c r="G200" s="175"/>
      <c r="H200" s="175"/>
      <c r="I200" s="175"/>
      <c r="J200" s="37">
        <f>SUM(J6:J149)</f>
        <v>853953.946</v>
      </c>
    </row>
    <row r="201" spans="1:20">
      <c r="J201" s="93"/>
    </row>
  </sheetData>
  <mergeCells count="15">
    <mergeCell ref="K4:M4"/>
    <mergeCell ref="N4:P4"/>
    <mergeCell ref="Q4:S4"/>
    <mergeCell ref="A200:I200"/>
    <mergeCell ref="A1:J1"/>
    <mergeCell ref="A2:J2"/>
    <mergeCell ref="A3:J3"/>
    <mergeCell ref="A4:A5"/>
    <mergeCell ref="B4:B5"/>
    <mergeCell ref="C4:C5"/>
    <mergeCell ref="D4:D5"/>
    <mergeCell ref="E4:E5"/>
    <mergeCell ref="F4:F5"/>
    <mergeCell ref="G4:G5"/>
    <mergeCell ref="H4:J4"/>
  </mergeCells>
  <pageMargins left="0.25" right="0.22" top="0.35" bottom="0.35" header="0.3" footer="0.3"/>
  <pageSetup paperSize="9" scale="7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72"/>
  <sheetViews>
    <sheetView topLeftCell="A10" workbookViewId="0">
      <pane ySplit="2280" topLeftCell="A59"/>
      <selection activeCell="A4" sqref="A4:A5"/>
      <selection pane="bottomLeft" activeCell="I73" sqref="I73"/>
    </sheetView>
  </sheetViews>
  <sheetFormatPr defaultRowHeight="15"/>
  <cols>
    <col min="1" max="1" width="7.5703125" bestFit="1" customWidth="1"/>
    <col min="2" max="2" width="14.7109375" bestFit="1" customWidth="1"/>
    <col min="3" max="3" width="46.28515625" bestFit="1" customWidth="1"/>
    <col min="4" max="4" width="16.140625" customWidth="1"/>
    <col min="5" max="5" width="12.140625" customWidth="1"/>
    <col min="6" max="6" width="12.85546875" bestFit="1" customWidth="1"/>
    <col min="7" max="7" width="6.7109375" bestFit="1" customWidth="1"/>
    <col min="8" max="8" width="5.28515625" bestFit="1" customWidth="1"/>
    <col min="9" max="9" width="12.140625" bestFit="1" customWidth="1"/>
    <col min="10" max="10" width="13.85546875" bestFit="1" customWidth="1"/>
    <col min="11" max="11" width="10.85546875" bestFit="1" customWidth="1"/>
    <col min="12" max="12" width="12" bestFit="1" customWidth="1"/>
    <col min="13" max="13" width="9.5703125" bestFit="1" customWidth="1"/>
    <col min="15" max="16" width="12.140625" bestFit="1" customWidth="1"/>
  </cols>
  <sheetData>
    <row r="1" spans="1:20" ht="18">
      <c r="A1" s="185" t="s">
        <v>670</v>
      </c>
      <c r="B1" s="186"/>
      <c r="C1" s="186"/>
      <c r="D1" s="186"/>
      <c r="E1" s="186"/>
      <c r="F1" s="186"/>
      <c r="G1" s="186"/>
      <c r="H1" s="186"/>
      <c r="I1" s="186"/>
      <c r="J1" s="187"/>
    </row>
    <row r="2" spans="1:20" ht="18">
      <c r="A2" s="185" t="s">
        <v>1493</v>
      </c>
      <c r="B2" s="186"/>
      <c r="C2" s="186"/>
      <c r="D2" s="186"/>
      <c r="E2" s="186"/>
      <c r="F2" s="186"/>
      <c r="G2" s="186"/>
      <c r="H2" s="186"/>
      <c r="I2" s="186"/>
      <c r="J2" s="187"/>
    </row>
    <row r="3" spans="1:20" ht="18">
      <c r="A3" s="185" t="s">
        <v>2230</v>
      </c>
      <c r="B3" s="186"/>
      <c r="C3" s="186"/>
      <c r="D3" s="186"/>
      <c r="E3" s="186"/>
      <c r="F3" s="186"/>
      <c r="G3" s="186"/>
      <c r="H3" s="186"/>
      <c r="I3" s="186"/>
      <c r="J3" s="187"/>
    </row>
    <row r="4" spans="1:20">
      <c r="A4" s="179" t="s">
        <v>667</v>
      </c>
      <c r="B4" s="180" t="s">
        <v>27</v>
      </c>
      <c r="C4" s="180" t="s">
        <v>28</v>
      </c>
      <c r="D4" s="180" t="s">
        <v>29</v>
      </c>
      <c r="E4" s="180" t="s">
        <v>2062</v>
      </c>
      <c r="F4" s="181" t="s">
        <v>30</v>
      </c>
      <c r="G4" s="181" t="s">
        <v>32</v>
      </c>
      <c r="H4" s="176" t="s">
        <v>2173</v>
      </c>
      <c r="I4" s="176"/>
      <c r="J4" s="176"/>
      <c r="K4" s="176" t="s">
        <v>2174</v>
      </c>
      <c r="L4" s="176"/>
      <c r="M4" s="176"/>
      <c r="N4" s="176" t="s">
        <v>2175</v>
      </c>
      <c r="O4" s="176"/>
      <c r="P4" s="176"/>
      <c r="Q4" s="176" t="s">
        <v>2176</v>
      </c>
      <c r="R4" s="176"/>
      <c r="S4" s="176"/>
      <c r="T4" s="3"/>
    </row>
    <row r="5" spans="1:20" ht="30">
      <c r="A5" s="179"/>
      <c r="B5" s="180"/>
      <c r="C5" s="180"/>
      <c r="D5" s="180"/>
      <c r="E5" s="180"/>
      <c r="F5" s="181"/>
      <c r="G5" s="181"/>
      <c r="H5" s="141" t="s">
        <v>31</v>
      </c>
      <c r="I5" s="140" t="s">
        <v>668</v>
      </c>
      <c r="J5" s="140" t="s">
        <v>669</v>
      </c>
      <c r="K5" s="141" t="s">
        <v>31</v>
      </c>
      <c r="L5" s="140" t="s">
        <v>668</v>
      </c>
      <c r="M5" s="140" t="s">
        <v>669</v>
      </c>
      <c r="N5" s="141" t="s">
        <v>31</v>
      </c>
      <c r="O5" s="140" t="s">
        <v>668</v>
      </c>
      <c r="P5" s="140" t="s">
        <v>669</v>
      </c>
      <c r="Q5" s="141" t="s">
        <v>31</v>
      </c>
      <c r="R5" s="140" t="s">
        <v>668</v>
      </c>
      <c r="S5" s="140" t="s">
        <v>669</v>
      </c>
      <c r="T5" s="130" t="s">
        <v>2118</v>
      </c>
    </row>
    <row r="6" spans="1:20">
      <c r="A6" s="23">
        <f>A5+1</f>
        <v>1</v>
      </c>
      <c r="B6" s="3" t="s">
        <v>2</v>
      </c>
      <c r="C6" s="8" t="s">
        <v>1644</v>
      </c>
      <c r="D6" s="4" t="s">
        <v>1646</v>
      </c>
      <c r="E6" s="4"/>
      <c r="F6" s="3" t="s">
        <v>0</v>
      </c>
      <c r="G6" s="3" t="s">
        <v>1645</v>
      </c>
      <c r="H6" s="3">
        <f>1-3+3+2+4-3-1-1+3-1-1</f>
        <v>3</v>
      </c>
      <c r="I6" s="35">
        <v>941.64</v>
      </c>
      <c r="J6" s="35">
        <f t="shared" ref="J6:J38" si="0">H6*I6</f>
        <v>2824.92</v>
      </c>
      <c r="K6" s="3">
        <v>32</v>
      </c>
      <c r="L6" s="3">
        <f>M6/K6</f>
        <v>1082.6212499999999</v>
      </c>
      <c r="M6" s="3">
        <v>34643.879999999997</v>
      </c>
      <c r="N6" s="3">
        <v>35</v>
      </c>
      <c r="O6" s="138">
        <f>P6/N6</f>
        <v>1085.8197142857143</v>
      </c>
      <c r="P6" s="138">
        <v>38003.69</v>
      </c>
      <c r="Q6" s="3"/>
      <c r="R6" s="3"/>
      <c r="S6" s="3"/>
      <c r="T6" s="23" t="s">
        <v>2121</v>
      </c>
    </row>
    <row r="7" spans="1:20">
      <c r="A7" s="23">
        <f t="shared" ref="A7:A62" si="1">A6+1</f>
        <v>2</v>
      </c>
      <c r="B7" s="3" t="s">
        <v>4</v>
      </c>
      <c r="C7" s="8" t="s">
        <v>2037</v>
      </c>
      <c r="D7" s="4" t="s">
        <v>5</v>
      </c>
      <c r="E7" s="4"/>
      <c r="F7" s="3" t="s">
        <v>0</v>
      </c>
      <c r="G7" s="3" t="s">
        <v>6</v>
      </c>
      <c r="H7" s="3">
        <f>25-75+60+60+70-70-20-15-15-10+60-15-15-15-15</f>
        <v>10</v>
      </c>
      <c r="I7" s="35">
        <v>177</v>
      </c>
      <c r="J7" s="35">
        <f t="shared" si="0"/>
        <v>1770</v>
      </c>
      <c r="K7" s="3">
        <v>660</v>
      </c>
      <c r="L7" s="3">
        <f t="shared" ref="L7:L21" si="2">M7/K7</f>
        <v>190.41368181818183</v>
      </c>
      <c r="M7" s="148">
        <v>125673.03</v>
      </c>
      <c r="N7" s="3">
        <v>670</v>
      </c>
      <c r="O7" s="138">
        <f t="shared" ref="O7:O62" si="3">P7/N7</f>
        <v>190.06180597014927</v>
      </c>
      <c r="P7" s="138">
        <v>127341.41</v>
      </c>
      <c r="Q7" s="3"/>
      <c r="R7" s="3"/>
      <c r="S7" s="3"/>
      <c r="T7" s="23" t="s">
        <v>2122</v>
      </c>
    </row>
    <row r="8" spans="1:20">
      <c r="A8" s="23">
        <f t="shared" si="1"/>
        <v>3</v>
      </c>
      <c r="B8" s="3" t="s">
        <v>7</v>
      </c>
      <c r="C8" s="8" t="s">
        <v>8</v>
      </c>
      <c r="D8" s="4"/>
      <c r="E8" s="4"/>
      <c r="F8" s="3" t="s">
        <v>0</v>
      </c>
      <c r="G8" s="3" t="s">
        <v>6</v>
      </c>
      <c r="H8" s="3"/>
      <c r="I8" s="35">
        <v>2596</v>
      </c>
      <c r="J8" s="35">
        <f t="shared" si="0"/>
        <v>0</v>
      </c>
      <c r="K8" s="3">
        <v>2</v>
      </c>
      <c r="L8" s="3">
        <f t="shared" si="2"/>
        <v>2829.64</v>
      </c>
      <c r="M8" s="3">
        <v>5659.28</v>
      </c>
      <c r="N8" s="3">
        <v>2</v>
      </c>
      <c r="O8" s="138">
        <f t="shared" si="3"/>
        <v>2829.64</v>
      </c>
      <c r="P8" s="138">
        <v>5659.28</v>
      </c>
      <c r="Q8" s="3"/>
      <c r="R8" s="3"/>
      <c r="S8" s="3"/>
      <c r="T8" s="23" t="s">
        <v>2123</v>
      </c>
    </row>
    <row r="9" spans="1:20">
      <c r="A9" s="23">
        <f t="shared" si="1"/>
        <v>4</v>
      </c>
      <c r="B9" s="3" t="s">
        <v>9</v>
      </c>
      <c r="C9" s="8" t="s">
        <v>10</v>
      </c>
      <c r="D9" s="4" t="s">
        <v>1649</v>
      </c>
      <c r="E9" s="4"/>
      <c r="F9" s="3" t="s">
        <v>0</v>
      </c>
      <c r="G9" s="3" t="s">
        <v>11</v>
      </c>
      <c r="H9" s="3">
        <f>3-3</f>
        <v>0</v>
      </c>
      <c r="I9" s="35">
        <v>1180</v>
      </c>
      <c r="J9" s="35">
        <f t="shared" si="0"/>
        <v>0</v>
      </c>
      <c r="K9" s="3">
        <v>5</v>
      </c>
      <c r="L9" s="3">
        <f t="shared" si="2"/>
        <v>1502.848</v>
      </c>
      <c r="M9" s="3">
        <v>7514.24</v>
      </c>
      <c r="N9" s="3">
        <v>5</v>
      </c>
      <c r="O9" s="138">
        <f t="shared" si="3"/>
        <v>1502.848</v>
      </c>
      <c r="P9" s="138">
        <v>7514.24</v>
      </c>
      <c r="Q9" s="3"/>
      <c r="R9" s="3"/>
      <c r="S9" s="3"/>
      <c r="T9" s="23" t="s">
        <v>2124</v>
      </c>
    </row>
    <row r="10" spans="1:20">
      <c r="A10" s="23">
        <f t="shared" si="1"/>
        <v>5</v>
      </c>
      <c r="B10" s="3" t="s">
        <v>12</v>
      </c>
      <c r="C10" s="8" t="s">
        <v>13</v>
      </c>
      <c r="D10" s="4"/>
      <c r="E10" s="4"/>
      <c r="F10" s="3" t="s">
        <v>0</v>
      </c>
      <c r="G10" s="3" t="s">
        <v>1</v>
      </c>
      <c r="H10" s="7">
        <f>0.2-0.025</f>
        <v>0.17500000000000002</v>
      </c>
      <c r="I10" s="35">
        <v>29736</v>
      </c>
      <c r="J10" s="35">
        <f t="shared" si="0"/>
        <v>5203.8</v>
      </c>
      <c r="K10" s="3">
        <v>0</v>
      </c>
      <c r="L10" s="3" t="e">
        <f t="shared" si="2"/>
        <v>#DIV/0!</v>
      </c>
      <c r="M10" s="3"/>
      <c r="N10" s="149">
        <v>0.02</v>
      </c>
      <c r="O10" s="138">
        <f t="shared" si="3"/>
        <v>29736</v>
      </c>
      <c r="P10" s="150">
        <v>594.72</v>
      </c>
      <c r="Q10" s="3"/>
      <c r="R10" s="3"/>
      <c r="S10" s="3"/>
      <c r="T10" s="23" t="s">
        <v>2125</v>
      </c>
    </row>
    <row r="11" spans="1:20">
      <c r="A11" s="23">
        <f t="shared" si="1"/>
        <v>6</v>
      </c>
      <c r="B11" s="3" t="s">
        <v>14</v>
      </c>
      <c r="C11" s="8" t="s">
        <v>15</v>
      </c>
      <c r="D11" s="4"/>
      <c r="E11" s="4"/>
      <c r="F11" s="3" t="s">
        <v>0</v>
      </c>
      <c r="G11" s="3" t="s">
        <v>1</v>
      </c>
      <c r="H11" s="7">
        <f>0.5-0.5+0.5</f>
        <v>0.5</v>
      </c>
      <c r="I11" s="35">
        <v>1668.52</v>
      </c>
      <c r="J11" s="35">
        <f t="shared" si="0"/>
        <v>834.26</v>
      </c>
      <c r="K11" s="3">
        <v>0</v>
      </c>
      <c r="L11" s="3" t="e">
        <f t="shared" si="2"/>
        <v>#DIV/0!</v>
      </c>
      <c r="M11" s="3"/>
      <c r="N11" s="3">
        <v>0</v>
      </c>
      <c r="O11" s="138" t="e">
        <f t="shared" si="3"/>
        <v>#DIV/0!</v>
      </c>
      <c r="P11" s="138"/>
      <c r="Q11" s="3"/>
      <c r="R11" s="3"/>
      <c r="S11" s="3"/>
      <c r="T11" s="23" t="s">
        <v>2126</v>
      </c>
    </row>
    <row r="12" spans="1:20">
      <c r="A12" s="23">
        <f t="shared" si="1"/>
        <v>7</v>
      </c>
      <c r="B12" s="3" t="s">
        <v>16</v>
      </c>
      <c r="C12" s="8" t="s">
        <v>17</v>
      </c>
      <c r="D12" s="4" t="s">
        <v>1648</v>
      </c>
      <c r="E12" s="4"/>
      <c r="F12" s="3" t="s">
        <v>0</v>
      </c>
      <c r="G12" s="3" t="s">
        <v>1</v>
      </c>
      <c r="H12" s="7">
        <f>0.5-0.5</f>
        <v>0</v>
      </c>
      <c r="I12" s="35">
        <v>495.6</v>
      </c>
      <c r="J12" s="35">
        <f t="shared" si="0"/>
        <v>0</v>
      </c>
      <c r="K12" s="3">
        <v>0</v>
      </c>
      <c r="L12" s="3" t="e">
        <f t="shared" si="2"/>
        <v>#DIV/0!</v>
      </c>
      <c r="M12" s="3"/>
      <c r="N12" s="3">
        <v>0</v>
      </c>
      <c r="O12" s="138" t="e">
        <f t="shared" si="3"/>
        <v>#DIV/0!</v>
      </c>
      <c r="P12" s="138"/>
      <c r="Q12" s="3"/>
      <c r="R12" s="3"/>
      <c r="S12" s="3"/>
      <c r="T12" s="23" t="s">
        <v>2127</v>
      </c>
    </row>
    <row r="13" spans="1:20">
      <c r="A13" s="23">
        <f t="shared" si="1"/>
        <v>8</v>
      </c>
      <c r="B13" s="3" t="s">
        <v>18</v>
      </c>
      <c r="C13" s="8" t="s">
        <v>19</v>
      </c>
      <c r="D13" s="4" t="s">
        <v>1648</v>
      </c>
      <c r="E13" s="4"/>
      <c r="F13" s="3" t="s">
        <v>0</v>
      </c>
      <c r="G13" s="3" t="s">
        <v>1</v>
      </c>
      <c r="H13" s="7">
        <f>0.5-0.5</f>
        <v>0</v>
      </c>
      <c r="I13" s="35">
        <v>611.24</v>
      </c>
      <c r="J13" s="35">
        <f t="shared" si="0"/>
        <v>0</v>
      </c>
      <c r="K13" s="3">
        <v>0</v>
      </c>
      <c r="L13" s="3" t="e">
        <f t="shared" si="2"/>
        <v>#DIV/0!</v>
      </c>
      <c r="M13" s="3"/>
      <c r="N13" s="3">
        <v>0</v>
      </c>
      <c r="O13" s="138" t="e">
        <f t="shared" si="3"/>
        <v>#DIV/0!</v>
      </c>
      <c r="P13" s="138"/>
      <c r="Q13" s="3"/>
      <c r="R13" s="3"/>
      <c r="S13" s="3"/>
      <c r="T13" s="23" t="s">
        <v>2128</v>
      </c>
    </row>
    <row r="14" spans="1:20">
      <c r="A14" s="23">
        <f t="shared" si="1"/>
        <v>9</v>
      </c>
      <c r="B14" s="3" t="s">
        <v>20</v>
      </c>
      <c r="C14" s="8" t="s">
        <v>21</v>
      </c>
      <c r="D14" s="4"/>
      <c r="E14" s="4"/>
      <c r="F14" s="3" t="s">
        <v>0</v>
      </c>
      <c r="G14" s="3" t="s">
        <v>3</v>
      </c>
      <c r="H14" s="7">
        <f>0.5-1+0.5+2-0.5-0.5</f>
        <v>1</v>
      </c>
      <c r="I14" s="35">
        <v>1498</v>
      </c>
      <c r="J14" s="35">
        <f t="shared" si="0"/>
        <v>1498</v>
      </c>
      <c r="K14" s="3">
        <v>2.5</v>
      </c>
      <c r="L14" s="3">
        <f t="shared" si="2"/>
        <v>1527.432</v>
      </c>
      <c r="M14" s="3">
        <v>3818.58</v>
      </c>
      <c r="N14" s="3">
        <v>3.5</v>
      </c>
      <c r="O14" s="138">
        <f t="shared" si="3"/>
        <v>1599.6028571428571</v>
      </c>
      <c r="P14" s="138">
        <v>5598.61</v>
      </c>
      <c r="Q14" s="3"/>
      <c r="R14" s="3"/>
      <c r="S14" s="3"/>
      <c r="T14" s="23" t="s">
        <v>2129</v>
      </c>
    </row>
    <row r="15" spans="1:20">
      <c r="A15" s="23">
        <f t="shared" si="1"/>
        <v>10</v>
      </c>
      <c r="B15" s="3" t="s">
        <v>22</v>
      </c>
      <c r="C15" s="8" t="s">
        <v>23</v>
      </c>
      <c r="D15" s="4" t="s">
        <v>1646</v>
      </c>
      <c r="E15" s="4"/>
      <c r="F15" s="3" t="s">
        <v>0</v>
      </c>
      <c r="G15" s="3" t="s">
        <v>1645</v>
      </c>
      <c r="H15" s="11">
        <f>2-1</f>
        <v>1</v>
      </c>
      <c r="I15" s="35">
        <v>660.8</v>
      </c>
      <c r="J15" s="35">
        <f t="shared" si="0"/>
        <v>660.8</v>
      </c>
      <c r="K15" s="3">
        <v>2</v>
      </c>
      <c r="L15" s="3">
        <f>M15/K15</f>
        <v>699.62</v>
      </c>
      <c r="M15" s="3">
        <v>1399.24</v>
      </c>
      <c r="N15" s="3">
        <v>2</v>
      </c>
      <c r="O15" s="138">
        <f t="shared" si="3"/>
        <v>699.62</v>
      </c>
      <c r="P15" s="138">
        <v>1399.24</v>
      </c>
      <c r="Q15" s="3"/>
      <c r="R15" s="3"/>
      <c r="S15" s="3"/>
      <c r="T15" s="23" t="s">
        <v>2130</v>
      </c>
    </row>
    <row r="16" spans="1:20">
      <c r="A16" s="23">
        <f t="shared" si="1"/>
        <v>11</v>
      </c>
      <c r="B16" s="3" t="s">
        <v>24</v>
      </c>
      <c r="C16" s="50" t="s">
        <v>1647</v>
      </c>
      <c r="D16" s="4" t="s">
        <v>1646</v>
      </c>
      <c r="E16" s="4"/>
      <c r="F16" s="3" t="s">
        <v>0</v>
      </c>
      <c r="G16" s="3" t="s">
        <v>1645</v>
      </c>
      <c r="H16" s="11">
        <f>1-1+1+2-1</f>
        <v>2</v>
      </c>
      <c r="I16" s="35">
        <v>726.88</v>
      </c>
      <c r="J16" s="35">
        <f t="shared" si="0"/>
        <v>1453.76</v>
      </c>
      <c r="K16" s="3">
        <v>3</v>
      </c>
      <c r="L16" s="3">
        <f t="shared" si="2"/>
        <v>755.84666666666669</v>
      </c>
      <c r="M16" s="3">
        <v>2267.54</v>
      </c>
      <c r="N16" s="3">
        <v>5</v>
      </c>
      <c r="O16" s="138">
        <f t="shared" si="3"/>
        <v>796.596</v>
      </c>
      <c r="P16" s="138">
        <v>3982.98</v>
      </c>
      <c r="Q16" s="3"/>
      <c r="R16" s="3"/>
      <c r="S16" s="3"/>
      <c r="T16" s="23" t="s">
        <v>2131</v>
      </c>
    </row>
    <row r="17" spans="1:20">
      <c r="A17" s="23">
        <f t="shared" si="1"/>
        <v>12</v>
      </c>
      <c r="B17" s="3" t="s">
        <v>1670</v>
      </c>
      <c r="C17" s="8" t="s">
        <v>1681</v>
      </c>
      <c r="D17" s="4" t="s">
        <v>1671</v>
      </c>
      <c r="E17" s="4"/>
      <c r="F17" s="3" t="s">
        <v>0</v>
      </c>
      <c r="G17" s="3" t="s">
        <v>6</v>
      </c>
      <c r="H17" s="11">
        <f>4-1</f>
        <v>3</v>
      </c>
      <c r="I17" s="35">
        <v>760</v>
      </c>
      <c r="J17" s="35">
        <f t="shared" si="0"/>
        <v>2280</v>
      </c>
      <c r="K17" s="3">
        <v>3</v>
      </c>
      <c r="L17" s="3">
        <f t="shared" si="2"/>
        <v>730</v>
      </c>
      <c r="M17" s="148">
        <v>2190</v>
      </c>
      <c r="N17" s="3">
        <v>3</v>
      </c>
      <c r="O17" s="138">
        <f t="shared" si="3"/>
        <v>760</v>
      </c>
      <c r="P17" s="138">
        <v>2280</v>
      </c>
      <c r="Q17" s="3"/>
      <c r="R17" s="3"/>
      <c r="S17" s="3"/>
      <c r="T17" s="23" t="s">
        <v>2132</v>
      </c>
    </row>
    <row r="18" spans="1:20">
      <c r="A18" s="23">
        <f t="shared" si="1"/>
        <v>13</v>
      </c>
      <c r="B18" s="3" t="s">
        <v>1765</v>
      </c>
      <c r="C18" s="8" t="s">
        <v>1766</v>
      </c>
      <c r="D18" s="4"/>
      <c r="E18" s="4"/>
      <c r="F18" s="3" t="s">
        <v>0</v>
      </c>
      <c r="G18" s="3" t="s">
        <v>3</v>
      </c>
      <c r="H18" s="11">
        <f>10-5-5+10</f>
        <v>10</v>
      </c>
      <c r="I18" s="35">
        <v>875.56</v>
      </c>
      <c r="J18" s="35">
        <f t="shared" si="0"/>
        <v>8755.5999999999985</v>
      </c>
      <c r="K18" s="3">
        <v>12.5</v>
      </c>
      <c r="L18" s="3">
        <f t="shared" si="2"/>
        <v>855.67279999999994</v>
      </c>
      <c r="M18" s="3">
        <v>10695.91</v>
      </c>
      <c r="N18" s="3">
        <v>22.5</v>
      </c>
      <c r="O18" s="138">
        <f t="shared" si="3"/>
        <v>934.55599999999993</v>
      </c>
      <c r="P18" s="138">
        <v>21027.51</v>
      </c>
      <c r="Q18" s="3"/>
      <c r="R18" s="3"/>
      <c r="S18" s="3"/>
      <c r="T18" s="23" t="s">
        <v>2133</v>
      </c>
    </row>
    <row r="19" spans="1:20" ht="30">
      <c r="A19" s="23">
        <f t="shared" si="1"/>
        <v>14</v>
      </c>
      <c r="B19" s="3" t="s">
        <v>1769</v>
      </c>
      <c r="C19" s="50" t="s">
        <v>1767</v>
      </c>
      <c r="D19" s="4" t="s">
        <v>1768</v>
      </c>
      <c r="E19" s="4"/>
      <c r="F19" s="3" t="s">
        <v>0</v>
      </c>
      <c r="G19" s="3" t="s">
        <v>11</v>
      </c>
      <c r="H19" s="11">
        <f>1-1</f>
        <v>0</v>
      </c>
      <c r="I19" s="35">
        <v>10796.8</v>
      </c>
      <c r="J19" s="35">
        <f t="shared" si="0"/>
        <v>0</v>
      </c>
      <c r="K19" s="3">
        <v>2</v>
      </c>
      <c r="L19" s="3">
        <f t="shared" si="2"/>
        <v>11282.655000000001</v>
      </c>
      <c r="M19" s="3">
        <v>22565.31</v>
      </c>
      <c r="N19" s="3">
        <v>2</v>
      </c>
      <c r="O19" s="138">
        <f t="shared" si="3"/>
        <v>11282.655000000001</v>
      </c>
      <c r="P19" s="138">
        <v>22565.31</v>
      </c>
      <c r="Q19" s="3"/>
      <c r="R19" s="3"/>
      <c r="S19" s="3"/>
      <c r="T19" s="23" t="s">
        <v>2134</v>
      </c>
    </row>
    <row r="20" spans="1:20">
      <c r="A20" s="23">
        <f t="shared" si="1"/>
        <v>15</v>
      </c>
      <c r="B20" s="3" t="s">
        <v>1773</v>
      </c>
      <c r="C20" s="8" t="s">
        <v>1770</v>
      </c>
      <c r="D20" s="4" t="s">
        <v>1771</v>
      </c>
      <c r="E20" s="4"/>
      <c r="F20" s="3" t="s">
        <v>0</v>
      </c>
      <c r="G20" s="3" t="s">
        <v>11</v>
      </c>
      <c r="H20" s="11">
        <f>8-5+12-2-4</f>
        <v>9</v>
      </c>
      <c r="I20" s="35">
        <v>40</v>
      </c>
      <c r="J20" s="35">
        <f t="shared" si="0"/>
        <v>360</v>
      </c>
      <c r="K20" s="3">
        <v>50</v>
      </c>
      <c r="L20" s="3">
        <f t="shared" si="2"/>
        <v>42</v>
      </c>
      <c r="M20" s="3">
        <v>2100</v>
      </c>
      <c r="N20" s="3">
        <v>43</v>
      </c>
      <c r="O20" s="138">
        <f t="shared" si="3"/>
        <v>40.930232558139537</v>
      </c>
      <c r="P20" s="138">
        <v>1760</v>
      </c>
      <c r="Q20" s="3"/>
      <c r="R20" s="3"/>
      <c r="S20" s="3"/>
      <c r="T20" s="23" t="s">
        <v>2135</v>
      </c>
    </row>
    <row r="21" spans="1:20">
      <c r="A21" s="23">
        <f t="shared" si="1"/>
        <v>16</v>
      </c>
      <c r="B21" s="3" t="s">
        <v>1772</v>
      </c>
      <c r="C21" s="8" t="s">
        <v>1774</v>
      </c>
      <c r="D21" s="4"/>
      <c r="E21" s="4"/>
      <c r="F21" s="3" t="s">
        <v>0</v>
      </c>
      <c r="G21" s="3" t="s">
        <v>6</v>
      </c>
      <c r="H21" s="11">
        <f>1-1</f>
        <v>0</v>
      </c>
      <c r="I21" s="35">
        <v>14257</v>
      </c>
      <c r="J21" s="35">
        <f t="shared" si="0"/>
        <v>0</v>
      </c>
      <c r="K21" s="3">
        <v>0</v>
      </c>
      <c r="L21" s="3" t="e">
        <f t="shared" si="2"/>
        <v>#DIV/0!</v>
      </c>
      <c r="M21" s="3"/>
      <c r="N21" s="3">
        <v>0</v>
      </c>
      <c r="O21" s="138" t="e">
        <f t="shared" si="3"/>
        <v>#DIV/0!</v>
      </c>
      <c r="P21" s="138"/>
      <c r="Q21" s="3"/>
      <c r="R21" s="3"/>
      <c r="S21" s="3"/>
      <c r="T21" s="23" t="s">
        <v>2136</v>
      </c>
    </row>
    <row r="22" spans="1:20">
      <c r="A22" s="23">
        <f t="shared" si="1"/>
        <v>17</v>
      </c>
      <c r="B22" s="3" t="s">
        <v>1808</v>
      </c>
      <c r="C22" s="8" t="s">
        <v>1945</v>
      </c>
      <c r="D22" s="4"/>
      <c r="E22" s="4"/>
      <c r="F22" s="3" t="s">
        <v>0</v>
      </c>
      <c r="G22" s="3" t="s">
        <v>1761</v>
      </c>
      <c r="H22" s="11">
        <f>2-1</f>
        <v>1</v>
      </c>
      <c r="I22" s="35">
        <v>545.16</v>
      </c>
      <c r="J22" s="35">
        <f t="shared" si="0"/>
        <v>545.16</v>
      </c>
      <c r="K22" s="3">
        <v>1</v>
      </c>
      <c r="L22" s="3">
        <f>M22/K22</f>
        <v>552.91999999999996</v>
      </c>
      <c r="M22" s="3">
        <v>552.91999999999996</v>
      </c>
      <c r="N22" s="3">
        <v>1</v>
      </c>
      <c r="O22" s="138">
        <f>P22/N22</f>
        <v>598.1</v>
      </c>
      <c r="P22" s="138">
        <v>598.1</v>
      </c>
      <c r="Q22" s="11">
        <f>(H22+K22)-N22</f>
        <v>1</v>
      </c>
      <c r="R22" s="3">
        <f>O22</f>
        <v>598.1</v>
      </c>
      <c r="S22" s="3">
        <f>Q22*R22</f>
        <v>598.1</v>
      </c>
      <c r="T22" s="23" t="s">
        <v>2137</v>
      </c>
    </row>
    <row r="23" spans="1:20">
      <c r="A23" s="23">
        <f t="shared" si="1"/>
        <v>18</v>
      </c>
      <c r="B23" s="28" t="s">
        <v>1809</v>
      </c>
      <c r="C23" s="8" t="s">
        <v>1810</v>
      </c>
      <c r="D23" s="8"/>
      <c r="E23" s="8"/>
      <c r="F23" s="28" t="s">
        <v>0</v>
      </c>
      <c r="G23" s="28" t="s">
        <v>1761</v>
      </c>
      <c r="H23" s="115">
        <v>1.5</v>
      </c>
      <c r="I23" s="54">
        <v>1858.5</v>
      </c>
      <c r="J23" s="54">
        <f t="shared" si="0"/>
        <v>2787.75</v>
      </c>
      <c r="K23" s="3">
        <v>2</v>
      </c>
      <c r="L23" s="3">
        <f>M23/K23</f>
        <v>1225.06</v>
      </c>
      <c r="M23" s="3">
        <v>2450.12</v>
      </c>
      <c r="N23" s="3">
        <v>3.5</v>
      </c>
      <c r="O23" s="138">
        <f t="shared" si="3"/>
        <v>1363.34</v>
      </c>
      <c r="P23" s="138">
        <v>4771.6899999999996</v>
      </c>
      <c r="Q23" s="3"/>
      <c r="R23" s="3"/>
      <c r="S23" s="3"/>
      <c r="T23" s="23" t="s">
        <v>2138</v>
      </c>
    </row>
    <row r="24" spans="1:20">
      <c r="A24" s="23">
        <f t="shared" si="1"/>
        <v>19</v>
      </c>
      <c r="B24" s="3" t="s">
        <v>1811</v>
      </c>
      <c r="C24" s="8" t="s">
        <v>1812</v>
      </c>
      <c r="D24" s="4"/>
      <c r="E24" s="4"/>
      <c r="F24" s="3" t="s">
        <v>0</v>
      </c>
      <c r="G24" s="3" t="s">
        <v>1761</v>
      </c>
      <c r="H24" s="62">
        <v>0.5</v>
      </c>
      <c r="I24" s="35">
        <v>31586.240000000002</v>
      </c>
      <c r="J24" s="35">
        <f t="shared" si="0"/>
        <v>15793.12</v>
      </c>
      <c r="K24" s="3"/>
      <c r="L24" s="3" t="e">
        <f t="shared" ref="L24:L68" si="4">M24/K24</f>
        <v>#DIV/0!</v>
      </c>
      <c r="M24" s="3"/>
      <c r="N24" s="3">
        <v>0.25</v>
      </c>
      <c r="O24" s="138">
        <f t="shared" si="3"/>
        <v>31584.959999999999</v>
      </c>
      <c r="P24" s="138">
        <v>7896.24</v>
      </c>
      <c r="Q24" s="3"/>
      <c r="R24" s="3"/>
      <c r="S24" s="3"/>
      <c r="T24" s="23" t="s">
        <v>2139</v>
      </c>
    </row>
    <row r="25" spans="1:20">
      <c r="A25" s="23">
        <f t="shared" si="1"/>
        <v>20</v>
      </c>
      <c r="B25" s="3" t="s">
        <v>1813</v>
      </c>
      <c r="C25" s="8" t="s">
        <v>1814</v>
      </c>
      <c r="D25" s="4"/>
      <c r="E25" s="4"/>
      <c r="F25" s="3" t="s">
        <v>0</v>
      </c>
      <c r="G25" s="3" t="s">
        <v>6</v>
      </c>
      <c r="H25" s="11">
        <v>2</v>
      </c>
      <c r="I25" s="35">
        <v>23.36</v>
      </c>
      <c r="J25" s="35">
        <f t="shared" si="0"/>
        <v>46.72</v>
      </c>
      <c r="K25" s="3">
        <v>0</v>
      </c>
      <c r="L25" s="3" t="e">
        <f t="shared" si="4"/>
        <v>#DIV/0!</v>
      </c>
      <c r="M25" s="3"/>
      <c r="N25" s="3"/>
      <c r="O25" s="138" t="e">
        <f t="shared" si="3"/>
        <v>#DIV/0!</v>
      </c>
      <c r="P25" s="138"/>
      <c r="Q25" s="3"/>
      <c r="R25" s="3"/>
      <c r="S25" s="3"/>
      <c r="T25" s="23" t="s">
        <v>2140</v>
      </c>
    </row>
    <row r="26" spans="1:20">
      <c r="A26" s="23">
        <f t="shared" si="1"/>
        <v>21</v>
      </c>
      <c r="B26" s="3" t="s">
        <v>1815</v>
      </c>
      <c r="C26" s="8" t="s">
        <v>1816</v>
      </c>
      <c r="D26" s="4"/>
      <c r="E26" s="4"/>
      <c r="F26" s="3" t="s">
        <v>0</v>
      </c>
      <c r="G26" s="3" t="s">
        <v>6</v>
      </c>
      <c r="H26" s="11">
        <v>4</v>
      </c>
      <c r="I26" s="35">
        <v>137.16999999999999</v>
      </c>
      <c r="J26" s="35">
        <f t="shared" si="0"/>
        <v>548.67999999999995</v>
      </c>
      <c r="K26" s="3">
        <v>0</v>
      </c>
      <c r="L26" s="3" t="e">
        <f t="shared" si="4"/>
        <v>#DIV/0!</v>
      </c>
      <c r="M26" s="3"/>
      <c r="N26" s="3">
        <v>2</v>
      </c>
      <c r="O26" s="138">
        <f t="shared" si="3"/>
        <v>137.16999999999999</v>
      </c>
      <c r="P26" s="138">
        <v>274.33999999999997</v>
      </c>
      <c r="Q26" s="3"/>
      <c r="R26" s="3"/>
      <c r="S26" s="3"/>
      <c r="T26" s="23" t="s">
        <v>2141</v>
      </c>
    </row>
    <row r="27" spans="1:20">
      <c r="A27" s="23">
        <f t="shared" si="1"/>
        <v>22</v>
      </c>
      <c r="B27" s="3" t="s">
        <v>1817</v>
      </c>
      <c r="C27" s="8" t="s">
        <v>1818</v>
      </c>
      <c r="D27" s="4"/>
      <c r="E27" s="4"/>
      <c r="F27" s="3" t="s">
        <v>0</v>
      </c>
      <c r="G27" s="3" t="s">
        <v>3</v>
      </c>
      <c r="H27" s="7">
        <f>0.5+2.5-0.5-2.5</f>
        <v>0</v>
      </c>
      <c r="I27" s="35">
        <v>2296.2800000000002</v>
      </c>
      <c r="J27" s="35">
        <f t="shared" si="0"/>
        <v>0</v>
      </c>
      <c r="K27" s="3">
        <v>0</v>
      </c>
      <c r="L27" s="3" t="e">
        <f t="shared" si="4"/>
        <v>#DIV/0!</v>
      </c>
      <c r="M27" s="3"/>
      <c r="N27" s="3"/>
      <c r="O27" s="138" t="e">
        <f t="shared" si="3"/>
        <v>#DIV/0!</v>
      </c>
      <c r="P27" s="138"/>
      <c r="Q27" s="3"/>
      <c r="R27" s="3"/>
      <c r="S27" s="3"/>
      <c r="T27" s="23" t="s">
        <v>2142</v>
      </c>
    </row>
    <row r="28" spans="1:20">
      <c r="A28" s="23">
        <f t="shared" si="1"/>
        <v>23</v>
      </c>
      <c r="B28" s="3" t="s">
        <v>1874</v>
      </c>
      <c r="C28" s="8" t="s">
        <v>1875</v>
      </c>
      <c r="D28" s="4" t="s">
        <v>1876</v>
      </c>
      <c r="E28" s="4"/>
      <c r="F28" s="3" t="s">
        <v>0</v>
      </c>
      <c r="G28" s="3" t="s">
        <v>3</v>
      </c>
      <c r="H28" s="7">
        <v>0.5</v>
      </c>
      <c r="I28" s="35">
        <v>413</v>
      </c>
      <c r="J28" s="35">
        <f t="shared" si="0"/>
        <v>206.5</v>
      </c>
      <c r="K28" s="3">
        <v>0</v>
      </c>
      <c r="L28" s="3" t="e">
        <f t="shared" si="4"/>
        <v>#DIV/0!</v>
      </c>
      <c r="M28" s="3"/>
      <c r="N28" s="3"/>
      <c r="O28" s="138" t="e">
        <f t="shared" si="3"/>
        <v>#DIV/0!</v>
      </c>
      <c r="P28" s="138"/>
      <c r="Q28" s="3"/>
      <c r="R28" s="3"/>
      <c r="S28" s="3"/>
      <c r="T28" s="23" t="s">
        <v>2143</v>
      </c>
    </row>
    <row r="29" spans="1:20">
      <c r="A29" s="23">
        <f t="shared" si="1"/>
        <v>24</v>
      </c>
      <c r="B29" s="3" t="s">
        <v>1877</v>
      </c>
      <c r="C29" s="8" t="s">
        <v>1878</v>
      </c>
      <c r="D29" s="4" t="s">
        <v>1876</v>
      </c>
      <c r="E29" s="4"/>
      <c r="F29" s="3" t="s">
        <v>0</v>
      </c>
      <c r="G29" s="3" t="s">
        <v>3</v>
      </c>
      <c r="H29" s="7">
        <v>0.5</v>
      </c>
      <c r="I29" s="35">
        <v>1090.32</v>
      </c>
      <c r="J29" s="35">
        <f t="shared" si="0"/>
        <v>545.16</v>
      </c>
      <c r="K29" s="3">
        <v>0</v>
      </c>
      <c r="L29" s="3" t="e">
        <f t="shared" si="4"/>
        <v>#DIV/0!</v>
      </c>
      <c r="M29" s="3"/>
      <c r="N29" s="3"/>
      <c r="O29" s="138" t="e">
        <f t="shared" si="3"/>
        <v>#DIV/0!</v>
      </c>
      <c r="P29" s="138"/>
      <c r="Q29" s="3"/>
      <c r="R29" s="3"/>
      <c r="S29" s="3"/>
      <c r="T29" s="23" t="s">
        <v>2144</v>
      </c>
    </row>
    <row r="30" spans="1:20">
      <c r="A30" s="23">
        <f t="shared" si="1"/>
        <v>25</v>
      </c>
      <c r="B30" s="3" t="s">
        <v>1897</v>
      </c>
      <c r="C30" s="8" t="s">
        <v>1898</v>
      </c>
      <c r="D30" s="4" t="s">
        <v>1648</v>
      </c>
      <c r="E30" s="4"/>
      <c r="F30" s="3" t="s">
        <v>0</v>
      </c>
      <c r="G30" s="3" t="s">
        <v>6</v>
      </c>
      <c r="H30" s="11">
        <f>2-1</f>
        <v>1</v>
      </c>
      <c r="I30" s="35">
        <v>379.96</v>
      </c>
      <c r="J30" s="35">
        <f t="shared" si="0"/>
        <v>379.96</v>
      </c>
      <c r="K30" s="3">
        <v>0</v>
      </c>
      <c r="L30" s="3" t="e">
        <f>P30/K30</f>
        <v>#DIV/0!</v>
      </c>
      <c r="M30" s="3"/>
      <c r="N30" s="3">
        <v>1</v>
      </c>
      <c r="O30" s="138" t="e">
        <f>#REF!/N30</f>
        <v>#REF!</v>
      </c>
      <c r="P30" s="138">
        <v>379.96</v>
      </c>
      <c r="Q30" s="3"/>
      <c r="R30" s="3"/>
      <c r="S30" s="3"/>
      <c r="T30" s="23" t="s">
        <v>2145</v>
      </c>
    </row>
    <row r="31" spans="1:20" ht="45">
      <c r="A31" s="23">
        <f t="shared" si="1"/>
        <v>26</v>
      </c>
      <c r="B31" s="28" t="s">
        <v>1899</v>
      </c>
      <c r="C31" s="8" t="s">
        <v>1900</v>
      </c>
      <c r="D31" s="8" t="s">
        <v>1901</v>
      </c>
      <c r="E31" s="8"/>
      <c r="F31" s="28" t="s">
        <v>0</v>
      </c>
      <c r="G31" s="28" t="s">
        <v>1</v>
      </c>
      <c r="H31" s="62">
        <v>2.5</v>
      </c>
      <c r="I31" s="54">
        <v>442.5</v>
      </c>
      <c r="J31" s="54">
        <f t="shared" si="0"/>
        <v>1106.25</v>
      </c>
      <c r="K31" s="3">
        <v>0</v>
      </c>
      <c r="L31" s="3" t="e">
        <f>P31/K31</f>
        <v>#DIV/0!</v>
      </c>
      <c r="M31" s="3"/>
      <c r="N31" s="3">
        <v>2.5</v>
      </c>
      <c r="O31" s="138" t="e">
        <f>#REF!/N31</f>
        <v>#REF!</v>
      </c>
      <c r="P31" s="138">
        <v>1106.25</v>
      </c>
      <c r="Q31" s="3"/>
      <c r="R31" s="3"/>
      <c r="S31" s="3"/>
      <c r="T31" s="23" t="s">
        <v>2146</v>
      </c>
    </row>
    <row r="32" spans="1:20">
      <c r="A32" s="23">
        <f t="shared" si="1"/>
        <v>27</v>
      </c>
      <c r="B32" s="3" t="s">
        <v>1902</v>
      </c>
      <c r="C32" s="8" t="s">
        <v>1903</v>
      </c>
      <c r="D32" s="4" t="s">
        <v>1648</v>
      </c>
      <c r="E32" s="4"/>
      <c r="F32" s="3" t="s">
        <v>0</v>
      </c>
      <c r="G32" s="3" t="s">
        <v>6</v>
      </c>
      <c r="H32" s="114">
        <f>6-1</f>
        <v>5</v>
      </c>
      <c r="I32" s="35">
        <v>313.88</v>
      </c>
      <c r="J32" s="35">
        <f t="shared" si="0"/>
        <v>1569.4</v>
      </c>
      <c r="K32" s="3">
        <v>0</v>
      </c>
      <c r="L32" s="3" t="e">
        <f t="shared" si="4"/>
        <v>#DIV/0!</v>
      </c>
      <c r="M32" s="3"/>
      <c r="N32" s="3">
        <v>3.5</v>
      </c>
      <c r="O32" s="138">
        <f t="shared" si="3"/>
        <v>313.88</v>
      </c>
      <c r="P32" s="138">
        <v>1098.58</v>
      </c>
      <c r="Q32" s="3"/>
      <c r="R32" s="3"/>
      <c r="S32" s="3"/>
      <c r="T32" s="23" t="s">
        <v>2147</v>
      </c>
    </row>
    <row r="33" spans="1:20">
      <c r="A33" s="23">
        <f t="shared" si="1"/>
        <v>28</v>
      </c>
      <c r="B33" s="3" t="s">
        <v>1904</v>
      </c>
      <c r="C33" s="8" t="s">
        <v>1905</v>
      </c>
      <c r="D33" s="4"/>
      <c r="E33" s="4"/>
      <c r="F33" s="3" t="s">
        <v>0</v>
      </c>
      <c r="G33" s="3" t="s">
        <v>6</v>
      </c>
      <c r="H33" s="11">
        <f>6-4</f>
        <v>2</v>
      </c>
      <c r="I33" s="35">
        <v>106.2</v>
      </c>
      <c r="J33" s="35">
        <f t="shared" si="0"/>
        <v>212.4</v>
      </c>
      <c r="K33" s="3">
        <v>0</v>
      </c>
      <c r="L33" s="3" t="e">
        <f t="shared" si="4"/>
        <v>#DIV/0!</v>
      </c>
      <c r="M33" s="3"/>
      <c r="N33" s="3">
        <v>2</v>
      </c>
      <c r="O33" s="138">
        <f t="shared" si="3"/>
        <v>106.2</v>
      </c>
      <c r="P33" s="138">
        <v>212.4</v>
      </c>
      <c r="Q33" s="3"/>
      <c r="R33" s="3"/>
      <c r="S33" s="3"/>
      <c r="T33" s="23" t="s">
        <v>2148</v>
      </c>
    </row>
    <row r="34" spans="1:20">
      <c r="A34" s="23">
        <f t="shared" si="1"/>
        <v>29</v>
      </c>
      <c r="B34" s="3" t="s">
        <v>1906</v>
      </c>
      <c r="C34" s="8" t="s">
        <v>1907</v>
      </c>
      <c r="D34" s="4"/>
      <c r="E34" s="4"/>
      <c r="F34" s="3" t="s">
        <v>0</v>
      </c>
      <c r="G34" s="3" t="s">
        <v>6</v>
      </c>
      <c r="H34" s="11">
        <f>12-4</f>
        <v>8</v>
      </c>
      <c r="I34" s="35">
        <v>59.29</v>
      </c>
      <c r="J34" s="35">
        <f t="shared" si="0"/>
        <v>474.32</v>
      </c>
      <c r="K34" s="3">
        <v>0</v>
      </c>
      <c r="L34" s="3" t="e">
        <f t="shared" si="4"/>
        <v>#DIV/0!</v>
      </c>
      <c r="M34" s="3"/>
      <c r="N34" s="3">
        <v>0</v>
      </c>
      <c r="O34" s="138" t="e">
        <f t="shared" si="3"/>
        <v>#DIV/0!</v>
      </c>
      <c r="P34" s="138"/>
      <c r="Q34" s="3"/>
      <c r="R34" s="3"/>
      <c r="S34" s="3"/>
      <c r="T34" s="23" t="s">
        <v>2149</v>
      </c>
    </row>
    <row r="35" spans="1:20">
      <c r="A35" s="23">
        <f t="shared" si="1"/>
        <v>30</v>
      </c>
      <c r="B35" s="3" t="s">
        <v>1941</v>
      </c>
      <c r="C35" s="8" t="s">
        <v>1942</v>
      </c>
      <c r="D35" s="4" t="s">
        <v>1648</v>
      </c>
      <c r="E35" s="4"/>
      <c r="F35" s="3" t="s">
        <v>0</v>
      </c>
      <c r="G35" s="3" t="s">
        <v>1</v>
      </c>
      <c r="H35" s="11">
        <f>2-2+2</f>
        <v>2</v>
      </c>
      <c r="I35" s="35">
        <v>266</v>
      </c>
      <c r="J35" s="35">
        <f t="shared" si="0"/>
        <v>532</v>
      </c>
      <c r="K35" s="3">
        <v>0</v>
      </c>
      <c r="L35" s="3" t="e">
        <f t="shared" si="4"/>
        <v>#DIV/0!</v>
      </c>
      <c r="M35" s="3"/>
      <c r="N35" s="3">
        <v>1.5</v>
      </c>
      <c r="O35" s="138">
        <f t="shared" si="3"/>
        <v>266</v>
      </c>
      <c r="P35" s="138">
        <v>399</v>
      </c>
      <c r="Q35" s="3"/>
      <c r="R35" s="3"/>
      <c r="S35" s="3"/>
      <c r="T35" s="23" t="s">
        <v>2150</v>
      </c>
    </row>
    <row r="36" spans="1:20" ht="30">
      <c r="A36" s="23">
        <f t="shared" si="1"/>
        <v>31</v>
      </c>
      <c r="B36" s="3" t="s">
        <v>1995</v>
      </c>
      <c r="C36" s="8" t="s">
        <v>1996</v>
      </c>
      <c r="D36" s="4" t="s">
        <v>1997</v>
      </c>
      <c r="E36" s="4"/>
      <c r="F36" s="3" t="s">
        <v>0</v>
      </c>
      <c r="G36" s="3" t="s">
        <v>2000</v>
      </c>
      <c r="H36" s="11">
        <v>21</v>
      </c>
      <c r="I36" s="35"/>
      <c r="J36" s="35">
        <f t="shared" si="0"/>
        <v>0</v>
      </c>
      <c r="K36" s="3">
        <v>0</v>
      </c>
      <c r="L36" s="3" t="e">
        <f t="shared" si="4"/>
        <v>#DIV/0!</v>
      </c>
      <c r="M36" s="3"/>
      <c r="N36" s="3">
        <v>0</v>
      </c>
      <c r="O36" s="138" t="e">
        <f t="shared" si="3"/>
        <v>#DIV/0!</v>
      </c>
      <c r="P36" s="138"/>
      <c r="Q36" s="3"/>
      <c r="R36" s="3"/>
      <c r="S36" s="3"/>
      <c r="T36" s="23" t="s">
        <v>2151</v>
      </c>
    </row>
    <row r="37" spans="1:20" ht="30">
      <c r="A37" s="23">
        <f t="shared" si="1"/>
        <v>32</v>
      </c>
      <c r="B37" s="3" t="s">
        <v>2036</v>
      </c>
      <c r="C37" s="8" t="s">
        <v>1998</v>
      </c>
      <c r="D37" s="4" t="s">
        <v>1999</v>
      </c>
      <c r="E37" s="4"/>
      <c r="F37" s="3" t="s">
        <v>0</v>
      </c>
      <c r="G37" s="3" t="s">
        <v>6</v>
      </c>
      <c r="H37" s="11">
        <v>2</v>
      </c>
      <c r="I37" s="35">
        <v>283.2</v>
      </c>
      <c r="J37" s="35">
        <f t="shared" si="0"/>
        <v>566.4</v>
      </c>
      <c r="K37" s="3">
        <v>0</v>
      </c>
      <c r="L37" s="3" t="e">
        <f t="shared" si="4"/>
        <v>#DIV/0!</v>
      </c>
      <c r="M37" s="3"/>
      <c r="N37" s="3">
        <v>0</v>
      </c>
      <c r="O37" s="138" t="e">
        <f t="shared" si="3"/>
        <v>#DIV/0!</v>
      </c>
      <c r="P37" s="138"/>
      <c r="Q37" s="3"/>
      <c r="R37" s="3"/>
      <c r="S37" s="3"/>
      <c r="T37" s="23" t="s">
        <v>2152</v>
      </c>
    </row>
    <row r="38" spans="1:20">
      <c r="A38" s="23">
        <f t="shared" si="1"/>
        <v>33</v>
      </c>
      <c r="B38" s="3" t="s">
        <v>2040</v>
      </c>
      <c r="C38" s="8" t="s">
        <v>2038</v>
      </c>
      <c r="D38" s="4" t="s">
        <v>2039</v>
      </c>
      <c r="E38" s="4"/>
      <c r="F38" s="3" t="s">
        <v>0</v>
      </c>
      <c r="G38" s="3" t="s">
        <v>6</v>
      </c>
      <c r="H38" s="11">
        <v>2</v>
      </c>
      <c r="I38" s="35">
        <v>100</v>
      </c>
      <c r="J38" s="35">
        <f t="shared" si="0"/>
        <v>200</v>
      </c>
      <c r="K38" s="3">
        <v>1</v>
      </c>
      <c r="L38" s="3">
        <f t="shared" si="4"/>
        <v>496.54</v>
      </c>
      <c r="M38" s="3">
        <v>496.54</v>
      </c>
      <c r="N38" s="3">
        <v>1</v>
      </c>
      <c r="O38" s="138">
        <f t="shared" si="3"/>
        <v>496.54</v>
      </c>
      <c r="P38" s="138">
        <v>496.54</v>
      </c>
      <c r="Q38" s="3"/>
      <c r="R38" s="3"/>
      <c r="S38" s="3"/>
      <c r="T38" s="23" t="s">
        <v>2153</v>
      </c>
    </row>
    <row r="39" spans="1:20">
      <c r="A39" s="143">
        <f t="shared" si="1"/>
        <v>34</v>
      </c>
      <c r="B39" s="134" t="s">
        <v>2178</v>
      </c>
      <c r="C39" s="134" t="s">
        <v>2179</v>
      </c>
      <c r="D39" s="144"/>
      <c r="E39" s="144"/>
      <c r="F39" s="145"/>
      <c r="G39" s="145" t="s">
        <v>6</v>
      </c>
      <c r="H39" s="146">
        <v>0</v>
      </c>
      <c r="I39" s="147">
        <v>0</v>
      </c>
      <c r="J39" s="147">
        <v>0</v>
      </c>
      <c r="K39" s="3">
        <v>16</v>
      </c>
      <c r="L39" s="148">
        <f>M39/K39</f>
        <v>201.65875</v>
      </c>
      <c r="M39" s="3">
        <v>3226.54</v>
      </c>
      <c r="N39" s="3">
        <v>14</v>
      </c>
      <c r="O39" s="138">
        <f t="shared" si="3"/>
        <v>201.09928571428571</v>
      </c>
      <c r="P39" s="138">
        <v>2815.39</v>
      </c>
      <c r="Q39" s="3"/>
      <c r="R39" s="3"/>
      <c r="S39" s="3"/>
      <c r="T39" s="23"/>
    </row>
    <row r="40" spans="1:20">
      <c r="A40" s="23">
        <f t="shared" si="1"/>
        <v>35</v>
      </c>
      <c r="B40" s="134" t="s">
        <v>2180</v>
      </c>
      <c r="C40" s="134" t="s">
        <v>2181</v>
      </c>
      <c r="D40" s="4"/>
      <c r="E40" s="4"/>
      <c r="F40" s="3"/>
      <c r="G40" s="3"/>
      <c r="H40" s="11"/>
      <c r="I40" s="35"/>
      <c r="J40" s="35"/>
      <c r="K40" s="3">
        <v>4</v>
      </c>
      <c r="L40" s="3">
        <f t="shared" si="4"/>
        <v>463.505</v>
      </c>
      <c r="M40" s="3">
        <v>1854.02</v>
      </c>
      <c r="N40" s="3">
        <v>2</v>
      </c>
      <c r="O40" s="138">
        <f t="shared" si="3"/>
        <v>463.505</v>
      </c>
      <c r="P40" s="138">
        <v>927.01</v>
      </c>
      <c r="Q40" s="3"/>
      <c r="R40" s="3"/>
      <c r="S40" s="3"/>
      <c r="T40" s="23"/>
    </row>
    <row r="41" spans="1:20">
      <c r="A41" s="23">
        <f t="shared" si="1"/>
        <v>36</v>
      </c>
      <c r="B41" s="134" t="s">
        <v>2182</v>
      </c>
      <c r="C41" s="134" t="s">
        <v>2183</v>
      </c>
      <c r="D41" s="4"/>
      <c r="E41" s="4"/>
      <c r="F41" s="3"/>
      <c r="G41" s="3"/>
      <c r="H41" s="11"/>
      <c r="I41" s="35"/>
      <c r="J41" s="35"/>
      <c r="K41" s="3">
        <v>4</v>
      </c>
      <c r="L41" s="3">
        <f t="shared" si="4"/>
        <v>134.04750000000001</v>
      </c>
      <c r="M41" s="3">
        <v>536.19000000000005</v>
      </c>
      <c r="N41" s="3">
        <v>2</v>
      </c>
      <c r="O41" s="138">
        <f t="shared" si="3"/>
        <v>134.05000000000001</v>
      </c>
      <c r="P41" s="138">
        <v>268.10000000000002</v>
      </c>
      <c r="Q41" s="3"/>
      <c r="R41" s="3"/>
      <c r="S41" s="3"/>
      <c r="T41" s="23"/>
    </row>
    <row r="42" spans="1:20">
      <c r="A42" s="143">
        <f t="shared" si="1"/>
        <v>37</v>
      </c>
      <c r="B42" s="134" t="s">
        <v>2185</v>
      </c>
      <c r="C42" s="134" t="s">
        <v>2184</v>
      </c>
      <c r="D42" s="4"/>
      <c r="E42" s="4"/>
      <c r="F42" s="3"/>
      <c r="G42" s="3"/>
      <c r="H42" s="11"/>
      <c r="I42" s="35"/>
      <c r="J42" s="35"/>
      <c r="K42" s="3">
        <v>2</v>
      </c>
      <c r="L42" s="3">
        <f t="shared" si="4"/>
        <v>129.80000000000001</v>
      </c>
      <c r="M42" s="148">
        <v>259.60000000000002</v>
      </c>
      <c r="N42" s="3">
        <v>2</v>
      </c>
      <c r="O42" s="138">
        <f t="shared" si="3"/>
        <v>129.80000000000001</v>
      </c>
      <c r="P42" s="138">
        <v>259.60000000000002</v>
      </c>
      <c r="Q42" s="3"/>
      <c r="R42" s="3"/>
      <c r="S42" s="3"/>
      <c r="T42" s="23"/>
    </row>
    <row r="43" spans="1:20">
      <c r="A43" s="23">
        <f t="shared" si="1"/>
        <v>38</v>
      </c>
      <c r="B43" s="134" t="s">
        <v>2187</v>
      </c>
      <c r="C43" s="134" t="s">
        <v>2186</v>
      </c>
      <c r="D43" s="4"/>
      <c r="E43" s="4"/>
      <c r="F43" s="3"/>
      <c r="G43" s="3"/>
      <c r="H43" s="11"/>
      <c r="I43" s="35"/>
      <c r="J43" s="35"/>
      <c r="K43" s="3">
        <v>0.1</v>
      </c>
      <c r="L43" s="3">
        <f t="shared" si="4"/>
        <v>234702</v>
      </c>
      <c r="M43" s="148">
        <v>23470.2</v>
      </c>
      <c r="N43" s="3">
        <v>0.1</v>
      </c>
      <c r="O43" s="138">
        <f t="shared" si="3"/>
        <v>234702</v>
      </c>
      <c r="P43" s="138">
        <v>23470.2</v>
      </c>
      <c r="Q43" s="3"/>
      <c r="R43" s="3"/>
      <c r="S43" s="3"/>
      <c r="T43" s="23"/>
    </row>
    <row r="44" spans="1:20">
      <c r="A44" s="23">
        <f t="shared" si="1"/>
        <v>39</v>
      </c>
      <c r="B44" s="134" t="s">
        <v>2189</v>
      </c>
      <c r="C44" s="134" t="s">
        <v>2188</v>
      </c>
      <c r="D44" s="4"/>
      <c r="E44" s="4"/>
      <c r="F44" s="3"/>
      <c r="G44" s="3"/>
      <c r="H44" s="11"/>
      <c r="I44" s="35"/>
      <c r="J44" s="35"/>
      <c r="K44" s="3">
        <v>2</v>
      </c>
      <c r="L44" s="148">
        <f t="shared" si="4"/>
        <v>313.41000000000003</v>
      </c>
      <c r="M44" s="3">
        <v>626.82000000000005</v>
      </c>
      <c r="N44" s="3">
        <v>1</v>
      </c>
      <c r="O44" s="138">
        <f t="shared" si="3"/>
        <v>313.41000000000003</v>
      </c>
      <c r="P44" s="138">
        <v>313.41000000000003</v>
      </c>
      <c r="Q44" s="3"/>
      <c r="R44" s="3"/>
      <c r="S44" s="3"/>
      <c r="T44" s="23"/>
    </row>
    <row r="45" spans="1:20">
      <c r="A45" s="143">
        <f t="shared" si="1"/>
        <v>40</v>
      </c>
      <c r="B45" s="134" t="s">
        <v>2191</v>
      </c>
      <c r="C45" s="134" t="s">
        <v>2190</v>
      </c>
      <c r="D45" s="4"/>
      <c r="E45" s="4"/>
      <c r="F45" s="3"/>
      <c r="G45" s="3"/>
      <c r="H45" s="11"/>
      <c r="I45" s="35"/>
      <c r="J45" s="35"/>
      <c r="K45" s="3">
        <v>2</v>
      </c>
      <c r="L45" s="148">
        <f t="shared" si="4"/>
        <v>4729.4399999999996</v>
      </c>
      <c r="M45" s="3">
        <v>9458.8799999999992</v>
      </c>
      <c r="N45" s="3">
        <v>0</v>
      </c>
      <c r="O45" s="138" t="e">
        <f t="shared" si="3"/>
        <v>#DIV/0!</v>
      </c>
      <c r="P45" s="138"/>
      <c r="Q45" s="3"/>
      <c r="R45" s="3"/>
      <c r="S45" s="3"/>
      <c r="T45" s="23"/>
    </row>
    <row r="46" spans="1:20">
      <c r="A46" s="23">
        <f t="shared" si="1"/>
        <v>41</v>
      </c>
      <c r="B46" s="134" t="s">
        <v>2193</v>
      </c>
      <c r="C46" s="134" t="s">
        <v>2192</v>
      </c>
      <c r="D46" s="4"/>
      <c r="E46" s="4"/>
      <c r="F46" s="3"/>
      <c r="G46" s="3"/>
      <c r="H46" s="11"/>
      <c r="I46" s="35"/>
      <c r="J46" s="35"/>
      <c r="K46" s="3">
        <v>2</v>
      </c>
      <c r="L46" s="148">
        <f t="shared" si="4"/>
        <v>900.57500000000005</v>
      </c>
      <c r="M46" s="3">
        <v>1801.15</v>
      </c>
      <c r="N46" s="3">
        <v>1</v>
      </c>
      <c r="O46" s="138">
        <f t="shared" si="3"/>
        <v>900.58</v>
      </c>
      <c r="P46" s="138">
        <v>900.58</v>
      </c>
      <c r="Q46" s="3"/>
      <c r="R46" s="3"/>
      <c r="S46" s="3"/>
      <c r="T46" s="23"/>
    </row>
    <row r="47" spans="1:20">
      <c r="A47" s="23">
        <f t="shared" si="1"/>
        <v>42</v>
      </c>
      <c r="B47" s="134" t="s">
        <v>2195</v>
      </c>
      <c r="C47" s="134" t="s">
        <v>2194</v>
      </c>
      <c r="D47" s="4"/>
      <c r="E47" s="4"/>
      <c r="F47" s="3"/>
      <c r="G47" s="3"/>
      <c r="H47" s="11"/>
      <c r="I47" s="35"/>
      <c r="J47" s="35"/>
      <c r="K47" s="3">
        <v>6</v>
      </c>
      <c r="L47" s="148">
        <f t="shared" si="4"/>
        <v>108.56</v>
      </c>
      <c r="M47" s="3">
        <v>651.36</v>
      </c>
      <c r="N47" s="3"/>
      <c r="O47" s="138" t="e">
        <f t="shared" si="3"/>
        <v>#DIV/0!</v>
      </c>
      <c r="P47" s="138"/>
      <c r="Q47" s="3"/>
      <c r="R47" s="3"/>
      <c r="S47" s="3"/>
      <c r="T47" s="23"/>
    </row>
    <row r="48" spans="1:20">
      <c r="A48" s="23">
        <f t="shared" si="1"/>
        <v>43</v>
      </c>
      <c r="B48" s="134" t="s">
        <v>2197</v>
      </c>
      <c r="C48" s="134" t="s">
        <v>2196</v>
      </c>
      <c r="D48" s="4"/>
      <c r="E48" s="4"/>
      <c r="F48" s="3"/>
      <c r="G48" s="3"/>
      <c r="H48" s="11"/>
      <c r="I48" s="35"/>
      <c r="J48" s="35"/>
      <c r="K48" s="3">
        <v>0.05</v>
      </c>
      <c r="L48" s="148">
        <f t="shared" si="4"/>
        <v>453120</v>
      </c>
      <c r="M48" s="148">
        <v>22656</v>
      </c>
      <c r="N48" s="3">
        <v>0.05</v>
      </c>
      <c r="O48" s="138">
        <f t="shared" si="3"/>
        <v>453120</v>
      </c>
      <c r="P48" s="138">
        <v>22656</v>
      </c>
      <c r="Q48" s="3"/>
      <c r="R48" s="3"/>
      <c r="S48" s="3"/>
      <c r="T48" s="23"/>
    </row>
    <row r="49" spans="1:20">
      <c r="A49" s="143">
        <f t="shared" si="1"/>
        <v>44</v>
      </c>
      <c r="B49" s="134" t="s">
        <v>2199</v>
      </c>
      <c r="C49" s="134" t="s">
        <v>2198</v>
      </c>
      <c r="D49" s="4"/>
      <c r="E49" s="4"/>
      <c r="F49" s="3"/>
      <c r="G49" s="3"/>
      <c r="H49" s="11"/>
      <c r="I49" s="35"/>
      <c r="J49" s="35"/>
      <c r="K49" s="3">
        <v>1</v>
      </c>
      <c r="L49" s="148">
        <f t="shared" si="4"/>
        <v>16617.7</v>
      </c>
      <c r="M49" s="148">
        <v>16617.7</v>
      </c>
      <c r="N49" s="3">
        <v>1</v>
      </c>
      <c r="O49" s="138">
        <f t="shared" si="3"/>
        <v>16617.7</v>
      </c>
      <c r="P49" s="138">
        <v>16617.7</v>
      </c>
      <c r="Q49" s="3"/>
      <c r="R49" s="3"/>
      <c r="S49" s="3"/>
      <c r="T49" s="23"/>
    </row>
    <row r="50" spans="1:20">
      <c r="A50" s="23">
        <f t="shared" si="1"/>
        <v>45</v>
      </c>
      <c r="B50" s="134" t="s">
        <v>2201</v>
      </c>
      <c r="C50" s="134" t="s">
        <v>2200</v>
      </c>
      <c r="D50" s="4"/>
      <c r="E50" s="4"/>
      <c r="F50" s="3"/>
      <c r="G50" s="3"/>
      <c r="H50" s="11"/>
      <c r="I50" s="35"/>
      <c r="J50" s="35"/>
      <c r="K50" s="3">
        <v>1</v>
      </c>
      <c r="L50" s="148">
        <f t="shared" si="4"/>
        <v>24780</v>
      </c>
      <c r="M50" s="148">
        <v>24780</v>
      </c>
      <c r="N50" s="3">
        <v>1</v>
      </c>
      <c r="O50" s="138">
        <f t="shared" si="3"/>
        <v>24780</v>
      </c>
      <c r="P50" s="138">
        <v>24780</v>
      </c>
      <c r="Q50" s="3"/>
      <c r="R50" s="3"/>
      <c r="S50" s="3"/>
      <c r="T50" s="23"/>
    </row>
    <row r="51" spans="1:20">
      <c r="A51" s="23">
        <f t="shared" si="1"/>
        <v>46</v>
      </c>
      <c r="B51" s="134" t="s">
        <v>2203</v>
      </c>
      <c r="C51" s="134" t="s">
        <v>2202</v>
      </c>
      <c r="D51" s="4"/>
      <c r="E51" s="4"/>
      <c r="F51" s="3"/>
      <c r="G51" s="3"/>
      <c r="H51" s="11"/>
      <c r="I51" s="35"/>
      <c r="J51" s="35"/>
      <c r="K51" s="3">
        <v>4</v>
      </c>
      <c r="L51" s="148">
        <f t="shared" si="4"/>
        <v>29.5</v>
      </c>
      <c r="M51" s="148">
        <v>118</v>
      </c>
      <c r="N51" s="3">
        <v>4</v>
      </c>
      <c r="O51" s="138">
        <f t="shared" si="3"/>
        <v>29.5</v>
      </c>
      <c r="P51" s="138">
        <v>118</v>
      </c>
      <c r="Q51" s="3"/>
      <c r="R51" s="3"/>
      <c r="S51" s="3"/>
      <c r="T51" s="23"/>
    </row>
    <row r="52" spans="1:20">
      <c r="A52" s="23">
        <f t="shared" si="1"/>
        <v>47</v>
      </c>
      <c r="B52" s="134" t="s">
        <v>2205</v>
      </c>
      <c r="C52" s="134" t="s">
        <v>2204</v>
      </c>
      <c r="D52" s="4"/>
      <c r="E52" s="4"/>
      <c r="F52" s="3"/>
      <c r="G52" s="3"/>
      <c r="H52" s="11"/>
      <c r="I52" s="35"/>
      <c r="J52" s="35"/>
      <c r="K52" s="3">
        <v>1</v>
      </c>
      <c r="L52" s="148">
        <f t="shared" si="4"/>
        <v>65775</v>
      </c>
      <c r="M52" s="148">
        <v>65775</v>
      </c>
      <c r="N52" s="3">
        <v>1</v>
      </c>
      <c r="O52" s="138">
        <f t="shared" si="3"/>
        <v>65775</v>
      </c>
      <c r="P52" s="138">
        <v>65775</v>
      </c>
      <c r="Q52" s="3"/>
      <c r="R52" s="3"/>
      <c r="S52" s="3"/>
      <c r="T52" s="23"/>
    </row>
    <row r="53" spans="1:20">
      <c r="A53" s="143">
        <f t="shared" si="1"/>
        <v>48</v>
      </c>
      <c r="B53" s="134" t="s">
        <v>2207</v>
      </c>
      <c r="C53" s="134" t="s">
        <v>2206</v>
      </c>
      <c r="D53" s="4"/>
      <c r="E53" s="4"/>
      <c r="F53" s="3"/>
      <c r="G53" s="3"/>
      <c r="H53" s="11"/>
      <c r="I53" s="35"/>
      <c r="J53" s="35"/>
      <c r="K53" s="3">
        <v>1</v>
      </c>
      <c r="L53" s="148">
        <f t="shared" si="4"/>
        <v>3114.02</v>
      </c>
      <c r="M53" s="3">
        <v>3114.02</v>
      </c>
      <c r="N53" s="3"/>
      <c r="O53" s="138" t="e">
        <f t="shared" si="3"/>
        <v>#DIV/0!</v>
      </c>
      <c r="P53" s="138"/>
      <c r="Q53" s="3"/>
      <c r="R53" s="3"/>
      <c r="S53" s="3"/>
      <c r="T53" s="23"/>
    </row>
    <row r="54" spans="1:20">
      <c r="A54" s="23">
        <f t="shared" si="1"/>
        <v>49</v>
      </c>
      <c r="B54" s="134" t="s">
        <v>2209</v>
      </c>
      <c r="C54" s="134" t="s">
        <v>2208</v>
      </c>
      <c r="D54" s="4"/>
      <c r="E54" s="4"/>
      <c r="F54" s="3"/>
      <c r="G54" s="3"/>
      <c r="H54" s="11"/>
      <c r="I54" s="35"/>
      <c r="J54" s="35"/>
      <c r="K54" s="3">
        <v>6</v>
      </c>
      <c r="L54" s="148">
        <f t="shared" si="4"/>
        <v>287.185</v>
      </c>
      <c r="M54" s="3">
        <v>1723.11</v>
      </c>
      <c r="N54" s="3">
        <v>5</v>
      </c>
      <c r="O54" s="138">
        <f t="shared" si="3"/>
        <v>290.108</v>
      </c>
      <c r="P54" s="138">
        <v>1450.54</v>
      </c>
      <c r="Q54" s="3"/>
      <c r="R54" s="3"/>
      <c r="S54" s="3"/>
      <c r="T54" s="23"/>
    </row>
    <row r="55" spans="1:20">
      <c r="A55" s="23">
        <f t="shared" si="1"/>
        <v>50</v>
      </c>
      <c r="B55" s="134" t="s">
        <v>2211</v>
      </c>
      <c r="C55" s="134" t="s">
        <v>2210</v>
      </c>
      <c r="D55" s="4"/>
      <c r="E55" s="4"/>
      <c r="F55" s="3"/>
      <c r="G55" s="3"/>
      <c r="H55" s="11"/>
      <c r="I55" s="35"/>
      <c r="J55" s="35"/>
      <c r="K55" s="3">
        <v>1</v>
      </c>
      <c r="L55" s="148">
        <f t="shared" si="4"/>
        <v>933.38</v>
      </c>
      <c r="M55" s="3">
        <v>933.38</v>
      </c>
      <c r="N55" s="3"/>
      <c r="O55" s="138" t="e">
        <f t="shared" si="3"/>
        <v>#DIV/0!</v>
      </c>
      <c r="P55" s="138"/>
      <c r="Q55" s="3"/>
      <c r="R55" s="3"/>
      <c r="S55" s="3"/>
      <c r="T55" s="23"/>
    </row>
    <row r="56" spans="1:20">
      <c r="A56" s="23">
        <f t="shared" si="1"/>
        <v>51</v>
      </c>
      <c r="B56" s="134" t="s">
        <v>2213</v>
      </c>
      <c r="C56" s="134" t="s">
        <v>2212</v>
      </c>
      <c r="D56" s="4"/>
      <c r="E56" s="4"/>
      <c r="F56" s="3"/>
      <c r="G56" s="3"/>
      <c r="H56" s="11"/>
      <c r="I56" s="35"/>
      <c r="J56" s="35"/>
      <c r="K56" s="3">
        <v>1</v>
      </c>
      <c r="L56" s="148">
        <f t="shared" si="4"/>
        <v>421.26</v>
      </c>
      <c r="M56" s="3">
        <v>421.26</v>
      </c>
      <c r="N56" s="3"/>
      <c r="O56" s="138" t="e">
        <f t="shared" si="3"/>
        <v>#DIV/0!</v>
      </c>
      <c r="P56" s="138"/>
      <c r="Q56" s="3"/>
      <c r="R56" s="3"/>
      <c r="S56" s="3"/>
      <c r="T56" s="23"/>
    </row>
    <row r="57" spans="1:20">
      <c r="A57" s="23">
        <f t="shared" si="1"/>
        <v>52</v>
      </c>
      <c r="B57" s="134" t="s">
        <v>2215</v>
      </c>
      <c r="C57" s="134" t="s">
        <v>2214</v>
      </c>
      <c r="D57" s="4"/>
      <c r="E57" s="4"/>
      <c r="F57" s="3"/>
      <c r="G57" s="3"/>
      <c r="H57" s="11"/>
      <c r="I57" s="35"/>
      <c r="J57" s="35"/>
      <c r="K57" s="3">
        <v>6</v>
      </c>
      <c r="L57" s="148">
        <f t="shared" si="4"/>
        <v>75.598333333333329</v>
      </c>
      <c r="M57" s="3">
        <v>453.59</v>
      </c>
      <c r="N57" s="3">
        <v>6</v>
      </c>
      <c r="O57" s="138">
        <f t="shared" si="3"/>
        <v>75.989999999999995</v>
      </c>
      <c r="P57" s="138">
        <v>455.94</v>
      </c>
      <c r="Q57" s="3"/>
      <c r="R57" s="3"/>
      <c r="S57" s="3"/>
      <c r="T57" s="23"/>
    </row>
    <row r="58" spans="1:20">
      <c r="A58" s="23">
        <f t="shared" si="1"/>
        <v>53</v>
      </c>
      <c r="B58" s="134" t="s">
        <v>2217</v>
      </c>
      <c r="C58" s="134" t="s">
        <v>2216</v>
      </c>
      <c r="D58" s="4"/>
      <c r="E58" s="4"/>
      <c r="F58" s="3"/>
      <c r="G58" s="3"/>
      <c r="H58" s="11"/>
      <c r="I58" s="35"/>
      <c r="J58" s="35"/>
      <c r="K58" s="3">
        <v>12</v>
      </c>
      <c r="L58" s="148">
        <f t="shared" si="4"/>
        <v>86.926666666666662</v>
      </c>
      <c r="M58" s="3">
        <v>1043.1199999999999</v>
      </c>
      <c r="N58" s="3">
        <v>5</v>
      </c>
      <c r="O58" s="138">
        <f t="shared" si="3"/>
        <v>86.611999999999995</v>
      </c>
      <c r="P58" s="138">
        <v>433.06</v>
      </c>
      <c r="Q58" s="3"/>
      <c r="R58" s="3"/>
      <c r="S58" s="3"/>
      <c r="T58" s="23"/>
    </row>
    <row r="59" spans="1:20">
      <c r="A59" s="23">
        <f t="shared" si="1"/>
        <v>54</v>
      </c>
      <c r="B59" s="134" t="s">
        <v>2219</v>
      </c>
      <c r="C59" s="134" t="s">
        <v>2218</v>
      </c>
      <c r="D59" s="4"/>
      <c r="E59" s="4"/>
      <c r="F59" s="3"/>
      <c r="G59" s="3" t="s">
        <v>1</v>
      </c>
      <c r="H59" s="11">
        <v>2</v>
      </c>
      <c r="I59" s="35">
        <v>13570</v>
      </c>
      <c r="J59" s="35">
        <v>27140</v>
      </c>
      <c r="K59" s="3">
        <v>18</v>
      </c>
      <c r="L59" s="148">
        <f t="shared" si="4"/>
        <v>10735.83611111111</v>
      </c>
      <c r="M59" s="148">
        <v>193245.05</v>
      </c>
      <c r="N59" s="3">
        <v>20</v>
      </c>
      <c r="O59" s="138">
        <f t="shared" si="3"/>
        <v>10921.4455</v>
      </c>
      <c r="P59" s="138">
        <v>218428.91</v>
      </c>
      <c r="Q59" s="3"/>
      <c r="R59" s="3"/>
      <c r="S59" s="3"/>
      <c r="T59" s="23"/>
    </row>
    <row r="60" spans="1:20">
      <c r="A60" s="23">
        <f t="shared" si="1"/>
        <v>55</v>
      </c>
      <c r="B60" s="80" t="s">
        <v>2220</v>
      </c>
      <c r="C60" s="80" t="s">
        <v>2221</v>
      </c>
      <c r="D60" s="4"/>
      <c r="E60" s="4"/>
      <c r="F60" s="3"/>
      <c r="G60" s="3" t="s">
        <v>11</v>
      </c>
      <c r="H60" s="11"/>
      <c r="I60" s="35"/>
      <c r="J60" s="35"/>
      <c r="K60" s="3">
        <v>2</v>
      </c>
      <c r="L60" s="148">
        <f t="shared" si="4"/>
        <v>4219.68</v>
      </c>
      <c r="M60" s="3">
        <v>8439.36</v>
      </c>
      <c r="N60" s="3">
        <v>1</v>
      </c>
      <c r="O60" s="138">
        <f t="shared" si="3"/>
        <v>4219.68</v>
      </c>
      <c r="P60" s="138">
        <v>4219.68</v>
      </c>
      <c r="Q60" s="3"/>
      <c r="R60" s="3"/>
      <c r="S60" s="3"/>
      <c r="T60" s="23"/>
    </row>
    <row r="61" spans="1:20">
      <c r="A61" s="23">
        <f t="shared" si="1"/>
        <v>56</v>
      </c>
      <c r="B61" s="80" t="s">
        <v>2222</v>
      </c>
      <c r="C61" s="80" t="s">
        <v>2223</v>
      </c>
      <c r="D61" s="4"/>
      <c r="E61" s="4"/>
      <c r="F61" s="3"/>
      <c r="G61" s="3" t="s">
        <v>6</v>
      </c>
      <c r="H61" s="11"/>
      <c r="I61" s="35"/>
      <c r="J61" s="35"/>
      <c r="K61" s="3">
        <v>1</v>
      </c>
      <c r="L61" s="148">
        <f t="shared" si="4"/>
        <v>305.62</v>
      </c>
      <c r="M61" s="3">
        <v>305.62</v>
      </c>
      <c r="N61" s="3"/>
      <c r="O61" s="138" t="e">
        <f t="shared" si="3"/>
        <v>#DIV/0!</v>
      </c>
      <c r="P61" s="138"/>
      <c r="Q61" s="3"/>
      <c r="R61" s="3"/>
      <c r="S61" s="3"/>
      <c r="T61" s="23"/>
    </row>
    <row r="62" spans="1:20">
      <c r="A62" s="23">
        <f t="shared" si="1"/>
        <v>57</v>
      </c>
      <c r="B62" s="80" t="s">
        <v>2224</v>
      </c>
      <c r="C62" s="80" t="s">
        <v>2225</v>
      </c>
      <c r="D62" s="4"/>
      <c r="E62" s="4"/>
      <c r="F62" s="3"/>
      <c r="G62" s="3" t="s">
        <v>6</v>
      </c>
      <c r="H62" s="11"/>
      <c r="I62" s="35"/>
      <c r="J62" s="35"/>
      <c r="K62" s="3">
        <v>1</v>
      </c>
      <c r="L62" s="148">
        <f t="shared" si="4"/>
        <v>297.36</v>
      </c>
      <c r="M62" s="3">
        <v>297.36</v>
      </c>
      <c r="N62" s="3"/>
      <c r="O62" s="138" t="e">
        <f t="shared" si="3"/>
        <v>#DIV/0!</v>
      </c>
      <c r="P62" s="138"/>
      <c r="Q62" s="3"/>
      <c r="R62" s="3"/>
      <c r="S62" s="3"/>
      <c r="T62" s="23"/>
    </row>
    <row r="63" spans="1:20">
      <c r="A63" s="23"/>
      <c r="B63" s="80" t="s">
        <v>2226</v>
      </c>
      <c r="C63" s="80" t="s">
        <v>2227</v>
      </c>
      <c r="D63" s="4"/>
      <c r="E63" s="4"/>
      <c r="F63" s="3"/>
      <c r="G63" s="3" t="s">
        <v>6</v>
      </c>
      <c r="H63" s="11"/>
      <c r="I63" s="35"/>
      <c r="J63" s="35"/>
      <c r="K63" s="156">
        <v>1</v>
      </c>
      <c r="L63" s="148">
        <f t="shared" si="4"/>
        <v>1239</v>
      </c>
      <c r="M63" s="156">
        <v>1239</v>
      </c>
      <c r="N63" s="153"/>
      <c r="O63" s="154"/>
      <c r="P63" s="154"/>
      <c r="Q63" s="153"/>
      <c r="R63" s="153"/>
      <c r="S63" s="153"/>
      <c r="T63" s="155"/>
    </row>
    <row r="64" spans="1:20">
      <c r="A64" s="23"/>
      <c r="B64" s="80" t="s">
        <v>2228</v>
      </c>
      <c r="C64" s="80" t="s">
        <v>2229</v>
      </c>
      <c r="D64" s="4"/>
      <c r="E64" s="4"/>
      <c r="F64" s="3"/>
      <c r="G64" s="3" t="s">
        <v>6</v>
      </c>
      <c r="H64" s="11"/>
      <c r="I64" s="35"/>
      <c r="J64" s="35"/>
      <c r="K64" s="156">
        <v>2</v>
      </c>
      <c r="L64" s="148">
        <f t="shared" si="4"/>
        <v>218.065</v>
      </c>
      <c r="M64" s="156">
        <v>436.13</v>
      </c>
      <c r="N64" s="153"/>
      <c r="O64" s="154"/>
      <c r="P64" s="154"/>
      <c r="Q64" s="153"/>
      <c r="R64" s="153"/>
      <c r="S64" s="153"/>
      <c r="T64" s="155"/>
    </row>
    <row r="65" spans="1:20">
      <c r="A65" s="23"/>
      <c r="B65" s="134"/>
      <c r="C65" s="134"/>
      <c r="D65" s="4"/>
      <c r="E65" s="4"/>
      <c r="F65" s="3"/>
      <c r="G65" s="3"/>
      <c r="H65" s="11"/>
      <c r="I65" s="35"/>
      <c r="J65" s="35"/>
      <c r="K65" s="153"/>
      <c r="L65" s="148" t="e">
        <f t="shared" si="4"/>
        <v>#DIV/0!</v>
      </c>
      <c r="M65" s="153"/>
      <c r="N65" s="153"/>
      <c r="O65" s="154"/>
      <c r="P65" s="154"/>
      <c r="Q65" s="153"/>
      <c r="R65" s="153"/>
      <c r="S65" s="153"/>
      <c r="T65" s="155"/>
    </row>
    <row r="66" spans="1:20">
      <c r="A66" s="23"/>
      <c r="B66" s="134"/>
      <c r="C66" s="134"/>
      <c r="D66" s="4"/>
      <c r="E66" s="4"/>
      <c r="F66" s="3"/>
      <c r="G66" s="3"/>
      <c r="H66" s="11"/>
      <c r="I66" s="35"/>
      <c r="J66" s="35"/>
      <c r="K66" s="153"/>
      <c r="L66" s="148" t="e">
        <f t="shared" si="4"/>
        <v>#DIV/0!</v>
      </c>
      <c r="M66" s="153"/>
      <c r="N66" s="153"/>
      <c r="O66" s="154"/>
      <c r="P66" s="154"/>
      <c r="Q66" s="153"/>
      <c r="R66" s="153"/>
      <c r="S66" s="153"/>
      <c r="T66" s="155"/>
    </row>
    <row r="67" spans="1:20">
      <c r="A67" s="23"/>
      <c r="B67" s="134"/>
      <c r="C67" s="134"/>
      <c r="D67" s="4"/>
      <c r="E67" s="4"/>
      <c r="F67" s="3"/>
      <c r="G67" s="3"/>
      <c r="H67" s="11"/>
      <c r="I67" s="35"/>
      <c r="J67" s="35"/>
      <c r="K67" s="153"/>
      <c r="L67" s="148" t="e">
        <f t="shared" si="4"/>
        <v>#DIV/0!</v>
      </c>
      <c r="M67" s="153"/>
      <c r="N67" s="153"/>
      <c r="O67" s="154"/>
      <c r="P67" s="154"/>
      <c r="Q67" s="153"/>
      <c r="R67" s="153"/>
      <c r="S67" s="153"/>
      <c r="T67" s="155"/>
    </row>
    <row r="68" spans="1:20">
      <c r="A68" s="23"/>
      <c r="B68" s="134"/>
      <c r="C68" s="134"/>
      <c r="D68" s="4"/>
      <c r="E68" s="4"/>
      <c r="F68" s="3"/>
      <c r="G68" s="3"/>
      <c r="H68" s="11"/>
      <c r="I68" s="35"/>
      <c r="J68" s="35"/>
      <c r="K68" s="153"/>
      <c r="L68" s="148" t="e">
        <f t="shared" si="4"/>
        <v>#DIV/0!</v>
      </c>
      <c r="M68" s="153"/>
      <c r="N68" s="153"/>
      <c r="O68" s="154"/>
      <c r="P68" s="154"/>
      <c r="Q68" s="153"/>
      <c r="R68" s="153"/>
      <c r="S68" s="153"/>
      <c r="T68" s="155"/>
    </row>
    <row r="69" spans="1:20">
      <c r="A69" s="188" t="s">
        <v>1637</v>
      </c>
      <c r="B69" s="188"/>
      <c r="C69" s="188"/>
      <c r="D69" s="188"/>
      <c r="E69" s="188"/>
      <c r="F69" s="188"/>
      <c r="G69" s="188"/>
      <c r="H69" s="188"/>
      <c r="I69" s="188"/>
      <c r="J69" s="40">
        <f>SUM(J5:J38)</f>
        <v>51154.960000000006</v>
      </c>
    </row>
    <row r="72" spans="1:20">
      <c r="C72" s="131"/>
      <c r="D72" s="132"/>
      <c r="E72" s="142"/>
    </row>
  </sheetData>
  <mergeCells count="15">
    <mergeCell ref="A69:I69"/>
    <mergeCell ref="A4:A5"/>
    <mergeCell ref="B4:B5"/>
    <mergeCell ref="C4:C5"/>
    <mergeCell ref="D4:D5"/>
    <mergeCell ref="E4:E5"/>
    <mergeCell ref="F4:F5"/>
    <mergeCell ref="G4:G5"/>
    <mergeCell ref="H4:J4"/>
    <mergeCell ref="K4:M4"/>
    <mergeCell ref="N4:P4"/>
    <mergeCell ref="Q4:S4"/>
    <mergeCell ref="A1:J1"/>
    <mergeCell ref="A2:J2"/>
    <mergeCell ref="A3:J3"/>
  </mergeCells>
  <pageMargins left="0.68" right="0.24" top="0.75" bottom="0.75" header="0.28999999999999998" footer="0.3"/>
  <pageSetup scale="8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45"/>
  <sheetViews>
    <sheetView topLeftCell="E1" workbookViewId="0">
      <pane ySplit="5" topLeftCell="A6" activePane="bottomLeft" state="frozen"/>
      <selection pane="bottomLeft" activeCell="A4" sqref="A4:T5"/>
    </sheetView>
  </sheetViews>
  <sheetFormatPr defaultRowHeight="15"/>
  <cols>
    <col min="1" max="1" width="7.5703125" style="15" bestFit="1" customWidth="1"/>
    <col min="2" max="2" width="14.7109375" bestFit="1" customWidth="1"/>
    <col min="3" max="3" width="29.42578125" bestFit="1" customWidth="1"/>
    <col min="4" max="4" width="20.42578125" customWidth="1"/>
    <col min="5" max="5" width="13.5703125" customWidth="1"/>
    <col min="6" max="6" width="12.85546875" bestFit="1" customWidth="1"/>
    <col min="7" max="7" width="5.28515625" bestFit="1" customWidth="1"/>
    <col min="8" max="8" width="6.7109375" bestFit="1" customWidth="1"/>
    <col min="9" max="9" width="11.140625" bestFit="1" customWidth="1"/>
    <col min="10" max="10" width="14.140625" bestFit="1" customWidth="1"/>
    <col min="11" max="11" width="9.42578125" bestFit="1" customWidth="1"/>
    <col min="12" max="12" width="11.140625" bestFit="1" customWidth="1"/>
    <col min="13" max="13" width="12.140625" bestFit="1" customWidth="1"/>
    <col min="14" max="14" width="9.42578125" bestFit="1" customWidth="1"/>
    <col min="15" max="16" width="11.140625" bestFit="1" customWidth="1"/>
    <col min="17" max="17" width="9.42578125" bestFit="1" customWidth="1"/>
    <col min="18" max="18" width="11.140625" bestFit="1" customWidth="1"/>
    <col min="19" max="19" width="11.85546875" bestFit="1" customWidth="1"/>
    <col min="20" max="20" width="9.85546875" bestFit="1" customWidth="1"/>
    <col min="21" max="21" width="12.42578125" bestFit="1" customWidth="1"/>
  </cols>
  <sheetData>
    <row r="1" spans="1:24" ht="18">
      <c r="A1" s="189" t="s">
        <v>670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</row>
    <row r="2" spans="1:24" ht="18">
      <c r="A2" s="189" t="s">
        <v>1493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</row>
    <row r="3" spans="1:24" ht="18">
      <c r="A3" s="189" t="s">
        <v>2177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24" ht="18" customHeight="1">
      <c r="A4" s="179" t="s">
        <v>667</v>
      </c>
      <c r="B4" s="180" t="s">
        <v>27</v>
      </c>
      <c r="C4" s="180" t="s">
        <v>28</v>
      </c>
      <c r="D4" s="180" t="s">
        <v>29</v>
      </c>
      <c r="E4" s="180" t="s">
        <v>2062</v>
      </c>
      <c r="F4" s="181" t="s">
        <v>30</v>
      </c>
      <c r="G4" s="181" t="s">
        <v>32</v>
      </c>
      <c r="H4" s="176" t="s">
        <v>2173</v>
      </c>
      <c r="I4" s="176"/>
      <c r="J4" s="176"/>
      <c r="K4" s="176" t="s">
        <v>2174</v>
      </c>
      <c r="L4" s="176"/>
      <c r="M4" s="176"/>
      <c r="N4" s="176" t="s">
        <v>2175</v>
      </c>
      <c r="O4" s="176"/>
      <c r="P4" s="176"/>
      <c r="Q4" s="176" t="s">
        <v>2176</v>
      </c>
      <c r="R4" s="176"/>
      <c r="S4" s="176"/>
      <c r="T4" s="3"/>
    </row>
    <row r="5" spans="1:24" ht="30" customHeight="1">
      <c r="A5" s="179"/>
      <c r="B5" s="180"/>
      <c r="C5" s="180"/>
      <c r="D5" s="180"/>
      <c r="E5" s="180"/>
      <c r="F5" s="181"/>
      <c r="G5" s="181"/>
      <c r="H5" s="21" t="s">
        <v>31</v>
      </c>
      <c r="I5" s="18" t="s">
        <v>668</v>
      </c>
      <c r="J5" s="18" t="s">
        <v>669</v>
      </c>
      <c r="K5" s="21" t="s">
        <v>31</v>
      </c>
      <c r="L5" s="18" t="s">
        <v>668</v>
      </c>
      <c r="M5" s="18" t="s">
        <v>669</v>
      </c>
      <c r="N5" s="21" t="s">
        <v>31</v>
      </c>
      <c r="O5" s="18" t="s">
        <v>668</v>
      </c>
      <c r="P5" s="18" t="s">
        <v>669</v>
      </c>
      <c r="Q5" s="21" t="s">
        <v>31</v>
      </c>
      <c r="R5" s="18" t="s">
        <v>668</v>
      </c>
      <c r="S5" s="18" t="s">
        <v>669</v>
      </c>
      <c r="T5" s="130" t="s">
        <v>2118</v>
      </c>
    </row>
    <row r="6" spans="1:24">
      <c r="A6" s="23">
        <v>1</v>
      </c>
      <c r="B6" s="3" t="s">
        <v>1494</v>
      </c>
      <c r="C6" s="4" t="s">
        <v>1495</v>
      </c>
      <c r="D6" s="4" t="s">
        <v>57</v>
      </c>
      <c r="E6" s="4"/>
      <c r="F6" s="3" t="s">
        <v>1384</v>
      </c>
      <c r="G6" s="3" t="s">
        <v>6</v>
      </c>
      <c r="H6" s="3">
        <f>21-16-5</f>
        <v>0</v>
      </c>
      <c r="I6" s="35">
        <v>18.899999999999999</v>
      </c>
      <c r="J6" s="35">
        <f t="shared" ref="J6:J28" si="0">H6*I6</f>
        <v>0</v>
      </c>
      <c r="K6" s="11"/>
      <c r="L6" s="35"/>
      <c r="M6" s="35"/>
      <c r="N6" s="135"/>
      <c r="O6" s="35"/>
      <c r="P6" s="35"/>
      <c r="Q6" s="138">
        <f>(H6+K6)-N6</f>
        <v>0</v>
      </c>
      <c r="R6" s="35"/>
      <c r="S6" s="35"/>
      <c r="T6" s="23">
        <v>50</v>
      </c>
    </row>
    <row r="7" spans="1:24">
      <c r="A7" s="23">
        <f>A6+1</f>
        <v>2</v>
      </c>
      <c r="B7" s="3" t="s">
        <v>1496</v>
      </c>
      <c r="C7" s="4" t="s">
        <v>1497</v>
      </c>
      <c r="D7" s="4" t="s">
        <v>57</v>
      </c>
      <c r="E7" s="4"/>
      <c r="F7" s="3" t="s">
        <v>1384</v>
      </c>
      <c r="G7" s="3" t="s">
        <v>6</v>
      </c>
      <c r="H7" s="3">
        <f>54-6-6-1</f>
        <v>41</v>
      </c>
      <c r="I7" s="35">
        <v>35</v>
      </c>
      <c r="J7" s="35">
        <f t="shared" si="0"/>
        <v>1435</v>
      </c>
      <c r="K7" s="11"/>
      <c r="L7" s="35"/>
      <c r="M7" s="35"/>
      <c r="N7" s="135">
        <v>35</v>
      </c>
      <c r="O7" s="35">
        <f>I7</f>
        <v>35</v>
      </c>
      <c r="P7" s="35">
        <f>N7*O7</f>
        <v>1225</v>
      </c>
      <c r="Q7" s="11">
        <f t="shared" ref="Q7:Q33" si="1">(H7+K7)-N7</f>
        <v>6</v>
      </c>
      <c r="R7" s="35"/>
      <c r="S7" s="35"/>
      <c r="T7" s="23">
        <v>17</v>
      </c>
    </row>
    <row r="8" spans="1:24">
      <c r="A8" s="23">
        <f t="shared" ref="A8:A33" si="2">A7+1</f>
        <v>3</v>
      </c>
      <c r="B8" s="3" t="s">
        <v>1498</v>
      </c>
      <c r="C8" s="4" t="s">
        <v>1499</v>
      </c>
      <c r="D8" s="4" t="s">
        <v>1500</v>
      </c>
      <c r="E8" s="4"/>
      <c r="F8" s="3" t="s">
        <v>1384</v>
      </c>
      <c r="G8" s="3" t="s">
        <v>1501</v>
      </c>
      <c r="H8" s="3">
        <f>114-13-1-5-4</f>
        <v>91</v>
      </c>
      <c r="I8" s="35">
        <v>80</v>
      </c>
      <c r="J8" s="35">
        <f t="shared" si="0"/>
        <v>7280</v>
      </c>
      <c r="K8" s="138">
        <v>0</v>
      </c>
      <c r="L8" s="138">
        <v>0</v>
      </c>
      <c r="M8" s="138">
        <v>0</v>
      </c>
      <c r="N8" s="135">
        <v>77</v>
      </c>
      <c r="O8" s="35">
        <f>I8</f>
        <v>80</v>
      </c>
      <c r="P8" s="35">
        <f>N8*O8</f>
        <v>6160</v>
      </c>
      <c r="Q8" s="11">
        <f t="shared" si="1"/>
        <v>14</v>
      </c>
      <c r="R8" s="35">
        <f>O8</f>
        <v>80</v>
      </c>
      <c r="S8" s="35">
        <f>Q8*R8</f>
        <v>1120</v>
      </c>
      <c r="T8" s="23">
        <v>18</v>
      </c>
    </row>
    <row r="9" spans="1:24">
      <c r="A9" s="23">
        <f t="shared" si="2"/>
        <v>4</v>
      </c>
      <c r="B9" s="3" t="s">
        <v>1502</v>
      </c>
      <c r="C9" s="4" t="s">
        <v>1499</v>
      </c>
      <c r="D9" s="4" t="s">
        <v>1503</v>
      </c>
      <c r="E9" s="4"/>
      <c r="F9" s="3" t="s">
        <v>1384</v>
      </c>
      <c r="G9" s="3" t="s">
        <v>1501</v>
      </c>
      <c r="H9" s="3"/>
      <c r="I9" s="35"/>
      <c r="J9" s="35">
        <f t="shared" si="0"/>
        <v>0</v>
      </c>
      <c r="K9" s="11"/>
      <c r="L9" s="35"/>
      <c r="M9" s="35"/>
      <c r="N9" s="135"/>
      <c r="O9" s="35"/>
      <c r="P9" s="35"/>
      <c r="Q9" s="138">
        <f t="shared" si="1"/>
        <v>0</v>
      </c>
      <c r="R9" s="138">
        <f t="shared" ref="R9:R28" si="3">O9</f>
        <v>0</v>
      </c>
      <c r="S9" s="138">
        <f t="shared" ref="S9:S33" si="4">Q9*R9</f>
        <v>0</v>
      </c>
      <c r="T9" s="23">
        <v>18</v>
      </c>
    </row>
    <row r="10" spans="1:24">
      <c r="A10" s="23">
        <f t="shared" si="2"/>
        <v>5</v>
      </c>
      <c r="B10" s="3" t="s">
        <v>1504</v>
      </c>
      <c r="C10" s="4" t="s">
        <v>1499</v>
      </c>
      <c r="D10" s="4" t="s">
        <v>1505</v>
      </c>
      <c r="E10" s="4"/>
      <c r="F10" s="3" t="s">
        <v>1384</v>
      </c>
      <c r="G10" s="3" t="s">
        <v>1501</v>
      </c>
      <c r="H10" s="3"/>
      <c r="I10" s="35"/>
      <c r="J10" s="35">
        <f t="shared" si="0"/>
        <v>0</v>
      </c>
      <c r="K10" s="11"/>
      <c r="L10" s="35"/>
      <c r="M10" s="35"/>
      <c r="N10" s="135"/>
      <c r="O10" s="35"/>
      <c r="P10" s="35"/>
      <c r="Q10" s="138">
        <f t="shared" si="1"/>
        <v>0</v>
      </c>
      <c r="R10" s="138">
        <f t="shared" si="3"/>
        <v>0</v>
      </c>
      <c r="S10" s="138">
        <f t="shared" si="4"/>
        <v>0</v>
      </c>
      <c r="T10" s="23">
        <v>18</v>
      </c>
    </row>
    <row r="11" spans="1:24">
      <c r="A11" s="23">
        <f t="shared" si="2"/>
        <v>6</v>
      </c>
      <c r="B11" s="3" t="s">
        <v>1534</v>
      </c>
      <c r="C11" s="4" t="s">
        <v>1535</v>
      </c>
      <c r="D11" s="4" t="s">
        <v>57</v>
      </c>
      <c r="E11" s="4"/>
      <c r="F11" s="3" t="s">
        <v>1384</v>
      </c>
      <c r="G11" s="3" t="s">
        <v>6</v>
      </c>
      <c r="H11" s="3">
        <f>253-10-4-2</f>
        <v>237</v>
      </c>
      <c r="I11" s="35">
        <v>5</v>
      </c>
      <c r="J11" s="35">
        <f t="shared" si="0"/>
        <v>1185</v>
      </c>
      <c r="K11" s="11"/>
      <c r="L11" s="35"/>
      <c r="M11" s="35"/>
      <c r="N11" s="135">
        <v>47</v>
      </c>
      <c r="O11" s="35">
        <f>I11</f>
        <v>5</v>
      </c>
      <c r="P11" s="35">
        <f>N11*O11</f>
        <v>235</v>
      </c>
      <c r="Q11" s="11">
        <f t="shared" si="1"/>
        <v>190</v>
      </c>
      <c r="R11" s="35">
        <f t="shared" si="3"/>
        <v>5</v>
      </c>
      <c r="S11" s="35">
        <f t="shared" si="4"/>
        <v>950</v>
      </c>
      <c r="T11" s="23">
        <v>18</v>
      </c>
    </row>
    <row r="12" spans="1:24">
      <c r="A12" s="23">
        <f t="shared" si="2"/>
        <v>7</v>
      </c>
      <c r="B12" s="3" t="s">
        <v>1536</v>
      </c>
      <c r="C12" s="4" t="s">
        <v>1537</v>
      </c>
      <c r="D12" s="4" t="s">
        <v>57</v>
      </c>
      <c r="E12" s="4"/>
      <c r="F12" s="3" t="s">
        <v>1384</v>
      </c>
      <c r="G12" s="3" t="s">
        <v>6</v>
      </c>
      <c r="H12" s="3">
        <f>136-44-10</f>
        <v>82</v>
      </c>
      <c r="I12" s="35">
        <v>180</v>
      </c>
      <c r="J12" s="35">
        <f t="shared" si="0"/>
        <v>14760</v>
      </c>
      <c r="K12" s="11">
        <v>8</v>
      </c>
      <c r="L12" s="35">
        <f>M12/K12</f>
        <v>168.15</v>
      </c>
      <c r="M12" s="35">
        <v>1345.2</v>
      </c>
      <c r="N12" s="135">
        <v>17</v>
      </c>
      <c r="O12" s="35">
        <f>I12</f>
        <v>180</v>
      </c>
      <c r="P12" s="35">
        <f>N12*O12</f>
        <v>3060</v>
      </c>
      <c r="Q12" s="11">
        <f t="shared" si="1"/>
        <v>73</v>
      </c>
      <c r="R12" s="35">
        <f t="shared" si="3"/>
        <v>180</v>
      </c>
      <c r="S12" s="35">
        <f t="shared" si="4"/>
        <v>13140</v>
      </c>
      <c r="T12" s="23">
        <v>20</v>
      </c>
    </row>
    <row r="13" spans="1:24">
      <c r="A13" s="23">
        <f t="shared" si="2"/>
        <v>8</v>
      </c>
      <c r="B13" s="3" t="s">
        <v>1506</v>
      </c>
      <c r="C13" s="4" t="s">
        <v>1507</v>
      </c>
      <c r="D13" s="4" t="s">
        <v>57</v>
      </c>
      <c r="E13" s="4"/>
      <c r="F13" s="3" t="s">
        <v>1384</v>
      </c>
      <c r="G13" s="3" t="s">
        <v>1501</v>
      </c>
      <c r="H13" s="3">
        <f>3-3+1-1</f>
        <v>0</v>
      </c>
      <c r="I13" s="35">
        <v>1030</v>
      </c>
      <c r="J13" s="35">
        <f t="shared" si="0"/>
        <v>0</v>
      </c>
      <c r="K13" s="11">
        <v>14</v>
      </c>
      <c r="L13" s="35">
        <f>M13/K13</f>
        <v>1025.25</v>
      </c>
      <c r="M13" s="35">
        <v>14353.5</v>
      </c>
      <c r="N13" s="135">
        <v>9</v>
      </c>
      <c r="O13" s="35">
        <f>L13</f>
        <v>1025.25</v>
      </c>
      <c r="P13" s="35">
        <f>N13*O13</f>
        <v>9227.25</v>
      </c>
      <c r="Q13" s="11">
        <f t="shared" si="1"/>
        <v>5</v>
      </c>
      <c r="R13" s="35">
        <f t="shared" si="3"/>
        <v>1025.25</v>
      </c>
      <c r="S13" s="35">
        <f t="shared" si="4"/>
        <v>5126.25</v>
      </c>
      <c r="T13" s="23">
        <v>51</v>
      </c>
      <c r="U13" s="131"/>
      <c r="V13" s="131"/>
      <c r="W13" s="132"/>
      <c r="X13" s="133"/>
    </row>
    <row r="14" spans="1:24">
      <c r="A14" s="23">
        <f t="shared" si="2"/>
        <v>9</v>
      </c>
      <c r="B14" s="3" t="s">
        <v>1508</v>
      </c>
      <c r="C14" s="4" t="s">
        <v>1509</v>
      </c>
      <c r="D14" s="4" t="s">
        <v>57</v>
      </c>
      <c r="E14" s="4"/>
      <c r="F14" s="3" t="s">
        <v>1384</v>
      </c>
      <c r="G14" s="3" t="s">
        <v>6</v>
      </c>
      <c r="H14" s="3">
        <v>1</v>
      </c>
      <c r="I14" s="35">
        <v>650</v>
      </c>
      <c r="J14" s="35">
        <f t="shared" si="0"/>
        <v>650</v>
      </c>
      <c r="K14" s="11"/>
      <c r="L14" s="35"/>
      <c r="M14" s="35"/>
      <c r="N14" s="135"/>
      <c r="O14" s="35"/>
      <c r="P14" s="35"/>
      <c r="Q14" s="11">
        <f t="shared" si="1"/>
        <v>1</v>
      </c>
      <c r="R14" s="35">
        <f>I14</f>
        <v>650</v>
      </c>
      <c r="S14" s="35">
        <f t="shared" si="4"/>
        <v>650</v>
      </c>
      <c r="T14" s="23">
        <v>50</v>
      </c>
    </row>
    <row r="15" spans="1:24">
      <c r="A15" s="23">
        <f t="shared" si="2"/>
        <v>10</v>
      </c>
      <c r="B15" s="3" t="s">
        <v>1510</v>
      </c>
      <c r="C15" s="4" t="s">
        <v>1499</v>
      </c>
      <c r="D15" s="4" t="s">
        <v>1511</v>
      </c>
      <c r="E15" s="4"/>
      <c r="F15" s="3" t="s">
        <v>1384</v>
      </c>
      <c r="G15" s="3" t="s">
        <v>1501</v>
      </c>
      <c r="H15" s="3">
        <f>24-2-1-3</f>
        <v>18</v>
      </c>
      <c r="I15" s="35">
        <v>175</v>
      </c>
      <c r="J15" s="35">
        <f t="shared" si="0"/>
        <v>3150</v>
      </c>
      <c r="K15" s="11"/>
      <c r="L15" s="35"/>
      <c r="M15" s="35"/>
      <c r="N15" s="135"/>
      <c r="O15" s="35"/>
      <c r="P15" s="35"/>
      <c r="Q15" s="11">
        <f t="shared" si="1"/>
        <v>18</v>
      </c>
      <c r="R15" s="35">
        <f t="shared" ref="R15:R18" si="5">I15</f>
        <v>175</v>
      </c>
      <c r="S15" s="35">
        <f t="shared" si="4"/>
        <v>3150</v>
      </c>
      <c r="T15" s="23">
        <v>50</v>
      </c>
    </row>
    <row r="16" spans="1:24">
      <c r="A16" s="23">
        <f t="shared" si="2"/>
        <v>11</v>
      </c>
      <c r="B16" s="3" t="s">
        <v>1512</v>
      </c>
      <c r="C16" s="4" t="s">
        <v>1499</v>
      </c>
      <c r="D16" s="4" t="s">
        <v>1513</v>
      </c>
      <c r="E16" s="4"/>
      <c r="F16" s="3" t="s">
        <v>1384</v>
      </c>
      <c r="G16" s="3" t="s">
        <v>1501</v>
      </c>
      <c r="H16" s="3">
        <f>21-5-5-5</f>
        <v>6</v>
      </c>
      <c r="I16" s="35">
        <v>14</v>
      </c>
      <c r="J16" s="35">
        <f t="shared" si="0"/>
        <v>84</v>
      </c>
      <c r="K16" s="11"/>
      <c r="L16" s="35"/>
      <c r="M16" s="35"/>
      <c r="N16" s="135"/>
      <c r="O16" s="35"/>
      <c r="P16" s="35"/>
      <c r="Q16" s="11">
        <f t="shared" si="1"/>
        <v>6</v>
      </c>
      <c r="R16" s="35">
        <f t="shared" si="5"/>
        <v>14</v>
      </c>
      <c r="S16" s="35">
        <f t="shared" si="4"/>
        <v>84</v>
      </c>
      <c r="T16" s="23">
        <v>18</v>
      </c>
    </row>
    <row r="17" spans="1:20">
      <c r="A17" s="23">
        <f t="shared" si="2"/>
        <v>12</v>
      </c>
      <c r="B17" s="3" t="s">
        <v>1514</v>
      </c>
      <c r="C17" s="4" t="s">
        <v>1515</v>
      </c>
      <c r="D17" s="4" t="s">
        <v>57</v>
      </c>
      <c r="E17" s="4"/>
      <c r="F17" s="3" t="s">
        <v>1384</v>
      </c>
      <c r="G17" s="3" t="s">
        <v>6</v>
      </c>
      <c r="H17" s="3">
        <f>6-2</f>
        <v>4</v>
      </c>
      <c r="I17" s="35">
        <v>350</v>
      </c>
      <c r="J17" s="35">
        <f t="shared" si="0"/>
        <v>1400</v>
      </c>
      <c r="K17" s="11"/>
      <c r="L17" s="35"/>
      <c r="M17" s="35"/>
      <c r="N17" s="135"/>
      <c r="O17" s="35"/>
      <c r="P17" s="35"/>
      <c r="Q17" s="11">
        <f t="shared" si="1"/>
        <v>4</v>
      </c>
      <c r="R17" s="35">
        <f t="shared" si="5"/>
        <v>350</v>
      </c>
      <c r="S17" s="35">
        <f t="shared" si="4"/>
        <v>1400</v>
      </c>
      <c r="T17" s="23">
        <v>50</v>
      </c>
    </row>
    <row r="18" spans="1:20">
      <c r="A18" s="23">
        <f t="shared" si="2"/>
        <v>13</v>
      </c>
      <c r="B18" s="3" t="s">
        <v>1516</v>
      </c>
      <c r="C18" s="4" t="s">
        <v>1517</v>
      </c>
      <c r="D18" s="4" t="s">
        <v>57</v>
      </c>
      <c r="E18" s="4"/>
      <c r="F18" s="3" t="s">
        <v>1384</v>
      </c>
      <c r="G18" s="3" t="s">
        <v>6</v>
      </c>
      <c r="H18" s="3">
        <f>10-1-1</f>
        <v>8</v>
      </c>
      <c r="I18" s="35">
        <v>450</v>
      </c>
      <c r="J18" s="35">
        <f t="shared" si="0"/>
        <v>3600</v>
      </c>
      <c r="K18" s="11"/>
      <c r="L18" s="35"/>
      <c r="M18" s="35"/>
      <c r="N18" s="135"/>
      <c r="O18" s="35"/>
      <c r="P18" s="35"/>
      <c r="Q18" s="11">
        <f t="shared" si="1"/>
        <v>8</v>
      </c>
      <c r="R18" s="35">
        <f t="shared" si="5"/>
        <v>450</v>
      </c>
      <c r="S18" s="35">
        <f t="shared" si="4"/>
        <v>3600</v>
      </c>
      <c r="T18" s="23">
        <v>50</v>
      </c>
    </row>
    <row r="19" spans="1:20">
      <c r="A19" s="23">
        <f t="shared" si="2"/>
        <v>14</v>
      </c>
      <c r="B19" s="3" t="s">
        <v>1518</v>
      </c>
      <c r="C19" s="4" t="s">
        <v>1519</v>
      </c>
      <c r="D19" s="4" t="s">
        <v>57</v>
      </c>
      <c r="E19" s="4"/>
      <c r="F19" s="3" t="s">
        <v>1384</v>
      </c>
      <c r="G19" s="3" t="s">
        <v>6</v>
      </c>
      <c r="H19" s="3">
        <v>32</v>
      </c>
      <c r="I19" s="35">
        <v>80</v>
      </c>
      <c r="J19" s="35">
        <f t="shared" si="0"/>
        <v>2560</v>
      </c>
      <c r="K19" s="11"/>
      <c r="L19" s="35"/>
      <c r="M19" s="35"/>
      <c r="N19" s="135">
        <v>5</v>
      </c>
      <c r="O19" s="35">
        <f>I19</f>
        <v>80</v>
      </c>
      <c r="P19" s="35">
        <f>N19*O19</f>
        <v>400</v>
      </c>
      <c r="Q19" s="11">
        <f t="shared" si="1"/>
        <v>27</v>
      </c>
      <c r="R19" s="35">
        <f t="shared" si="3"/>
        <v>80</v>
      </c>
      <c r="S19" s="35">
        <f t="shared" si="4"/>
        <v>2160</v>
      </c>
      <c r="T19" s="23">
        <v>50</v>
      </c>
    </row>
    <row r="20" spans="1:20">
      <c r="A20" s="23">
        <f t="shared" si="2"/>
        <v>15</v>
      </c>
      <c r="B20" s="3" t="s">
        <v>1520</v>
      </c>
      <c r="C20" s="6" t="s">
        <v>1521</v>
      </c>
      <c r="D20" s="6" t="s">
        <v>57</v>
      </c>
      <c r="E20" s="6"/>
      <c r="F20" s="3" t="s">
        <v>1384</v>
      </c>
      <c r="G20" s="5" t="s">
        <v>6</v>
      </c>
      <c r="H20" s="3">
        <v>7</v>
      </c>
      <c r="I20" s="35">
        <v>200</v>
      </c>
      <c r="J20" s="35">
        <f t="shared" si="0"/>
        <v>1400</v>
      </c>
      <c r="K20" s="11"/>
      <c r="L20" s="35"/>
      <c r="M20" s="35"/>
      <c r="N20" s="135"/>
      <c r="O20" s="35"/>
      <c r="P20" s="35"/>
      <c r="Q20" s="11">
        <f t="shared" si="1"/>
        <v>7</v>
      </c>
      <c r="R20" s="35">
        <f>I20</f>
        <v>200</v>
      </c>
      <c r="S20" s="35">
        <f t="shared" si="4"/>
        <v>1400</v>
      </c>
      <c r="T20" s="23">
        <v>16</v>
      </c>
    </row>
    <row r="21" spans="1:20">
      <c r="A21" s="23">
        <f t="shared" si="2"/>
        <v>16</v>
      </c>
      <c r="B21" s="3" t="s">
        <v>1523</v>
      </c>
      <c r="C21" s="6" t="s">
        <v>1524</v>
      </c>
      <c r="D21" s="6" t="s">
        <v>57</v>
      </c>
      <c r="E21" s="6"/>
      <c r="F21" s="3" t="s">
        <v>1384</v>
      </c>
      <c r="G21" s="5" t="s">
        <v>6</v>
      </c>
      <c r="H21" s="3">
        <v>10</v>
      </c>
      <c r="I21" s="35">
        <v>35</v>
      </c>
      <c r="J21" s="35">
        <f t="shared" si="0"/>
        <v>350</v>
      </c>
      <c r="K21" s="11"/>
      <c r="L21" s="35"/>
      <c r="M21" s="35"/>
      <c r="N21" s="135">
        <v>5</v>
      </c>
      <c r="O21" s="35">
        <f>I21</f>
        <v>35</v>
      </c>
      <c r="P21" s="35">
        <f>N21*O21</f>
        <v>175</v>
      </c>
      <c r="Q21" s="11">
        <f t="shared" si="1"/>
        <v>5</v>
      </c>
      <c r="R21" s="35">
        <f t="shared" si="3"/>
        <v>35</v>
      </c>
      <c r="S21" s="35">
        <f t="shared" si="4"/>
        <v>175</v>
      </c>
      <c r="T21" s="23">
        <v>17</v>
      </c>
    </row>
    <row r="22" spans="1:20">
      <c r="A22" s="23">
        <f t="shared" si="2"/>
        <v>17</v>
      </c>
      <c r="B22" s="3" t="s">
        <v>1525</v>
      </c>
      <c r="C22" s="4" t="s">
        <v>1526</v>
      </c>
      <c r="D22" s="4" t="s">
        <v>1527</v>
      </c>
      <c r="E22" s="4"/>
      <c r="F22" s="5" t="s">
        <v>1384</v>
      </c>
      <c r="G22" s="5" t="s">
        <v>6</v>
      </c>
      <c r="H22" s="11">
        <v>1</v>
      </c>
      <c r="I22" s="35">
        <v>2800</v>
      </c>
      <c r="J22" s="35">
        <f t="shared" si="0"/>
        <v>2800</v>
      </c>
      <c r="K22" s="11"/>
      <c r="L22" s="35"/>
      <c r="M22" s="35"/>
      <c r="N22" s="135"/>
      <c r="O22" s="35"/>
      <c r="P22" s="35"/>
      <c r="Q22" s="11">
        <f t="shared" si="1"/>
        <v>1</v>
      </c>
      <c r="R22" s="35">
        <f>I22</f>
        <v>2800</v>
      </c>
      <c r="S22" s="35">
        <f t="shared" si="4"/>
        <v>2800</v>
      </c>
      <c r="T22" s="23">
        <v>96</v>
      </c>
    </row>
    <row r="23" spans="1:20">
      <c r="A23" s="23">
        <f t="shared" si="2"/>
        <v>18</v>
      </c>
      <c r="B23" s="3" t="s">
        <v>1528</v>
      </c>
      <c r="C23" s="4" t="s">
        <v>1526</v>
      </c>
      <c r="D23" s="4" t="s">
        <v>1529</v>
      </c>
      <c r="E23" s="4"/>
      <c r="F23" s="5" t="s">
        <v>1384</v>
      </c>
      <c r="G23" s="5" t="s">
        <v>6</v>
      </c>
      <c r="H23" s="11">
        <v>1</v>
      </c>
      <c r="I23" s="35">
        <v>1200</v>
      </c>
      <c r="J23" s="35">
        <f t="shared" si="0"/>
        <v>1200</v>
      </c>
      <c r="K23" s="11"/>
      <c r="L23" s="35"/>
      <c r="M23" s="35"/>
      <c r="N23" s="135"/>
      <c r="O23" s="35"/>
      <c r="P23" s="35"/>
      <c r="Q23" s="11">
        <f t="shared" si="1"/>
        <v>1</v>
      </c>
      <c r="R23" s="35">
        <f t="shared" ref="R23:R26" si="6">I23</f>
        <v>1200</v>
      </c>
      <c r="S23" s="35">
        <f t="shared" si="4"/>
        <v>1200</v>
      </c>
      <c r="T23" s="23">
        <v>96</v>
      </c>
    </row>
    <row r="24" spans="1:20">
      <c r="A24" s="23">
        <f t="shared" si="2"/>
        <v>19</v>
      </c>
      <c r="B24" s="3" t="s">
        <v>1530</v>
      </c>
      <c r="C24" s="4" t="s">
        <v>1526</v>
      </c>
      <c r="D24" s="4" t="s">
        <v>1531</v>
      </c>
      <c r="E24" s="4"/>
      <c r="F24" s="5" t="s">
        <v>1384</v>
      </c>
      <c r="G24" s="5" t="s">
        <v>6</v>
      </c>
      <c r="H24" s="11">
        <v>1</v>
      </c>
      <c r="I24" s="35">
        <v>2500</v>
      </c>
      <c r="J24" s="35">
        <f t="shared" si="0"/>
        <v>2500</v>
      </c>
      <c r="K24" s="11"/>
      <c r="L24" s="35"/>
      <c r="M24" s="35"/>
      <c r="N24" s="135"/>
      <c r="O24" s="35"/>
      <c r="P24" s="35"/>
      <c r="Q24" s="11">
        <f t="shared" si="1"/>
        <v>1</v>
      </c>
      <c r="R24" s="35">
        <f t="shared" si="6"/>
        <v>2500</v>
      </c>
      <c r="S24" s="35">
        <f t="shared" si="4"/>
        <v>2500</v>
      </c>
      <c r="T24" s="23">
        <v>96</v>
      </c>
    </row>
    <row r="25" spans="1:20">
      <c r="A25" s="23">
        <f t="shared" si="2"/>
        <v>20</v>
      </c>
      <c r="B25" s="3" t="s">
        <v>1532</v>
      </c>
      <c r="C25" s="4" t="s">
        <v>1533</v>
      </c>
      <c r="D25" s="4" t="s">
        <v>57</v>
      </c>
      <c r="E25" s="4"/>
      <c r="F25" s="5" t="s">
        <v>1384</v>
      </c>
      <c r="G25" s="5" t="s">
        <v>6</v>
      </c>
      <c r="H25" s="11">
        <f>20-3</f>
        <v>17</v>
      </c>
      <c r="I25" s="35">
        <v>200</v>
      </c>
      <c r="J25" s="35">
        <f t="shared" si="0"/>
        <v>3400</v>
      </c>
      <c r="K25" s="11"/>
      <c r="L25" s="35"/>
      <c r="M25" s="35"/>
      <c r="N25" s="135"/>
      <c r="O25" s="35"/>
      <c r="P25" s="35"/>
      <c r="Q25" s="11">
        <f t="shared" si="1"/>
        <v>17</v>
      </c>
      <c r="R25" s="35">
        <f t="shared" si="6"/>
        <v>200</v>
      </c>
      <c r="S25" s="35">
        <f t="shared" si="4"/>
        <v>3400</v>
      </c>
      <c r="T25" s="23">
        <v>96</v>
      </c>
    </row>
    <row r="26" spans="1:20">
      <c r="A26" s="23">
        <f t="shared" si="2"/>
        <v>21</v>
      </c>
      <c r="B26" s="3" t="s">
        <v>1850</v>
      </c>
      <c r="C26" s="4" t="s">
        <v>1851</v>
      </c>
      <c r="D26" s="4" t="s">
        <v>57</v>
      </c>
      <c r="E26" s="4"/>
      <c r="F26" s="5" t="s">
        <v>1384</v>
      </c>
      <c r="G26" s="5" t="s">
        <v>1501</v>
      </c>
      <c r="H26" s="11">
        <f>3-3</f>
        <v>0</v>
      </c>
      <c r="I26" s="35">
        <v>350</v>
      </c>
      <c r="J26" s="35">
        <f t="shared" si="0"/>
        <v>0</v>
      </c>
      <c r="K26" s="11">
        <v>4</v>
      </c>
      <c r="L26" s="35">
        <f>M26/K26</f>
        <v>420</v>
      </c>
      <c r="M26" s="35">
        <v>1680</v>
      </c>
      <c r="N26" s="135"/>
      <c r="O26" s="35"/>
      <c r="P26" s="35"/>
      <c r="Q26" s="11">
        <f t="shared" si="1"/>
        <v>4</v>
      </c>
      <c r="R26" s="35">
        <f t="shared" si="6"/>
        <v>350</v>
      </c>
      <c r="S26" s="35">
        <f t="shared" si="4"/>
        <v>1400</v>
      </c>
      <c r="T26" s="23">
        <v>51</v>
      </c>
    </row>
    <row r="27" spans="1:20">
      <c r="A27" s="23">
        <f t="shared" si="2"/>
        <v>22</v>
      </c>
      <c r="B27" s="3" t="s">
        <v>1893</v>
      </c>
      <c r="C27" s="4" t="s">
        <v>1894</v>
      </c>
      <c r="D27" s="4"/>
      <c r="E27" s="4"/>
      <c r="F27" s="5" t="s">
        <v>1384</v>
      </c>
      <c r="G27" s="5" t="s">
        <v>6</v>
      </c>
      <c r="H27" s="11">
        <v>2</v>
      </c>
      <c r="I27" s="35">
        <v>1003</v>
      </c>
      <c r="J27" s="35">
        <f t="shared" si="0"/>
        <v>2006</v>
      </c>
      <c r="K27" s="11"/>
      <c r="L27" s="35"/>
      <c r="M27" s="35"/>
      <c r="N27" s="135">
        <v>1</v>
      </c>
      <c r="O27" s="35">
        <f>I27</f>
        <v>1003</v>
      </c>
      <c r="P27" s="35">
        <f>N27*O27</f>
        <v>1003</v>
      </c>
      <c r="Q27" s="11">
        <f t="shared" si="1"/>
        <v>1</v>
      </c>
      <c r="R27" s="35">
        <f t="shared" si="3"/>
        <v>1003</v>
      </c>
      <c r="S27" s="35">
        <f t="shared" si="4"/>
        <v>1003</v>
      </c>
      <c r="T27" s="23" t="s">
        <v>2166</v>
      </c>
    </row>
    <row r="28" spans="1:20">
      <c r="A28" s="23">
        <f t="shared" si="2"/>
        <v>23</v>
      </c>
      <c r="B28" s="3" t="s">
        <v>1895</v>
      </c>
      <c r="C28" s="4" t="s">
        <v>1896</v>
      </c>
      <c r="D28" s="4"/>
      <c r="E28" s="4"/>
      <c r="F28" s="5" t="s">
        <v>1384</v>
      </c>
      <c r="G28" s="5" t="s">
        <v>1501</v>
      </c>
      <c r="H28" s="11">
        <v>4</v>
      </c>
      <c r="I28" s="35">
        <v>145.6</v>
      </c>
      <c r="J28" s="35">
        <f t="shared" si="0"/>
        <v>582.4</v>
      </c>
      <c r="K28" s="11"/>
      <c r="L28" s="35"/>
      <c r="M28" s="35"/>
      <c r="N28" s="135">
        <v>1</v>
      </c>
      <c r="O28" s="35">
        <f>I28</f>
        <v>145.6</v>
      </c>
      <c r="P28" s="35">
        <f>N28*O28</f>
        <v>145.6</v>
      </c>
      <c r="Q28" s="11">
        <f t="shared" si="1"/>
        <v>3</v>
      </c>
      <c r="R28" s="35">
        <f t="shared" si="3"/>
        <v>145.6</v>
      </c>
      <c r="S28" s="35">
        <f t="shared" si="4"/>
        <v>436.79999999999995</v>
      </c>
      <c r="T28" s="23" t="s">
        <v>2166</v>
      </c>
    </row>
    <row r="29" spans="1:20">
      <c r="A29" s="23">
        <f t="shared" si="2"/>
        <v>24</v>
      </c>
      <c r="B29" s="134" t="s">
        <v>2168</v>
      </c>
      <c r="C29" s="134" t="s">
        <v>2167</v>
      </c>
      <c r="D29" s="4"/>
      <c r="E29" s="4"/>
      <c r="F29" s="5" t="s">
        <v>1384</v>
      </c>
      <c r="G29" s="5" t="s">
        <v>6</v>
      </c>
      <c r="H29" s="11">
        <v>0</v>
      </c>
      <c r="I29" s="11">
        <v>0</v>
      </c>
      <c r="J29" s="11">
        <v>0</v>
      </c>
      <c r="K29" s="137">
        <v>2</v>
      </c>
      <c r="L29" s="35">
        <f t="shared" ref="L29:L33" si="7">M29/K29</f>
        <v>2240</v>
      </c>
      <c r="M29" s="139">
        <v>4480</v>
      </c>
      <c r="N29" s="135">
        <v>2</v>
      </c>
      <c r="O29" s="35">
        <f>L29</f>
        <v>2240</v>
      </c>
      <c r="P29" s="35">
        <f>N29*O29</f>
        <v>4480</v>
      </c>
      <c r="Q29" s="138">
        <f t="shared" si="1"/>
        <v>0</v>
      </c>
      <c r="R29" s="138">
        <v>0</v>
      </c>
      <c r="S29" s="138">
        <f t="shared" si="4"/>
        <v>0</v>
      </c>
      <c r="T29" s="23"/>
    </row>
    <row r="30" spans="1:20">
      <c r="A30" s="23">
        <f t="shared" si="2"/>
        <v>25</v>
      </c>
      <c r="B30" s="134" t="s">
        <v>2168</v>
      </c>
      <c r="C30" s="134" t="s">
        <v>2167</v>
      </c>
      <c r="D30" s="4"/>
      <c r="E30" s="4"/>
      <c r="F30" s="5" t="s">
        <v>1384</v>
      </c>
      <c r="G30" s="5" t="s">
        <v>6</v>
      </c>
      <c r="H30" s="11">
        <v>0</v>
      </c>
      <c r="I30" s="11">
        <v>0</v>
      </c>
      <c r="J30" s="11">
        <v>0</v>
      </c>
      <c r="K30" s="137">
        <v>2</v>
      </c>
      <c r="L30" s="35">
        <f t="shared" si="7"/>
        <v>2240</v>
      </c>
      <c r="M30" s="139">
        <v>4480</v>
      </c>
      <c r="N30" s="135">
        <v>2</v>
      </c>
      <c r="O30" s="35">
        <f t="shared" ref="O30:O31" si="8">L30</f>
        <v>2240</v>
      </c>
      <c r="P30" s="35">
        <f t="shared" ref="P30:P31" si="9">N30*O30</f>
        <v>4480</v>
      </c>
      <c r="Q30" s="138">
        <f t="shared" ref="Q30:Q32" si="10">(H30+K30)-N30</f>
        <v>0</v>
      </c>
      <c r="R30" s="138">
        <v>0</v>
      </c>
      <c r="S30" s="138">
        <f t="shared" ref="S30:S32" si="11">Q30*R30</f>
        <v>0</v>
      </c>
      <c r="T30" s="23"/>
    </row>
    <row r="31" spans="1:20">
      <c r="A31" s="23">
        <f t="shared" si="2"/>
        <v>26</v>
      </c>
      <c r="B31" s="134" t="s">
        <v>2168</v>
      </c>
      <c r="C31" s="134" t="s">
        <v>2167</v>
      </c>
      <c r="D31" s="4"/>
      <c r="E31" s="4"/>
      <c r="F31" s="5" t="s">
        <v>1384</v>
      </c>
      <c r="G31" s="5" t="s">
        <v>6</v>
      </c>
      <c r="H31" s="11">
        <v>0</v>
      </c>
      <c r="I31" s="11">
        <v>0</v>
      </c>
      <c r="J31" s="11">
        <v>0</v>
      </c>
      <c r="K31" s="137">
        <v>1</v>
      </c>
      <c r="L31" s="35">
        <f t="shared" si="7"/>
        <v>2240</v>
      </c>
      <c r="M31" s="139">
        <v>2240</v>
      </c>
      <c r="N31" s="135">
        <v>1</v>
      </c>
      <c r="O31" s="35">
        <f t="shared" si="8"/>
        <v>2240</v>
      </c>
      <c r="P31" s="35">
        <f t="shared" si="9"/>
        <v>2240</v>
      </c>
      <c r="Q31" s="138">
        <f t="shared" si="10"/>
        <v>0</v>
      </c>
      <c r="R31" s="138">
        <v>0</v>
      </c>
      <c r="S31" s="138">
        <f t="shared" si="11"/>
        <v>0</v>
      </c>
      <c r="T31" s="23"/>
    </row>
    <row r="32" spans="1:20">
      <c r="A32" s="23">
        <f t="shared" si="2"/>
        <v>27</v>
      </c>
      <c r="B32" s="134" t="s">
        <v>2170</v>
      </c>
      <c r="C32" s="134" t="s">
        <v>2169</v>
      </c>
      <c r="D32" s="4"/>
      <c r="E32" s="4"/>
      <c r="F32" s="5"/>
      <c r="G32" s="5" t="s">
        <v>6</v>
      </c>
      <c r="H32" s="11">
        <v>0</v>
      </c>
      <c r="I32" s="11">
        <v>0</v>
      </c>
      <c r="J32" s="11">
        <v>0</v>
      </c>
      <c r="K32" s="137">
        <v>2</v>
      </c>
      <c r="L32" s="35">
        <f t="shared" si="7"/>
        <v>504</v>
      </c>
      <c r="M32" s="139">
        <v>1008</v>
      </c>
      <c r="N32" s="135">
        <v>2</v>
      </c>
      <c r="O32" s="35">
        <f>L32</f>
        <v>504</v>
      </c>
      <c r="P32" s="35">
        <f>N32*O32</f>
        <v>1008</v>
      </c>
      <c r="Q32" s="138">
        <f t="shared" si="10"/>
        <v>0</v>
      </c>
      <c r="R32" s="138">
        <v>0</v>
      </c>
      <c r="S32" s="138">
        <f t="shared" si="11"/>
        <v>0</v>
      </c>
      <c r="T32" s="23"/>
    </row>
    <row r="33" spans="1:20">
      <c r="A33" s="23">
        <f t="shared" si="2"/>
        <v>28</v>
      </c>
      <c r="B33" s="134" t="s">
        <v>2172</v>
      </c>
      <c r="C33" s="134" t="s">
        <v>2171</v>
      </c>
      <c r="D33" s="4"/>
      <c r="E33" s="4"/>
      <c r="F33" s="5"/>
      <c r="G33" s="5" t="s">
        <v>6</v>
      </c>
      <c r="H33" s="11">
        <v>0</v>
      </c>
      <c r="I33" s="11">
        <v>0</v>
      </c>
      <c r="J33" s="11">
        <v>0</v>
      </c>
      <c r="K33" s="137">
        <v>2</v>
      </c>
      <c r="L33" s="35">
        <f t="shared" si="7"/>
        <v>500</v>
      </c>
      <c r="M33" s="139">
        <v>1000</v>
      </c>
      <c r="N33" s="135"/>
      <c r="O33" s="35"/>
      <c r="P33" s="35"/>
      <c r="Q33" s="11">
        <f t="shared" si="1"/>
        <v>2</v>
      </c>
      <c r="R33" s="35">
        <f>L33</f>
        <v>500</v>
      </c>
      <c r="S33" s="35">
        <f t="shared" si="4"/>
        <v>1000</v>
      </c>
      <c r="T33" s="23"/>
    </row>
    <row r="34" spans="1:20">
      <c r="A34" s="175" t="s">
        <v>1637</v>
      </c>
      <c r="B34" s="175"/>
      <c r="C34" s="175"/>
      <c r="D34" s="175"/>
      <c r="E34" s="175"/>
      <c r="F34" s="175"/>
      <c r="G34" s="175"/>
      <c r="H34" s="175"/>
      <c r="I34" s="175"/>
      <c r="J34" s="37">
        <f>SUM(J6:J28)</f>
        <v>50342.400000000001</v>
      </c>
      <c r="K34" s="37"/>
      <c r="L34" s="37"/>
      <c r="M34" s="37"/>
      <c r="N34" s="136"/>
      <c r="O34" s="37"/>
      <c r="P34" s="37"/>
      <c r="Q34" s="37"/>
      <c r="R34" s="37"/>
      <c r="S34" s="37"/>
      <c r="T34" s="23"/>
    </row>
    <row r="35" spans="1:20">
      <c r="C35" s="1"/>
      <c r="D35" s="1"/>
      <c r="E35" s="1"/>
    </row>
    <row r="36" spans="1:20">
      <c r="C36" s="131"/>
      <c r="D36" s="131"/>
      <c r="E36" s="132"/>
      <c r="F36" s="133"/>
      <c r="G36" s="133"/>
    </row>
    <row r="37" spans="1:20">
      <c r="C37" s="131"/>
      <c r="D37" s="131"/>
      <c r="E37" s="132"/>
      <c r="F37" s="133"/>
      <c r="G37" s="133"/>
    </row>
    <row r="38" spans="1:20">
      <c r="C38" s="131"/>
      <c r="D38" s="131"/>
      <c r="E38" s="132"/>
      <c r="F38" s="133"/>
      <c r="G38" s="133"/>
    </row>
    <row r="39" spans="1:20">
      <c r="C39" s="131" t="s">
        <v>1945</v>
      </c>
      <c r="D39" s="132">
        <v>1</v>
      </c>
      <c r="E39" s="142">
        <v>552.91999999999996</v>
      </c>
      <c r="F39" s="133"/>
      <c r="G39" s="133"/>
    </row>
    <row r="40" spans="1:20">
      <c r="C40" s="131"/>
      <c r="D40" s="131"/>
      <c r="E40" s="132"/>
      <c r="F40" s="133"/>
      <c r="G40" s="133"/>
    </row>
    <row r="41" spans="1:20">
      <c r="C41" s="131"/>
      <c r="D41" s="131"/>
      <c r="E41" s="132"/>
      <c r="F41" s="133"/>
      <c r="G41" s="133"/>
    </row>
    <row r="42" spans="1:20">
      <c r="C42" s="131"/>
      <c r="D42" s="131"/>
      <c r="E42" s="132"/>
      <c r="F42" s="133"/>
      <c r="G42" s="133"/>
    </row>
    <row r="43" spans="1:20">
      <c r="C43" s="131"/>
      <c r="D43" s="131"/>
      <c r="E43" s="132"/>
      <c r="F43" s="133"/>
      <c r="G43" s="133"/>
    </row>
    <row r="44" spans="1:20">
      <c r="C44" s="131"/>
      <c r="D44" s="131"/>
      <c r="E44" s="132"/>
      <c r="F44" s="133"/>
      <c r="G44" s="133"/>
    </row>
    <row r="45" spans="1:20">
      <c r="C45" s="131"/>
      <c r="D45" s="131"/>
      <c r="E45" s="132"/>
      <c r="F45" s="133"/>
      <c r="G45" s="133"/>
    </row>
  </sheetData>
  <mergeCells count="15">
    <mergeCell ref="A1:T1"/>
    <mergeCell ref="A34:I34"/>
    <mergeCell ref="H4:J4"/>
    <mergeCell ref="A4:A5"/>
    <mergeCell ref="B4:B5"/>
    <mergeCell ref="C4:C5"/>
    <mergeCell ref="D4:D5"/>
    <mergeCell ref="E4:E5"/>
    <mergeCell ref="F4:F5"/>
    <mergeCell ref="G4:G5"/>
    <mergeCell ref="K4:M4"/>
    <mergeCell ref="N4:P4"/>
    <mergeCell ref="Q4:S4"/>
    <mergeCell ref="A3:T3"/>
    <mergeCell ref="A2:T2"/>
  </mergeCells>
  <pageMargins left="0.52" right="0.27" top="0.75" bottom="0.75" header="0.3" footer="0.3"/>
  <pageSetup scale="7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6"/>
  <sheetViews>
    <sheetView topLeftCell="A4" workbookViewId="0">
      <selection activeCell="O17" sqref="O17"/>
    </sheetView>
  </sheetViews>
  <sheetFormatPr defaultRowHeight="15"/>
  <cols>
    <col min="1" max="1" width="7.5703125" bestFit="1" customWidth="1"/>
    <col min="2" max="2" width="9" bestFit="1" customWidth="1"/>
    <col min="3" max="3" width="15.42578125" bestFit="1" customWidth="1"/>
    <col min="5" max="5" width="12.85546875" bestFit="1" customWidth="1"/>
    <col min="6" max="6" width="12.85546875" customWidth="1"/>
    <col min="7" max="7" width="9.5703125" bestFit="1" customWidth="1"/>
    <col min="8" max="8" width="5.7109375" bestFit="1" customWidth="1"/>
    <col min="9" max="9" width="9.5703125" bestFit="1" customWidth="1"/>
    <col min="10" max="10" width="14.140625" bestFit="1" customWidth="1"/>
    <col min="11" max="11" width="9.85546875" bestFit="1" customWidth="1"/>
  </cols>
  <sheetData>
    <row r="1" spans="1:11" ht="18">
      <c r="A1" s="185" t="s">
        <v>670</v>
      </c>
      <c r="B1" s="186"/>
      <c r="C1" s="186"/>
      <c r="D1" s="186"/>
      <c r="E1" s="186"/>
      <c r="F1" s="186"/>
      <c r="G1" s="186"/>
      <c r="H1" s="186"/>
      <c r="I1" s="186"/>
      <c r="J1" s="187"/>
    </row>
    <row r="2" spans="1:11" ht="18">
      <c r="A2" s="185" t="s">
        <v>1493</v>
      </c>
      <c r="B2" s="186"/>
      <c r="C2" s="186"/>
      <c r="D2" s="186"/>
      <c r="E2" s="186"/>
      <c r="F2" s="186"/>
      <c r="G2" s="186"/>
      <c r="H2" s="186"/>
      <c r="I2" s="186"/>
      <c r="J2" s="187"/>
    </row>
    <row r="3" spans="1:11" ht="18">
      <c r="A3" s="190" t="s">
        <v>1977</v>
      </c>
      <c r="B3" s="191"/>
      <c r="C3" s="191"/>
      <c r="D3" s="191"/>
      <c r="E3" s="191"/>
      <c r="F3" s="191"/>
      <c r="G3" s="191"/>
      <c r="H3" s="191"/>
      <c r="I3" s="191"/>
      <c r="J3" s="192"/>
    </row>
    <row r="4" spans="1:11" ht="30">
      <c r="A4" s="18" t="s">
        <v>667</v>
      </c>
      <c r="B4" s="21" t="s">
        <v>27</v>
      </c>
      <c r="C4" s="21" t="s">
        <v>28</v>
      </c>
      <c r="D4" s="21" t="s">
        <v>29</v>
      </c>
      <c r="E4" s="20" t="s">
        <v>30</v>
      </c>
      <c r="F4" s="20" t="s">
        <v>2062</v>
      </c>
      <c r="G4" s="21" t="s">
        <v>1275</v>
      </c>
      <c r="H4" s="20" t="s">
        <v>32</v>
      </c>
      <c r="I4" s="18" t="s">
        <v>668</v>
      </c>
      <c r="J4" s="18" t="s">
        <v>669</v>
      </c>
      <c r="K4" s="126" t="s">
        <v>2118</v>
      </c>
    </row>
    <row r="5" spans="1:11">
      <c r="A5" s="3">
        <v>1</v>
      </c>
      <c r="B5" s="3" t="s">
        <v>1538</v>
      </c>
      <c r="C5" s="4" t="s">
        <v>1539</v>
      </c>
      <c r="D5" s="4" t="s">
        <v>57</v>
      </c>
      <c r="E5" s="3" t="s">
        <v>1540</v>
      </c>
      <c r="F5" s="3"/>
      <c r="G5" s="28">
        <v>41</v>
      </c>
      <c r="H5" s="28" t="s">
        <v>1541</v>
      </c>
      <c r="I5" s="54">
        <v>335</v>
      </c>
      <c r="J5" s="54">
        <f>G5*I5</f>
        <v>13735</v>
      </c>
      <c r="K5" s="3"/>
    </row>
    <row r="6" spans="1:11">
      <c r="A6" s="3">
        <f>A5+1</f>
        <v>2</v>
      </c>
      <c r="B6" s="3" t="s">
        <v>1542</v>
      </c>
      <c r="C6" s="4" t="s">
        <v>1543</v>
      </c>
      <c r="D6" s="4" t="s">
        <v>57</v>
      </c>
      <c r="E6" s="3" t="s">
        <v>1540</v>
      </c>
      <c r="F6" s="3"/>
      <c r="G6" s="117">
        <v>0</v>
      </c>
      <c r="H6" s="28" t="s">
        <v>1549</v>
      </c>
      <c r="I6" s="54"/>
      <c r="J6" s="118">
        <f t="shared" ref="J6:J18" si="0">G6*I6</f>
        <v>0</v>
      </c>
      <c r="K6" s="3"/>
    </row>
    <row r="7" spans="1:11">
      <c r="A7" s="3">
        <f t="shared" ref="A7:A25" si="1">A6+1</f>
        <v>3</v>
      </c>
      <c r="B7" s="3" t="s">
        <v>1544</v>
      </c>
      <c r="C7" s="4" t="s">
        <v>1545</v>
      </c>
      <c r="D7" s="4" t="s">
        <v>1546</v>
      </c>
      <c r="E7" s="3" t="s">
        <v>1540</v>
      </c>
      <c r="F7" s="3"/>
      <c r="G7" s="123">
        <f>47.47-47.47</f>
        <v>0</v>
      </c>
      <c r="H7" s="28" t="s">
        <v>1549</v>
      </c>
      <c r="I7" s="54"/>
      <c r="J7" s="118">
        <f t="shared" si="0"/>
        <v>0</v>
      </c>
      <c r="K7" s="3"/>
    </row>
    <row r="8" spans="1:11">
      <c r="A8" s="3">
        <f t="shared" si="1"/>
        <v>4</v>
      </c>
      <c r="B8" s="3" t="s">
        <v>1547</v>
      </c>
      <c r="C8" s="4" t="s">
        <v>1548</v>
      </c>
      <c r="D8" s="4" t="s">
        <v>323</v>
      </c>
      <c r="E8" s="3" t="s">
        <v>1540</v>
      </c>
      <c r="F8" s="3"/>
      <c r="G8" s="117">
        <v>0</v>
      </c>
      <c r="H8" s="28" t="s">
        <v>1549</v>
      </c>
      <c r="I8" s="54"/>
      <c r="J8" s="118">
        <f t="shared" si="0"/>
        <v>0</v>
      </c>
      <c r="K8" s="3"/>
    </row>
    <row r="9" spans="1:11">
      <c r="A9" s="3">
        <f t="shared" si="1"/>
        <v>5</v>
      </c>
      <c r="B9" s="3" t="s">
        <v>1572</v>
      </c>
      <c r="C9" s="4" t="s">
        <v>1548</v>
      </c>
      <c r="D9" s="4" t="s">
        <v>541</v>
      </c>
      <c r="E9" s="3" t="s">
        <v>1540</v>
      </c>
      <c r="F9" s="3"/>
      <c r="G9" s="123">
        <f>252.35-252.35</f>
        <v>0</v>
      </c>
      <c r="H9" s="28" t="s">
        <v>1549</v>
      </c>
      <c r="I9" s="54"/>
      <c r="J9" s="118">
        <f t="shared" si="0"/>
        <v>0</v>
      </c>
      <c r="K9" s="3"/>
    </row>
    <row r="10" spans="1:11">
      <c r="A10" s="3">
        <f t="shared" si="1"/>
        <v>6</v>
      </c>
      <c r="B10" s="3" t="s">
        <v>1550</v>
      </c>
      <c r="C10" s="4" t="s">
        <v>1548</v>
      </c>
      <c r="D10" s="4" t="s">
        <v>80</v>
      </c>
      <c r="E10" s="3" t="s">
        <v>1540</v>
      </c>
      <c r="F10" s="3"/>
      <c r="G10" s="123">
        <f>575.05-575.05</f>
        <v>0</v>
      </c>
      <c r="H10" s="28" t="s">
        <v>1549</v>
      </c>
      <c r="I10" s="54"/>
      <c r="J10" s="118">
        <f t="shared" si="0"/>
        <v>0</v>
      </c>
      <c r="K10" s="3"/>
    </row>
    <row r="11" spans="1:11">
      <c r="A11" s="3">
        <f t="shared" si="1"/>
        <v>7</v>
      </c>
      <c r="B11" s="3" t="s">
        <v>1551</v>
      </c>
      <c r="C11" s="4" t="s">
        <v>1548</v>
      </c>
      <c r="D11" s="4" t="s">
        <v>43</v>
      </c>
      <c r="E11" s="3" t="s">
        <v>1540</v>
      </c>
      <c r="F11" s="3"/>
      <c r="G11" s="123">
        <f>904.25-904.25</f>
        <v>0</v>
      </c>
      <c r="H11" s="28" t="s">
        <v>1549</v>
      </c>
      <c r="I11" s="54"/>
      <c r="J11" s="118">
        <f t="shared" si="0"/>
        <v>0</v>
      </c>
      <c r="K11" s="3"/>
    </row>
    <row r="12" spans="1:11">
      <c r="A12" s="3">
        <f t="shared" si="1"/>
        <v>8</v>
      </c>
      <c r="B12" s="3" t="s">
        <v>1552</v>
      </c>
      <c r="C12" s="4" t="s">
        <v>1548</v>
      </c>
      <c r="D12" s="4" t="s">
        <v>149</v>
      </c>
      <c r="E12" s="3" t="s">
        <v>1540</v>
      </c>
      <c r="F12" s="3"/>
      <c r="G12" s="117">
        <f>1353.65-1353.65</f>
        <v>0</v>
      </c>
      <c r="H12" s="28" t="s">
        <v>1</v>
      </c>
      <c r="I12" s="54"/>
      <c r="J12" s="118">
        <f t="shared" si="0"/>
        <v>0</v>
      </c>
      <c r="K12" s="3"/>
    </row>
    <row r="13" spans="1:11">
      <c r="A13" s="3">
        <f t="shared" si="1"/>
        <v>9</v>
      </c>
      <c r="B13" s="3" t="s">
        <v>1553</v>
      </c>
      <c r="C13" s="4" t="s">
        <v>1548</v>
      </c>
      <c r="D13" s="4" t="s">
        <v>153</v>
      </c>
      <c r="E13" s="3" t="s">
        <v>1540</v>
      </c>
      <c r="F13" s="3"/>
      <c r="G13" s="117">
        <v>0</v>
      </c>
      <c r="H13" s="28" t="s">
        <v>1549</v>
      </c>
      <c r="I13" s="54"/>
      <c r="J13" s="118">
        <f t="shared" si="0"/>
        <v>0</v>
      </c>
      <c r="K13" s="3"/>
    </row>
    <row r="14" spans="1:11">
      <c r="A14" s="3">
        <f t="shared" si="1"/>
        <v>10</v>
      </c>
      <c r="B14" s="3" t="s">
        <v>1554</v>
      </c>
      <c r="C14" s="4" t="s">
        <v>1548</v>
      </c>
      <c r="D14" s="4" t="s">
        <v>42</v>
      </c>
      <c r="E14" s="3" t="s">
        <v>1540</v>
      </c>
      <c r="F14" s="3"/>
      <c r="G14" s="117">
        <v>0</v>
      </c>
      <c r="H14" s="28" t="s">
        <v>1549</v>
      </c>
      <c r="I14" s="54"/>
      <c r="J14" s="118">
        <f t="shared" si="0"/>
        <v>0</v>
      </c>
      <c r="K14" s="3"/>
    </row>
    <row r="15" spans="1:11">
      <c r="A15" s="3">
        <f t="shared" si="1"/>
        <v>11</v>
      </c>
      <c r="B15" s="3" t="s">
        <v>1555</v>
      </c>
      <c r="C15" s="4" t="s">
        <v>1548</v>
      </c>
      <c r="D15" s="4" t="s">
        <v>592</v>
      </c>
      <c r="E15" s="3" t="s">
        <v>1540</v>
      </c>
      <c r="F15" s="3"/>
      <c r="G15" s="117">
        <v>0</v>
      </c>
      <c r="H15" s="28" t="s">
        <v>1549</v>
      </c>
      <c r="I15" s="54"/>
      <c r="J15" s="118">
        <f t="shared" si="0"/>
        <v>0</v>
      </c>
      <c r="K15" s="3"/>
    </row>
    <row r="16" spans="1:11">
      <c r="A16" s="3">
        <f t="shared" si="1"/>
        <v>12</v>
      </c>
      <c r="B16" s="3" t="s">
        <v>1556</v>
      </c>
      <c r="C16" s="4" t="s">
        <v>1548</v>
      </c>
      <c r="D16" s="4" t="s">
        <v>1557</v>
      </c>
      <c r="E16" s="3" t="s">
        <v>1540</v>
      </c>
      <c r="F16" s="3"/>
      <c r="G16" s="117">
        <v>0</v>
      </c>
      <c r="H16" s="28" t="s">
        <v>1549</v>
      </c>
      <c r="I16" s="54"/>
      <c r="J16" s="118">
        <f t="shared" si="0"/>
        <v>0</v>
      </c>
      <c r="K16" s="3"/>
    </row>
    <row r="17" spans="1:11">
      <c r="A17" s="3">
        <f t="shared" si="1"/>
        <v>13</v>
      </c>
      <c r="B17" s="3" t="s">
        <v>1558</v>
      </c>
      <c r="C17" s="4" t="s">
        <v>1559</v>
      </c>
      <c r="D17" s="4" t="s">
        <v>57</v>
      </c>
      <c r="E17" s="3" t="s">
        <v>1540</v>
      </c>
      <c r="F17" s="3"/>
      <c r="G17" s="28">
        <f>25-20.5+25+25-33.95-3-3.4-4.5-5-4.65</f>
        <v>0</v>
      </c>
      <c r="H17" s="28" t="s">
        <v>1</v>
      </c>
      <c r="I17" s="54">
        <v>75</v>
      </c>
      <c r="J17" s="54">
        <f>G17*I17</f>
        <v>0</v>
      </c>
      <c r="K17" s="3"/>
    </row>
    <row r="18" spans="1:11">
      <c r="A18" s="3">
        <f t="shared" si="1"/>
        <v>14</v>
      </c>
      <c r="B18" s="3" t="s">
        <v>1560</v>
      </c>
      <c r="C18" s="4" t="s">
        <v>1561</v>
      </c>
      <c r="D18" s="4" t="s">
        <v>1361</v>
      </c>
      <c r="E18" s="3" t="s">
        <v>1540</v>
      </c>
      <c r="F18" s="3"/>
      <c r="G18" s="117">
        <v>0</v>
      </c>
      <c r="H18" s="28" t="s">
        <v>1</v>
      </c>
      <c r="I18" s="54"/>
      <c r="J18" s="117">
        <f t="shared" si="0"/>
        <v>0</v>
      </c>
      <c r="K18" s="3"/>
    </row>
    <row r="19" spans="1:11">
      <c r="A19" s="3">
        <f t="shared" si="1"/>
        <v>15</v>
      </c>
      <c r="B19" s="3" t="s">
        <v>1562</v>
      </c>
      <c r="C19" s="4" t="s">
        <v>1561</v>
      </c>
      <c r="D19" s="4" t="s">
        <v>85</v>
      </c>
      <c r="E19" s="3" t="s">
        <v>1540</v>
      </c>
      <c r="F19" s="3"/>
      <c r="G19" s="28"/>
      <c r="H19" s="28" t="s">
        <v>1</v>
      </c>
      <c r="I19" s="54">
        <v>65</v>
      </c>
      <c r="J19" s="54">
        <f t="shared" ref="J19:J25" si="2">G19*I19</f>
        <v>0</v>
      </c>
      <c r="K19" s="3"/>
    </row>
    <row r="20" spans="1:11">
      <c r="A20" s="3">
        <f t="shared" si="1"/>
        <v>16</v>
      </c>
      <c r="B20" s="3" t="s">
        <v>1563</v>
      </c>
      <c r="C20" s="4" t="s">
        <v>1561</v>
      </c>
      <c r="D20" s="4" t="s">
        <v>87</v>
      </c>
      <c r="E20" s="3" t="s">
        <v>1540</v>
      </c>
      <c r="F20" s="3"/>
      <c r="G20" s="28">
        <f>2-2</f>
        <v>0</v>
      </c>
      <c r="H20" s="28" t="s">
        <v>1</v>
      </c>
      <c r="I20" s="54">
        <v>65</v>
      </c>
      <c r="J20" s="54">
        <f t="shared" si="2"/>
        <v>0</v>
      </c>
      <c r="K20" s="3"/>
    </row>
    <row r="21" spans="1:11">
      <c r="A21" s="3">
        <f t="shared" si="1"/>
        <v>17</v>
      </c>
      <c r="B21" s="3" t="s">
        <v>1564</v>
      </c>
      <c r="C21" s="4" t="s">
        <v>1561</v>
      </c>
      <c r="D21" s="4" t="s">
        <v>1565</v>
      </c>
      <c r="E21" s="3" t="s">
        <v>1540</v>
      </c>
      <c r="F21" s="3"/>
      <c r="G21" s="28">
        <f>1-1</f>
        <v>0</v>
      </c>
      <c r="H21" s="28" t="s">
        <v>1</v>
      </c>
      <c r="I21" s="54">
        <v>65</v>
      </c>
      <c r="J21" s="54">
        <f t="shared" si="2"/>
        <v>0</v>
      </c>
      <c r="K21" s="3"/>
    </row>
    <row r="22" spans="1:11">
      <c r="A22" s="3">
        <f t="shared" si="1"/>
        <v>18</v>
      </c>
      <c r="B22" s="3" t="s">
        <v>1566</v>
      </c>
      <c r="C22" s="4" t="s">
        <v>1561</v>
      </c>
      <c r="D22" s="4" t="s">
        <v>1360</v>
      </c>
      <c r="E22" s="3" t="s">
        <v>1540</v>
      </c>
      <c r="F22" s="3"/>
      <c r="G22" s="117">
        <v>0</v>
      </c>
      <c r="H22" s="28" t="s">
        <v>1</v>
      </c>
      <c r="I22" s="54"/>
      <c r="J22" s="117">
        <f t="shared" si="2"/>
        <v>0</v>
      </c>
      <c r="K22" s="3"/>
    </row>
    <row r="23" spans="1:11">
      <c r="A23" s="3">
        <f t="shared" si="1"/>
        <v>19</v>
      </c>
      <c r="B23" s="3" t="s">
        <v>1567</v>
      </c>
      <c r="C23" s="4" t="s">
        <v>1561</v>
      </c>
      <c r="D23" s="4" t="s">
        <v>1568</v>
      </c>
      <c r="E23" s="3" t="s">
        <v>1540</v>
      </c>
      <c r="F23" s="3"/>
      <c r="G23" s="117">
        <v>0</v>
      </c>
      <c r="H23" s="28" t="s">
        <v>1</v>
      </c>
      <c r="I23" s="54"/>
      <c r="J23" s="117">
        <f t="shared" si="2"/>
        <v>0</v>
      </c>
      <c r="K23" s="3"/>
    </row>
    <row r="24" spans="1:11">
      <c r="A24" s="3">
        <f t="shared" si="1"/>
        <v>20</v>
      </c>
      <c r="B24" s="3" t="s">
        <v>1569</v>
      </c>
      <c r="C24" s="4" t="s">
        <v>1561</v>
      </c>
      <c r="D24" s="4" t="s">
        <v>143</v>
      </c>
      <c r="E24" s="3" t="s">
        <v>1540</v>
      </c>
      <c r="F24" s="3"/>
      <c r="G24" s="117">
        <v>0</v>
      </c>
      <c r="H24" s="28" t="s">
        <v>1</v>
      </c>
      <c r="I24" s="54"/>
      <c r="J24" s="117">
        <f t="shared" si="2"/>
        <v>0</v>
      </c>
      <c r="K24" s="3"/>
    </row>
    <row r="25" spans="1:11">
      <c r="A25" s="3">
        <f t="shared" si="1"/>
        <v>21</v>
      </c>
      <c r="B25" s="3" t="s">
        <v>1570</v>
      </c>
      <c r="C25" s="4" t="s">
        <v>1571</v>
      </c>
      <c r="D25" s="4" t="s">
        <v>57</v>
      </c>
      <c r="E25" s="3" t="s">
        <v>1540</v>
      </c>
      <c r="F25" s="3"/>
      <c r="G25" s="124">
        <f>6-6</f>
        <v>0</v>
      </c>
      <c r="H25" s="28" t="s">
        <v>1549</v>
      </c>
      <c r="I25" s="54"/>
      <c r="J25" s="117">
        <f t="shared" si="2"/>
        <v>0</v>
      </c>
      <c r="K25" s="3"/>
    </row>
    <row r="26" spans="1:11">
      <c r="A26" s="193" t="s">
        <v>1637</v>
      </c>
      <c r="B26" s="193"/>
      <c r="C26" s="193"/>
      <c r="D26" s="193"/>
      <c r="E26" s="193"/>
      <c r="F26" s="193"/>
      <c r="G26" s="193"/>
      <c r="H26" s="193"/>
      <c r="I26" s="193"/>
      <c r="J26" s="125">
        <f>SUM(J5:J25)</f>
        <v>13735</v>
      </c>
    </row>
  </sheetData>
  <mergeCells count="4">
    <mergeCell ref="A1:J1"/>
    <mergeCell ref="A2:J2"/>
    <mergeCell ref="A3:J3"/>
    <mergeCell ref="A26:I26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selection activeCell="K5" sqref="K5"/>
    </sheetView>
  </sheetViews>
  <sheetFormatPr defaultRowHeight="15"/>
  <cols>
    <col min="2" max="2" width="14.7109375" bestFit="1" customWidth="1"/>
    <col min="3" max="3" width="26.7109375" bestFit="1" customWidth="1"/>
    <col min="4" max="4" width="15.42578125" customWidth="1"/>
    <col min="5" max="5" width="12.85546875" customWidth="1"/>
    <col min="6" max="6" width="16" customWidth="1"/>
    <col min="7" max="7" width="9.5703125" bestFit="1" customWidth="1"/>
    <col min="8" max="8" width="9.42578125" bestFit="1" customWidth="1"/>
    <col min="9" max="9" width="13.85546875" bestFit="1" customWidth="1"/>
    <col min="10" max="10" width="20" bestFit="1" customWidth="1"/>
    <col min="11" max="11" width="9.85546875" bestFit="1" customWidth="1"/>
  </cols>
  <sheetData>
    <row r="1" spans="1:11" ht="18">
      <c r="A1" s="185" t="s">
        <v>670</v>
      </c>
      <c r="B1" s="186"/>
      <c r="C1" s="186"/>
      <c r="D1" s="186"/>
      <c r="E1" s="186"/>
      <c r="F1" s="186"/>
      <c r="G1" s="186"/>
      <c r="H1" s="186"/>
      <c r="I1" s="186"/>
      <c r="J1" s="187"/>
    </row>
    <row r="2" spans="1:11" ht="18">
      <c r="A2" s="185" t="s">
        <v>1493</v>
      </c>
      <c r="B2" s="186"/>
      <c r="C2" s="186"/>
      <c r="D2" s="186"/>
      <c r="E2" s="186"/>
      <c r="F2" s="186"/>
      <c r="G2" s="186"/>
      <c r="H2" s="186"/>
      <c r="I2" s="186"/>
      <c r="J2" s="187"/>
    </row>
    <row r="3" spans="1:11" ht="18">
      <c r="A3" s="185" t="s">
        <v>1978</v>
      </c>
      <c r="B3" s="186"/>
      <c r="C3" s="186"/>
      <c r="D3" s="186"/>
      <c r="E3" s="186"/>
      <c r="F3" s="186"/>
      <c r="G3" s="186"/>
      <c r="H3" s="186"/>
      <c r="I3" s="186"/>
      <c r="J3" s="187"/>
    </row>
    <row r="4" spans="1:11">
      <c r="A4" s="24" t="s">
        <v>667</v>
      </c>
      <c r="B4" s="21" t="s">
        <v>27</v>
      </c>
      <c r="C4" s="21" t="s">
        <v>28</v>
      </c>
      <c r="D4" s="21" t="s">
        <v>29</v>
      </c>
      <c r="E4" s="21" t="s">
        <v>2062</v>
      </c>
      <c r="F4" s="20" t="s">
        <v>30</v>
      </c>
      <c r="G4" s="21" t="s">
        <v>1275</v>
      </c>
      <c r="H4" s="20" t="s">
        <v>32</v>
      </c>
      <c r="I4" s="24" t="s">
        <v>668</v>
      </c>
      <c r="J4" s="24" t="s">
        <v>669</v>
      </c>
      <c r="K4" s="127" t="s">
        <v>2118</v>
      </c>
    </row>
    <row r="5" spans="1:11">
      <c r="A5" s="23">
        <v>1</v>
      </c>
      <c r="B5" s="3" t="s">
        <v>1573</v>
      </c>
      <c r="C5" s="3" t="s">
        <v>1574</v>
      </c>
      <c r="D5" s="3" t="s">
        <v>1575</v>
      </c>
      <c r="E5" s="3"/>
      <c r="F5" s="3" t="s">
        <v>1410</v>
      </c>
      <c r="G5" s="7">
        <v>116.786</v>
      </c>
      <c r="H5" s="3" t="s">
        <v>1549</v>
      </c>
      <c r="I5" s="35">
        <v>1994.48</v>
      </c>
      <c r="J5" s="35">
        <f>G5*I5</f>
        <v>232927.34127999999</v>
      </c>
      <c r="K5" s="3"/>
    </row>
    <row r="6" spans="1:11">
      <c r="A6" s="23">
        <f>A5+1</f>
        <v>2</v>
      </c>
      <c r="B6" s="3" t="s">
        <v>1576</v>
      </c>
      <c r="C6" s="3" t="s">
        <v>1577</v>
      </c>
      <c r="D6" s="3" t="s">
        <v>1575</v>
      </c>
      <c r="E6" s="3"/>
      <c r="F6" s="3" t="s">
        <v>1410</v>
      </c>
      <c r="G6" s="7">
        <v>199.51499999999999</v>
      </c>
      <c r="H6" s="3" t="s">
        <v>1549</v>
      </c>
      <c r="I6" s="35">
        <v>3777.43</v>
      </c>
      <c r="J6" s="35">
        <f t="shared" ref="J6:J27" si="0">G6*I6</f>
        <v>753653.94644999993</v>
      </c>
      <c r="K6" s="3"/>
    </row>
    <row r="7" spans="1:11">
      <c r="A7" s="23">
        <f t="shared" ref="A7:A28" si="1">A6+1</f>
        <v>3</v>
      </c>
      <c r="B7" s="3" t="s">
        <v>1578</v>
      </c>
      <c r="C7" s="3" t="s">
        <v>1579</v>
      </c>
      <c r="D7" s="3" t="s">
        <v>1580</v>
      </c>
      <c r="E7" s="3"/>
      <c r="F7" s="3" t="s">
        <v>1410</v>
      </c>
      <c r="G7" s="7">
        <v>14.666</v>
      </c>
      <c r="H7" s="3" t="s">
        <v>1549</v>
      </c>
      <c r="I7" s="35">
        <v>6805</v>
      </c>
      <c r="J7" s="35">
        <f t="shared" si="0"/>
        <v>99802.13</v>
      </c>
      <c r="K7" s="3"/>
    </row>
    <row r="8" spans="1:11">
      <c r="A8" s="23">
        <f t="shared" si="1"/>
        <v>4</v>
      </c>
      <c r="B8" s="3" t="s">
        <v>1581</v>
      </c>
      <c r="C8" s="3" t="s">
        <v>1582</v>
      </c>
      <c r="D8" s="3" t="s">
        <v>1583</v>
      </c>
      <c r="E8" s="3"/>
      <c r="F8" s="3" t="s">
        <v>1410</v>
      </c>
      <c r="G8" s="30">
        <v>7468.5140000000001</v>
      </c>
      <c r="H8" s="3" t="s">
        <v>1549</v>
      </c>
      <c r="I8" s="35">
        <v>10977.82</v>
      </c>
      <c r="J8" s="35">
        <f t="shared" si="0"/>
        <v>81988002.359479994</v>
      </c>
      <c r="K8" s="3"/>
    </row>
    <row r="9" spans="1:11">
      <c r="A9" s="23">
        <f t="shared" si="1"/>
        <v>5</v>
      </c>
      <c r="B9" s="3" t="s">
        <v>1584</v>
      </c>
      <c r="C9" s="3" t="s">
        <v>1585</v>
      </c>
      <c r="D9" s="3" t="s">
        <v>1586</v>
      </c>
      <c r="E9" s="3"/>
      <c r="F9" s="3" t="s">
        <v>1410</v>
      </c>
      <c r="G9" s="7"/>
      <c r="H9" s="3" t="s">
        <v>1549</v>
      </c>
      <c r="I9" s="35">
        <v>10977.82</v>
      </c>
      <c r="J9" s="35">
        <f t="shared" si="0"/>
        <v>0</v>
      </c>
      <c r="K9" s="3"/>
    </row>
    <row r="10" spans="1:11">
      <c r="A10" s="23">
        <f t="shared" si="1"/>
        <v>6</v>
      </c>
      <c r="B10" s="3" t="s">
        <v>1587</v>
      </c>
      <c r="C10" s="3" t="s">
        <v>1588</v>
      </c>
      <c r="D10" s="3" t="s">
        <v>1589</v>
      </c>
      <c r="E10" s="3"/>
      <c r="F10" s="3" t="s">
        <v>1410</v>
      </c>
      <c r="G10" s="7"/>
      <c r="H10" s="3" t="s">
        <v>1549</v>
      </c>
      <c r="I10" s="35">
        <v>8180.36</v>
      </c>
      <c r="J10" s="35">
        <f t="shared" si="0"/>
        <v>0</v>
      </c>
      <c r="K10" s="3"/>
    </row>
    <row r="11" spans="1:11">
      <c r="A11" s="23">
        <f t="shared" si="1"/>
        <v>7</v>
      </c>
      <c r="B11" s="3" t="s">
        <v>1590</v>
      </c>
      <c r="C11" s="3" t="s">
        <v>1591</v>
      </c>
      <c r="D11" s="3" t="s">
        <v>1589</v>
      </c>
      <c r="E11" s="3"/>
      <c r="F11" s="3" t="s">
        <v>1410</v>
      </c>
      <c r="G11" s="31">
        <v>2786.627</v>
      </c>
      <c r="H11" s="3" t="s">
        <v>1549</v>
      </c>
      <c r="I11" s="35">
        <v>13600</v>
      </c>
      <c r="J11" s="35">
        <f t="shared" si="0"/>
        <v>37898127.200000003</v>
      </c>
      <c r="K11" s="3"/>
    </row>
    <row r="12" spans="1:11">
      <c r="A12" s="23">
        <f t="shared" si="1"/>
        <v>8</v>
      </c>
      <c r="B12" s="3" t="s">
        <v>2060</v>
      </c>
      <c r="C12" s="3" t="s">
        <v>2061</v>
      </c>
      <c r="D12" s="3" t="s">
        <v>1589</v>
      </c>
      <c r="E12" s="3"/>
      <c r="F12" s="3" t="s">
        <v>1410</v>
      </c>
      <c r="G12" s="31">
        <v>3752.14</v>
      </c>
      <c r="H12" s="3" t="s">
        <v>1549</v>
      </c>
      <c r="I12" s="35">
        <v>10780</v>
      </c>
      <c r="J12" s="35">
        <f t="shared" si="0"/>
        <v>40448069.199999996</v>
      </c>
      <c r="K12" s="3"/>
    </row>
    <row r="13" spans="1:11">
      <c r="A13" s="23">
        <f t="shared" si="1"/>
        <v>9</v>
      </c>
      <c r="B13" s="3" t="s">
        <v>1592</v>
      </c>
      <c r="C13" s="3" t="s">
        <v>1593</v>
      </c>
      <c r="D13" s="3" t="s">
        <v>1594</v>
      </c>
      <c r="E13" s="3"/>
      <c r="F13" s="3" t="s">
        <v>1410</v>
      </c>
      <c r="G13" s="7">
        <v>19.225999999999999</v>
      </c>
      <c r="H13" s="3" t="s">
        <v>1549</v>
      </c>
      <c r="I13" s="35">
        <v>54000.01</v>
      </c>
      <c r="J13" s="35">
        <f t="shared" si="0"/>
        <v>1038204.19226</v>
      </c>
      <c r="K13" s="3"/>
    </row>
    <row r="14" spans="1:11">
      <c r="A14" s="23">
        <f t="shared" si="1"/>
        <v>10</v>
      </c>
      <c r="B14" s="3" t="s">
        <v>1595</v>
      </c>
      <c r="C14" s="3" t="s">
        <v>1596</v>
      </c>
      <c r="D14" s="3" t="s">
        <v>42</v>
      </c>
      <c r="E14" s="3"/>
      <c r="F14" s="3" t="s">
        <v>1410</v>
      </c>
      <c r="G14" s="7">
        <v>6.6950000000000003</v>
      </c>
      <c r="H14" s="3" t="s">
        <v>1549</v>
      </c>
      <c r="I14" s="35">
        <v>53009.11</v>
      </c>
      <c r="J14" s="35">
        <f t="shared" si="0"/>
        <v>354895.99145000003</v>
      </c>
      <c r="K14" s="3"/>
    </row>
    <row r="15" spans="1:11">
      <c r="A15" s="23">
        <f t="shared" si="1"/>
        <v>11</v>
      </c>
      <c r="B15" s="3" t="s">
        <v>1597</v>
      </c>
      <c r="C15" s="3" t="s">
        <v>1598</v>
      </c>
      <c r="D15" s="3" t="s">
        <v>57</v>
      </c>
      <c r="E15" s="3"/>
      <c r="F15" s="3" t="s">
        <v>1410</v>
      </c>
      <c r="G15" s="7">
        <v>4.3659999999999997</v>
      </c>
      <c r="H15" s="3" t="s">
        <v>1549</v>
      </c>
      <c r="I15" s="35">
        <v>10300</v>
      </c>
      <c r="J15" s="35">
        <f t="shared" si="0"/>
        <v>44969.799999999996</v>
      </c>
      <c r="K15" s="3"/>
    </row>
    <row r="16" spans="1:11">
      <c r="A16" s="23">
        <f t="shared" si="1"/>
        <v>12</v>
      </c>
      <c r="B16" s="3" t="s">
        <v>1599</v>
      </c>
      <c r="C16" s="3" t="s">
        <v>1600</v>
      </c>
      <c r="D16" s="3" t="s">
        <v>1601</v>
      </c>
      <c r="E16" s="3"/>
      <c r="F16" s="3" t="s">
        <v>1410</v>
      </c>
      <c r="G16" s="7">
        <v>28.468</v>
      </c>
      <c r="H16" s="3" t="s">
        <v>1549</v>
      </c>
      <c r="I16" s="35">
        <v>52165.82</v>
      </c>
      <c r="J16" s="35">
        <f t="shared" si="0"/>
        <v>1485056.56376</v>
      </c>
      <c r="K16" s="3"/>
    </row>
    <row r="17" spans="1:11">
      <c r="A17" s="23">
        <f t="shared" si="1"/>
        <v>13</v>
      </c>
      <c r="B17" s="3" t="s">
        <v>1602</v>
      </c>
      <c r="C17" s="3" t="s">
        <v>1603</v>
      </c>
      <c r="D17" s="3" t="s">
        <v>57</v>
      </c>
      <c r="E17" s="3"/>
      <c r="F17" s="3" t="s">
        <v>1410</v>
      </c>
      <c r="G17" s="7">
        <v>7.3650000000000002</v>
      </c>
      <c r="H17" s="3" t="s">
        <v>1549</v>
      </c>
      <c r="I17" s="35"/>
      <c r="J17" s="35">
        <f t="shared" si="0"/>
        <v>0</v>
      </c>
      <c r="K17" s="3"/>
    </row>
    <row r="18" spans="1:11">
      <c r="A18" s="23">
        <f t="shared" si="1"/>
        <v>14</v>
      </c>
      <c r="B18" s="3" t="s">
        <v>1604</v>
      </c>
      <c r="C18" s="3" t="s">
        <v>1605</v>
      </c>
      <c r="D18" s="3" t="s">
        <v>1575</v>
      </c>
      <c r="E18" s="3"/>
      <c r="F18" s="3" t="s">
        <v>1410</v>
      </c>
      <c r="G18" s="7">
        <v>32.418999999999997</v>
      </c>
      <c r="H18" s="3" t="s">
        <v>1549</v>
      </c>
      <c r="I18" s="35">
        <v>5066.9399999999996</v>
      </c>
      <c r="J18" s="35">
        <f t="shared" si="0"/>
        <v>164265.12785999998</v>
      </c>
      <c r="K18" s="3"/>
    </row>
    <row r="19" spans="1:11">
      <c r="A19" s="23">
        <f t="shared" si="1"/>
        <v>15</v>
      </c>
      <c r="B19" s="3" t="s">
        <v>1606</v>
      </c>
      <c r="C19" s="3" t="s">
        <v>1607</v>
      </c>
      <c r="D19" s="3" t="s">
        <v>57</v>
      </c>
      <c r="E19" s="3"/>
      <c r="F19" s="3" t="s">
        <v>1410</v>
      </c>
      <c r="G19" s="7">
        <v>81.070999999999998</v>
      </c>
      <c r="H19" s="3" t="s">
        <v>1549</v>
      </c>
      <c r="I19" s="35">
        <v>6454.53</v>
      </c>
      <c r="J19" s="35">
        <f t="shared" si="0"/>
        <v>523275.20162999997</v>
      </c>
      <c r="K19" s="3"/>
    </row>
    <row r="20" spans="1:11">
      <c r="A20" s="23">
        <f t="shared" si="1"/>
        <v>16</v>
      </c>
      <c r="B20" s="3" t="s">
        <v>1608</v>
      </c>
      <c r="C20" s="3" t="s">
        <v>1609</v>
      </c>
      <c r="D20" s="3" t="s">
        <v>57</v>
      </c>
      <c r="E20" s="3"/>
      <c r="F20" s="3" t="s">
        <v>1410</v>
      </c>
      <c r="G20" s="7">
        <v>19.446000000000002</v>
      </c>
      <c r="H20" s="3" t="s">
        <v>1549</v>
      </c>
      <c r="I20" s="35">
        <v>19472.14</v>
      </c>
      <c r="J20" s="35">
        <f t="shared" si="0"/>
        <v>378655.23444000003</v>
      </c>
      <c r="K20" s="3"/>
    </row>
    <row r="21" spans="1:11">
      <c r="A21" s="23">
        <f t="shared" si="1"/>
        <v>17</v>
      </c>
      <c r="B21" s="3" t="s">
        <v>1610</v>
      </c>
      <c r="C21" s="3" t="s">
        <v>1611</v>
      </c>
      <c r="D21" s="3" t="s">
        <v>57</v>
      </c>
      <c r="E21" s="3"/>
      <c r="F21" s="3" t="s">
        <v>1410</v>
      </c>
      <c r="G21" s="7">
        <v>164.279</v>
      </c>
      <c r="H21" s="3" t="s">
        <v>1549</v>
      </c>
      <c r="I21" s="35">
        <v>27615.96</v>
      </c>
      <c r="J21" s="35">
        <f t="shared" si="0"/>
        <v>4536722.2928399993</v>
      </c>
      <c r="K21" s="3"/>
    </row>
    <row r="22" spans="1:11">
      <c r="A22" s="23">
        <f t="shared" si="1"/>
        <v>18</v>
      </c>
      <c r="B22" s="3" t="s">
        <v>1612</v>
      </c>
      <c r="C22" s="3" t="s">
        <v>1613</v>
      </c>
      <c r="D22" s="3" t="s">
        <v>57</v>
      </c>
      <c r="E22" s="3"/>
      <c r="F22" s="3" t="s">
        <v>1410</v>
      </c>
      <c r="G22" s="7">
        <v>7.6509999999999998</v>
      </c>
      <c r="H22" s="3" t="s">
        <v>1549</v>
      </c>
      <c r="I22" s="35">
        <v>48880.66</v>
      </c>
      <c r="J22" s="35">
        <f t="shared" si="0"/>
        <v>373985.92966000002</v>
      </c>
      <c r="K22" s="3"/>
    </row>
    <row r="23" spans="1:11">
      <c r="A23" s="23">
        <f t="shared" si="1"/>
        <v>19</v>
      </c>
      <c r="B23" s="3" t="s">
        <v>1614</v>
      </c>
      <c r="C23" s="3" t="s">
        <v>1615</v>
      </c>
      <c r="D23" s="3" t="s">
        <v>1575</v>
      </c>
      <c r="E23" s="3"/>
      <c r="F23" s="3" t="s">
        <v>1410</v>
      </c>
      <c r="G23" s="7">
        <v>25</v>
      </c>
      <c r="H23" s="3" t="s">
        <v>1549</v>
      </c>
      <c r="I23" s="35">
        <v>1800</v>
      </c>
      <c r="J23" s="35">
        <f t="shared" si="0"/>
        <v>45000</v>
      </c>
      <c r="K23" s="3"/>
    </row>
    <row r="24" spans="1:11">
      <c r="A24" s="23">
        <f t="shared" si="1"/>
        <v>20</v>
      </c>
      <c r="B24" s="3" t="s">
        <v>1616</v>
      </c>
      <c r="C24" s="3" t="s">
        <v>1340</v>
      </c>
      <c r="D24" s="3" t="s">
        <v>3</v>
      </c>
      <c r="E24" s="3"/>
      <c r="F24" s="3" t="s">
        <v>1410</v>
      </c>
      <c r="G24" s="80">
        <v>430</v>
      </c>
      <c r="H24" s="3" t="s">
        <v>3</v>
      </c>
      <c r="I24" s="35">
        <v>69.16</v>
      </c>
      <c r="J24" s="35">
        <f t="shared" si="0"/>
        <v>29738.799999999999</v>
      </c>
      <c r="K24" s="3"/>
    </row>
    <row r="25" spans="1:11">
      <c r="A25" s="23">
        <f t="shared" si="1"/>
        <v>21</v>
      </c>
      <c r="B25" s="3" t="s">
        <v>1617</v>
      </c>
      <c r="C25" s="3" t="s">
        <v>1618</v>
      </c>
      <c r="D25" s="3" t="s">
        <v>57</v>
      </c>
      <c r="E25" s="3"/>
      <c r="F25" s="3" t="s">
        <v>1410</v>
      </c>
      <c r="G25" s="7"/>
      <c r="H25" s="3" t="s">
        <v>1549</v>
      </c>
      <c r="I25" s="35">
        <v>11288.84</v>
      </c>
      <c r="J25" s="35">
        <f t="shared" si="0"/>
        <v>0</v>
      </c>
      <c r="K25" s="3"/>
    </row>
    <row r="26" spans="1:11">
      <c r="A26" s="23">
        <f t="shared" si="1"/>
        <v>22</v>
      </c>
      <c r="B26" s="3" t="s">
        <v>1619</v>
      </c>
      <c r="C26" s="3" t="s">
        <v>1620</v>
      </c>
      <c r="D26" s="3" t="s">
        <v>1621</v>
      </c>
      <c r="E26" s="3"/>
      <c r="F26" s="3" t="s">
        <v>1410</v>
      </c>
      <c r="G26" s="80">
        <v>16</v>
      </c>
      <c r="H26" s="3" t="s">
        <v>1621</v>
      </c>
      <c r="I26" s="35">
        <v>212.54</v>
      </c>
      <c r="J26" s="35">
        <f t="shared" si="0"/>
        <v>3400.64</v>
      </c>
      <c r="K26" s="3"/>
    </row>
    <row r="27" spans="1:11">
      <c r="A27" s="23">
        <f t="shared" si="1"/>
        <v>23</v>
      </c>
      <c r="B27" s="3" t="s">
        <v>1622</v>
      </c>
      <c r="C27" s="3" t="s">
        <v>1623</v>
      </c>
      <c r="D27" s="3" t="s">
        <v>57</v>
      </c>
      <c r="E27" s="3"/>
      <c r="F27" s="3" t="s">
        <v>1410</v>
      </c>
      <c r="G27" s="80">
        <v>2</v>
      </c>
      <c r="H27" s="3" t="s">
        <v>1621</v>
      </c>
      <c r="I27" s="35">
        <v>1799.94</v>
      </c>
      <c r="J27" s="35">
        <f t="shared" si="0"/>
        <v>3599.88</v>
      </c>
      <c r="K27" s="3"/>
    </row>
    <row r="28" spans="1:11">
      <c r="A28" s="23">
        <f t="shared" si="1"/>
        <v>24</v>
      </c>
      <c r="B28" s="3" t="s">
        <v>1660</v>
      </c>
      <c r="C28" s="3" t="s">
        <v>1661</v>
      </c>
      <c r="D28" s="3" t="s">
        <v>357</v>
      </c>
      <c r="E28" s="3"/>
      <c r="F28" s="3" t="s">
        <v>1410</v>
      </c>
      <c r="G28" s="80">
        <f>3+2-1-1</f>
        <v>3</v>
      </c>
      <c r="H28" s="3" t="s">
        <v>357</v>
      </c>
      <c r="I28" s="35">
        <v>578468</v>
      </c>
      <c r="J28" s="35">
        <f>G28*I28</f>
        <v>1735404</v>
      </c>
      <c r="K28" s="3"/>
    </row>
    <row r="29" spans="1:11">
      <c r="A29" s="175" t="s">
        <v>1637</v>
      </c>
      <c r="B29" s="175"/>
      <c r="C29" s="175"/>
      <c r="D29" s="175"/>
      <c r="E29" s="175"/>
      <c r="F29" s="175"/>
      <c r="G29" s="175"/>
      <c r="H29" s="175"/>
      <c r="I29" s="175"/>
      <c r="J29" s="37">
        <f>SUM(J5:J28)</f>
        <v>172137755.83111003</v>
      </c>
    </row>
  </sheetData>
  <mergeCells count="4">
    <mergeCell ref="A1:J1"/>
    <mergeCell ref="A2:J2"/>
    <mergeCell ref="A3:J3"/>
    <mergeCell ref="A29:I29"/>
  </mergeCells>
  <pageMargins left="0.55000000000000004" right="0.32" top="0.75" bottom="0.75" header="0.3" footer="0.3"/>
  <pageSetup scale="70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2"/>
  <sheetViews>
    <sheetView zoomScale="120" zoomScaleNormal="120" workbookViewId="0">
      <selection activeCell="G11" sqref="G11"/>
    </sheetView>
  </sheetViews>
  <sheetFormatPr defaultRowHeight="15"/>
  <cols>
    <col min="2" max="2" width="29.5703125" customWidth="1"/>
    <col min="3" max="3" width="20.7109375" bestFit="1" customWidth="1"/>
    <col min="4" max="4" width="14.7109375" customWidth="1"/>
  </cols>
  <sheetData>
    <row r="1" spans="1:4" ht="18">
      <c r="A1" s="189" t="s">
        <v>670</v>
      </c>
      <c r="B1" s="189"/>
      <c r="C1" s="189"/>
      <c r="D1" s="189"/>
    </row>
    <row r="2" spans="1:4" ht="18">
      <c r="A2" s="189" t="s">
        <v>1493</v>
      </c>
      <c r="B2" s="189"/>
      <c r="C2" s="189"/>
      <c r="D2" s="189"/>
    </row>
    <row r="3" spans="1:4" ht="18">
      <c r="A3" s="189" t="s">
        <v>1979</v>
      </c>
      <c r="B3" s="189"/>
      <c r="C3" s="189"/>
      <c r="D3" s="189"/>
    </row>
    <row r="4" spans="1:4">
      <c r="A4" s="76" t="s">
        <v>1650</v>
      </c>
      <c r="B4" s="76" t="s">
        <v>1651</v>
      </c>
      <c r="C4" s="76" t="s">
        <v>1643</v>
      </c>
      <c r="D4" s="76" t="s">
        <v>1652</v>
      </c>
    </row>
    <row r="5" spans="1:4">
      <c r="A5" s="33">
        <v>1</v>
      </c>
      <c r="B5" s="34" t="s">
        <v>1653</v>
      </c>
      <c r="C5" s="38">
        <f>MECHANICAL!J242</f>
        <v>2313527.7244000006</v>
      </c>
      <c r="D5" s="34"/>
    </row>
    <row r="6" spans="1:4">
      <c r="A6" s="33">
        <f>A5+1</f>
        <v>2</v>
      </c>
      <c r="B6" s="34" t="s">
        <v>1654</v>
      </c>
      <c r="C6" s="38">
        <f>ELECTRICAL!J354</f>
        <v>2743951.74</v>
      </c>
      <c r="D6" s="34"/>
    </row>
    <row r="7" spans="1:4">
      <c r="A7" s="33">
        <f t="shared" ref="A7:A10" si="0">A6+1</f>
        <v>3</v>
      </c>
      <c r="B7" s="34" t="s">
        <v>1655</v>
      </c>
      <c r="C7" s="38">
        <f>MISCELLANEOUS!J200</f>
        <v>853953.946</v>
      </c>
      <c r="D7" s="34"/>
    </row>
    <row r="8" spans="1:4">
      <c r="A8" s="33">
        <f t="shared" si="0"/>
        <v>4</v>
      </c>
      <c r="B8" s="34" t="s">
        <v>1522</v>
      </c>
      <c r="C8" s="38">
        <f>SAFETY!J34</f>
        <v>50342.400000000001</v>
      </c>
      <c r="D8" s="34"/>
    </row>
    <row r="9" spans="1:4">
      <c r="A9" s="33">
        <f t="shared" si="0"/>
        <v>5</v>
      </c>
      <c r="B9" s="34" t="s">
        <v>1656</v>
      </c>
      <c r="C9" s="38">
        <f>LABORATORY!J69</f>
        <v>51154.960000000006</v>
      </c>
      <c r="D9" s="34"/>
    </row>
    <row r="10" spans="1:4">
      <c r="A10" s="33">
        <f t="shared" si="0"/>
        <v>6</v>
      </c>
      <c r="B10" s="34" t="s">
        <v>1657</v>
      </c>
      <c r="C10" s="38">
        <f>CIVIL!J26</f>
        <v>13735</v>
      </c>
      <c r="D10" s="34"/>
    </row>
    <row r="11" spans="1:4">
      <c r="A11" s="33">
        <f>A10+1</f>
        <v>7</v>
      </c>
      <c r="B11" s="34" t="s">
        <v>1658</v>
      </c>
      <c r="C11" s="38">
        <f>PRODUCTION!J29</f>
        <v>172137755.83111003</v>
      </c>
      <c r="D11" s="34"/>
    </row>
    <row r="12" spans="1:4">
      <c r="A12" s="175" t="s">
        <v>1637</v>
      </c>
      <c r="B12" s="175"/>
      <c r="C12" s="39">
        <f>SUM(C5:C11)</f>
        <v>178164421.60151002</v>
      </c>
      <c r="D12" s="32"/>
    </row>
  </sheetData>
  <mergeCells count="4">
    <mergeCell ref="A12:B12"/>
    <mergeCell ref="A1:D1"/>
    <mergeCell ref="A2:D2"/>
    <mergeCell ref="A3:D3"/>
  </mergeCells>
  <pageMargins left="1.3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04"/>
  <sheetViews>
    <sheetView workbookViewId="0">
      <selection activeCell="I5" sqref="I5"/>
    </sheetView>
  </sheetViews>
  <sheetFormatPr defaultColWidth="17" defaultRowHeight="15"/>
  <cols>
    <col min="1" max="1" width="9.85546875" style="68" customWidth="1"/>
    <col min="2" max="2" width="17" style="55"/>
    <col min="3" max="3" width="31.7109375" style="69" bestFit="1" customWidth="1"/>
    <col min="4" max="4" width="17" style="69"/>
    <col min="5" max="5" width="11.5703125" style="69" customWidth="1"/>
    <col min="6" max="6" width="14.140625" style="55" bestFit="1" customWidth="1"/>
    <col min="7" max="7" width="10.42578125" style="55" bestFit="1" customWidth="1"/>
    <col min="8" max="8" width="11" style="55" bestFit="1" customWidth="1"/>
    <col min="9" max="9" width="13.85546875" style="55" bestFit="1" customWidth="1"/>
    <col min="10" max="10" width="17" style="55" bestFit="1" customWidth="1"/>
    <col min="11" max="11" width="12.28515625" style="55" customWidth="1"/>
    <col min="12" max="16384" width="17" style="55"/>
  </cols>
  <sheetData>
    <row r="1" spans="1:11" ht="15.75">
      <c r="A1" s="194" t="s">
        <v>25</v>
      </c>
      <c r="B1" s="195"/>
      <c r="C1" s="195"/>
      <c r="D1" s="195"/>
      <c r="E1" s="195"/>
      <c r="F1" s="195"/>
      <c r="G1" s="195"/>
      <c r="H1" s="195"/>
      <c r="I1" s="195"/>
      <c r="J1" s="196"/>
    </row>
    <row r="2" spans="1:11" ht="15.75">
      <c r="A2" s="194" t="s">
        <v>26</v>
      </c>
      <c r="B2" s="195"/>
      <c r="C2" s="195"/>
      <c r="D2" s="195"/>
      <c r="E2" s="195"/>
      <c r="F2" s="195"/>
      <c r="G2" s="195"/>
      <c r="H2" s="195"/>
      <c r="I2" s="195"/>
      <c r="J2" s="196"/>
    </row>
    <row r="3" spans="1:11" ht="15.75">
      <c r="A3" s="194" t="s">
        <v>1980</v>
      </c>
      <c r="B3" s="195"/>
      <c r="C3" s="195"/>
      <c r="D3" s="195"/>
      <c r="E3" s="195"/>
      <c r="F3" s="195"/>
      <c r="G3" s="195"/>
      <c r="H3" s="195"/>
      <c r="I3" s="195"/>
      <c r="J3" s="196"/>
    </row>
    <row r="4" spans="1:11" s="59" customFormat="1" ht="15.75">
      <c r="A4" s="56" t="s">
        <v>667</v>
      </c>
      <c r="B4" s="56" t="s">
        <v>27</v>
      </c>
      <c r="C4" s="57" t="s">
        <v>28</v>
      </c>
      <c r="D4" s="57" t="s">
        <v>29</v>
      </c>
      <c r="E4" s="57" t="s">
        <v>2062</v>
      </c>
      <c r="F4" s="56" t="s">
        <v>30</v>
      </c>
      <c r="G4" s="56" t="s">
        <v>31</v>
      </c>
      <c r="H4" s="56" t="s">
        <v>32</v>
      </c>
      <c r="I4" s="58" t="s">
        <v>668</v>
      </c>
      <c r="J4" s="58" t="s">
        <v>669</v>
      </c>
      <c r="K4" s="122" t="s">
        <v>2118</v>
      </c>
    </row>
    <row r="5" spans="1:11" customFormat="1">
      <c r="A5" s="13">
        <v>1</v>
      </c>
      <c r="B5" s="3" t="s">
        <v>69</v>
      </c>
      <c r="C5" s="4" t="s">
        <v>1708</v>
      </c>
      <c r="D5" s="4" t="s">
        <v>57</v>
      </c>
      <c r="E5" s="4"/>
      <c r="F5" s="3" t="s">
        <v>36</v>
      </c>
      <c r="G5" s="70">
        <v>7</v>
      </c>
      <c r="H5" s="3" t="s">
        <v>6</v>
      </c>
      <c r="I5" s="35"/>
      <c r="J5" s="35">
        <f>G5*I5</f>
        <v>0</v>
      </c>
      <c r="K5" s="23">
        <v>41</v>
      </c>
    </row>
    <row r="6" spans="1:11" customFormat="1" ht="30">
      <c r="A6" s="13">
        <v>2</v>
      </c>
      <c r="B6" s="3" t="s">
        <v>70</v>
      </c>
      <c r="C6" s="4" t="s">
        <v>71</v>
      </c>
      <c r="D6" s="4" t="s">
        <v>72</v>
      </c>
      <c r="E6" s="4"/>
      <c r="F6" s="3" t="s">
        <v>36</v>
      </c>
      <c r="G6" s="70">
        <v>3</v>
      </c>
      <c r="H6" s="3" t="s">
        <v>6</v>
      </c>
      <c r="I6" s="35"/>
      <c r="J6" s="35">
        <f>G6*I6</f>
        <v>0</v>
      </c>
      <c r="K6" s="23">
        <v>13</v>
      </c>
    </row>
    <row r="7" spans="1:11">
      <c r="A7" s="60">
        <v>3</v>
      </c>
      <c r="B7" s="28" t="s">
        <v>74</v>
      </c>
      <c r="C7" s="8" t="s">
        <v>75</v>
      </c>
      <c r="D7" s="8" t="s">
        <v>76</v>
      </c>
      <c r="E7" s="8"/>
      <c r="F7" s="28" t="s">
        <v>36</v>
      </c>
      <c r="G7" s="28">
        <v>6</v>
      </c>
      <c r="H7" s="29" t="s">
        <v>63</v>
      </c>
      <c r="I7" s="54"/>
      <c r="J7" s="54">
        <f t="shared" ref="J7:J38" si="0">G7*I7</f>
        <v>0</v>
      </c>
      <c r="K7" s="89">
        <v>96</v>
      </c>
    </row>
    <row r="8" spans="1:11">
      <c r="A8" s="13">
        <v>4</v>
      </c>
      <c r="B8" s="28" t="s">
        <v>78</v>
      </c>
      <c r="C8" s="8" t="s">
        <v>75</v>
      </c>
      <c r="D8" s="8" t="s">
        <v>42</v>
      </c>
      <c r="E8" s="8"/>
      <c r="F8" s="28" t="s">
        <v>36</v>
      </c>
      <c r="G8" s="28">
        <v>10</v>
      </c>
      <c r="H8" s="28" t="s">
        <v>63</v>
      </c>
      <c r="I8" s="54"/>
      <c r="J8" s="54">
        <f t="shared" si="0"/>
        <v>0</v>
      </c>
      <c r="K8" s="89">
        <v>96</v>
      </c>
    </row>
    <row r="9" spans="1:11">
      <c r="A9" s="13">
        <v>5</v>
      </c>
      <c r="B9" s="28" t="s">
        <v>79</v>
      </c>
      <c r="C9" s="8" t="s">
        <v>75</v>
      </c>
      <c r="D9" s="8" t="s">
        <v>80</v>
      </c>
      <c r="E9" s="8"/>
      <c r="F9" s="28" t="s">
        <v>36</v>
      </c>
      <c r="G9" s="28">
        <v>38.4</v>
      </c>
      <c r="H9" s="28" t="s">
        <v>63</v>
      </c>
      <c r="I9" s="54"/>
      <c r="J9" s="54">
        <f t="shared" si="0"/>
        <v>0</v>
      </c>
      <c r="K9" s="89">
        <v>4</v>
      </c>
    </row>
    <row r="10" spans="1:11">
      <c r="A10" s="60">
        <v>6</v>
      </c>
      <c r="B10" s="28" t="s">
        <v>81</v>
      </c>
      <c r="C10" s="8" t="s">
        <v>75</v>
      </c>
      <c r="D10" s="8" t="s">
        <v>82</v>
      </c>
      <c r="E10" s="8"/>
      <c r="F10" s="28" t="s">
        <v>36</v>
      </c>
      <c r="G10" s="28">
        <v>10</v>
      </c>
      <c r="H10" s="29" t="s">
        <v>63</v>
      </c>
      <c r="I10" s="54"/>
      <c r="J10" s="54">
        <f t="shared" si="0"/>
        <v>0</v>
      </c>
      <c r="K10" s="89">
        <v>96</v>
      </c>
    </row>
    <row r="11" spans="1:11">
      <c r="A11" s="13">
        <v>7</v>
      </c>
      <c r="B11" s="28" t="s">
        <v>92</v>
      </c>
      <c r="C11" s="8" t="s">
        <v>1730</v>
      </c>
      <c r="D11" s="8" t="s">
        <v>57</v>
      </c>
      <c r="E11" s="8"/>
      <c r="F11" s="28" t="s">
        <v>36</v>
      </c>
      <c r="G11" s="28">
        <v>2</v>
      </c>
      <c r="H11" s="28" t="s">
        <v>6</v>
      </c>
      <c r="I11" s="54"/>
      <c r="J11" s="54">
        <f t="shared" si="0"/>
        <v>0</v>
      </c>
      <c r="K11" s="89">
        <v>93</v>
      </c>
    </row>
    <row r="12" spans="1:11">
      <c r="A12" s="13">
        <v>8</v>
      </c>
      <c r="B12" s="28" t="s">
        <v>93</v>
      </c>
      <c r="C12" s="8" t="s">
        <v>1731</v>
      </c>
      <c r="D12" s="8" t="s">
        <v>57</v>
      </c>
      <c r="E12" s="8"/>
      <c r="F12" s="28" t="s">
        <v>36</v>
      </c>
      <c r="G12" s="28">
        <v>1</v>
      </c>
      <c r="H12" s="28" t="s">
        <v>6</v>
      </c>
      <c r="I12" s="54"/>
      <c r="J12" s="54">
        <f t="shared" si="0"/>
        <v>0</v>
      </c>
      <c r="K12" s="89">
        <v>93</v>
      </c>
    </row>
    <row r="13" spans="1:11">
      <c r="A13" s="60">
        <v>9</v>
      </c>
      <c r="B13" s="28" t="s">
        <v>96</v>
      </c>
      <c r="C13" s="8" t="s">
        <v>97</v>
      </c>
      <c r="D13" s="8" t="s">
        <v>57</v>
      </c>
      <c r="E13" s="8"/>
      <c r="F13" s="28" t="s">
        <v>36</v>
      </c>
      <c r="G13" s="28">
        <v>6</v>
      </c>
      <c r="H13" s="28" t="s">
        <v>6</v>
      </c>
      <c r="I13" s="54"/>
      <c r="J13" s="54">
        <f t="shared" si="0"/>
        <v>0</v>
      </c>
      <c r="K13" s="89">
        <v>75</v>
      </c>
    </row>
    <row r="14" spans="1:11">
      <c r="A14" s="13">
        <v>10</v>
      </c>
      <c r="B14" s="28" t="s">
        <v>113</v>
      </c>
      <c r="C14" s="8" t="s">
        <v>97</v>
      </c>
      <c r="D14" s="8" t="s">
        <v>114</v>
      </c>
      <c r="E14" s="8"/>
      <c r="F14" s="28" t="s">
        <v>36</v>
      </c>
      <c r="G14" s="28">
        <v>2</v>
      </c>
      <c r="H14" s="29" t="s">
        <v>115</v>
      </c>
      <c r="I14" s="54"/>
      <c r="J14" s="54">
        <f t="shared" si="0"/>
        <v>0</v>
      </c>
      <c r="K14" s="89">
        <v>75</v>
      </c>
    </row>
    <row r="15" spans="1:11">
      <c r="A15" s="13">
        <v>11</v>
      </c>
      <c r="B15" s="28" t="s">
        <v>118</v>
      </c>
      <c r="C15" s="8" t="s">
        <v>119</v>
      </c>
      <c r="D15" s="8" t="s">
        <v>120</v>
      </c>
      <c r="E15" s="8"/>
      <c r="F15" s="28" t="s">
        <v>36</v>
      </c>
      <c r="G15" s="28">
        <v>6</v>
      </c>
      <c r="H15" s="28" t="s">
        <v>6</v>
      </c>
      <c r="I15" s="54"/>
      <c r="J15" s="54">
        <f t="shared" si="0"/>
        <v>0</v>
      </c>
      <c r="K15" s="89">
        <v>10</v>
      </c>
    </row>
    <row r="16" spans="1:11">
      <c r="A16" s="60">
        <v>12</v>
      </c>
      <c r="B16" s="28" t="s">
        <v>121</v>
      </c>
      <c r="C16" s="8" t="s">
        <v>122</v>
      </c>
      <c r="D16" s="8" t="s">
        <v>57</v>
      </c>
      <c r="E16" s="8"/>
      <c r="F16" s="28" t="s">
        <v>36</v>
      </c>
      <c r="G16" s="28">
        <v>6</v>
      </c>
      <c r="H16" s="28" t="s">
        <v>6</v>
      </c>
      <c r="I16" s="54"/>
      <c r="J16" s="54">
        <f t="shared" si="0"/>
        <v>0</v>
      </c>
      <c r="K16" s="89">
        <v>95</v>
      </c>
    </row>
    <row r="17" spans="1:11">
      <c r="A17" s="13">
        <v>13</v>
      </c>
      <c r="B17" s="28" t="s">
        <v>123</v>
      </c>
      <c r="C17" s="8" t="s">
        <v>124</v>
      </c>
      <c r="D17" s="8" t="s">
        <v>125</v>
      </c>
      <c r="E17" s="8"/>
      <c r="F17" s="28" t="s">
        <v>36</v>
      </c>
      <c r="G17" s="28">
        <v>119.245</v>
      </c>
      <c r="H17" s="28" t="s">
        <v>63</v>
      </c>
      <c r="I17" s="54"/>
      <c r="J17" s="54">
        <f t="shared" si="0"/>
        <v>0</v>
      </c>
      <c r="K17" s="89">
        <v>95</v>
      </c>
    </row>
    <row r="18" spans="1:11" ht="30">
      <c r="A18" s="13">
        <v>14</v>
      </c>
      <c r="B18" s="28" t="s">
        <v>126</v>
      </c>
      <c r="C18" s="8" t="s">
        <v>127</v>
      </c>
      <c r="D18" s="8" t="s">
        <v>57</v>
      </c>
      <c r="E18" s="8"/>
      <c r="F18" s="28" t="s">
        <v>36</v>
      </c>
      <c r="G18" s="28">
        <v>269.5</v>
      </c>
      <c r="H18" s="28" t="s">
        <v>63</v>
      </c>
      <c r="I18" s="54"/>
      <c r="J18" s="54">
        <f t="shared" si="0"/>
        <v>0</v>
      </c>
      <c r="K18" s="121" t="s">
        <v>2119</v>
      </c>
    </row>
    <row r="19" spans="1:11" ht="30">
      <c r="A19" s="60">
        <v>15</v>
      </c>
      <c r="B19" s="28" t="s">
        <v>171</v>
      </c>
      <c r="C19" s="8" t="s">
        <v>172</v>
      </c>
      <c r="D19" s="8" t="s">
        <v>173</v>
      </c>
      <c r="E19" s="8"/>
      <c r="F19" s="28" t="s">
        <v>36</v>
      </c>
      <c r="G19" s="28">
        <v>20</v>
      </c>
      <c r="H19" s="28" t="s">
        <v>6</v>
      </c>
      <c r="I19" s="54"/>
      <c r="J19" s="54">
        <f t="shared" si="0"/>
        <v>0</v>
      </c>
      <c r="K19" s="89">
        <v>42</v>
      </c>
    </row>
    <row r="20" spans="1:11" ht="30">
      <c r="A20" s="13">
        <v>16</v>
      </c>
      <c r="B20" s="28" t="s">
        <v>174</v>
      </c>
      <c r="C20" s="8" t="s">
        <v>172</v>
      </c>
      <c r="D20" s="8" t="s">
        <v>175</v>
      </c>
      <c r="E20" s="8"/>
      <c r="F20" s="28" t="s">
        <v>36</v>
      </c>
      <c r="G20" s="28">
        <v>73</v>
      </c>
      <c r="H20" s="28" t="s">
        <v>6</v>
      </c>
      <c r="I20" s="54"/>
      <c r="J20" s="54">
        <f t="shared" si="0"/>
        <v>0</v>
      </c>
      <c r="K20" s="89">
        <v>42</v>
      </c>
    </row>
    <row r="21" spans="1:11" ht="30">
      <c r="A21" s="13">
        <v>17</v>
      </c>
      <c r="B21" s="28" t="s">
        <v>176</v>
      </c>
      <c r="C21" s="8" t="s">
        <v>172</v>
      </c>
      <c r="D21" s="8" t="s">
        <v>177</v>
      </c>
      <c r="E21" s="8"/>
      <c r="F21" s="28" t="s">
        <v>36</v>
      </c>
      <c r="G21" s="28">
        <v>148</v>
      </c>
      <c r="H21" s="28" t="s">
        <v>6</v>
      </c>
      <c r="I21" s="54"/>
      <c r="J21" s="54">
        <f t="shared" si="0"/>
        <v>0</v>
      </c>
      <c r="K21" s="89">
        <v>42</v>
      </c>
    </row>
    <row r="22" spans="1:11" ht="30">
      <c r="A22" s="60">
        <v>18</v>
      </c>
      <c r="B22" s="28" t="s">
        <v>178</v>
      </c>
      <c r="C22" s="8" t="s">
        <v>179</v>
      </c>
      <c r="D22" s="8" t="s">
        <v>180</v>
      </c>
      <c r="E22" s="8"/>
      <c r="F22" s="28" t="s">
        <v>36</v>
      </c>
      <c r="G22" s="28">
        <v>2</v>
      </c>
      <c r="H22" s="28" t="s">
        <v>6</v>
      </c>
      <c r="I22" s="54"/>
      <c r="J22" s="54">
        <f t="shared" si="0"/>
        <v>0</v>
      </c>
      <c r="K22" s="89">
        <v>42</v>
      </c>
    </row>
    <row r="23" spans="1:11" ht="30">
      <c r="A23" s="13">
        <v>19</v>
      </c>
      <c r="B23" s="28" t="s">
        <v>181</v>
      </c>
      <c r="C23" s="8" t="s">
        <v>179</v>
      </c>
      <c r="D23" s="8" t="s">
        <v>182</v>
      </c>
      <c r="E23" s="8"/>
      <c r="F23" s="28" t="s">
        <v>36</v>
      </c>
      <c r="G23" s="28">
        <v>2</v>
      </c>
      <c r="H23" s="28" t="s">
        <v>6</v>
      </c>
      <c r="I23" s="54"/>
      <c r="J23" s="54">
        <f t="shared" si="0"/>
        <v>0</v>
      </c>
      <c r="K23" s="89">
        <v>42</v>
      </c>
    </row>
    <row r="24" spans="1:11">
      <c r="A24" s="13">
        <v>20</v>
      </c>
      <c r="B24" s="28" t="s">
        <v>183</v>
      </c>
      <c r="C24" s="8" t="s">
        <v>184</v>
      </c>
      <c r="D24" s="8" t="s">
        <v>185</v>
      </c>
      <c r="E24" s="8"/>
      <c r="F24" s="28" t="s">
        <v>36</v>
      </c>
      <c r="G24" s="28">
        <v>4</v>
      </c>
      <c r="H24" s="28" t="s">
        <v>6</v>
      </c>
      <c r="I24" s="54"/>
      <c r="J24" s="54">
        <f t="shared" si="0"/>
        <v>0</v>
      </c>
      <c r="K24" s="89">
        <v>74</v>
      </c>
    </row>
    <row r="25" spans="1:11">
      <c r="A25" s="60">
        <v>21</v>
      </c>
      <c r="B25" s="28" t="s">
        <v>186</v>
      </c>
      <c r="C25" s="8" t="s">
        <v>184</v>
      </c>
      <c r="D25" s="8" t="s">
        <v>187</v>
      </c>
      <c r="E25" s="8"/>
      <c r="F25" s="28" t="s">
        <v>36</v>
      </c>
      <c r="G25" s="28">
        <v>3</v>
      </c>
      <c r="H25" s="28" t="s">
        <v>6</v>
      </c>
      <c r="I25" s="54"/>
      <c r="J25" s="54">
        <f t="shared" si="0"/>
        <v>0</v>
      </c>
      <c r="K25" s="89">
        <v>74</v>
      </c>
    </row>
    <row r="26" spans="1:11">
      <c r="A26" s="13">
        <v>22</v>
      </c>
      <c r="B26" s="28" t="s">
        <v>188</v>
      </c>
      <c r="C26" s="8" t="s">
        <v>184</v>
      </c>
      <c r="D26" s="8" t="s">
        <v>189</v>
      </c>
      <c r="E26" s="8"/>
      <c r="F26" s="28" t="s">
        <v>36</v>
      </c>
      <c r="G26" s="28">
        <v>7</v>
      </c>
      <c r="H26" s="28" t="s">
        <v>6</v>
      </c>
      <c r="I26" s="54"/>
      <c r="J26" s="54">
        <f t="shared" si="0"/>
        <v>0</v>
      </c>
      <c r="K26" s="89">
        <v>74</v>
      </c>
    </row>
    <row r="27" spans="1:11">
      <c r="A27" s="13">
        <v>23</v>
      </c>
      <c r="B27" s="28" t="s">
        <v>190</v>
      </c>
      <c r="C27" s="8" t="s">
        <v>184</v>
      </c>
      <c r="D27" s="8" t="s">
        <v>191</v>
      </c>
      <c r="E27" s="8"/>
      <c r="F27" s="28" t="s">
        <v>36</v>
      </c>
      <c r="G27" s="28">
        <v>10</v>
      </c>
      <c r="H27" s="28" t="s">
        <v>6</v>
      </c>
      <c r="I27" s="54"/>
      <c r="J27" s="54">
        <f t="shared" si="0"/>
        <v>0</v>
      </c>
      <c r="K27" s="89">
        <v>74</v>
      </c>
    </row>
    <row r="28" spans="1:11" ht="30">
      <c r="A28" s="60">
        <v>24</v>
      </c>
      <c r="B28" s="63" t="s">
        <v>192</v>
      </c>
      <c r="C28" s="64" t="s">
        <v>1732</v>
      </c>
      <c r="D28" s="64" t="s">
        <v>57</v>
      </c>
      <c r="E28" s="64"/>
      <c r="F28" s="63" t="s">
        <v>36</v>
      </c>
      <c r="G28" s="63">
        <f>2+4</f>
        <v>6</v>
      </c>
      <c r="H28" s="63" t="s">
        <v>6</v>
      </c>
      <c r="I28" s="75">
        <v>3107.33</v>
      </c>
      <c r="J28" s="75">
        <f t="shared" si="0"/>
        <v>18643.98</v>
      </c>
      <c r="K28" s="89">
        <v>36</v>
      </c>
    </row>
    <row r="29" spans="1:11">
      <c r="A29" s="13">
        <v>25</v>
      </c>
      <c r="B29" s="28" t="s">
        <v>193</v>
      </c>
      <c r="C29" s="8" t="s">
        <v>194</v>
      </c>
      <c r="D29" s="8" t="s">
        <v>57</v>
      </c>
      <c r="E29" s="8"/>
      <c r="F29" s="28" t="s">
        <v>36</v>
      </c>
      <c r="G29" s="28">
        <v>2.2000000000000002</v>
      </c>
      <c r="H29" s="29" t="s">
        <v>195</v>
      </c>
      <c r="I29" s="54"/>
      <c r="J29" s="54">
        <f t="shared" si="0"/>
        <v>0</v>
      </c>
      <c r="K29" s="89">
        <v>96</v>
      </c>
    </row>
    <row r="30" spans="1:11">
      <c r="A30" s="13">
        <v>26</v>
      </c>
      <c r="B30" s="28" t="s">
        <v>232</v>
      </c>
      <c r="C30" s="8" t="s">
        <v>233</v>
      </c>
      <c r="D30" s="8" t="s">
        <v>234</v>
      </c>
      <c r="E30" s="8"/>
      <c r="F30" s="28" t="s">
        <v>36</v>
      </c>
      <c r="G30" s="28">
        <v>6</v>
      </c>
      <c r="H30" s="28" t="s">
        <v>6</v>
      </c>
      <c r="I30" s="54"/>
      <c r="J30" s="54">
        <f t="shared" si="0"/>
        <v>0</v>
      </c>
      <c r="K30" s="89">
        <v>13</v>
      </c>
    </row>
    <row r="31" spans="1:11">
      <c r="A31" s="60">
        <v>27</v>
      </c>
      <c r="B31" s="28" t="s">
        <v>249</v>
      </c>
      <c r="C31" s="8" t="s">
        <v>1733</v>
      </c>
      <c r="D31" s="8" t="s">
        <v>57</v>
      </c>
      <c r="E31" s="8"/>
      <c r="F31" s="28" t="s">
        <v>36</v>
      </c>
      <c r="G31" s="28">
        <v>6</v>
      </c>
      <c r="H31" s="28" t="s">
        <v>6</v>
      </c>
      <c r="I31" s="54"/>
      <c r="J31" s="54">
        <f t="shared" si="0"/>
        <v>0</v>
      </c>
      <c r="K31" s="89" t="s">
        <v>2116</v>
      </c>
    </row>
    <row r="32" spans="1:11">
      <c r="A32" s="13">
        <v>28</v>
      </c>
      <c r="B32" s="28" t="s">
        <v>254</v>
      </c>
      <c r="C32" s="8" t="s">
        <v>255</v>
      </c>
      <c r="D32" s="8" t="s">
        <v>256</v>
      </c>
      <c r="E32" s="8"/>
      <c r="F32" s="28" t="s">
        <v>36</v>
      </c>
      <c r="G32" s="28">
        <v>17</v>
      </c>
      <c r="H32" s="28" t="s">
        <v>6</v>
      </c>
      <c r="I32" s="54"/>
      <c r="J32" s="54">
        <f t="shared" si="0"/>
        <v>0</v>
      </c>
      <c r="K32" s="89">
        <v>74</v>
      </c>
    </row>
    <row r="33" spans="1:11">
      <c r="A33" s="13">
        <v>29</v>
      </c>
      <c r="B33" s="28" t="s">
        <v>257</v>
      </c>
      <c r="C33" s="8" t="s">
        <v>255</v>
      </c>
      <c r="D33" s="8" t="s">
        <v>189</v>
      </c>
      <c r="E33" s="8"/>
      <c r="F33" s="28" t="s">
        <v>36</v>
      </c>
      <c r="G33" s="28">
        <v>16</v>
      </c>
      <c r="H33" s="28" t="s">
        <v>6</v>
      </c>
      <c r="I33" s="54"/>
      <c r="J33" s="54">
        <f t="shared" si="0"/>
        <v>0</v>
      </c>
      <c r="K33" s="89">
        <v>74</v>
      </c>
    </row>
    <row r="34" spans="1:11">
      <c r="A34" s="60">
        <v>30</v>
      </c>
      <c r="B34" s="28" t="s">
        <v>258</v>
      </c>
      <c r="C34" s="8" t="s">
        <v>255</v>
      </c>
      <c r="D34" s="8" t="s">
        <v>259</v>
      </c>
      <c r="E34" s="8"/>
      <c r="F34" s="28" t="s">
        <v>36</v>
      </c>
      <c r="G34" s="28">
        <v>8</v>
      </c>
      <c r="H34" s="28" t="s">
        <v>6</v>
      </c>
      <c r="I34" s="54"/>
      <c r="J34" s="54">
        <f t="shared" si="0"/>
        <v>0</v>
      </c>
      <c r="K34" s="89">
        <v>74</v>
      </c>
    </row>
    <row r="35" spans="1:11" ht="30">
      <c r="A35" s="13">
        <v>31</v>
      </c>
      <c r="B35" s="28" t="s">
        <v>260</v>
      </c>
      <c r="C35" s="8" t="s">
        <v>261</v>
      </c>
      <c r="D35" s="8" t="s">
        <v>262</v>
      </c>
      <c r="E35" s="8"/>
      <c r="F35" s="28" t="s">
        <v>36</v>
      </c>
      <c r="G35" s="28">
        <v>280</v>
      </c>
      <c r="H35" s="28" t="s">
        <v>6</v>
      </c>
      <c r="I35" s="54"/>
      <c r="J35" s="54">
        <f t="shared" si="0"/>
        <v>0</v>
      </c>
      <c r="K35" s="89">
        <v>42</v>
      </c>
    </row>
    <row r="36" spans="1:11" ht="30">
      <c r="A36" s="13">
        <v>32</v>
      </c>
      <c r="B36" s="28" t="s">
        <v>263</v>
      </c>
      <c r="C36" s="8" t="s">
        <v>261</v>
      </c>
      <c r="D36" s="8" t="s">
        <v>264</v>
      </c>
      <c r="E36" s="8"/>
      <c r="F36" s="28" t="s">
        <v>36</v>
      </c>
      <c r="G36" s="28">
        <v>23</v>
      </c>
      <c r="H36" s="28" t="s">
        <v>6</v>
      </c>
      <c r="I36" s="54"/>
      <c r="J36" s="54">
        <f t="shared" si="0"/>
        <v>0</v>
      </c>
      <c r="K36" s="89">
        <v>42</v>
      </c>
    </row>
    <row r="37" spans="1:11" ht="30">
      <c r="A37" s="60">
        <v>33</v>
      </c>
      <c r="B37" s="28" t="s">
        <v>265</v>
      </c>
      <c r="C37" s="8" t="s">
        <v>261</v>
      </c>
      <c r="D37" s="8" t="s">
        <v>266</v>
      </c>
      <c r="E37" s="8"/>
      <c r="F37" s="28" t="s">
        <v>36</v>
      </c>
      <c r="G37" s="28">
        <v>13</v>
      </c>
      <c r="H37" s="28" t="s">
        <v>6</v>
      </c>
      <c r="I37" s="54"/>
      <c r="J37" s="54">
        <f t="shared" si="0"/>
        <v>0</v>
      </c>
      <c r="K37" s="89">
        <v>42</v>
      </c>
    </row>
    <row r="38" spans="1:11" ht="30">
      <c r="A38" s="13">
        <v>34</v>
      </c>
      <c r="B38" s="28" t="s">
        <v>267</v>
      </c>
      <c r="C38" s="8" t="s">
        <v>268</v>
      </c>
      <c r="D38" s="8" t="s">
        <v>269</v>
      </c>
      <c r="E38" s="8"/>
      <c r="F38" s="28" t="s">
        <v>36</v>
      </c>
      <c r="G38" s="28">
        <v>19</v>
      </c>
      <c r="H38" s="28" t="s">
        <v>6</v>
      </c>
      <c r="I38" s="54"/>
      <c r="J38" s="54">
        <f t="shared" si="0"/>
        <v>0</v>
      </c>
      <c r="K38" s="89">
        <v>42</v>
      </c>
    </row>
    <row r="39" spans="1:11" ht="30">
      <c r="A39" s="13">
        <v>35</v>
      </c>
      <c r="B39" s="28" t="s">
        <v>270</v>
      </c>
      <c r="C39" s="8" t="s">
        <v>271</v>
      </c>
      <c r="D39" s="8" t="s">
        <v>272</v>
      </c>
      <c r="E39" s="8"/>
      <c r="F39" s="28" t="s">
        <v>36</v>
      </c>
      <c r="G39" s="28">
        <v>21</v>
      </c>
      <c r="H39" s="28" t="s">
        <v>6</v>
      </c>
      <c r="I39" s="54"/>
      <c r="J39" s="54">
        <f t="shared" ref="J39:J70" si="1">G39*I39</f>
        <v>0</v>
      </c>
      <c r="K39" s="89">
        <v>14</v>
      </c>
    </row>
    <row r="40" spans="1:11" ht="30">
      <c r="A40" s="60">
        <v>36</v>
      </c>
      <c r="B40" s="28" t="s">
        <v>273</v>
      </c>
      <c r="C40" s="8" t="s">
        <v>271</v>
      </c>
      <c r="D40" s="8" t="s">
        <v>274</v>
      </c>
      <c r="E40" s="8"/>
      <c r="F40" s="28" t="s">
        <v>36</v>
      </c>
      <c r="G40" s="28">
        <v>25</v>
      </c>
      <c r="H40" s="28" t="s">
        <v>6</v>
      </c>
      <c r="I40" s="54"/>
      <c r="J40" s="54">
        <f t="shared" si="1"/>
        <v>0</v>
      </c>
      <c r="K40" s="89">
        <v>14</v>
      </c>
    </row>
    <row r="41" spans="1:11">
      <c r="A41" s="13">
        <v>37</v>
      </c>
      <c r="B41" s="28" t="s">
        <v>275</v>
      </c>
      <c r="C41" s="8" t="s">
        <v>276</v>
      </c>
      <c r="D41" s="8" t="s">
        <v>277</v>
      </c>
      <c r="E41" s="8"/>
      <c r="F41" s="28" t="s">
        <v>36</v>
      </c>
      <c r="G41" s="28">
        <v>17</v>
      </c>
      <c r="H41" s="28" t="s">
        <v>6</v>
      </c>
      <c r="I41" s="54"/>
      <c r="J41" s="54">
        <f t="shared" si="1"/>
        <v>0</v>
      </c>
      <c r="K41" s="89">
        <v>96</v>
      </c>
    </row>
    <row r="42" spans="1:11" ht="30">
      <c r="A42" s="13">
        <v>38</v>
      </c>
      <c r="B42" s="28" t="s">
        <v>278</v>
      </c>
      <c r="C42" s="8" t="s">
        <v>276</v>
      </c>
      <c r="D42" s="8" t="s">
        <v>279</v>
      </c>
      <c r="E42" s="8"/>
      <c r="F42" s="28" t="s">
        <v>36</v>
      </c>
      <c r="G42" s="28">
        <v>31</v>
      </c>
      <c r="H42" s="28" t="s">
        <v>6</v>
      </c>
      <c r="I42" s="54"/>
      <c r="J42" s="54">
        <f t="shared" si="1"/>
        <v>0</v>
      </c>
      <c r="K42" s="89">
        <v>96</v>
      </c>
    </row>
    <row r="43" spans="1:11" ht="30">
      <c r="A43" s="60">
        <v>39</v>
      </c>
      <c r="B43" s="28" t="s">
        <v>280</v>
      </c>
      <c r="C43" s="8" t="s">
        <v>276</v>
      </c>
      <c r="D43" s="8" t="s">
        <v>281</v>
      </c>
      <c r="E43" s="8"/>
      <c r="F43" s="28" t="s">
        <v>36</v>
      </c>
      <c r="G43" s="28">
        <v>4</v>
      </c>
      <c r="H43" s="28" t="s">
        <v>6</v>
      </c>
      <c r="I43" s="54"/>
      <c r="J43" s="54">
        <f t="shared" si="1"/>
        <v>0</v>
      </c>
      <c r="K43" s="89">
        <v>96</v>
      </c>
    </row>
    <row r="44" spans="1:11">
      <c r="A44" s="13">
        <v>40</v>
      </c>
      <c r="B44" s="28" t="s">
        <v>282</v>
      </c>
      <c r="C44" s="8" t="s">
        <v>1734</v>
      </c>
      <c r="D44" s="8" t="s">
        <v>80</v>
      </c>
      <c r="E44" s="8"/>
      <c r="F44" s="28" t="s">
        <v>36</v>
      </c>
      <c r="G44" s="28">
        <v>40</v>
      </c>
      <c r="H44" s="28" t="s">
        <v>6</v>
      </c>
      <c r="I44" s="54"/>
      <c r="J44" s="54">
        <f t="shared" si="1"/>
        <v>0</v>
      </c>
      <c r="K44" s="89" t="s">
        <v>2115</v>
      </c>
    </row>
    <row r="45" spans="1:11" ht="30">
      <c r="A45" s="13">
        <v>41</v>
      </c>
      <c r="B45" s="28" t="s">
        <v>283</v>
      </c>
      <c r="C45" s="8" t="s">
        <v>1735</v>
      </c>
      <c r="D45" s="8" t="s">
        <v>284</v>
      </c>
      <c r="E45" s="8"/>
      <c r="F45" s="28" t="s">
        <v>36</v>
      </c>
      <c r="G45" s="28">
        <v>2</v>
      </c>
      <c r="H45" s="28" t="s">
        <v>6</v>
      </c>
      <c r="I45" s="54"/>
      <c r="J45" s="54">
        <f t="shared" si="1"/>
        <v>0</v>
      </c>
      <c r="K45" s="89">
        <v>43</v>
      </c>
    </row>
    <row r="46" spans="1:11">
      <c r="A46" s="60">
        <v>42</v>
      </c>
      <c r="B46" s="28" t="s">
        <v>285</v>
      </c>
      <c r="C46" s="8" t="s">
        <v>286</v>
      </c>
      <c r="D46" s="8" t="s">
        <v>57</v>
      </c>
      <c r="E46" s="8"/>
      <c r="F46" s="28" t="s">
        <v>36</v>
      </c>
      <c r="G46" s="28">
        <v>12</v>
      </c>
      <c r="H46" s="28" t="s">
        <v>6</v>
      </c>
      <c r="I46" s="54"/>
      <c r="J46" s="54">
        <f t="shared" si="1"/>
        <v>0</v>
      </c>
      <c r="K46" s="89">
        <v>43</v>
      </c>
    </row>
    <row r="47" spans="1:11" ht="30">
      <c r="A47" s="13">
        <v>43</v>
      </c>
      <c r="B47" s="28" t="s">
        <v>294</v>
      </c>
      <c r="C47" s="8" t="s">
        <v>295</v>
      </c>
      <c r="D47" s="8" t="s">
        <v>296</v>
      </c>
      <c r="E47" s="8"/>
      <c r="F47" s="28" t="s">
        <v>36</v>
      </c>
      <c r="G47" s="28">
        <v>4</v>
      </c>
      <c r="H47" s="28" t="s">
        <v>6</v>
      </c>
      <c r="I47" s="54"/>
      <c r="J47" s="54">
        <f t="shared" si="1"/>
        <v>0</v>
      </c>
      <c r="K47" s="89">
        <v>93</v>
      </c>
    </row>
    <row r="48" spans="1:11">
      <c r="A48" s="13">
        <v>44</v>
      </c>
      <c r="B48" s="28" t="s">
        <v>297</v>
      </c>
      <c r="C48" s="8" t="s">
        <v>298</v>
      </c>
      <c r="D48" s="8" t="s">
        <v>299</v>
      </c>
      <c r="E48" s="8"/>
      <c r="F48" s="28" t="s">
        <v>36</v>
      </c>
      <c r="G48" s="62">
        <v>37.15</v>
      </c>
      <c r="H48" s="28" t="s">
        <v>63</v>
      </c>
      <c r="I48" s="54"/>
      <c r="J48" s="54">
        <f t="shared" si="1"/>
        <v>0</v>
      </c>
      <c r="K48" s="89">
        <v>94</v>
      </c>
    </row>
    <row r="49" spans="1:11">
      <c r="A49" s="60">
        <v>45</v>
      </c>
      <c r="B49" s="28" t="s">
        <v>300</v>
      </c>
      <c r="C49" s="8" t="s">
        <v>298</v>
      </c>
      <c r="D49" s="8" t="s">
        <v>301</v>
      </c>
      <c r="E49" s="8"/>
      <c r="F49" s="28" t="s">
        <v>36</v>
      </c>
      <c r="G49" s="62">
        <v>30.56</v>
      </c>
      <c r="H49" s="28" t="s">
        <v>63</v>
      </c>
      <c r="I49" s="54"/>
      <c r="J49" s="54">
        <f t="shared" si="1"/>
        <v>0</v>
      </c>
      <c r="K49" s="89">
        <v>94</v>
      </c>
    </row>
    <row r="50" spans="1:11">
      <c r="A50" s="13">
        <v>46</v>
      </c>
      <c r="B50" s="28" t="s">
        <v>302</v>
      </c>
      <c r="C50" s="8" t="s">
        <v>303</v>
      </c>
      <c r="D50" s="8" t="s">
        <v>304</v>
      </c>
      <c r="E50" s="8"/>
      <c r="F50" s="28" t="s">
        <v>36</v>
      </c>
      <c r="G50" s="28">
        <v>8</v>
      </c>
      <c r="H50" s="28" t="s">
        <v>6</v>
      </c>
      <c r="I50" s="54"/>
      <c r="J50" s="54">
        <f t="shared" si="1"/>
        <v>0</v>
      </c>
      <c r="K50" s="89">
        <v>43</v>
      </c>
    </row>
    <row r="51" spans="1:11">
      <c r="A51" s="13">
        <v>47</v>
      </c>
      <c r="B51" s="28" t="s">
        <v>305</v>
      </c>
      <c r="C51" s="8" t="s">
        <v>306</v>
      </c>
      <c r="D51" s="8" t="s">
        <v>307</v>
      </c>
      <c r="E51" s="8"/>
      <c r="F51" s="28" t="s">
        <v>36</v>
      </c>
      <c r="G51" s="28">
        <v>4</v>
      </c>
      <c r="H51" s="28" t="s">
        <v>6</v>
      </c>
      <c r="I51" s="54"/>
      <c r="J51" s="54">
        <f t="shared" si="1"/>
        <v>0</v>
      </c>
      <c r="K51" s="89">
        <v>43</v>
      </c>
    </row>
    <row r="52" spans="1:11">
      <c r="A52" s="60">
        <v>48</v>
      </c>
      <c r="B52" s="28" t="s">
        <v>308</v>
      </c>
      <c r="C52" s="8" t="s">
        <v>306</v>
      </c>
      <c r="D52" s="8" t="s">
        <v>309</v>
      </c>
      <c r="E52" s="8"/>
      <c r="F52" s="28" t="s">
        <v>36</v>
      </c>
      <c r="G52" s="28">
        <v>2</v>
      </c>
      <c r="H52" s="28" t="s">
        <v>6</v>
      </c>
      <c r="I52" s="54"/>
      <c r="J52" s="54">
        <f t="shared" si="1"/>
        <v>0</v>
      </c>
      <c r="K52" s="89">
        <v>43</v>
      </c>
    </row>
    <row r="53" spans="1:11" ht="30">
      <c r="A53" s="13">
        <v>49</v>
      </c>
      <c r="B53" s="28" t="s">
        <v>310</v>
      </c>
      <c r="C53" s="8" t="s">
        <v>311</v>
      </c>
      <c r="D53" s="8" t="s">
        <v>57</v>
      </c>
      <c r="E53" s="8"/>
      <c r="F53" s="28" t="s">
        <v>36</v>
      </c>
      <c r="G53" s="28">
        <v>295</v>
      </c>
      <c r="H53" s="28" t="s">
        <v>6</v>
      </c>
      <c r="I53" s="54"/>
      <c r="J53" s="54">
        <f t="shared" si="1"/>
        <v>0</v>
      </c>
      <c r="K53" s="89">
        <v>71</v>
      </c>
    </row>
    <row r="54" spans="1:11">
      <c r="A54" s="13">
        <v>50</v>
      </c>
      <c r="B54" s="28" t="s">
        <v>312</v>
      </c>
      <c r="C54" s="8" t="s">
        <v>1736</v>
      </c>
      <c r="D54" s="8" t="s">
        <v>57</v>
      </c>
      <c r="E54" s="8"/>
      <c r="F54" s="28" t="s">
        <v>36</v>
      </c>
      <c r="G54" s="28">
        <v>2</v>
      </c>
      <c r="H54" s="28" t="s">
        <v>6</v>
      </c>
      <c r="I54" s="54"/>
      <c r="J54" s="54">
        <f t="shared" si="1"/>
        <v>0</v>
      </c>
      <c r="K54" s="89">
        <v>71</v>
      </c>
    </row>
    <row r="55" spans="1:11" ht="30">
      <c r="A55" s="60">
        <v>51</v>
      </c>
      <c r="B55" s="28" t="s">
        <v>315</v>
      </c>
      <c r="C55" s="8" t="s">
        <v>1737</v>
      </c>
      <c r="D55" s="8" t="s">
        <v>57</v>
      </c>
      <c r="E55" s="8"/>
      <c r="F55" s="28" t="s">
        <v>36</v>
      </c>
      <c r="G55" s="28">
        <v>8</v>
      </c>
      <c r="H55" s="28" t="s">
        <v>6</v>
      </c>
      <c r="I55" s="54"/>
      <c r="J55" s="54">
        <f t="shared" si="1"/>
        <v>0</v>
      </c>
      <c r="K55" s="89">
        <v>72</v>
      </c>
    </row>
    <row r="56" spans="1:11">
      <c r="A56" s="13">
        <v>52</v>
      </c>
      <c r="B56" s="28" t="s">
        <v>316</v>
      </c>
      <c r="C56" s="8" t="s">
        <v>1738</v>
      </c>
      <c r="D56" s="8" t="s">
        <v>57</v>
      </c>
      <c r="E56" s="8"/>
      <c r="F56" s="28" t="s">
        <v>36</v>
      </c>
      <c r="G56" s="28">
        <v>7</v>
      </c>
      <c r="H56" s="28" t="s">
        <v>6</v>
      </c>
      <c r="I56" s="54"/>
      <c r="J56" s="54">
        <f t="shared" si="1"/>
        <v>0</v>
      </c>
      <c r="K56" s="89">
        <v>72</v>
      </c>
    </row>
    <row r="57" spans="1:11" ht="30">
      <c r="A57" s="13">
        <v>53</v>
      </c>
      <c r="B57" s="28" t="s">
        <v>317</v>
      </c>
      <c r="C57" s="8" t="s">
        <v>306</v>
      </c>
      <c r="D57" s="8" t="s">
        <v>318</v>
      </c>
      <c r="E57" s="8"/>
      <c r="F57" s="28" t="s">
        <v>36</v>
      </c>
      <c r="G57" s="28">
        <v>4</v>
      </c>
      <c r="H57" s="28" t="s">
        <v>6</v>
      </c>
      <c r="I57" s="54"/>
      <c r="J57" s="54">
        <f t="shared" si="1"/>
        <v>0</v>
      </c>
      <c r="K57" s="89">
        <v>43</v>
      </c>
    </row>
    <row r="58" spans="1:11">
      <c r="A58" s="60">
        <v>54</v>
      </c>
      <c r="B58" s="28" t="s">
        <v>321</v>
      </c>
      <c r="C58" s="8" t="s">
        <v>322</v>
      </c>
      <c r="D58" s="8" t="s">
        <v>323</v>
      </c>
      <c r="E58" s="8"/>
      <c r="F58" s="28" t="s">
        <v>36</v>
      </c>
      <c r="G58" s="28">
        <v>45</v>
      </c>
      <c r="H58" s="28" t="s">
        <v>6</v>
      </c>
      <c r="I58" s="54"/>
      <c r="J58" s="54">
        <f t="shared" si="1"/>
        <v>0</v>
      </c>
      <c r="K58" s="89">
        <v>43</v>
      </c>
    </row>
    <row r="59" spans="1:11">
      <c r="A59" s="13">
        <v>55</v>
      </c>
      <c r="B59" s="28" t="s">
        <v>324</v>
      </c>
      <c r="C59" s="8" t="s">
        <v>1739</v>
      </c>
      <c r="D59" s="8" t="s">
        <v>57</v>
      </c>
      <c r="E59" s="8"/>
      <c r="F59" s="28" t="s">
        <v>36</v>
      </c>
      <c r="G59" s="28">
        <v>9</v>
      </c>
      <c r="H59" s="28" t="s">
        <v>6</v>
      </c>
      <c r="I59" s="54"/>
      <c r="J59" s="54">
        <f t="shared" si="1"/>
        <v>0</v>
      </c>
      <c r="K59" s="89">
        <v>73</v>
      </c>
    </row>
    <row r="60" spans="1:11">
      <c r="A60" s="13">
        <v>56</v>
      </c>
      <c r="B60" s="28" t="s">
        <v>325</v>
      </c>
      <c r="C60" s="8" t="s">
        <v>1740</v>
      </c>
      <c r="D60" s="8" t="s">
        <v>57</v>
      </c>
      <c r="E60" s="8"/>
      <c r="F60" s="28" t="s">
        <v>36</v>
      </c>
      <c r="G60" s="28">
        <v>14</v>
      </c>
      <c r="H60" s="28" t="s">
        <v>6</v>
      </c>
      <c r="I60" s="54"/>
      <c r="J60" s="54">
        <f t="shared" si="1"/>
        <v>0</v>
      </c>
      <c r="K60" s="89">
        <v>73</v>
      </c>
    </row>
    <row r="61" spans="1:11">
      <c r="A61" s="60">
        <v>57</v>
      </c>
      <c r="B61" s="28" t="s">
        <v>326</v>
      </c>
      <c r="C61" s="8" t="s">
        <v>327</v>
      </c>
      <c r="D61" s="8" t="s">
        <v>328</v>
      </c>
      <c r="E61" s="8"/>
      <c r="F61" s="28" t="s">
        <v>36</v>
      </c>
      <c r="G61" s="28">
        <v>22</v>
      </c>
      <c r="H61" s="28" t="s">
        <v>6</v>
      </c>
      <c r="I61" s="54"/>
      <c r="J61" s="54">
        <f t="shared" si="1"/>
        <v>0</v>
      </c>
      <c r="K61" s="89">
        <v>35</v>
      </c>
    </row>
    <row r="62" spans="1:11">
      <c r="A62" s="13">
        <v>58</v>
      </c>
      <c r="B62" s="28" t="s">
        <v>329</v>
      </c>
      <c r="C62" s="8" t="s">
        <v>54</v>
      </c>
      <c r="D62" s="8" t="s">
        <v>330</v>
      </c>
      <c r="E62" s="8"/>
      <c r="F62" s="28" t="s">
        <v>36</v>
      </c>
      <c r="G62" s="28">
        <v>11</v>
      </c>
      <c r="H62" s="28" t="s">
        <v>6</v>
      </c>
      <c r="I62" s="54"/>
      <c r="J62" s="54">
        <f t="shared" si="1"/>
        <v>0</v>
      </c>
      <c r="K62" s="89">
        <v>35</v>
      </c>
    </row>
    <row r="63" spans="1:11">
      <c r="A63" s="13">
        <v>59</v>
      </c>
      <c r="B63" s="28" t="s">
        <v>331</v>
      </c>
      <c r="C63" s="8" t="s">
        <v>54</v>
      </c>
      <c r="D63" s="8" t="s">
        <v>332</v>
      </c>
      <c r="E63" s="8"/>
      <c r="F63" s="28" t="s">
        <v>36</v>
      </c>
      <c r="G63" s="28">
        <v>1</v>
      </c>
      <c r="H63" s="28" t="s">
        <v>6</v>
      </c>
      <c r="I63" s="54"/>
      <c r="J63" s="54">
        <f t="shared" si="1"/>
        <v>0</v>
      </c>
      <c r="K63" s="89">
        <v>35</v>
      </c>
    </row>
    <row r="64" spans="1:11">
      <c r="A64" s="60">
        <v>60</v>
      </c>
      <c r="B64" s="28" t="s">
        <v>333</v>
      </c>
      <c r="C64" s="8" t="s">
        <v>54</v>
      </c>
      <c r="D64" s="8" t="s">
        <v>334</v>
      </c>
      <c r="E64" s="8"/>
      <c r="F64" s="28" t="s">
        <v>36</v>
      </c>
      <c r="G64" s="28">
        <v>5</v>
      </c>
      <c r="H64" s="28" t="s">
        <v>6</v>
      </c>
      <c r="I64" s="54"/>
      <c r="J64" s="54">
        <f t="shared" si="1"/>
        <v>0</v>
      </c>
      <c r="K64" s="89">
        <v>35</v>
      </c>
    </row>
    <row r="65" spans="1:11">
      <c r="A65" s="13">
        <v>61</v>
      </c>
      <c r="B65" s="28" t="s">
        <v>338</v>
      </c>
      <c r="C65" s="8" t="s">
        <v>339</v>
      </c>
      <c r="D65" s="8" t="s">
        <v>57</v>
      </c>
      <c r="E65" s="8"/>
      <c r="F65" s="28" t="s">
        <v>36</v>
      </c>
      <c r="G65" s="28">
        <v>1</v>
      </c>
      <c r="H65" s="28" t="s">
        <v>6</v>
      </c>
      <c r="I65" s="54"/>
      <c r="J65" s="54">
        <f t="shared" si="1"/>
        <v>0</v>
      </c>
      <c r="K65" s="89">
        <v>93</v>
      </c>
    </row>
    <row r="66" spans="1:11">
      <c r="A66" s="13">
        <v>62</v>
      </c>
      <c r="B66" s="28" t="s">
        <v>340</v>
      </c>
      <c r="C66" s="8" t="s">
        <v>341</v>
      </c>
      <c r="D66" s="8" t="s">
        <v>57</v>
      </c>
      <c r="E66" s="8"/>
      <c r="F66" s="28" t="s">
        <v>36</v>
      </c>
      <c r="G66" s="28">
        <v>1</v>
      </c>
      <c r="H66" s="28" t="s">
        <v>6</v>
      </c>
      <c r="I66" s="54"/>
      <c r="J66" s="54">
        <f t="shared" si="1"/>
        <v>0</v>
      </c>
      <c r="K66" s="89">
        <v>43</v>
      </c>
    </row>
    <row r="67" spans="1:11">
      <c r="A67" s="60">
        <v>63</v>
      </c>
      <c r="B67" s="28" t="s">
        <v>344</v>
      </c>
      <c r="C67" s="8" t="s">
        <v>345</v>
      </c>
      <c r="D67" s="8" t="s">
        <v>57</v>
      </c>
      <c r="E67" s="8"/>
      <c r="F67" s="28" t="s">
        <v>36</v>
      </c>
      <c r="G67" s="28">
        <v>2</v>
      </c>
      <c r="H67" s="28" t="s">
        <v>6</v>
      </c>
      <c r="I67" s="54"/>
      <c r="J67" s="54">
        <f t="shared" si="1"/>
        <v>0</v>
      </c>
      <c r="K67" s="89">
        <v>43</v>
      </c>
    </row>
    <row r="68" spans="1:11" ht="30">
      <c r="A68" s="13">
        <v>64</v>
      </c>
      <c r="B68" s="28" t="s">
        <v>346</v>
      </c>
      <c r="C68" s="8" t="s">
        <v>1741</v>
      </c>
      <c r="D68" s="8" t="s">
        <v>347</v>
      </c>
      <c r="E68" s="8"/>
      <c r="F68" s="28" t="s">
        <v>36</v>
      </c>
      <c r="G68" s="28">
        <v>2</v>
      </c>
      <c r="H68" s="28" t="s">
        <v>6</v>
      </c>
      <c r="I68" s="54"/>
      <c r="J68" s="54">
        <f t="shared" si="1"/>
        <v>0</v>
      </c>
      <c r="K68" s="89" t="s">
        <v>2115</v>
      </c>
    </row>
    <row r="69" spans="1:11" ht="30">
      <c r="A69" s="13">
        <v>65</v>
      </c>
      <c r="B69" s="28" t="s">
        <v>348</v>
      </c>
      <c r="C69" s="8" t="s">
        <v>349</v>
      </c>
      <c r="D69" s="8" t="s">
        <v>350</v>
      </c>
      <c r="E69" s="8"/>
      <c r="F69" s="28" t="s">
        <v>36</v>
      </c>
      <c r="G69" s="28">
        <v>4</v>
      </c>
      <c r="H69" s="28" t="s">
        <v>6</v>
      </c>
      <c r="I69" s="54"/>
      <c r="J69" s="54">
        <f t="shared" si="1"/>
        <v>0</v>
      </c>
      <c r="K69" s="89">
        <v>75</v>
      </c>
    </row>
    <row r="70" spans="1:11" ht="30">
      <c r="A70" s="60">
        <v>66</v>
      </c>
      <c r="B70" s="28" t="s">
        <v>351</v>
      </c>
      <c r="C70" s="8" t="s">
        <v>352</v>
      </c>
      <c r="D70" s="8" t="s">
        <v>353</v>
      </c>
      <c r="E70" s="8"/>
      <c r="F70" s="28" t="s">
        <v>36</v>
      </c>
      <c r="G70" s="28">
        <v>7</v>
      </c>
      <c r="H70" s="28" t="s">
        <v>6</v>
      </c>
      <c r="I70" s="54"/>
      <c r="J70" s="54">
        <f t="shared" si="1"/>
        <v>0</v>
      </c>
      <c r="K70" s="89">
        <v>3</v>
      </c>
    </row>
    <row r="71" spans="1:11" ht="45">
      <c r="A71" s="13">
        <v>67</v>
      </c>
      <c r="B71" s="63" t="s">
        <v>355</v>
      </c>
      <c r="C71" s="64" t="s">
        <v>356</v>
      </c>
      <c r="D71" s="64" t="s">
        <v>57</v>
      </c>
      <c r="E71" s="64"/>
      <c r="F71" s="63" t="s">
        <v>36</v>
      </c>
      <c r="G71" s="63">
        <v>2</v>
      </c>
      <c r="H71" s="63" t="s">
        <v>357</v>
      </c>
      <c r="I71" s="75"/>
      <c r="J71" s="75">
        <f t="shared" ref="J71:J103" si="2">G71*I71</f>
        <v>0</v>
      </c>
      <c r="K71" s="89" t="s">
        <v>2115</v>
      </c>
    </row>
    <row r="72" spans="1:11">
      <c r="A72" s="13">
        <v>68</v>
      </c>
      <c r="B72" s="28" t="s">
        <v>358</v>
      </c>
      <c r="C72" s="8" t="s">
        <v>1743</v>
      </c>
      <c r="D72" s="8" t="s">
        <v>57</v>
      </c>
      <c r="E72" s="8"/>
      <c r="F72" s="28" t="s">
        <v>36</v>
      </c>
      <c r="G72" s="28">
        <v>2</v>
      </c>
      <c r="H72" s="28" t="s">
        <v>6</v>
      </c>
      <c r="I72" s="54"/>
      <c r="J72" s="54">
        <f t="shared" si="2"/>
        <v>0</v>
      </c>
      <c r="K72" s="89">
        <v>12</v>
      </c>
    </row>
    <row r="73" spans="1:11">
      <c r="A73" s="60">
        <v>69</v>
      </c>
      <c r="B73" s="28" t="s">
        <v>359</v>
      </c>
      <c r="C73" s="8" t="s">
        <v>1742</v>
      </c>
      <c r="D73" s="8" t="s">
        <v>360</v>
      </c>
      <c r="E73" s="8"/>
      <c r="F73" s="28" t="s">
        <v>36</v>
      </c>
      <c r="G73" s="28">
        <v>2</v>
      </c>
      <c r="H73" s="28" t="s">
        <v>6</v>
      </c>
      <c r="I73" s="54"/>
      <c r="J73" s="54">
        <f t="shared" si="2"/>
        <v>0</v>
      </c>
      <c r="K73" s="89">
        <v>93</v>
      </c>
    </row>
    <row r="74" spans="1:11">
      <c r="A74" s="13">
        <v>70</v>
      </c>
      <c r="B74" s="28" t="s">
        <v>362</v>
      </c>
      <c r="C74" s="8" t="s">
        <v>363</v>
      </c>
      <c r="D74" s="8" t="s">
        <v>364</v>
      </c>
      <c r="E74" s="8"/>
      <c r="F74" s="28" t="s">
        <v>36</v>
      </c>
      <c r="G74" s="28">
        <v>30</v>
      </c>
      <c r="H74" s="28" t="s">
        <v>6</v>
      </c>
      <c r="I74" s="54"/>
      <c r="J74" s="54">
        <f t="shared" si="2"/>
        <v>0</v>
      </c>
      <c r="K74" s="89">
        <v>12</v>
      </c>
    </row>
    <row r="75" spans="1:11">
      <c r="A75" s="13">
        <v>71</v>
      </c>
      <c r="B75" s="28" t="s">
        <v>366</v>
      </c>
      <c r="C75" s="8" t="s">
        <v>367</v>
      </c>
      <c r="D75" s="8" t="s">
        <v>368</v>
      </c>
      <c r="E75" s="8"/>
      <c r="F75" s="28" t="s">
        <v>36</v>
      </c>
      <c r="G75" s="28">
        <v>4</v>
      </c>
      <c r="H75" s="28" t="s">
        <v>6</v>
      </c>
      <c r="I75" s="54"/>
      <c r="J75" s="54">
        <f t="shared" si="2"/>
        <v>0</v>
      </c>
      <c r="K75" s="89">
        <v>21</v>
      </c>
    </row>
    <row r="76" spans="1:11">
      <c r="A76" s="60">
        <v>72</v>
      </c>
      <c r="B76" s="28" t="s">
        <v>369</v>
      </c>
      <c r="C76" s="8" t="s">
        <v>367</v>
      </c>
      <c r="D76" s="8" t="s">
        <v>370</v>
      </c>
      <c r="E76" s="8"/>
      <c r="F76" s="28" t="s">
        <v>36</v>
      </c>
      <c r="G76" s="28">
        <v>5</v>
      </c>
      <c r="H76" s="28" t="s">
        <v>6</v>
      </c>
      <c r="I76" s="54"/>
      <c r="J76" s="54">
        <f t="shared" si="2"/>
        <v>0</v>
      </c>
      <c r="K76" s="89">
        <v>21</v>
      </c>
    </row>
    <row r="77" spans="1:11">
      <c r="A77" s="13">
        <v>73</v>
      </c>
      <c r="B77" s="28" t="s">
        <v>371</v>
      </c>
      <c r="C77" s="8" t="s">
        <v>367</v>
      </c>
      <c r="D77" s="8" t="s">
        <v>372</v>
      </c>
      <c r="E77" s="8"/>
      <c r="F77" s="28" t="s">
        <v>36</v>
      </c>
      <c r="G77" s="28">
        <v>2</v>
      </c>
      <c r="H77" s="28" t="s">
        <v>6</v>
      </c>
      <c r="I77" s="54"/>
      <c r="J77" s="54">
        <f t="shared" si="2"/>
        <v>0</v>
      </c>
      <c r="K77" s="89">
        <v>21</v>
      </c>
    </row>
    <row r="78" spans="1:11">
      <c r="A78" s="13">
        <v>74</v>
      </c>
      <c r="B78" s="28" t="s">
        <v>373</v>
      </c>
      <c r="C78" s="8" t="s">
        <v>367</v>
      </c>
      <c r="D78" s="8" t="s">
        <v>374</v>
      </c>
      <c r="E78" s="8"/>
      <c r="F78" s="28" t="s">
        <v>36</v>
      </c>
      <c r="G78" s="28">
        <v>3</v>
      </c>
      <c r="H78" s="28" t="s">
        <v>6</v>
      </c>
      <c r="I78" s="54"/>
      <c r="J78" s="54">
        <f t="shared" si="2"/>
        <v>0</v>
      </c>
      <c r="K78" s="89">
        <v>21</v>
      </c>
    </row>
    <row r="79" spans="1:11">
      <c r="A79" s="60">
        <v>75</v>
      </c>
      <c r="B79" s="28" t="s">
        <v>375</v>
      </c>
      <c r="C79" s="8" t="s">
        <v>367</v>
      </c>
      <c r="D79" s="8" t="s">
        <v>376</v>
      </c>
      <c r="E79" s="8"/>
      <c r="F79" s="28" t="s">
        <v>36</v>
      </c>
      <c r="G79" s="28">
        <v>4</v>
      </c>
      <c r="H79" s="28" t="s">
        <v>6</v>
      </c>
      <c r="I79" s="54"/>
      <c r="J79" s="54">
        <f t="shared" si="2"/>
        <v>0</v>
      </c>
      <c r="K79" s="89">
        <v>21</v>
      </c>
    </row>
    <row r="80" spans="1:11">
      <c r="A80" s="13">
        <v>76</v>
      </c>
      <c r="B80" s="28" t="s">
        <v>377</v>
      </c>
      <c r="C80" s="8" t="s">
        <v>365</v>
      </c>
      <c r="D80" s="8" t="s">
        <v>378</v>
      </c>
      <c r="E80" s="8"/>
      <c r="F80" s="28" t="s">
        <v>36</v>
      </c>
      <c r="G80" s="28">
        <v>4</v>
      </c>
      <c r="H80" s="28" t="s">
        <v>6</v>
      </c>
      <c r="I80" s="54"/>
      <c r="J80" s="54">
        <f t="shared" si="2"/>
        <v>0</v>
      </c>
      <c r="K80" s="89">
        <v>93</v>
      </c>
    </row>
    <row r="81" spans="1:11">
      <c r="A81" s="13">
        <v>77</v>
      </c>
      <c r="B81" s="28" t="s">
        <v>379</v>
      </c>
      <c r="C81" s="8" t="s">
        <v>380</v>
      </c>
      <c r="D81" s="8" t="s">
        <v>57</v>
      </c>
      <c r="E81" s="8"/>
      <c r="F81" s="28" t="s">
        <v>36</v>
      </c>
      <c r="G81" s="28">
        <v>1</v>
      </c>
      <c r="H81" s="28" t="s">
        <v>6</v>
      </c>
      <c r="I81" s="54"/>
      <c r="J81" s="54">
        <f t="shared" si="2"/>
        <v>0</v>
      </c>
      <c r="K81" s="89">
        <v>1</v>
      </c>
    </row>
    <row r="82" spans="1:11" ht="30">
      <c r="A82" s="60">
        <v>78</v>
      </c>
      <c r="B82" s="28" t="s">
        <v>381</v>
      </c>
      <c r="C82" s="8" t="s">
        <v>382</v>
      </c>
      <c r="D82" s="8" t="s">
        <v>383</v>
      </c>
      <c r="E82" s="8"/>
      <c r="F82" s="28" t="s">
        <v>36</v>
      </c>
      <c r="G82" s="28">
        <v>75</v>
      </c>
      <c r="H82" s="28" t="s">
        <v>6</v>
      </c>
      <c r="I82" s="54"/>
      <c r="J82" s="54">
        <f t="shared" si="2"/>
        <v>0</v>
      </c>
      <c r="K82" s="89" t="s">
        <v>2115</v>
      </c>
    </row>
    <row r="83" spans="1:11" ht="30">
      <c r="A83" s="13">
        <v>79</v>
      </c>
      <c r="B83" s="28" t="s">
        <v>384</v>
      </c>
      <c r="C83" s="8" t="s">
        <v>382</v>
      </c>
      <c r="D83" s="8" t="s">
        <v>385</v>
      </c>
      <c r="E83" s="8"/>
      <c r="F83" s="28" t="s">
        <v>36</v>
      </c>
      <c r="G83" s="28">
        <v>65</v>
      </c>
      <c r="H83" s="28" t="s">
        <v>6</v>
      </c>
      <c r="I83" s="54"/>
      <c r="J83" s="54">
        <f t="shared" si="2"/>
        <v>0</v>
      </c>
      <c r="K83" s="89" t="s">
        <v>2115</v>
      </c>
    </row>
    <row r="84" spans="1:11" ht="30">
      <c r="A84" s="13">
        <v>80</v>
      </c>
      <c r="B84" s="28" t="s">
        <v>386</v>
      </c>
      <c r="C84" s="8" t="s">
        <v>382</v>
      </c>
      <c r="D84" s="8" t="s">
        <v>387</v>
      </c>
      <c r="E84" s="8"/>
      <c r="F84" s="28" t="s">
        <v>36</v>
      </c>
      <c r="G84" s="28">
        <v>44</v>
      </c>
      <c r="H84" s="28" t="s">
        <v>6</v>
      </c>
      <c r="I84" s="54"/>
      <c r="J84" s="54">
        <f t="shared" si="2"/>
        <v>0</v>
      </c>
      <c r="K84" s="89" t="s">
        <v>2115</v>
      </c>
    </row>
    <row r="85" spans="1:11" ht="45">
      <c r="A85" s="60">
        <v>81</v>
      </c>
      <c r="B85" s="28" t="s">
        <v>388</v>
      </c>
      <c r="C85" s="8" t="s">
        <v>382</v>
      </c>
      <c r="D85" s="8" t="s">
        <v>389</v>
      </c>
      <c r="E85" s="8"/>
      <c r="F85" s="28" t="s">
        <v>36</v>
      </c>
      <c r="G85" s="28">
        <v>1213</v>
      </c>
      <c r="H85" s="28" t="s">
        <v>6</v>
      </c>
      <c r="I85" s="54"/>
      <c r="J85" s="54">
        <f t="shared" si="2"/>
        <v>0</v>
      </c>
      <c r="K85" s="89" t="s">
        <v>2115</v>
      </c>
    </row>
    <row r="86" spans="1:11">
      <c r="A86" s="13">
        <v>82</v>
      </c>
      <c r="B86" s="28" t="s">
        <v>411</v>
      </c>
      <c r="C86" s="8" t="s">
        <v>412</v>
      </c>
      <c r="D86" s="8" t="s">
        <v>413</v>
      </c>
      <c r="E86" s="8"/>
      <c r="F86" s="28" t="s">
        <v>36</v>
      </c>
      <c r="G86" s="28">
        <v>1</v>
      </c>
      <c r="H86" s="28" t="s">
        <v>6</v>
      </c>
      <c r="I86" s="54"/>
      <c r="J86" s="54">
        <f t="shared" si="2"/>
        <v>0</v>
      </c>
      <c r="K86" s="89">
        <v>96</v>
      </c>
    </row>
    <row r="87" spans="1:11">
      <c r="A87" s="13">
        <v>83</v>
      </c>
      <c r="B87" s="28" t="s">
        <v>536</v>
      </c>
      <c r="C87" s="8" t="s">
        <v>1746</v>
      </c>
      <c r="D87" s="8" t="s">
        <v>57</v>
      </c>
      <c r="E87" s="8"/>
      <c r="F87" s="28" t="s">
        <v>36</v>
      </c>
      <c r="G87" s="28">
        <v>1</v>
      </c>
      <c r="H87" s="28" t="s">
        <v>6</v>
      </c>
      <c r="I87" s="54"/>
      <c r="J87" s="54">
        <f t="shared" si="2"/>
        <v>0</v>
      </c>
      <c r="K87" s="89">
        <v>2</v>
      </c>
    </row>
    <row r="88" spans="1:11" ht="90">
      <c r="A88" s="60">
        <v>84</v>
      </c>
      <c r="B88" s="63" t="s">
        <v>554</v>
      </c>
      <c r="C88" s="64" t="s">
        <v>1747</v>
      </c>
      <c r="D88" s="64" t="s">
        <v>555</v>
      </c>
      <c r="E88" s="64"/>
      <c r="F88" s="63" t="s">
        <v>36</v>
      </c>
      <c r="G88" s="63">
        <v>2</v>
      </c>
      <c r="H88" s="63" t="s">
        <v>6</v>
      </c>
      <c r="I88" s="75"/>
      <c r="J88" s="75">
        <f t="shared" si="2"/>
        <v>0</v>
      </c>
      <c r="K88" s="89">
        <v>2</v>
      </c>
    </row>
    <row r="89" spans="1:11">
      <c r="A89" s="13">
        <v>85</v>
      </c>
      <c r="B89" s="28" t="s">
        <v>584</v>
      </c>
      <c r="C89" s="8" t="s">
        <v>585</v>
      </c>
      <c r="D89" s="8" t="s">
        <v>91</v>
      </c>
      <c r="E89" s="8"/>
      <c r="F89" s="28" t="s">
        <v>36</v>
      </c>
      <c r="G89" s="28">
        <v>2</v>
      </c>
      <c r="H89" s="29" t="s">
        <v>6</v>
      </c>
      <c r="I89" s="54"/>
      <c r="J89" s="54">
        <f t="shared" si="2"/>
        <v>0</v>
      </c>
      <c r="K89" s="89">
        <v>1</v>
      </c>
    </row>
    <row r="90" spans="1:11">
      <c r="A90" s="13">
        <v>86</v>
      </c>
      <c r="B90" s="28" t="s">
        <v>586</v>
      </c>
      <c r="C90" s="8" t="s">
        <v>585</v>
      </c>
      <c r="D90" s="8" t="s">
        <v>131</v>
      </c>
      <c r="E90" s="8"/>
      <c r="F90" s="28" t="s">
        <v>36</v>
      </c>
      <c r="G90" s="28">
        <v>2</v>
      </c>
      <c r="H90" s="29" t="s">
        <v>6</v>
      </c>
      <c r="I90" s="54"/>
      <c r="J90" s="54">
        <f t="shared" si="2"/>
        <v>0</v>
      </c>
      <c r="K90" s="89">
        <v>1</v>
      </c>
    </row>
    <row r="91" spans="1:11">
      <c r="A91" s="60">
        <v>87</v>
      </c>
      <c r="B91" s="28" t="s">
        <v>587</v>
      </c>
      <c r="C91" s="8" t="s">
        <v>585</v>
      </c>
      <c r="D91" s="8" t="s">
        <v>89</v>
      </c>
      <c r="E91" s="8"/>
      <c r="F91" s="28" t="s">
        <v>36</v>
      </c>
      <c r="G91" s="28">
        <v>1</v>
      </c>
      <c r="H91" s="29" t="s">
        <v>6</v>
      </c>
      <c r="I91" s="54"/>
      <c r="J91" s="54">
        <f t="shared" si="2"/>
        <v>0</v>
      </c>
      <c r="K91" s="89">
        <v>1</v>
      </c>
    </row>
    <row r="92" spans="1:11">
      <c r="A92" s="13">
        <v>88</v>
      </c>
      <c r="B92" s="28" t="s">
        <v>590</v>
      </c>
      <c r="C92" s="8" t="s">
        <v>591</v>
      </c>
      <c r="D92" s="8" t="s">
        <v>592</v>
      </c>
      <c r="E92" s="8"/>
      <c r="F92" s="28" t="s">
        <v>36</v>
      </c>
      <c r="G92" s="28">
        <v>79</v>
      </c>
      <c r="H92" s="29" t="s">
        <v>6</v>
      </c>
      <c r="I92" s="54"/>
      <c r="J92" s="54">
        <f t="shared" si="2"/>
        <v>0</v>
      </c>
      <c r="K92" s="89">
        <v>69</v>
      </c>
    </row>
    <row r="93" spans="1:11">
      <c r="A93" s="13">
        <v>89</v>
      </c>
      <c r="B93" s="28" t="s">
        <v>593</v>
      </c>
      <c r="C93" s="8" t="s">
        <v>594</v>
      </c>
      <c r="D93" s="8" t="s">
        <v>595</v>
      </c>
      <c r="E93" s="8"/>
      <c r="F93" s="28" t="s">
        <v>36</v>
      </c>
      <c r="G93" s="28">
        <v>2</v>
      </c>
      <c r="H93" s="29" t="s">
        <v>6</v>
      </c>
      <c r="I93" s="54"/>
      <c r="J93" s="54">
        <f t="shared" si="2"/>
        <v>0</v>
      </c>
      <c r="K93" s="89">
        <v>1</v>
      </c>
    </row>
    <row r="94" spans="1:11">
      <c r="A94" s="60">
        <v>90</v>
      </c>
      <c r="B94" s="28" t="s">
        <v>597</v>
      </c>
      <c r="C94" s="8" t="s">
        <v>598</v>
      </c>
      <c r="D94" s="8"/>
      <c r="E94" s="8"/>
      <c r="F94" s="28" t="s">
        <v>36</v>
      </c>
      <c r="G94" s="28">
        <f>1-1</f>
        <v>0</v>
      </c>
      <c r="H94" s="29" t="s">
        <v>6</v>
      </c>
      <c r="I94" s="54"/>
      <c r="J94" s="54">
        <f t="shared" si="2"/>
        <v>0</v>
      </c>
      <c r="K94" s="89">
        <v>93</v>
      </c>
    </row>
    <row r="95" spans="1:11" ht="30">
      <c r="A95" s="13">
        <v>91</v>
      </c>
      <c r="B95" s="28" t="s">
        <v>619</v>
      </c>
      <c r="C95" s="8" t="s">
        <v>620</v>
      </c>
      <c r="D95" s="8" t="s">
        <v>621</v>
      </c>
      <c r="E95" s="8"/>
      <c r="F95" s="28" t="s">
        <v>36</v>
      </c>
      <c r="G95" s="28">
        <v>3</v>
      </c>
      <c r="H95" s="29" t="s">
        <v>6</v>
      </c>
      <c r="I95" s="54"/>
      <c r="J95" s="54">
        <f t="shared" si="2"/>
        <v>0</v>
      </c>
      <c r="K95" s="89" t="s">
        <v>2120</v>
      </c>
    </row>
    <row r="96" spans="1:11" ht="30">
      <c r="A96" s="13">
        <v>92</v>
      </c>
      <c r="B96" s="28" t="s">
        <v>622</v>
      </c>
      <c r="C96" s="8" t="s">
        <v>623</v>
      </c>
      <c r="D96" s="8" t="s">
        <v>624</v>
      </c>
      <c r="E96" s="8"/>
      <c r="F96" s="28" t="s">
        <v>36</v>
      </c>
      <c r="G96" s="28">
        <v>1</v>
      </c>
      <c r="H96" s="29" t="s">
        <v>6</v>
      </c>
      <c r="I96" s="54"/>
      <c r="J96" s="54">
        <f t="shared" si="2"/>
        <v>0</v>
      </c>
      <c r="K96" s="89" t="s">
        <v>2120</v>
      </c>
    </row>
    <row r="97" spans="1:11" ht="30">
      <c r="A97" s="60">
        <v>93</v>
      </c>
      <c r="B97" s="28" t="s">
        <v>625</v>
      </c>
      <c r="C97" s="8" t="s">
        <v>626</v>
      </c>
      <c r="D97" s="8" t="s">
        <v>627</v>
      </c>
      <c r="E97" s="8"/>
      <c r="F97" s="28" t="s">
        <v>36</v>
      </c>
      <c r="G97" s="28">
        <v>1</v>
      </c>
      <c r="H97" s="29" t="s">
        <v>6</v>
      </c>
      <c r="I97" s="54"/>
      <c r="J97" s="54">
        <f t="shared" si="2"/>
        <v>0</v>
      </c>
      <c r="K97" s="89" t="s">
        <v>2120</v>
      </c>
    </row>
    <row r="98" spans="1:11" ht="30">
      <c r="A98" s="13">
        <v>94</v>
      </c>
      <c r="B98" s="28" t="s">
        <v>628</v>
      </c>
      <c r="C98" s="8" t="s">
        <v>629</v>
      </c>
      <c r="D98" s="8" t="s">
        <v>630</v>
      </c>
      <c r="E98" s="8"/>
      <c r="F98" s="28" t="s">
        <v>36</v>
      </c>
      <c r="G98" s="28">
        <v>1</v>
      </c>
      <c r="H98" s="29" t="s">
        <v>6</v>
      </c>
      <c r="I98" s="54"/>
      <c r="J98" s="54">
        <f t="shared" si="2"/>
        <v>0</v>
      </c>
      <c r="K98" s="89" t="s">
        <v>2120</v>
      </c>
    </row>
    <row r="99" spans="1:11">
      <c r="A99" s="13">
        <v>95</v>
      </c>
      <c r="B99" s="28" t="s">
        <v>631</v>
      </c>
      <c r="C99" s="8" t="s">
        <v>632</v>
      </c>
      <c r="D99" s="8" t="s">
        <v>57</v>
      </c>
      <c r="E99" s="8"/>
      <c r="F99" s="28" t="s">
        <v>36</v>
      </c>
      <c r="G99" s="28">
        <v>1</v>
      </c>
      <c r="H99" s="29" t="s">
        <v>6</v>
      </c>
      <c r="I99" s="54"/>
      <c r="J99" s="54">
        <f t="shared" si="2"/>
        <v>0</v>
      </c>
      <c r="K99" s="89" t="s">
        <v>2120</v>
      </c>
    </row>
    <row r="100" spans="1:11" ht="30">
      <c r="A100" s="60">
        <v>96</v>
      </c>
      <c r="B100" s="28" t="s">
        <v>633</v>
      </c>
      <c r="C100" s="8" t="s">
        <v>634</v>
      </c>
      <c r="D100" s="8" t="s">
        <v>635</v>
      </c>
      <c r="E100" s="8"/>
      <c r="F100" s="28" t="s">
        <v>36</v>
      </c>
      <c r="G100" s="28">
        <v>5</v>
      </c>
      <c r="H100" s="29" t="s">
        <v>6</v>
      </c>
      <c r="I100" s="54"/>
      <c r="J100" s="54">
        <f t="shared" si="2"/>
        <v>0</v>
      </c>
      <c r="K100" s="89" t="s">
        <v>2120</v>
      </c>
    </row>
    <row r="101" spans="1:11" ht="30">
      <c r="A101" s="13">
        <v>97</v>
      </c>
      <c r="B101" s="28" t="s">
        <v>636</v>
      </c>
      <c r="C101" s="8" t="s">
        <v>637</v>
      </c>
      <c r="D101" s="8" t="s">
        <v>638</v>
      </c>
      <c r="E101" s="8"/>
      <c r="F101" s="28" t="s">
        <v>36</v>
      </c>
      <c r="G101" s="28">
        <v>2</v>
      </c>
      <c r="H101" s="29" t="s">
        <v>6</v>
      </c>
      <c r="I101" s="54"/>
      <c r="J101" s="54">
        <f t="shared" si="2"/>
        <v>0</v>
      </c>
      <c r="K101" s="89" t="s">
        <v>2120</v>
      </c>
    </row>
    <row r="102" spans="1:11">
      <c r="A102" s="13">
        <v>98</v>
      </c>
      <c r="B102" s="28" t="s">
        <v>665</v>
      </c>
      <c r="C102" s="8" t="s">
        <v>666</v>
      </c>
      <c r="D102" s="8" t="s">
        <v>82</v>
      </c>
      <c r="E102" s="8"/>
      <c r="F102" s="29" t="s">
        <v>36</v>
      </c>
      <c r="G102" s="65">
        <v>1</v>
      </c>
      <c r="H102" s="29" t="s">
        <v>6</v>
      </c>
      <c r="I102" s="54"/>
      <c r="J102" s="54">
        <f t="shared" si="2"/>
        <v>0</v>
      </c>
      <c r="K102" s="89">
        <v>11</v>
      </c>
    </row>
    <row r="103" spans="1:11">
      <c r="A103" s="13"/>
      <c r="B103" s="28" t="s">
        <v>2049</v>
      </c>
      <c r="C103" s="8" t="s">
        <v>129</v>
      </c>
      <c r="D103" s="8" t="s">
        <v>131</v>
      </c>
      <c r="E103" s="8"/>
      <c r="F103" s="29" t="s">
        <v>36</v>
      </c>
      <c r="G103" s="65">
        <v>4</v>
      </c>
      <c r="H103" s="29" t="s">
        <v>6</v>
      </c>
      <c r="I103" s="54"/>
      <c r="J103" s="54">
        <f t="shared" si="2"/>
        <v>0</v>
      </c>
      <c r="K103" s="89">
        <v>10</v>
      </c>
    </row>
    <row r="104" spans="1:11">
      <c r="A104" s="197" t="s">
        <v>1659</v>
      </c>
      <c r="B104" s="197"/>
      <c r="C104" s="197"/>
      <c r="D104" s="197"/>
      <c r="E104" s="197"/>
      <c r="F104" s="197"/>
      <c r="G104" s="197"/>
      <c r="H104" s="197"/>
      <c r="I104" s="197"/>
      <c r="J104" s="67">
        <f>SUM(J7:J102)</f>
        <v>18643.98</v>
      </c>
    </row>
  </sheetData>
  <mergeCells count="4">
    <mergeCell ref="A1:J1"/>
    <mergeCell ref="A2:J2"/>
    <mergeCell ref="A3:J3"/>
    <mergeCell ref="A104:I104"/>
  </mergeCells>
  <pageMargins left="0.34" right="0.34" top="0.75" bottom="0.75" header="0.3" footer="0.3"/>
  <pageSetup scale="7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MECHANICAL</vt:lpstr>
      <vt:lpstr>ELECTRICAL</vt:lpstr>
      <vt:lpstr>MISCELLANEOUS</vt:lpstr>
      <vt:lpstr>LABORATORY</vt:lpstr>
      <vt:lpstr>SAFETY</vt:lpstr>
      <vt:lpstr>CIVIL</vt:lpstr>
      <vt:lpstr>PRODUCTION</vt:lpstr>
      <vt:lpstr>ABSTRACT</vt:lpstr>
      <vt:lpstr>OLD MECHANICAL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2019-04-06T04:19:40Z</cp:lastPrinted>
  <dcterms:created xsi:type="dcterms:W3CDTF">2019-01-14T03:59:29Z</dcterms:created>
  <dcterms:modified xsi:type="dcterms:W3CDTF">2020-03-17T10:37:54Z</dcterms:modified>
</cp:coreProperties>
</file>