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2tin\Desktop\amit kr\fin model\"/>
    </mc:Choice>
  </mc:AlternateContent>
  <xr:revisionPtr revIDLastSave="0" documentId="13_ncr:1_{B0156604-42C5-47AA-A2D0-E985F4D0B952}" xr6:coauthVersionLast="47" xr6:coauthVersionMax="47" xr10:uidLastSave="{00000000-0000-0000-0000-000000000000}"/>
  <bookViews>
    <workbookView xWindow="-110" yWindow="-110" windowWidth="19420" windowHeight="11020" activeTab="2" xr2:uid="{00000000-000D-0000-FFFF-FFFF00000000}"/>
  </bookViews>
  <sheets>
    <sheet name="Cover Page" sheetId="5" r:id="rId1"/>
    <sheet name="Financial Forecast" sheetId="1" r:id="rId2"/>
    <sheet name="WACC" sheetId="2" r:id="rId3"/>
    <sheet name="DCF" sheetId="4" r:id="rId4"/>
    <sheet name="Stock Attributes" sheetId="6" r:id="rId5"/>
    <sheet name="Charts Summary" sheetId="7" r:id="rId6"/>
  </sheets>
  <definedNames>
    <definedName name="_xlnm._FilterDatabase" localSheetId="1" hidden="1">'Financial Forecast'!$A$3:$B$6</definedName>
    <definedName name="_xlchart.v1.0" hidden="1">'Charts Summary'!$P$2:$P$6</definedName>
    <definedName name="_xlchart.v1.1" hidden="1">'Charts Summary'!$Q$2:$Q$6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N13" i="4" l="1"/>
  <c r="B7" i="4"/>
  <c r="E8" i="2"/>
  <c r="C26" i="7"/>
  <c r="D26" i="7"/>
  <c r="E26" i="7"/>
  <c r="F26" i="7"/>
  <c r="B26" i="7"/>
  <c r="C3" i="7" l="1"/>
  <c r="D3" i="7"/>
  <c r="E3" i="7"/>
  <c r="F3" i="7"/>
  <c r="H3" i="7"/>
  <c r="I3" i="7"/>
  <c r="J3" i="7"/>
  <c r="K3" i="7"/>
  <c r="L3" i="7"/>
  <c r="B3" i="7"/>
  <c r="C4" i="7"/>
  <c r="D4" i="7"/>
  <c r="E4" i="7"/>
  <c r="F4" i="7"/>
  <c r="B4" i="7"/>
  <c r="H22" i="1" l="1"/>
  <c r="G9" i="6" l="1"/>
  <c r="G10" i="6"/>
  <c r="G11" i="6"/>
  <c r="G12" i="6"/>
  <c r="G13" i="6"/>
  <c r="G14" i="6"/>
  <c r="G15" i="6"/>
  <c r="G16" i="6"/>
  <c r="G17" i="6"/>
  <c r="G18" i="6"/>
  <c r="G19" i="6"/>
  <c r="G20" i="6"/>
  <c r="G21" i="6"/>
  <c r="G22" i="6"/>
  <c r="G23" i="6"/>
  <c r="G24" i="6"/>
  <c r="G25" i="6"/>
  <c r="G26" i="6"/>
  <c r="G27" i="6"/>
  <c r="G28" i="6"/>
  <c r="G29" i="6"/>
  <c r="G30" i="6"/>
  <c r="G31" i="6"/>
  <c r="G32" i="6"/>
  <c r="G33" i="6"/>
  <c r="G34" i="6"/>
  <c r="G35" i="6"/>
  <c r="G36" i="6"/>
  <c r="G37" i="6"/>
  <c r="G38" i="6"/>
  <c r="G39" i="6"/>
  <c r="G40" i="6"/>
  <c r="G41" i="6"/>
  <c r="G42" i="6"/>
  <c r="G43" i="6"/>
  <c r="G44" i="6"/>
  <c r="G45" i="6"/>
  <c r="G46" i="6"/>
  <c r="G47" i="6"/>
  <c r="G48" i="6"/>
  <c r="G49" i="6"/>
  <c r="G50" i="6"/>
  <c r="G51" i="6"/>
  <c r="G52" i="6"/>
  <c r="G53" i="6"/>
  <c r="G54" i="6"/>
  <c r="G55" i="6"/>
  <c r="G56" i="6"/>
  <c r="G57" i="6"/>
  <c r="G58" i="6"/>
  <c r="G59" i="6"/>
  <c r="G60" i="6"/>
  <c r="G61" i="6"/>
  <c r="G62" i="6"/>
  <c r="G63" i="6"/>
  <c r="G64" i="6"/>
  <c r="G65" i="6"/>
  <c r="G66" i="6"/>
  <c r="G67" i="6"/>
  <c r="G68" i="6"/>
  <c r="G69" i="6"/>
  <c r="G70" i="6"/>
  <c r="G71" i="6"/>
  <c r="G72" i="6"/>
  <c r="G73" i="6"/>
  <c r="G74" i="6"/>
  <c r="G75" i="6"/>
  <c r="G76" i="6"/>
  <c r="G77" i="6"/>
  <c r="G78" i="6"/>
  <c r="G79" i="6"/>
  <c r="G80" i="6"/>
  <c r="G81" i="6"/>
  <c r="G82" i="6"/>
  <c r="G83" i="6"/>
  <c r="G84" i="6"/>
  <c r="G85" i="6"/>
  <c r="G86" i="6"/>
  <c r="G87" i="6"/>
  <c r="G88" i="6"/>
  <c r="G89" i="6"/>
  <c r="G90" i="6"/>
  <c r="G91" i="6"/>
  <c r="G92" i="6"/>
  <c r="G93" i="6"/>
  <c r="G94" i="6"/>
  <c r="G95" i="6"/>
  <c r="G96" i="6"/>
  <c r="G97" i="6"/>
  <c r="G98" i="6"/>
  <c r="G99" i="6"/>
  <c r="G100" i="6"/>
  <c r="G101" i="6"/>
  <c r="G102" i="6"/>
  <c r="G103" i="6"/>
  <c r="G104" i="6"/>
  <c r="G105" i="6"/>
  <c r="G106" i="6"/>
  <c r="G107" i="6"/>
  <c r="G108" i="6"/>
  <c r="G109" i="6"/>
  <c r="G110" i="6"/>
  <c r="G111" i="6"/>
  <c r="G112" i="6"/>
  <c r="G113" i="6"/>
  <c r="G114" i="6"/>
  <c r="G115" i="6"/>
  <c r="G116" i="6"/>
  <c r="G117" i="6"/>
  <c r="G118" i="6"/>
  <c r="G119" i="6"/>
  <c r="G120" i="6"/>
  <c r="G121" i="6"/>
  <c r="G122" i="6"/>
  <c r="G123" i="6"/>
  <c r="G124" i="6"/>
  <c r="G125" i="6"/>
  <c r="G126" i="6"/>
  <c r="G127" i="6"/>
  <c r="G128" i="6"/>
  <c r="G129" i="6"/>
  <c r="G130" i="6"/>
  <c r="G131" i="6"/>
  <c r="G132" i="6"/>
  <c r="G133" i="6"/>
  <c r="G134" i="6"/>
  <c r="G135" i="6"/>
  <c r="G136" i="6"/>
  <c r="G137" i="6"/>
  <c r="G138" i="6"/>
  <c r="G139" i="6"/>
  <c r="G140" i="6"/>
  <c r="G141" i="6"/>
  <c r="G142" i="6"/>
  <c r="G143" i="6"/>
  <c r="G144" i="6"/>
  <c r="G145" i="6"/>
  <c r="G146" i="6"/>
  <c r="G147" i="6"/>
  <c r="G148" i="6"/>
  <c r="G149" i="6"/>
  <c r="G150" i="6"/>
  <c r="G151" i="6"/>
  <c r="G152" i="6"/>
  <c r="G153" i="6"/>
  <c r="G154" i="6"/>
  <c r="G155" i="6"/>
  <c r="G156" i="6"/>
  <c r="G157" i="6"/>
  <c r="G158" i="6"/>
  <c r="G159" i="6"/>
  <c r="G160" i="6"/>
  <c r="G161" i="6"/>
  <c r="G162" i="6"/>
  <c r="G163" i="6"/>
  <c r="G164" i="6"/>
  <c r="G165" i="6"/>
  <c r="G166" i="6"/>
  <c r="G167" i="6"/>
  <c r="G168" i="6"/>
  <c r="G169" i="6"/>
  <c r="G170" i="6"/>
  <c r="G171" i="6"/>
  <c r="G172" i="6"/>
  <c r="G173" i="6"/>
  <c r="G174" i="6"/>
  <c r="G175" i="6"/>
  <c r="G176" i="6"/>
  <c r="G177" i="6"/>
  <c r="G178" i="6"/>
  <c r="G179" i="6"/>
  <c r="G180" i="6"/>
  <c r="G181" i="6"/>
  <c r="G182" i="6"/>
  <c r="G183" i="6"/>
  <c r="G184" i="6"/>
  <c r="G185" i="6"/>
  <c r="G186" i="6"/>
  <c r="G187" i="6"/>
  <c r="G188" i="6"/>
  <c r="G189" i="6"/>
  <c r="G190" i="6"/>
  <c r="G191" i="6"/>
  <c r="G192" i="6"/>
  <c r="G193" i="6"/>
  <c r="G194" i="6"/>
  <c r="G195" i="6"/>
  <c r="G196" i="6"/>
  <c r="G197" i="6"/>
  <c r="G198" i="6"/>
  <c r="G199" i="6"/>
  <c r="G200" i="6"/>
  <c r="G201" i="6"/>
  <c r="G202" i="6"/>
  <c r="G203" i="6"/>
  <c r="G204" i="6"/>
  <c r="G205" i="6"/>
  <c r="G206" i="6"/>
  <c r="G207" i="6"/>
  <c r="G208" i="6"/>
  <c r="G209" i="6"/>
  <c r="G210" i="6"/>
  <c r="G211" i="6"/>
  <c r="G212" i="6"/>
  <c r="G213" i="6"/>
  <c r="G214" i="6"/>
  <c r="G215" i="6"/>
  <c r="G216" i="6"/>
  <c r="G217" i="6"/>
  <c r="G218" i="6"/>
  <c r="G219" i="6"/>
  <c r="G220" i="6"/>
  <c r="G221" i="6"/>
  <c r="G222" i="6"/>
  <c r="G223" i="6"/>
  <c r="G224" i="6"/>
  <c r="G225" i="6"/>
  <c r="G226" i="6"/>
  <c r="G227" i="6"/>
  <c r="G228" i="6"/>
  <c r="G229" i="6"/>
  <c r="G230" i="6"/>
  <c r="G231" i="6"/>
  <c r="G232" i="6"/>
  <c r="G233" i="6"/>
  <c r="G234" i="6"/>
  <c r="G235" i="6"/>
  <c r="G236" i="6"/>
  <c r="G237" i="6"/>
  <c r="G238" i="6"/>
  <c r="G239" i="6"/>
  <c r="G240" i="6"/>
  <c r="G241" i="6"/>
  <c r="G242" i="6"/>
  <c r="G243" i="6"/>
  <c r="G244" i="6"/>
  <c r="G245" i="6"/>
  <c r="G246" i="6"/>
  <c r="G247" i="6"/>
  <c r="G248" i="6"/>
  <c r="G249" i="6"/>
  <c r="G250" i="6"/>
  <c r="G251" i="6"/>
  <c r="G252" i="6"/>
  <c r="G253" i="6"/>
  <c r="G254" i="6"/>
  <c r="G255" i="6"/>
  <c r="G8" i="6"/>
  <c r="E10" i="6"/>
  <c r="E14" i="6"/>
  <c r="E18" i="6"/>
  <c r="E22" i="6"/>
  <c r="E26" i="6"/>
  <c r="E30" i="6"/>
  <c r="E34" i="6"/>
  <c r="E38" i="6"/>
  <c r="E42" i="6"/>
  <c r="E46" i="6"/>
  <c r="E50" i="6"/>
  <c r="E54" i="6"/>
  <c r="E58" i="6"/>
  <c r="E62" i="6"/>
  <c r="E66" i="6"/>
  <c r="E70" i="6"/>
  <c r="E74" i="6"/>
  <c r="E78" i="6"/>
  <c r="E82" i="6"/>
  <c r="E86" i="6"/>
  <c r="E90" i="6"/>
  <c r="E94" i="6"/>
  <c r="E98" i="6"/>
  <c r="E102" i="6"/>
  <c r="E106" i="6"/>
  <c r="E110" i="6"/>
  <c r="E114" i="6"/>
  <c r="E118" i="6"/>
  <c r="E122" i="6"/>
  <c r="E126" i="6"/>
  <c r="E130" i="6"/>
  <c r="E134" i="6"/>
  <c r="E138" i="6"/>
  <c r="E142" i="6"/>
  <c r="E146" i="6"/>
  <c r="E150" i="6"/>
  <c r="E154" i="6"/>
  <c r="E158" i="6"/>
  <c r="E162" i="6"/>
  <c r="E166" i="6"/>
  <c r="E170" i="6"/>
  <c r="E174" i="6"/>
  <c r="E178" i="6"/>
  <c r="E182" i="6"/>
  <c r="E186" i="6"/>
  <c r="E190" i="6"/>
  <c r="E194" i="6"/>
  <c r="E198" i="6"/>
  <c r="E202" i="6"/>
  <c r="E206" i="6"/>
  <c r="E210" i="6"/>
  <c r="E214" i="6"/>
  <c r="E218" i="6"/>
  <c r="E222" i="6"/>
  <c r="E226" i="6"/>
  <c r="E230" i="6"/>
  <c r="E234" i="6"/>
  <c r="E238" i="6"/>
  <c r="E242" i="6"/>
  <c r="E246" i="6"/>
  <c r="E250" i="6"/>
  <c r="E254" i="6"/>
  <c r="D8" i="6"/>
  <c r="E8" i="6" s="1"/>
  <c r="D9" i="6"/>
  <c r="E9" i="6" s="1"/>
  <c r="D10" i="6"/>
  <c r="D11" i="6"/>
  <c r="E11" i="6" s="1"/>
  <c r="D12" i="6"/>
  <c r="E12" i="6" s="1"/>
  <c r="D13" i="6"/>
  <c r="E13" i="6" s="1"/>
  <c r="D14" i="6"/>
  <c r="D15" i="6"/>
  <c r="E15" i="6" s="1"/>
  <c r="D16" i="6"/>
  <c r="E16" i="6" s="1"/>
  <c r="D17" i="6"/>
  <c r="E17" i="6" s="1"/>
  <c r="D18" i="6"/>
  <c r="D19" i="6"/>
  <c r="E19" i="6" s="1"/>
  <c r="D20" i="6"/>
  <c r="E20" i="6" s="1"/>
  <c r="D21" i="6"/>
  <c r="E21" i="6" s="1"/>
  <c r="D22" i="6"/>
  <c r="D23" i="6"/>
  <c r="E23" i="6" s="1"/>
  <c r="D24" i="6"/>
  <c r="E24" i="6" s="1"/>
  <c r="D25" i="6"/>
  <c r="E25" i="6" s="1"/>
  <c r="D26" i="6"/>
  <c r="D27" i="6"/>
  <c r="E27" i="6" s="1"/>
  <c r="D28" i="6"/>
  <c r="E28" i="6" s="1"/>
  <c r="D29" i="6"/>
  <c r="E29" i="6" s="1"/>
  <c r="D30" i="6"/>
  <c r="D31" i="6"/>
  <c r="E31" i="6" s="1"/>
  <c r="D32" i="6"/>
  <c r="E32" i="6" s="1"/>
  <c r="D33" i="6"/>
  <c r="E33" i="6" s="1"/>
  <c r="D34" i="6"/>
  <c r="D35" i="6"/>
  <c r="E35" i="6" s="1"/>
  <c r="D36" i="6"/>
  <c r="E36" i="6" s="1"/>
  <c r="D37" i="6"/>
  <c r="E37" i="6" s="1"/>
  <c r="D38" i="6"/>
  <c r="D39" i="6"/>
  <c r="E39" i="6" s="1"/>
  <c r="D40" i="6"/>
  <c r="E40" i="6" s="1"/>
  <c r="D41" i="6"/>
  <c r="E41" i="6" s="1"/>
  <c r="D42" i="6"/>
  <c r="D43" i="6"/>
  <c r="E43" i="6" s="1"/>
  <c r="D44" i="6"/>
  <c r="E44" i="6" s="1"/>
  <c r="D45" i="6"/>
  <c r="E45" i="6" s="1"/>
  <c r="D46" i="6"/>
  <c r="D47" i="6"/>
  <c r="E47" i="6" s="1"/>
  <c r="D48" i="6"/>
  <c r="E48" i="6" s="1"/>
  <c r="D49" i="6"/>
  <c r="E49" i="6" s="1"/>
  <c r="D50" i="6"/>
  <c r="D51" i="6"/>
  <c r="E51" i="6" s="1"/>
  <c r="D52" i="6"/>
  <c r="E52" i="6" s="1"/>
  <c r="D53" i="6"/>
  <c r="E53" i="6" s="1"/>
  <c r="D54" i="6"/>
  <c r="D55" i="6"/>
  <c r="E55" i="6" s="1"/>
  <c r="D56" i="6"/>
  <c r="E56" i="6" s="1"/>
  <c r="D57" i="6"/>
  <c r="E57" i="6" s="1"/>
  <c r="D58" i="6"/>
  <c r="D59" i="6"/>
  <c r="E59" i="6" s="1"/>
  <c r="D60" i="6"/>
  <c r="E60" i="6" s="1"/>
  <c r="D61" i="6"/>
  <c r="E61" i="6" s="1"/>
  <c r="D62" i="6"/>
  <c r="D63" i="6"/>
  <c r="E63" i="6" s="1"/>
  <c r="D64" i="6"/>
  <c r="E64" i="6" s="1"/>
  <c r="D65" i="6"/>
  <c r="E65" i="6" s="1"/>
  <c r="D66" i="6"/>
  <c r="D67" i="6"/>
  <c r="E67" i="6" s="1"/>
  <c r="D68" i="6"/>
  <c r="E68" i="6" s="1"/>
  <c r="D69" i="6"/>
  <c r="E69" i="6" s="1"/>
  <c r="D70" i="6"/>
  <c r="D71" i="6"/>
  <c r="E71" i="6" s="1"/>
  <c r="D72" i="6"/>
  <c r="E72" i="6" s="1"/>
  <c r="D73" i="6"/>
  <c r="E73" i="6" s="1"/>
  <c r="D74" i="6"/>
  <c r="D75" i="6"/>
  <c r="E75" i="6" s="1"/>
  <c r="D76" i="6"/>
  <c r="E76" i="6" s="1"/>
  <c r="D77" i="6"/>
  <c r="E77" i="6" s="1"/>
  <c r="D78" i="6"/>
  <c r="D79" i="6"/>
  <c r="E79" i="6" s="1"/>
  <c r="D80" i="6"/>
  <c r="E80" i="6" s="1"/>
  <c r="D81" i="6"/>
  <c r="E81" i="6" s="1"/>
  <c r="D82" i="6"/>
  <c r="D83" i="6"/>
  <c r="E83" i="6" s="1"/>
  <c r="D84" i="6"/>
  <c r="E84" i="6" s="1"/>
  <c r="D85" i="6"/>
  <c r="E85" i="6" s="1"/>
  <c r="D86" i="6"/>
  <c r="D87" i="6"/>
  <c r="E87" i="6" s="1"/>
  <c r="D88" i="6"/>
  <c r="E88" i="6" s="1"/>
  <c r="D89" i="6"/>
  <c r="E89" i="6" s="1"/>
  <c r="D90" i="6"/>
  <c r="D91" i="6"/>
  <c r="E91" i="6" s="1"/>
  <c r="D92" i="6"/>
  <c r="E92" i="6" s="1"/>
  <c r="D93" i="6"/>
  <c r="E93" i="6" s="1"/>
  <c r="D94" i="6"/>
  <c r="D95" i="6"/>
  <c r="E95" i="6" s="1"/>
  <c r="D96" i="6"/>
  <c r="E96" i="6" s="1"/>
  <c r="D97" i="6"/>
  <c r="E97" i="6" s="1"/>
  <c r="D98" i="6"/>
  <c r="D99" i="6"/>
  <c r="E99" i="6" s="1"/>
  <c r="D100" i="6"/>
  <c r="E100" i="6" s="1"/>
  <c r="D101" i="6"/>
  <c r="E101" i="6" s="1"/>
  <c r="D102" i="6"/>
  <c r="D103" i="6"/>
  <c r="E103" i="6" s="1"/>
  <c r="D104" i="6"/>
  <c r="E104" i="6" s="1"/>
  <c r="D105" i="6"/>
  <c r="E105" i="6" s="1"/>
  <c r="D106" i="6"/>
  <c r="D107" i="6"/>
  <c r="E107" i="6" s="1"/>
  <c r="D108" i="6"/>
  <c r="E108" i="6" s="1"/>
  <c r="D109" i="6"/>
  <c r="E109" i="6" s="1"/>
  <c r="D110" i="6"/>
  <c r="D111" i="6"/>
  <c r="E111" i="6" s="1"/>
  <c r="D112" i="6"/>
  <c r="E112" i="6" s="1"/>
  <c r="D113" i="6"/>
  <c r="E113" i="6" s="1"/>
  <c r="D114" i="6"/>
  <c r="D115" i="6"/>
  <c r="E115" i="6" s="1"/>
  <c r="D116" i="6"/>
  <c r="E116" i="6" s="1"/>
  <c r="D117" i="6"/>
  <c r="E117" i="6" s="1"/>
  <c r="D118" i="6"/>
  <c r="D119" i="6"/>
  <c r="E119" i="6" s="1"/>
  <c r="D120" i="6"/>
  <c r="E120" i="6" s="1"/>
  <c r="D121" i="6"/>
  <c r="E121" i="6" s="1"/>
  <c r="D122" i="6"/>
  <c r="D123" i="6"/>
  <c r="E123" i="6" s="1"/>
  <c r="D124" i="6"/>
  <c r="E124" i="6" s="1"/>
  <c r="D125" i="6"/>
  <c r="E125" i="6" s="1"/>
  <c r="D126" i="6"/>
  <c r="D127" i="6"/>
  <c r="E127" i="6" s="1"/>
  <c r="D128" i="6"/>
  <c r="E128" i="6" s="1"/>
  <c r="D129" i="6"/>
  <c r="E129" i="6" s="1"/>
  <c r="D130" i="6"/>
  <c r="D131" i="6"/>
  <c r="E131" i="6" s="1"/>
  <c r="D132" i="6"/>
  <c r="E132" i="6" s="1"/>
  <c r="D133" i="6"/>
  <c r="E133" i="6" s="1"/>
  <c r="D134" i="6"/>
  <c r="D135" i="6"/>
  <c r="E135" i="6" s="1"/>
  <c r="D136" i="6"/>
  <c r="E136" i="6" s="1"/>
  <c r="D137" i="6"/>
  <c r="E137" i="6" s="1"/>
  <c r="D138" i="6"/>
  <c r="D139" i="6"/>
  <c r="E139" i="6" s="1"/>
  <c r="D140" i="6"/>
  <c r="E140" i="6" s="1"/>
  <c r="D141" i="6"/>
  <c r="E141" i="6" s="1"/>
  <c r="D142" i="6"/>
  <c r="D143" i="6"/>
  <c r="E143" i="6" s="1"/>
  <c r="D144" i="6"/>
  <c r="E144" i="6" s="1"/>
  <c r="D145" i="6"/>
  <c r="E145" i="6" s="1"/>
  <c r="D146" i="6"/>
  <c r="D147" i="6"/>
  <c r="E147" i="6" s="1"/>
  <c r="D148" i="6"/>
  <c r="E148" i="6" s="1"/>
  <c r="D149" i="6"/>
  <c r="E149" i="6" s="1"/>
  <c r="D150" i="6"/>
  <c r="D151" i="6"/>
  <c r="E151" i="6" s="1"/>
  <c r="D152" i="6"/>
  <c r="E152" i="6" s="1"/>
  <c r="D153" i="6"/>
  <c r="E153" i="6" s="1"/>
  <c r="D154" i="6"/>
  <c r="D155" i="6"/>
  <c r="E155" i="6" s="1"/>
  <c r="D156" i="6"/>
  <c r="E156" i="6" s="1"/>
  <c r="D157" i="6"/>
  <c r="E157" i="6" s="1"/>
  <c r="D158" i="6"/>
  <c r="D159" i="6"/>
  <c r="E159" i="6" s="1"/>
  <c r="D160" i="6"/>
  <c r="E160" i="6" s="1"/>
  <c r="D161" i="6"/>
  <c r="E161" i="6" s="1"/>
  <c r="D162" i="6"/>
  <c r="D163" i="6"/>
  <c r="E163" i="6" s="1"/>
  <c r="D164" i="6"/>
  <c r="E164" i="6" s="1"/>
  <c r="D165" i="6"/>
  <c r="E165" i="6" s="1"/>
  <c r="D166" i="6"/>
  <c r="D167" i="6"/>
  <c r="E167" i="6" s="1"/>
  <c r="D168" i="6"/>
  <c r="E168" i="6" s="1"/>
  <c r="D169" i="6"/>
  <c r="E169" i="6" s="1"/>
  <c r="D170" i="6"/>
  <c r="D171" i="6"/>
  <c r="E171" i="6" s="1"/>
  <c r="D172" i="6"/>
  <c r="E172" i="6" s="1"/>
  <c r="D173" i="6"/>
  <c r="E173" i="6" s="1"/>
  <c r="D174" i="6"/>
  <c r="D175" i="6"/>
  <c r="E175" i="6" s="1"/>
  <c r="D176" i="6"/>
  <c r="E176" i="6" s="1"/>
  <c r="D177" i="6"/>
  <c r="E177" i="6" s="1"/>
  <c r="D178" i="6"/>
  <c r="D179" i="6"/>
  <c r="E179" i="6" s="1"/>
  <c r="D180" i="6"/>
  <c r="E180" i="6" s="1"/>
  <c r="D181" i="6"/>
  <c r="E181" i="6" s="1"/>
  <c r="D182" i="6"/>
  <c r="D183" i="6"/>
  <c r="E183" i="6" s="1"/>
  <c r="D184" i="6"/>
  <c r="E184" i="6" s="1"/>
  <c r="D185" i="6"/>
  <c r="E185" i="6" s="1"/>
  <c r="D186" i="6"/>
  <c r="D187" i="6"/>
  <c r="E187" i="6" s="1"/>
  <c r="D188" i="6"/>
  <c r="E188" i="6" s="1"/>
  <c r="D189" i="6"/>
  <c r="E189" i="6" s="1"/>
  <c r="D190" i="6"/>
  <c r="D191" i="6"/>
  <c r="E191" i="6" s="1"/>
  <c r="D192" i="6"/>
  <c r="E192" i="6" s="1"/>
  <c r="D193" i="6"/>
  <c r="E193" i="6" s="1"/>
  <c r="D194" i="6"/>
  <c r="D195" i="6"/>
  <c r="E195" i="6" s="1"/>
  <c r="D196" i="6"/>
  <c r="E196" i="6" s="1"/>
  <c r="D197" i="6"/>
  <c r="E197" i="6" s="1"/>
  <c r="D198" i="6"/>
  <c r="D199" i="6"/>
  <c r="E199" i="6" s="1"/>
  <c r="D200" i="6"/>
  <c r="E200" i="6" s="1"/>
  <c r="D201" i="6"/>
  <c r="E201" i="6" s="1"/>
  <c r="D202" i="6"/>
  <c r="D203" i="6"/>
  <c r="E203" i="6" s="1"/>
  <c r="D204" i="6"/>
  <c r="E204" i="6" s="1"/>
  <c r="D205" i="6"/>
  <c r="E205" i="6" s="1"/>
  <c r="D206" i="6"/>
  <c r="D207" i="6"/>
  <c r="E207" i="6" s="1"/>
  <c r="D208" i="6"/>
  <c r="E208" i="6" s="1"/>
  <c r="D209" i="6"/>
  <c r="E209" i="6" s="1"/>
  <c r="D210" i="6"/>
  <c r="D211" i="6"/>
  <c r="E211" i="6" s="1"/>
  <c r="D212" i="6"/>
  <c r="E212" i="6" s="1"/>
  <c r="D213" i="6"/>
  <c r="E213" i="6" s="1"/>
  <c r="D214" i="6"/>
  <c r="D215" i="6"/>
  <c r="E215" i="6" s="1"/>
  <c r="D216" i="6"/>
  <c r="E216" i="6" s="1"/>
  <c r="D217" i="6"/>
  <c r="E217" i="6" s="1"/>
  <c r="D218" i="6"/>
  <c r="D219" i="6"/>
  <c r="E219" i="6" s="1"/>
  <c r="D220" i="6"/>
  <c r="E220" i="6" s="1"/>
  <c r="D221" i="6"/>
  <c r="E221" i="6" s="1"/>
  <c r="D222" i="6"/>
  <c r="D223" i="6"/>
  <c r="E223" i="6" s="1"/>
  <c r="D224" i="6"/>
  <c r="E224" i="6" s="1"/>
  <c r="D225" i="6"/>
  <c r="E225" i="6" s="1"/>
  <c r="D226" i="6"/>
  <c r="D227" i="6"/>
  <c r="E227" i="6" s="1"/>
  <c r="D228" i="6"/>
  <c r="E228" i="6" s="1"/>
  <c r="D229" i="6"/>
  <c r="E229" i="6" s="1"/>
  <c r="D230" i="6"/>
  <c r="D231" i="6"/>
  <c r="E231" i="6" s="1"/>
  <c r="D232" i="6"/>
  <c r="E232" i="6" s="1"/>
  <c r="D233" i="6"/>
  <c r="E233" i="6" s="1"/>
  <c r="D234" i="6"/>
  <c r="D235" i="6"/>
  <c r="E235" i="6" s="1"/>
  <c r="D236" i="6"/>
  <c r="E236" i="6" s="1"/>
  <c r="D237" i="6"/>
  <c r="E237" i="6" s="1"/>
  <c r="D238" i="6"/>
  <c r="D239" i="6"/>
  <c r="E239" i="6" s="1"/>
  <c r="D240" i="6"/>
  <c r="E240" i="6" s="1"/>
  <c r="D241" i="6"/>
  <c r="E241" i="6" s="1"/>
  <c r="D242" i="6"/>
  <c r="D243" i="6"/>
  <c r="E243" i="6" s="1"/>
  <c r="D244" i="6"/>
  <c r="E244" i="6" s="1"/>
  <c r="D245" i="6"/>
  <c r="E245" i="6" s="1"/>
  <c r="D246" i="6"/>
  <c r="D247" i="6"/>
  <c r="E247" i="6" s="1"/>
  <c r="D248" i="6"/>
  <c r="E248" i="6" s="1"/>
  <c r="D249" i="6"/>
  <c r="E249" i="6" s="1"/>
  <c r="D250" i="6"/>
  <c r="D251" i="6"/>
  <c r="E251" i="6" s="1"/>
  <c r="D252" i="6"/>
  <c r="E252" i="6" s="1"/>
  <c r="D253" i="6"/>
  <c r="E253" i="6" s="1"/>
  <c r="D254" i="6"/>
  <c r="D255" i="6"/>
  <c r="E255" i="6" s="1"/>
  <c r="D7" i="6"/>
  <c r="E7" i="6" s="1"/>
  <c r="K13" i="6" l="1"/>
  <c r="K9" i="6"/>
  <c r="K10" i="6" s="1"/>
  <c r="K11" i="6" s="1"/>
  <c r="K7" i="6"/>
  <c r="K8" i="6" s="1"/>
  <c r="H16" i="4"/>
  <c r="H15" i="4"/>
  <c r="H13" i="4"/>
  <c r="H21" i="4"/>
  <c r="K12" i="6" l="1"/>
  <c r="D6" i="4"/>
  <c r="E10" i="2" l="1"/>
  <c r="B9" i="2"/>
  <c r="B8" i="2"/>
  <c r="B7" i="2"/>
  <c r="F114" i="1"/>
  <c r="G114" i="1"/>
  <c r="H114" i="1"/>
  <c r="E114" i="1"/>
  <c r="H113" i="1"/>
  <c r="G113" i="1"/>
  <c r="F113" i="1"/>
  <c r="E113" i="1"/>
  <c r="L57" i="1"/>
  <c r="M57" i="1"/>
  <c r="N57" i="1"/>
  <c r="L62" i="1"/>
  <c r="M62" i="1"/>
  <c r="N62" i="1"/>
  <c r="L63" i="1"/>
  <c r="M63" i="1"/>
  <c r="N63" i="1"/>
  <c r="L64" i="1"/>
  <c r="M64" i="1"/>
  <c r="N64" i="1"/>
  <c r="L65" i="1"/>
  <c r="M65" i="1"/>
  <c r="N65" i="1"/>
  <c r="L74" i="1"/>
  <c r="M74" i="1"/>
  <c r="N74" i="1"/>
  <c r="L85" i="1"/>
  <c r="M85" i="1"/>
  <c r="N85" i="1"/>
  <c r="L87" i="1"/>
  <c r="M87" i="1"/>
  <c r="N87" i="1"/>
  <c r="K87" i="1"/>
  <c r="K85" i="1"/>
  <c r="K74" i="1"/>
  <c r="K65" i="1"/>
  <c r="K64" i="1"/>
  <c r="K63" i="1"/>
  <c r="K62" i="1"/>
  <c r="J62" i="1"/>
  <c r="K57" i="1"/>
  <c r="J57" i="1"/>
  <c r="F112" i="1"/>
  <c r="G112" i="1"/>
  <c r="H112" i="1"/>
  <c r="F109" i="1"/>
  <c r="G109" i="1"/>
  <c r="H109" i="1"/>
  <c r="F108" i="1"/>
  <c r="G108" i="1"/>
  <c r="H108" i="1"/>
  <c r="F107" i="1"/>
  <c r="G107" i="1"/>
  <c r="H107" i="1"/>
  <c r="F104" i="1"/>
  <c r="G104" i="1"/>
  <c r="H104" i="1"/>
  <c r="F103" i="1"/>
  <c r="G103" i="1"/>
  <c r="H103" i="1"/>
  <c r="F102" i="1"/>
  <c r="G102" i="1"/>
  <c r="H102" i="1"/>
  <c r="F98" i="1"/>
  <c r="G98" i="1"/>
  <c r="H98" i="1"/>
  <c r="E112" i="1"/>
  <c r="E109" i="1"/>
  <c r="E108" i="1"/>
  <c r="E107" i="1"/>
  <c r="E103" i="1"/>
  <c r="E102" i="1"/>
  <c r="B15" i="2" l="1"/>
  <c r="B17" i="2" s="1"/>
  <c r="C16" i="2" s="1"/>
  <c r="B10" i="2"/>
  <c r="H27" i="1"/>
  <c r="D120" i="1"/>
  <c r="D122" i="1" s="1"/>
  <c r="E104" i="1"/>
  <c r="E105" i="1" s="1"/>
  <c r="E98" i="1"/>
  <c r="C15" i="2" l="1"/>
  <c r="G105" i="1"/>
  <c r="H105" i="1"/>
  <c r="F105" i="1"/>
  <c r="E119" i="1"/>
  <c r="J87" i="1" l="1"/>
  <c r="J85" i="1"/>
  <c r="J74" i="1"/>
  <c r="E31" i="1"/>
  <c r="F31" i="1"/>
  <c r="G31" i="1"/>
  <c r="H31" i="1"/>
  <c r="D31" i="1"/>
  <c r="E30" i="1"/>
  <c r="F30" i="1"/>
  <c r="G30" i="1"/>
  <c r="H30" i="1"/>
  <c r="D30" i="1"/>
  <c r="E29" i="1"/>
  <c r="F29" i="1"/>
  <c r="G29" i="1"/>
  <c r="H29" i="1"/>
  <c r="D29" i="1"/>
  <c r="E28" i="1"/>
  <c r="F28" i="1"/>
  <c r="G28" i="1"/>
  <c r="H28" i="1"/>
  <c r="D28" i="1"/>
  <c r="E27" i="1"/>
  <c r="F27" i="1"/>
  <c r="G27" i="1"/>
  <c r="D27" i="1"/>
  <c r="E26" i="1"/>
  <c r="F26" i="1"/>
  <c r="G26" i="1"/>
  <c r="H26" i="1"/>
  <c r="D26" i="1"/>
  <c r="J65" i="1"/>
  <c r="J64" i="1"/>
  <c r="J63" i="1"/>
  <c r="H20" i="1"/>
  <c r="E24" i="1"/>
  <c r="F24" i="1"/>
  <c r="G24" i="1"/>
  <c r="H24" i="1"/>
  <c r="D24" i="1"/>
  <c r="E23" i="1"/>
  <c r="F23" i="1"/>
  <c r="G23" i="1"/>
  <c r="H23" i="1"/>
  <c r="D23" i="1"/>
  <c r="E22" i="1"/>
  <c r="F22" i="1"/>
  <c r="G22" i="1"/>
  <c r="D22" i="1"/>
  <c r="E21" i="1"/>
  <c r="F21" i="1"/>
  <c r="G21" i="1"/>
  <c r="H21" i="1"/>
  <c r="D21" i="1"/>
  <c r="E20" i="1"/>
  <c r="F20" i="1"/>
  <c r="G20" i="1"/>
  <c r="D20" i="1"/>
  <c r="E19" i="1"/>
  <c r="F19" i="1"/>
  <c r="G19" i="1"/>
  <c r="H19" i="1"/>
  <c r="D19" i="1"/>
  <c r="L29" i="1" l="1"/>
  <c r="N29" i="1"/>
  <c r="J29" i="1"/>
  <c r="K29" i="1"/>
  <c r="M29" i="1"/>
  <c r="J22" i="1"/>
  <c r="J20" i="1"/>
  <c r="L20" i="1"/>
  <c r="K20" i="1"/>
  <c r="M20" i="1"/>
  <c r="N20" i="1"/>
  <c r="N30" i="1"/>
  <c r="J31" i="1"/>
  <c r="K30" i="1"/>
  <c r="J30" i="1"/>
  <c r="M30" i="1"/>
  <c r="K31" i="1"/>
  <c r="L30" i="1"/>
  <c r="N31" i="1"/>
  <c r="M31" i="1"/>
  <c r="L31" i="1"/>
  <c r="N28" i="1"/>
  <c r="K28" i="1"/>
  <c r="N26" i="1"/>
  <c r="N27" i="1"/>
  <c r="J28" i="1"/>
  <c r="M28" i="1"/>
  <c r="L28" i="1"/>
  <c r="K24" i="1"/>
  <c r="J27" i="1"/>
  <c r="M27" i="1"/>
  <c r="L27" i="1"/>
  <c r="K27" i="1"/>
  <c r="L24" i="1"/>
  <c r="J26" i="1"/>
  <c r="M26" i="1"/>
  <c r="L26" i="1"/>
  <c r="K26" i="1"/>
  <c r="K23" i="1"/>
  <c r="M24" i="1"/>
  <c r="N24" i="1"/>
  <c r="J24" i="1"/>
  <c r="N22" i="1"/>
  <c r="J23" i="1"/>
  <c r="N23" i="1"/>
  <c r="L22" i="1"/>
  <c r="L23" i="1"/>
  <c r="M23" i="1"/>
  <c r="N19" i="1"/>
  <c r="N21" i="1"/>
  <c r="M22" i="1"/>
  <c r="K22" i="1"/>
  <c r="J21" i="1"/>
  <c r="L21" i="1"/>
  <c r="M21" i="1"/>
  <c r="K21" i="1"/>
  <c r="K19" i="1"/>
  <c r="M19" i="1"/>
  <c r="L19" i="1"/>
  <c r="J19" i="1"/>
  <c r="C3" i="1" l="1"/>
  <c r="F10" i="1"/>
  <c r="G10" i="1"/>
  <c r="H10" i="1"/>
  <c r="E10" i="1"/>
  <c r="E16" i="1"/>
  <c r="F16" i="1"/>
  <c r="G16" i="1"/>
  <c r="H16" i="1"/>
  <c r="D16" i="1"/>
  <c r="E15" i="1"/>
  <c r="F15" i="1"/>
  <c r="G15" i="1"/>
  <c r="H15" i="1"/>
  <c r="D15" i="1"/>
  <c r="E14" i="1"/>
  <c r="F14" i="1"/>
  <c r="G14" i="1"/>
  <c r="H14" i="1"/>
  <c r="D14" i="1"/>
  <c r="E11" i="1"/>
  <c r="F11" i="1"/>
  <c r="G11" i="1"/>
  <c r="H11" i="1"/>
  <c r="E12" i="1"/>
  <c r="F12" i="1"/>
  <c r="G12" i="1"/>
  <c r="H12" i="1"/>
  <c r="E13" i="1"/>
  <c r="F13" i="1"/>
  <c r="G13" i="1"/>
  <c r="H13" i="1"/>
  <c r="D13" i="1"/>
  <c r="D12" i="1"/>
  <c r="D11" i="1"/>
  <c r="F6" i="1"/>
  <c r="G6" i="1"/>
  <c r="H6" i="1"/>
  <c r="E6" i="1"/>
  <c r="J8" i="1" l="1"/>
  <c r="J7" i="1" s="1"/>
  <c r="K6" i="1" s="1"/>
  <c r="K8" i="1"/>
  <c r="L8" i="1"/>
  <c r="M8" i="1"/>
  <c r="N8" i="1"/>
  <c r="K9" i="1"/>
  <c r="N7" i="1"/>
  <c r="M9" i="1"/>
  <c r="J15" i="1"/>
  <c r="L15" i="1"/>
  <c r="K15" i="1"/>
  <c r="M15" i="1"/>
  <c r="N15" i="1"/>
  <c r="J10" i="1"/>
  <c r="K10" i="1"/>
  <c r="L10" i="1"/>
  <c r="M10" i="1"/>
  <c r="N10" i="1"/>
  <c r="N14" i="1"/>
  <c r="M14" i="1"/>
  <c r="J14" i="1"/>
  <c r="K14" i="1"/>
  <c r="L14" i="1"/>
  <c r="J12" i="1"/>
  <c r="K12" i="1"/>
  <c r="N12" i="1"/>
  <c r="L12" i="1"/>
  <c r="M12" i="1"/>
  <c r="M16" i="1"/>
  <c r="K16" i="1"/>
  <c r="N16" i="1"/>
  <c r="J16" i="1"/>
  <c r="L16" i="1"/>
  <c r="L11" i="1"/>
  <c r="N11" i="1"/>
  <c r="M11" i="1"/>
  <c r="J11" i="1"/>
  <c r="K11" i="1"/>
  <c r="L13" i="1"/>
  <c r="M13" i="1"/>
  <c r="N13" i="1"/>
  <c r="K13" i="1"/>
  <c r="J13" i="1"/>
  <c r="J6" i="1" l="1"/>
  <c r="J34" i="1" s="1"/>
  <c r="H4" i="7" s="1"/>
  <c r="J9" i="1"/>
  <c r="N6" i="1"/>
  <c r="L6" i="1"/>
  <c r="K7" i="1"/>
  <c r="M6" i="1"/>
  <c r="M7" i="1"/>
  <c r="N9" i="1"/>
  <c r="L9" i="1"/>
  <c r="L7" i="1"/>
  <c r="J73" i="1" l="1"/>
  <c r="J56" i="1"/>
  <c r="J103" i="1" s="1"/>
  <c r="J61" i="1"/>
  <c r="Q3" i="7"/>
  <c r="J75" i="1"/>
  <c r="J81" i="1"/>
  <c r="J109" i="1" s="1"/>
  <c r="J78" i="1"/>
  <c r="J46" i="1"/>
  <c r="J112" i="1" s="1"/>
  <c r="J35" i="1"/>
  <c r="J67" i="1"/>
  <c r="J40" i="1"/>
  <c r="J39" i="1"/>
  <c r="J58" i="1"/>
  <c r="J42" i="1"/>
  <c r="K34" i="1"/>
  <c r="J44" i="1"/>
  <c r="J98" i="1" s="1"/>
  <c r="J66" i="1"/>
  <c r="J38" i="1"/>
  <c r="J80" i="1"/>
  <c r="H88" i="1"/>
  <c r="G88" i="1"/>
  <c r="F88" i="1"/>
  <c r="E88" i="1"/>
  <c r="D88" i="1"/>
  <c r="H82" i="1"/>
  <c r="G82" i="1"/>
  <c r="F82" i="1"/>
  <c r="E82" i="1"/>
  <c r="D82" i="1"/>
  <c r="H76" i="1"/>
  <c r="G76" i="1"/>
  <c r="F76" i="1"/>
  <c r="E76" i="1"/>
  <c r="D76" i="1"/>
  <c r="H68" i="1"/>
  <c r="G68" i="1"/>
  <c r="F68" i="1"/>
  <c r="E68" i="1"/>
  <c r="D68" i="1"/>
  <c r="H59" i="1"/>
  <c r="G59" i="1"/>
  <c r="F59" i="1"/>
  <c r="E59" i="1"/>
  <c r="D59" i="1"/>
  <c r="H36" i="1"/>
  <c r="G36" i="1"/>
  <c r="G43" i="1" s="1"/>
  <c r="F36" i="1"/>
  <c r="F43" i="1" s="1"/>
  <c r="E36" i="1"/>
  <c r="E43" i="1" s="1"/>
  <c r="D36" i="1"/>
  <c r="D43" i="1" s="1"/>
  <c r="D45" i="1" l="1"/>
  <c r="D47" i="1" s="1"/>
  <c r="D17" i="1" s="1"/>
  <c r="B5" i="7"/>
  <c r="F45" i="1"/>
  <c r="D5" i="7"/>
  <c r="E45" i="1"/>
  <c r="C5" i="7"/>
  <c r="J108" i="1"/>
  <c r="J76" i="1"/>
  <c r="G45" i="1"/>
  <c r="G94" i="1" s="1"/>
  <c r="E5" i="7"/>
  <c r="L34" i="1"/>
  <c r="J4" i="7" s="1"/>
  <c r="I4" i="7"/>
  <c r="J107" i="1"/>
  <c r="Q5" i="7"/>
  <c r="J79" i="1"/>
  <c r="J104" i="1" s="1"/>
  <c r="Q4" i="7"/>
  <c r="J113" i="1"/>
  <c r="J36" i="1"/>
  <c r="J43" i="1" s="1"/>
  <c r="H5" i="7" s="1"/>
  <c r="J55" i="1"/>
  <c r="J102" i="1" s="1"/>
  <c r="J114" i="1"/>
  <c r="L44" i="1"/>
  <c r="L98" i="1" s="1"/>
  <c r="L40" i="1"/>
  <c r="L67" i="1"/>
  <c r="L78" i="1"/>
  <c r="L73" i="1"/>
  <c r="L61" i="1"/>
  <c r="L81" i="1"/>
  <c r="M34" i="1"/>
  <c r="K4" i="7" s="1"/>
  <c r="L38" i="1"/>
  <c r="L66" i="1"/>
  <c r="L80" i="1"/>
  <c r="L75" i="1"/>
  <c r="L42" i="1"/>
  <c r="L46" i="1"/>
  <c r="L112" i="1" s="1"/>
  <c r="L35" i="1"/>
  <c r="L58" i="1"/>
  <c r="L39" i="1"/>
  <c r="L56" i="1"/>
  <c r="J68" i="1"/>
  <c r="J82" i="1"/>
  <c r="K67" i="1"/>
  <c r="K46" i="1"/>
  <c r="K112" i="1" s="1"/>
  <c r="K35" i="1"/>
  <c r="K81" i="1"/>
  <c r="K109" i="1" s="1"/>
  <c r="K66" i="1"/>
  <c r="K38" i="1"/>
  <c r="K75" i="1"/>
  <c r="K58" i="1"/>
  <c r="K80" i="1"/>
  <c r="K42" i="1"/>
  <c r="K73" i="1"/>
  <c r="K39" i="1"/>
  <c r="K78" i="1"/>
  <c r="K61" i="1"/>
  <c r="K44" i="1"/>
  <c r="K98" i="1" s="1"/>
  <c r="K40" i="1"/>
  <c r="K56" i="1"/>
  <c r="F47" i="1"/>
  <c r="F94" i="1"/>
  <c r="G47" i="1"/>
  <c r="D49" i="1"/>
  <c r="E47" i="1"/>
  <c r="E94" i="1"/>
  <c r="H43" i="1"/>
  <c r="H83" i="1"/>
  <c r="H89" i="1" s="1"/>
  <c r="F69" i="1"/>
  <c r="D83" i="1"/>
  <c r="D89" i="1" s="1"/>
  <c r="D69" i="1"/>
  <c r="E69" i="1"/>
  <c r="G69" i="1"/>
  <c r="H69" i="1"/>
  <c r="F83" i="1"/>
  <c r="F89" i="1" s="1"/>
  <c r="E83" i="1"/>
  <c r="E89" i="1" s="1"/>
  <c r="G83" i="1"/>
  <c r="G89" i="1" s="1"/>
  <c r="J83" i="1" l="1"/>
  <c r="N19" i="4"/>
  <c r="F5" i="7"/>
  <c r="Q2" i="7"/>
  <c r="J45" i="1"/>
  <c r="J94" i="1" s="1"/>
  <c r="Q6" i="7"/>
  <c r="K113" i="1"/>
  <c r="J105" i="1"/>
  <c r="H45" i="1"/>
  <c r="H47" i="1" s="1"/>
  <c r="L114" i="1"/>
  <c r="K114" i="1"/>
  <c r="L113" i="1"/>
  <c r="L109" i="1"/>
  <c r="L103" i="1"/>
  <c r="K108" i="1"/>
  <c r="L76" i="1"/>
  <c r="L108" i="1"/>
  <c r="L107" i="1"/>
  <c r="L68" i="1"/>
  <c r="K107" i="1"/>
  <c r="K103" i="1"/>
  <c r="M42" i="1"/>
  <c r="M73" i="1"/>
  <c r="M35" i="1"/>
  <c r="M40" i="1"/>
  <c r="M67" i="1"/>
  <c r="M39" i="1"/>
  <c r="M61" i="1"/>
  <c r="M81" i="1"/>
  <c r="M109" i="1" s="1"/>
  <c r="N34" i="1"/>
  <c r="L4" i="7" s="1"/>
  <c r="M66" i="1"/>
  <c r="M80" i="1"/>
  <c r="M44" i="1"/>
  <c r="M98" i="1" s="1"/>
  <c r="M58" i="1"/>
  <c r="M46" i="1"/>
  <c r="M112" i="1" s="1"/>
  <c r="M78" i="1"/>
  <c r="M38" i="1"/>
  <c r="M75" i="1"/>
  <c r="M56" i="1"/>
  <c r="M103" i="1" s="1"/>
  <c r="L79" i="1"/>
  <c r="L82" i="1" s="1"/>
  <c r="L55" i="1"/>
  <c r="K76" i="1"/>
  <c r="L36" i="1"/>
  <c r="L43" i="1" s="1"/>
  <c r="K79" i="1"/>
  <c r="K104" i="1" s="1"/>
  <c r="K55" i="1"/>
  <c r="K36" i="1"/>
  <c r="K43" i="1" s="1"/>
  <c r="K68" i="1"/>
  <c r="E49" i="1"/>
  <c r="E115" i="1" s="1"/>
  <c r="E17" i="1"/>
  <c r="E95" i="1" s="1"/>
  <c r="G49" i="1"/>
  <c r="G115" i="1" s="1"/>
  <c r="G17" i="1"/>
  <c r="G95" i="1" s="1"/>
  <c r="G116" i="1" s="1"/>
  <c r="F49" i="1"/>
  <c r="F115" i="1" s="1"/>
  <c r="F17" i="1"/>
  <c r="F95" i="1" s="1"/>
  <c r="F116" i="1" s="1"/>
  <c r="H91" i="1"/>
  <c r="D91" i="1"/>
  <c r="E91" i="1"/>
  <c r="F91" i="1"/>
  <c r="G91" i="1"/>
  <c r="H94" i="1" l="1"/>
  <c r="K45" i="1"/>
  <c r="K47" i="1" s="1"/>
  <c r="I5" i="7"/>
  <c r="L45" i="1"/>
  <c r="J5" i="7"/>
  <c r="J47" i="1"/>
  <c r="M113" i="1"/>
  <c r="L83" i="1"/>
  <c r="M114" i="1"/>
  <c r="M68" i="1"/>
  <c r="M107" i="1"/>
  <c r="K94" i="1"/>
  <c r="L104" i="1"/>
  <c r="M76" i="1"/>
  <c r="N42" i="1"/>
  <c r="N66" i="1"/>
  <c r="N40" i="1"/>
  <c r="N35" i="1"/>
  <c r="N75" i="1"/>
  <c r="N78" i="1"/>
  <c r="N61" i="1"/>
  <c r="N80" i="1"/>
  <c r="N73" i="1"/>
  <c r="N58" i="1"/>
  <c r="N44" i="1"/>
  <c r="N98" i="1" s="1"/>
  <c r="N39" i="1"/>
  <c r="N67" i="1"/>
  <c r="N81" i="1"/>
  <c r="N109" i="1" s="1"/>
  <c r="N46" i="1"/>
  <c r="N112" i="1" s="1"/>
  <c r="N38" i="1"/>
  <c r="N56" i="1"/>
  <c r="N103" i="1" s="1"/>
  <c r="L102" i="1"/>
  <c r="K102" i="1"/>
  <c r="K105" i="1" s="1"/>
  <c r="M36" i="1"/>
  <c r="M43" i="1" s="1"/>
  <c r="M79" i="1"/>
  <c r="M104" i="1" s="1"/>
  <c r="M55" i="1"/>
  <c r="M102" i="1" s="1"/>
  <c r="K82" i="1"/>
  <c r="K83" i="1" s="1"/>
  <c r="L94" i="1"/>
  <c r="L47" i="1"/>
  <c r="M108" i="1"/>
  <c r="H49" i="1"/>
  <c r="H115" i="1" s="1"/>
  <c r="H17" i="1"/>
  <c r="G96" i="1"/>
  <c r="G99" i="1" s="1"/>
  <c r="G110" i="1" s="1"/>
  <c r="E116" i="1"/>
  <c r="F96" i="1"/>
  <c r="F99" i="1" s="1"/>
  <c r="F110" i="1" s="1"/>
  <c r="M45" i="1" l="1"/>
  <c r="M94" i="1" s="1"/>
  <c r="K5" i="7"/>
  <c r="M105" i="1"/>
  <c r="N108" i="1"/>
  <c r="F117" i="1"/>
  <c r="F6" i="4"/>
  <c r="G117" i="1"/>
  <c r="G6" i="4"/>
  <c r="N17" i="1"/>
  <c r="B11" i="2"/>
  <c r="B12" i="2" s="1"/>
  <c r="B19" i="2" s="1"/>
  <c r="N114" i="1"/>
  <c r="N113" i="1"/>
  <c r="M82" i="1"/>
  <c r="M83" i="1" s="1"/>
  <c r="L105" i="1"/>
  <c r="N36" i="1"/>
  <c r="N43" i="1" s="1"/>
  <c r="N55" i="1"/>
  <c r="N102" i="1" s="1"/>
  <c r="N79" i="1"/>
  <c r="N104" i="1" s="1"/>
  <c r="N76" i="1"/>
  <c r="M47" i="1"/>
  <c r="N68" i="1"/>
  <c r="N107" i="1"/>
  <c r="H95" i="1"/>
  <c r="H116" i="1" s="1"/>
  <c r="M17" i="1"/>
  <c r="E96" i="1"/>
  <c r="E99" i="1" s="1"/>
  <c r="E110" i="1" s="1"/>
  <c r="J17" i="1"/>
  <c r="K17" i="1"/>
  <c r="K48" i="1" s="1"/>
  <c r="L17" i="1"/>
  <c r="L95" i="1" s="1"/>
  <c r="L96" i="1" s="1"/>
  <c r="L99" i="1" s="1"/>
  <c r="C15" i="4" l="1"/>
  <c r="L5" i="7"/>
  <c r="E117" i="1"/>
  <c r="E120" i="1" s="1"/>
  <c r="E6" i="4"/>
  <c r="N45" i="1"/>
  <c r="N47" i="1" s="1"/>
  <c r="C17" i="4"/>
  <c r="N14" i="4" s="1"/>
  <c r="L110" i="1"/>
  <c r="L6" i="4" s="1"/>
  <c r="D27" i="7" s="1"/>
  <c r="K95" i="1"/>
  <c r="K96" i="1" s="1"/>
  <c r="K99" i="1" s="1"/>
  <c r="K110" i="1" s="1"/>
  <c r="K6" i="4" s="1"/>
  <c r="C27" i="7" s="1"/>
  <c r="N105" i="1"/>
  <c r="M48" i="1"/>
  <c r="M49" i="1" s="1"/>
  <c r="K49" i="1"/>
  <c r="M95" i="1"/>
  <c r="M96" i="1" s="1"/>
  <c r="M99" i="1" s="1"/>
  <c r="M110" i="1" s="1"/>
  <c r="M6" i="4" s="1"/>
  <c r="E27" i="7" s="1"/>
  <c r="L48" i="1"/>
  <c r="N82" i="1"/>
  <c r="N83" i="1" s="1"/>
  <c r="J95" i="1"/>
  <c r="J96" i="1" s="1"/>
  <c r="J99" i="1" s="1"/>
  <c r="J110" i="1" s="1"/>
  <c r="J6" i="4" s="1"/>
  <c r="B27" i="7" s="1"/>
  <c r="J48" i="1"/>
  <c r="H96" i="1"/>
  <c r="H99" i="1" s="1"/>
  <c r="H110" i="1" s="1"/>
  <c r="N94" i="1" l="1"/>
  <c r="N95" i="1" s="1"/>
  <c r="N96" i="1" s="1"/>
  <c r="N99" i="1" s="1"/>
  <c r="N110" i="1" s="1"/>
  <c r="F119" i="1"/>
  <c r="F120" i="1" s="1"/>
  <c r="E122" i="1"/>
  <c r="J116" i="1"/>
  <c r="K8" i="4"/>
  <c r="K9" i="4" s="1"/>
  <c r="C28" i="7" s="1"/>
  <c r="L8" i="4"/>
  <c r="L9" i="4" s="1"/>
  <c r="D28" i="7" s="1"/>
  <c r="N8" i="4"/>
  <c r="C18" i="4" s="1"/>
  <c r="M8" i="4"/>
  <c r="M9" i="4" s="1"/>
  <c r="E28" i="7" s="1"/>
  <c r="J8" i="4"/>
  <c r="H117" i="1"/>
  <c r="H6" i="4"/>
  <c r="K116" i="1"/>
  <c r="M116" i="1"/>
  <c r="L116" i="1"/>
  <c r="L49" i="1"/>
  <c r="N48" i="1"/>
  <c r="N116" i="1" s="1"/>
  <c r="J49" i="1"/>
  <c r="J86" i="1" s="1"/>
  <c r="K86" i="1" s="1"/>
  <c r="K88" i="1" s="1"/>
  <c r="N6" i="4" l="1"/>
  <c r="F27" i="7" s="1"/>
  <c r="N12" i="4"/>
  <c r="N15" i="4" s="1"/>
  <c r="L27" i="4" s="1"/>
  <c r="J9" i="4"/>
  <c r="B28" i="7" s="1"/>
  <c r="C19" i="4"/>
  <c r="G119" i="1"/>
  <c r="G120" i="1" s="1"/>
  <c r="F122" i="1"/>
  <c r="N49" i="1"/>
  <c r="K89" i="1"/>
  <c r="L86" i="1"/>
  <c r="J88" i="1"/>
  <c r="K115" i="1" s="1"/>
  <c r="K117" i="1" s="1"/>
  <c r="N9" i="4" l="1"/>
  <c r="F28" i="7" s="1"/>
  <c r="H119" i="1"/>
  <c r="H120" i="1" s="1"/>
  <c r="H122" i="1" s="1"/>
  <c r="G122" i="1"/>
  <c r="L88" i="1"/>
  <c r="M86" i="1"/>
  <c r="J115" i="1"/>
  <c r="J117" i="1" s="1"/>
  <c r="J89" i="1"/>
  <c r="C12" i="4" l="1"/>
  <c r="C22" i="4" s="1"/>
  <c r="N18" i="4" s="1"/>
  <c r="M88" i="1"/>
  <c r="N86" i="1"/>
  <c r="N88" i="1" s="1"/>
  <c r="L115" i="1"/>
  <c r="L117" i="1" s="1"/>
  <c r="L89" i="1"/>
  <c r="J119" i="1"/>
  <c r="J120" i="1" s="1"/>
  <c r="C20" i="4" l="1"/>
  <c r="N20" i="4"/>
  <c r="H12" i="4"/>
  <c r="C27" i="4"/>
  <c r="J54" i="1"/>
  <c r="K119" i="1"/>
  <c r="K120" i="1" s="1"/>
  <c r="N115" i="1"/>
  <c r="N117" i="1" s="1"/>
  <c r="N89" i="1"/>
  <c r="M115" i="1"/>
  <c r="M117" i="1" s="1"/>
  <c r="M89" i="1"/>
  <c r="J59" i="1" l="1"/>
  <c r="J69" i="1" s="1"/>
  <c r="J91" i="1" s="1"/>
  <c r="J122" i="1"/>
  <c r="K54" i="1"/>
  <c r="L119" i="1"/>
  <c r="L120" i="1" s="1"/>
  <c r="K59" i="1" l="1"/>
  <c r="K69" i="1" s="1"/>
  <c r="K91" i="1" s="1"/>
  <c r="K122" i="1"/>
  <c r="M119" i="1"/>
  <c r="M120" i="1" s="1"/>
  <c r="L54" i="1"/>
  <c r="L59" i="1" l="1"/>
  <c r="L69" i="1" s="1"/>
  <c r="L91" i="1" s="1"/>
  <c r="L122" i="1"/>
  <c r="N119" i="1"/>
  <c r="N120" i="1" s="1"/>
  <c r="N54" i="1" s="1"/>
  <c r="N122" i="1" s="1"/>
  <c r="M54" i="1"/>
  <c r="M59" i="1" l="1"/>
  <c r="M69" i="1" s="1"/>
  <c r="M91" i="1" s="1"/>
  <c r="M122" i="1"/>
  <c r="N59" i="1"/>
  <c r="N69" i="1" s="1"/>
  <c r="N91" i="1" s="1"/>
  <c r="H17" i="4"/>
  <c r="H20" i="4" s="1"/>
  <c r="H22" i="4" l="1"/>
</calcChain>
</file>

<file path=xl/sharedStrings.xml><?xml version="1.0" encoding="utf-8"?>
<sst xmlns="http://schemas.openxmlformats.org/spreadsheetml/2006/main" count="229" uniqueCount="177">
  <si>
    <t>Revenue</t>
  </si>
  <si>
    <t>Cost of Generating Revenue</t>
  </si>
  <si>
    <t>Gross Profit</t>
  </si>
  <si>
    <t>Expenses</t>
  </si>
  <si>
    <t>Employee Benefit Expenses</t>
  </si>
  <si>
    <t>Purchase of stock-in-trade</t>
  </si>
  <si>
    <t>Other Expenses</t>
  </si>
  <si>
    <t>Incomes</t>
  </si>
  <si>
    <t>Other Incomes</t>
  </si>
  <si>
    <t>EBITDA</t>
  </si>
  <si>
    <t>Depreciation &amp; Amortization</t>
  </si>
  <si>
    <t>EBIT</t>
  </si>
  <si>
    <t>Interest</t>
  </si>
  <si>
    <t>Earnings Before Tax</t>
  </si>
  <si>
    <t>Taxes</t>
  </si>
  <si>
    <t>Net Earnings</t>
  </si>
  <si>
    <t>Assets</t>
  </si>
  <si>
    <t>Current Asset</t>
  </si>
  <si>
    <t>Cash and Cash Equivalents</t>
  </si>
  <si>
    <t>Inventories</t>
  </si>
  <si>
    <t>Accounts Receivables</t>
  </si>
  <si>
    <t>Financial Assets</t>
  </si>
  <si>
    <t>Other Assets</t>
  </si>
  <si>
    <t>Total Current Assets</t>
  </si>
  <si>
    <t>Non-Current Assets</t>
  </si>
  <si>
    <t>PP&amp;E</t>
  </si>
  <si>
    <t>Capital work-in-progress</t>
  </si>
  <si>
    <t>Goodwill</t>
  </si>
  <si>
    <t>Other Intangible Assets</t>
  </si>
  <si>
    <t>Tax Assets</t>
  </si>
  <si>
    <t>Total Non-Current Assets</t>
  </si>
  <si>
    <t>Total Assets</t>
  </si>
  <si>
    <t>Liabilities</t>
  </si>
  <si>
    <t>Non-current Liabilities</t>
  </si>
  <si>
    <t>Tax Liabilities</t>
  </si>
  <si>
    <t>Debt</t>
  </si>
  <si>
    <t>Total Non-Current Liabilities</t>
  </si>
  <si>
    <t>Current Liabilities</t>
  </si>
  <si>
    <t>Acc Payables</t>
  </si>
  <si>
    <t>Other Current Liabilities</t>
  </si>
  <si>
    <t>Total Current Liabilities</t>
  </si>
  <si>
    <t>Total Liabilities</t>
  </si>
  <si>
    <t>Shareholder's Equity</t>
  </si>
  <si>
    <t>Share capital</t>
  </si>
  <si>
    <t>Other equity</t>
  </si>
  <si>
    <t>Non-controlling interest</t>
  </si>
  <si>
    <t>Total Liabilities &amp; Shareholder's Equity</t>
  </si>
  <si>
    <t>Check</t>
  </si>
  <si>
    <t>Assumptions</t>
  </si>
  <si>
    <t>Revenue (% y-o-y)</t>
  </si>
  <si>
    <t>Employee Benefit Expenses (% revenue)</t>
  </si>
  <si>
    <t>Other expenses (% revenue)</t>
  </si>
  <si>
    <t>Bull Market</t>
  </si>
  <si>
    <t>Base Market</t>
  </si>
  <si>
    <t>Bear Market</t>
  </si>
  <si>
    <t>COGS (% revenue)</t>
  </si>
  <si>
    <t>Live Case</t>
  </si>
  <si>
    <t>Inventory Days</t>
  </si>
  <si>
    <t>Accounts receviable</t>
  </si>
  <si>
    <t>Other Assetes</t>
  </si>
  <si>
    <t>PPE</t>
  </si>
  <si>
    <t>Tax Asset</t>
  </si>
  <si>
    <t>Payable Days</t>
  </si>
  <si>
    <t>Other Liabilities</t>
  </si>
  <si>
    <t>NOPAT</t>
  </si>
  <si>
    <t>D&amp;A Addback</t>
  </si>
  <si>
    <t>Gross Cash Flow</t>
  </si>
  <si>
    <t>WC Change</t>
  </si>
  <si>
    <t>Inventory</t>
  </si>
  <si>
    <t>Accounts Payable</t>
  </si>
  <si>
    <t>Investment in WC</t>
  </si>
  <si>
    <t>Net Capex</t>
  </si>
  <si>
    <t>UFCF</t>
  </si>
  <si>
    <t>Net Cash Flow</t>
  </si>
  <si>
    <t>Opening CF</t>
  </si>
  <si>
    <t>Closing CF</t>
  </si>
  <si>
    <t>Other liabilities</t>
  </si>
  <si>
    <t>Delta Equity</t>
  </si>
  <si>
    <t>tax adjustment</t>
  </si>
  <si>
    <t>financial assets/liabilities</t>
  </si>
  <si>
    <t>Tax assets/liabilities</t>
  </si>
  <si>
    <t>Company</t>
  </si>
  <si>
    <t>SOLAR INDUSTRIES</t>
  </si>
  <si>
    <t>Total Interest</t>
  </si>
  <si>
    <t>SD</t>
  </si>
  <si>
    <t>LD</t>
  </si>
  <si>
    <t>Cost of Debt</t>
  </si>
  <si>
    <t>Tax Rate</t>
  </si>
  <si>
    <t>Cost of Equity</t>
  </si>
  <si>
    <t>Risk free rate</t>
  </si>
  <si>
    <t>Beta</t>
  </si>
  <si>
    <t>Market return</t>
  </si>
  <si>
    <t>Total Debt</t>
  </si>
  <si>
    <t>Market Capitalisation</t>
  </si>
  <si>
    <t>Total Capital</t>
  </si>
  <si>
    <t xml:space="preserve">WACC </t>
  </si>
  <si>
    <t>Exit Multiple</t>
  </si>
  <si>
    <t>Terminal Value</t>
  </si>
  <si>
    <t>Implied Perpetuity Growth Rate</t>
  </si>
  <si>
    <t>Terminal Year Free Cash Flow(2027E)</t>
  </si>
  <si>
    <t>WACC</t>
  </si>
  <si>
    <t>Implied PGR</t>
  </si>
  <si>
    <t>Terminal Year EBITDA(2027E)</t>
  </si>
  <si>
    <t>Present Value Calculation</t>
  </si>
  <si>
    <t>Discount Factor</t>
  </si>
  <si>
    <t>Present Value of FCF</t>
  </si>
  <si>
    <t>PV of FCF</t>
  </si>
  <si>
    <t>Discount factor</t>
  </si>
  <si>
    <t>PV of TV</t>
  </si>
  <si>
    <t>Enterprise Value</t>
  </si>
  <si>
    <t>% of Enterprise Value</t>
  </si>
  <si>
    <t>Less: Total Debt</t>
  </si>
  <si>
    <t>Less: Preferred Securities</t>
  </si>
  <si>
    <t>Less: Noncontrolling Interest</t>
  </si>
  <si>
    <t>Plus: Cash and Cash Equivalent</t>
  </si>
  <si>
    <t>Implied Equity Value</t>
  </si>
  <si>
    <t xml:space="preserve"> </t>
  </si>
  <si>
    <t>Implied EV/EBIDTA</t>
  </si>
  <si>
    <t>EBIDTA 2022</t>
  </si>
  <si>
    <t>Financial Statements</t>
  </si>
  <si>
    <t>Historical</t>
  </si>
  <si>
    <t>Forecast</t>
  </si>
  <si>
    <t>S/O</t>
  </si>
  <si>
    <t>Share Price</t>
  </si>
  <si>
    <t>Price/share</t>
  </si>
  <si>
    <t>Current Pice</t>
  </si>
  <si>
    <t>Implied Equity Value &amp; Share Price</t>
  </si>
  <si>
    <t>Chack</t>
  </si>
  <si>
    <t>Profit &amp; Loss Statement</t>
  </si>
  <si>
    <t>Balance Sheet</t>
  </si>
  <si>
    <t>Cash Flow Statement</t>
  </si>
  <si>
    <t>*Figures in crore</t>
  </si>
  <si>
    <t>Discounted Cashflow Statement</t>
  </si>
  <si>
    <t>Exit Multiple(x)</t>
  </si>
  <si>
    <t>Cost of Debt*(1-t)</t>
  </si>
  <si>
    <t>WACC Calculation</t>
  </si>
  <si>
    <t>Financial Model of Solar Industries</t>
  </si>
  <si>
    <t>Table of Content</t>
  </si>
  <si>
    <t>DCF Analysis</t>
  </si>
  <si>
    <t>Financial Forecast</t>
  </si>
  <si>
    <t xml:space="preserve">Presented by: Amit Kumar
</t>
  </si>
  <si>
    <t>SRCC- GBO (2nd Year), University of Delhi</t>
  </si>
  <si>
    <t>Note:</t>
  </si>
  <si>
    <t xml:space="preserve">This financial model is for educational purpose only and should not be use for any other reason. </t>
  </si>
  <si>
    <t xml:space="preserve">Symbol </t>
  </si>
  <si>
    <t>Date</t>
  </si>
  <si>
    <t>Series</t>
  </si>
  <si>
    <t>EQ</t>
  </si>
  <si>
    <t>Prev Close</t>
  </si>
  <si>
    <t>Close Price</t>
  </si>
  <si>
    <t>Return</t>
  </si>
  <si>
    <t>Daily Return</t>
  </si>
  <si>
    <t>Market Close</t>
  </si>
  <si>
    <t>Market Return</t>
  </si>
  <si>
    <t>SOLARINDS</t>
  </si>
  <si>
    <t>Average Daily Return</t>
  </si>
  <si>
    <t>Anuualised Return</t>
  </si>
  <si>
    <t>Risk-Daily</t>
  </si>
  <si>
    <t>Anuualised Risk- Variance</t>
  </si>
  <si>
    <t>Std Dev</t>
  </si>
  <si>
    <t>Utility</t>
  </si>
  <si>
    <t>Stock Attributes</t>
  </si>
  <si>
    <t>Ebitda %</t>
  </si>
  <si>
    <t>EBITDA 2022</t>
  </si>
  <si>
    <t>Delta revenue</t>
  </si>
  <si>
    <t>Delta COGS</t>
  </si>
  <si>
    <t>Delta Opex</t>
  </si>
  <si>
    <t>EBITDA 2023</t>
  </si>
  <si>
    <t>Year</t>
  </si>
  <si>
    <t>PV FCF</t>
  </si>
  <si>
    <t>2023E</t>
  </si>
  <si>
    <t>2024E</t>
  </si>
  <si>
    <t>2025E</t>
  </si>
  <si>
    <t>2026E</t>
  </si>
  <si>
    <t>2027E</t>
  </si>
  <si>
    <t>Chart Summary</t>
  </si>
  <si>
    <t>Charts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</si>
</sst>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 #,##0.00_ ;_ * \-#,##0.00_ ;_ * &quot;-&quot;??_ ;_ @_ "/>
    <numFmt numFmtId="164" formatCode="_-* #,##0.00_-;\(#,##0.00\)_-;_-* &quot;-&quot;_-;_-@_-"/>
    <numFmt numFmtId="165" formatCode="_-* #,##0_-;\(#,##0\)_-;_-* &quot;-&quot;_-;_-@_-"/>
  </numFmts>
  <fonts count="22" x14ac:knownFonts="1">
    <font>
      <sz val="11"/>
      <color theme="1"/>
      <name val="Calibri"/>
      <family val="2"/>
      <scheme val="minor"/>
    </font>
    <font>
      <sz val="11"/>
      <color theme="1"/>
      <name val="Calibri"/>
      <family val="2"/>
      <scheme val="minor"/>
    </font>
    <font>
      <b/>
      <sz val="9"/>
      <color rgb="FF000000"/>
      <name val="Arial"/>
      <family val="2"/>
    </font>
    <font>
      <b/>
      <sz val="9"/>
      <color rgb="FF0070C0"/>
      <name val="Arial"/>
      <family val="2"/>
    </font>
    <font>
      <sz val="9"/>
      <color rgb="FF000000"/>
      <name val="Arial"/>
      <family val="2"/>
    </font>
    <font>
      <sz val="9"/>
      <color rgb="FF0070C0"/>
      <name val="Arial"/>
      <family val="2"/>
    </font>
    <font>
      <b/>
      <sz val="9"/>
      <name val="Arial"/>
      <family val="2"/>
    </font>
    <font>
      <b/>
      <sz val="9"/>
      <color rgb="FF0000FF"/>
      <name val="Arial"/>
      <family val="2"/>
    </font>
    <font>
      <sz val="9"/>
      <color rgb="FF0000FF"/>
      <name val="Arial"/>
      <family val="2"/>
    </font>
    <font>
      <i/>
      <sz val="9"/>
      <color rgb="FF000000"/>
      <name val="Arial"/>
      <family val="2"/>
    </font>
    <font>
      <b/>
      <sz val="11"/>
      <color theme="1"/>
      <name val="Calibri"/>
      <family val="2"/>
      <scheme val="minor"/>
    </font>
    <font>
      <sz val="11"/>
      <color theme="0"/>
      <name val="Calibri"/>
      <family val="2"/>
      <scheme val="minor"/>
    </font>
    <font>
      <b/>
      <sz val="9"/>
      <color theme="1" tint="4.9989318521683403E-2"/>
      <name val="Arial"/>
      <family val="2"/>
    </font>
    <font>
      <sz val="9"/>
      <color theme="1" tint="4.9989318521683403E-2"/>
      <name val="Arial"/>
      <family val="2"/>
    </font>
    <font>
      <b/>
      <sz val="11"/>
      <name val="Calibri"/>
      <family val="2"/>
      <scheme val="minor"/>
    </font>
    <font>
      <sz val="11"/>
      <color theme="4" tint="-0.249977111117893"/>
      <name val="Calibri"/>
      <family val="2"/>
      <scheme val="minor"/>
    </font>
    <font>
      <b/>
      <sz val="14"/>
      <name val="Calibri"/>
      <family val="2"/>
      <scheme val="minor"/>
    </font>
    <font>
      <sz val="9"/>
      <color theme="4" tint="-0.249977111117893"/>
      <name val="Arial"/>
      <family val="2"/>
    </font>
    <font>
      <u/>
      <sz val="11"/>
      <color theme="10"/>
      <name val="Calibri"/>
      <family val="2"/>
      <scheme val="minor"/>
    </font>
    <font>
      <b/>
      <sz val="14"/>
      <color theme="1"/>
      <name val="Calibri"/>
      <family val="2"/>
      <scheme val="minor"/>
    </font>
    <font>
      <b/>
      <sz val="11"/>
      <color theme="4" tint="-0.249977111117893"/>
      <name val="Calibri"/>
      <family val="2"/>
      <scheme val="minor"/>
    </font>
    <font>
      <b/>
      <sz val="18"/>
      <color theme="1"/>
      <name val="Calibri"/>
      <family val="2"/>
      <scheme val="minor"/>
    </font>
  </fonts>
  <fills count="11">
    <fill>
      <patternFill patternType="none"/>
    </fill>
    <fill>
      <patternFill patternType="gray125"/>
    </fill>
    <fill>
      <patternFill patternType="solid">
        <fgColor theme="0"/>
        <bgColor rgb="FF000000"/>
      </patternFill>
    </fill>
    <fill>
      <patternFill patternType="solid">
        <fgColor theme="0"/>
        <bgColor indexed="64"/>
      </patternFill>
    </fill>
    <fill>
      <patternFill patternType="solid">
        <fgColor rgb="FFFF3300"/>
        <bgColor indexed="64"/>
      </patternFill>
    </fill>
    <fill>
      <patternFill patternType="solid">
        <fgColor rgb="FFFF3300"/>
        <bgColor rgb="FF000000"/>
      </patternFill>
    </fill>
    <fill>
      <patternFill patternType="solid">
        <fgColor theme="2" tint="-0.249977111117893"/>
        <bgColor indexed="64"/>
      </patternFill>
    </fill>
    <fill>
      <patternFill patternType="solid">
        <fgColor theme="4" tint="0.39997558519241921"/>
        <bgColor rgb="FF000000"/>
      </patternFill>
    </fill>
    <fill>
      <patternFill patternType="solid">
        <fgColor theme="4" tint="0.39997558519241921"/>
        <bgColor indexed="64"/>
      </patternFill>
    </fill>
    <fill>
      <patternFill patternType="solid">
        <fgColor theme="7" tint="0.39997558519241921"/>
        <bgColor indexed="64"/>
      </patternFill>
    </fill>
    <fill>
      <patternFill patternType="solid">
        <fgColor theme="2" tint="-0.249977111117893"/>
        <bgColor rgb="FF000000"/>
      </patternFill>
    </fill>
  </fills>
  <borders count="19">
    <border>
      <left/>
      <right/>
      <top/>
      <bottom/>
      <diagonal/>
    </border>
    <border>
      <left/>
      <right/>
      <top style="thin">
        <color indexed="64"/>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right style="thin">
        <color indexed="64"/>
      </right>
      <top style="medium">
        <color indexed="64"/>
      </top>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top/>
      <bottom/>
      <diagonal/>
    </border>
    <border>
      <left/>
      <right style="thin">
        <color indexed="64"/>
      </right>
      <top style="thin">
        <color indexed="64"/>
      </top>
      <bottom style="double">
        <color indexed="64"/>
      </bottom>
      <diagonal/>
    </border>
  </borders>
  <cellStyleXfs count="4">
    <xf numFmtId="0" fontId="0" fillId="0" borderId="0"/>
    <xf numFmtId="43" fontId="1" fillId="0" borderId="0" applyFont="0" applyFill="0" applyBorder="0" applyAlignment="0" applyProtection="0"/>
    <xf numFmtId="9" fontId="1" fillId="0" borderId="0" applyFont="0" applyFill="0" applyBorder="0" applyAlignment="0" applyProtection="0"/>
    <xf numFmtId="0" fontId="18" fillId="0" borderId="0" applyNumberFormat="0" applyFill="0" applyBorder="0" applyAlignment="0" applyProtection="0"/>
  </cellStyleXfs>
  <cellXfs count="162">
    <xf numFmtId="0" fontId="0" fillId="0" borderId="0" xfId="0"/>
    <xf numFmtId="164" fontId="2" fillId="2" borderId="0" xfId="1" applyNumberFormat="1" applyFont="1" applyFill="1" applyBorder="1"/>
    <xf numFmtId="164" fontId="2" fillId="2" borderId="0" xfId="1" applyNumberFormat="1" applyFont="1" applyFill="1" applyBorder="1" applyAlignment="1">
      <alignment horizontal="center"/>
    </xf>
    <xf numFmtId="164" fontId="3" fillId="3" borderId="0" xfId="1" applyNumberFormat="1" applyFont="1" applyFill="1" applyBorder="1"/>
    <xf numFmtId="164" fontId="4" fillId="2" borderId="0" xfId="1" applyNumberFormat="1" applyFont="1" applyFill="1" applyBorder="1"/>
    <xf numFmtId="164" fontId="4" fillId="2" borderId="0" xfId="1" applyNumberFormat="1" applyFont="1" applyFill="1" applyBorder="1" applyAlignment="1">
      <alignment horizontal="center"/>
    </xf>
    <xf numFmtId="164" fontId="5" fillId="3" borderId="0" xfId="1" applyNumberFormat="1" applyFont="1" applyFill="1" applyBorder="1"/>
    <xf numFmtId="164" fontId="2" fillId="2" borderId="1" xfId="1" applyNumberFormat="1" applyFont="1" applyFill="1" applyBorder="1"/>
    <xf numFmtId="164" fontId="2" fillId="2" borderId="1" xfId="1" applyNumberFormat="1" applyFont="1" applyFill="1" applyBorder="1" applyAlignment="1">
      <alignment horizontal="center"/>
    </xf>
    <xf numFmtId="164" fontId="6" fillId="3" borderId="1" xfId="1" applyNumberFormat="1" applyFont="1" applyFill="1" applyBorder="1"/>
    <xf numFmtId="164" fontId="7" fillId="3" borderId="0" xfId="1" applyNumberFormat="1" applyFont="1" applyFill="1" applyBorder="1"/>
    <xf numFmtId="164" fontId="4" fillId="2" borderId="2" xfId="1" applyNumberFormat="1" applyFont="1" applyFill="1" applyBorder="1"/>
    <xf numFmtId="164" fontId="4" fillId="2" borderId="2" xfId="1" applyNumberFormat="1" applyFont="1" applyFill="1" applyBorder="1" applyAlignment="1">
      <alignment horizontal="center"/>
    </xf>
    <xf numFmtId="164" fontId="5" fillId="3" borderId="2" xfId="1" applyNumberFormat="1" applyFont="1" applyFill="1" applyBorder="1"/>
    <xf numFmtId="164" fontId="4" fillId="2" borderId="1" xfId="1" applyNumberFormat="1" applyFont="1" applyFill="1" applyBorder="1"/>
    <xf numFmtId="164" fontId="4" fillId="2" borderId="1" xfId="1" applyNumberFormat="1" applyFont="1" applyFill="1" applyBorder="1" applyAlignment="1">
      <alignment horizontal="center"/>
    </xf>
    <xf numFmtId="164" fontId="2" fillId="2" borderId="3" xfId="1" applyNumberFormat="1" applyFont="1" applyFill="1" applyBorder="1"/>
    <xf numFmtId="164" fontId="2" fillId="2" borderId="3" xfId="1" applyNumberFormat="1" applyFont="1" applyFill="1" applyBorder="1" applyAlignment="1">
      <alignment horizontal="center"/>
    </xf>
    <xf numFmtId="164" fontId="6" fillId="3" borderId="3" xfId="1" applyNumberFormat="1" applyFont="1" applyFill="1" applyBorder="1"/>
    <xf numFmtId="164" fontId="2" fillId="3" borderId="0" xfId="1" applyNumberFormat="1" applyFont="1" applyFill="1" applyBorder="1"/>
    <xf numFmtId="164" fontId="4" fillId="3" borderId="0" xfId="1" applyNumberFormat="1" applyFont="1" applyFill="1" applyBorder="1"/>
    <xf numFmtId="164" fontId="4" fillId="3" borderId="0" xfId="1" applyNumberFormat="1" applyFont="1" applyFill="1" applyBorder="1" applyAlignment="1">
      <alignment horizontal="center"/>
    </xf>
    <xf numFmtId="164" fontId="8" fillId="3" borderId="0" xfId="1" applyNumberFormat="1" applyFont="1" applyFill="1" applyBorder="1"/>
    <xf numFmtId="164" fontId="0" fillId="3" borderId="0" xfId="0" applyNumberFormat="1" applyFill="1"/>
    <xf numFmtId="164" fontId="2" fillId="3" borderId="4" xfId="1" applyNumberFormat="1" applyFont="1" applyFill="1" applyBorder="1"/>
    <xf numFmtId="164" fontId="4" fillId="3" borderId="4" xfId="1" applyNumberFormat="1" applyFont="1" applyFill="1" applyBorder="1"/>
    <xf numFmtId="164" fontId="0" fillId="3" borderId="4" xfId="0" applyNumberFormat="1" applyFill="1" applyBorder="1"/>
    <xf numFmtId="164" fontId="6" fillId="3" borderId="4" xfId="1" applyNumberFormat="1" applyFont="1" applyFill="1" applyBorder="1"/>
    <xf numFmtId="164" fontId="2" fillId="3" borderId="3" xfId="1" applyNumberFormat="1" applyFont="1" applyFill="1" applyBorder="1"/>
    <xf numFmtId="164" fontId="2" fillId="3" borderId="3" xfId="1" applyNumberFormat="1" applyFont="1" applyFill="1" applyBorder="1" applyAlignment="1">
      <alignment horizontal="center"/>
    </xf>
    <xf numFmtId="164" fontId="2" fillId="3" borderId="0" xfId="1" applyNumberFormat="1" applyFont="1" applyFill="1" applyBorder="1" applyAlignment="1">
      <alignment horizontal="center"/>
    </xf>
    <xf numFmtId="164" fontId="2" fillId="3" borderId="1" xfId="1" applyNumberFormat="1" applyFont="1" applyFill="1" applyBorder="1"/>
    <xf numFmtId="164" fontId="4" fillId="3" borderId="1" xfId="1" applyNumberFormat="1" applyFont="1" applyFill="1" applyBorder="1"/>
    <xf numFmtId="164" fontId="0" fillId="3" borderId="1" xfId="0" applyNumberFormat="1" applyFill="1" applyBorder="1"/>
    <xf numFmtId="164" fontId="2" fillId="3" borderId="4" xfId="1" applyNumberFormat="1" applyFont="1" applyFill="1" applyBorder="1" applyAlignment="1">
      <alignment horizontal="center"/>
    </xf>
    <xf numFmtId="164" fontId="9" fillId="3" borderId="0" xfId="1" applyNumberFormat="1" applyFont="1" applyFill="1" applyBorder="1"/>
    <xf numFmtId="164" fontId="9" fillId="3" borderId="0" xfId="1" applyNumberFormat="1" applyFont="1" applyFill="1" applyBorder="1" applyAlignment="1">
      <alignment horizontal="center"/>
    </xf>
    <xf numFmtId="43" fontId="0" fillId="0" borderId="0" xfId="0" applyNumberFormat="1"/>
    <xf numFmtId="164" fontId="0" fillId="0" borderId="0" xfId="0" applyNumberFormat="1"/>
    <xf numFmtId="164" fontId="4" fillId="0" borderId="0" xfId="1" applyNumberFormat="1" applyFont="1" applyFill="1" applyBorder="1"/>
    <xf numFmtId="164" fontId="5" fillId="0" borderId="0" xfId="1" applyNumberFormat="1" applyFont="1" applyFill="1" applyBorder="1"/>
    <xf numFmtId="164" fontId="4" fillId="0" borderId="0" xfId="1" applyNumberFormat="1" applyFont="1" applyFill="1" applyBorder="1" applyAlignment="1">
      <alignment horizontal="center"/>
    </xf>
    <xf numFmtId="0" fontId="10" fillId="0" borderId="0" xfId="0" applyFont="1"/>
    <xf numFmtId="164" fontId="6" fillId="3" borderId="0" xfId="1" applyNumberFormat="1" applyFont="1" applyFill="1" applyBorder="1"/>
    <xf numFmtId="164" fontId="12" fillId="3" borderId="0" xfId="1" applyNumberFormat="1" applyFont="1" applyFill="1" applyBorder="1"/>
    <xf numFmtId="164" fontId="13" fillId="3" borderId="0" xfId="1" applyNumberFormat="1" applyFont="1" applyFill="1" applyBorder="1"/>
    <xf numFmtId="164" fontId="13" fillId="3" borderId="2" xfId="1" applyNumberFormat="1" applyFont="1" applyFill="1" applyBorder="1"/>
    <xf numFmtId="164" fontId="13" fillId="0" borderId="0" xfId="1" applyNumberFormat="1" applyFont="1" applyFill="1" applyBorder="1"/>
    <xf numFmtId="164" fontId="13" fillId="3" borderId="6" xfId="1" applyNumberFormat="1" applyFont="1" applyFill="1" applyBorder="1"/>
    <xf numFmtId="164" fontId="13" fillId="0" borderId="6" xfId="1" applyNumberFormat="1" applyFont="1" applyFill="1" applyBorder="1"/>
    <xf numFmtId="164" fontId="4" fillId="0" borderId="2" xfId="1" applyNumberFormat="1" applyFont="1" applyFill="1" applyBorder="1"/>
    <xf numFmtId="164" fontId="4" fillId="0" borderId="2" xfId="1" applyNumberFormat="1" applyFont="1" applyFill="1" applyBorder="1" applyAlignment="1">
      <alignment horizontal="center"/>
    </xf>
    <xf numFmtId="164" fontId="5" fillId="0" borderId="2" xfId="1" applyNumberFormat="1" applyFont="1" applyFill="1" applyBorder="1"/>
    <xf numFmtId="164" fontId="13" fillId="0" borderId="2" xfId="1" applyNumberFormat="1" applyFont="1" applyFill="1" applyBorder="1"/>
    <xf numFmtId="10" fontId="13" fillId="0" borderId="0" xfId="2" applyNumberFormat="1" applyFont="1" applyFill="1" applyBorder="1"/>
    <xf numFmtId="10" fontId="4" fillId="2" borderId="0" xfId="2" applyNumberFormat="1" applyFont="1" applyFill="1" applyBorder="1"/>
    <xf numFmtId="10" fontId="11" fillId="0" borderId="0" xfId="0" applyNumberFormat="1" applyFont="1"/>
    <xf numFmtId="43" fontId="11" fillId="0" borderId="0" xfId="0" applyNumberFormat="1" applyFont="1"/>
    <xf numFmtId="0" fontId="0" fillId="8" borderId="0" xfId="0" applyFill="1"/>
    <xf numFmtId="164" fontId="4" fillId="2" borderId="5" xfId="1" applyNumberFormat="1" applyFont="1" applyFill="1" applyBorder="1"/>
    <xf numFmtId="0" fontId="0" fillId="6" borderId="0" xfId="0" applyFill="1" applyAlignment="1">
      <alignment horizontal="center"/>
    </xf>
    <xf numFmtId="0" fontId="0" fillId="6" borderId="0" xfId="0" applyFill="1"/>
    <xf numFmtId="164" fontId="4" fillId="10" borderId="0" xfId="1" applyNumberFormat="1" applyFont="1" applyFill="1" applyBorder="1"/>
    <xf numFmtId="0" fontId="10" fillId="0" borderId="16" xfId="0" applyFont="1" applyBorder="1" applyAlignment="1">
      <alignment horizontal="center"/>
    </xf>
    <xf numFmtId="164" fontId="2" fillId="0" borderId="4" xfId="1" applyNumberFormat="1" applyFont="1" applyFill="1" applyBorder="1"/>
    <xf numFmtId="0" fontId="10" fillId="0" borderId="4" xfId="0" applyFont="1" applyBorder="1"/>
    <xf numFmtId="164" fontId="12" fillId="3" borderId="4" xfId="1" applyNumberFormat="1" applyFont="1" applyFill="1" applyBorder="1"/>
    <xf numFmtId="0" fontId="10" fillId="0" borderId="1" xfId="0" applyFont="1" applyBorder="1"/>
    <xf numFmtId="164" fontId="12" fillId="3" borderId="1" xfId="1" applyNumberFormat="1" applyFont="1" applyFill="1" applyBorder="1"/>
    <xf numFmtId="164" fontId="12" fillId="0" borderId="4" xfId="1" applyNumberFormat="1" applyFont="1" applyFill="1" applyBorder="1"/>
    <xf numFmtId="164" fontId="12" fillId="0" borderId="1" xfId="1" applyNumberFormat="1" applyFont="1" applyFill="1" applyBorder="1"/>
    <xf numFmtId="164" fontId="2" fillId="0" borderId="3" xfId="1" applyNumberFormat="1" applyFont="1" applyFill="1" applyBorder="1"/>
    <xf numFmtId="0" fontId="10" fillId="0" borderId="3" xfId="0" applyFont="1" applyBorder="1"/>
    <xf numFmtId="164" fontId="12" fillId="3" borderId="3" xfId="1" applyNumberFormat="1" applyFont="1" applyFill="1" applyBorder="1"/>
    <xf numFmtId="0" fontId="10" fillId="9" borderId="7" xfId="0" applyFont="1" applyFill="1" applyBorder="1"/>
    <xf numFmtId="0" fontId="0" fillId="6" borderId="6" xfId="0" applyFill="1" applyBorder="1"/>
    <xf numFmtId="164" fontId="4" fillId="5" borderId="16" xfId="1" applyNumberFormat="1" applyFont="1" applyFill="1" applyBorder="1" applyAlignment="1">
      <alignment horizontal="center" vertical="center"/>
    </xf>
    <xf numFmtId="164" fontId="12" fillId="0" borderId="3" xfId="1" applyNumberFormat="1" applyFont="1" applyFill="1" applyBorder="1"/>
    <xf numFmtId="164" fontId="12" fillId="0" borderId="0" xfId="1" applyNumberFormat="1" applyFont="1" applyFill="1" applyBorder="1"/>
    <xf numFmtId="0" fontId="0" fillId="0" borderId="5" xfId="0" applyBorder="1"/>
    <xf numFmtId="164" fontId="2" fillId="2" borderId="14" xfId="1" applyNumberFormat="1" applyFont="1" applyFill="1" applyBorder="1"/>
    <xf numFmtId="10" fontId="12" fillId="0" borderId="1" xfId="2" applyNumberFormat="1" applyFont="1" applyFill="1" applyBorder="1"/>
    <xf numFmtId="164" fontId="12" fillId="0" borderId="2" xfId="1" applyNumberFormat="1" applyFont="1" applyFill="1" applyBorder="1"/>
    <xf numFmtId="10" fontId="12" fillId="0" borderId="5" xfId="2" applyNumberFormat="1" applyFont="1" applyFill="1" applyBorder="1"/>
    <xf numFmtId="0" fontId="10" fillId="6" borderId="6" xfId="0" applyFont="1" applyFill="1" applyBorder="1" applyAlignment="1">
      <alignment horizontal="center" vertical="center"/>
    </xf>
    <xf numFmtId="0" fontId="15" fillId="0" borderId="0" xfId="0" applyFont="1"/>
    <xf numFmtId="0" fontId="15" fillId="0" borderId="2" xfId="0" applyFont="1" applyBorder="1"/>
    <xf numFmtId="164" fontId="4" fillId="2" borderId="14" xfId="1" applyNumberFormat="1" applyFont="1" applyFill="1" applyBorder="1"/>
    <xf numFmtId="164" fontId="13" fillId="0" borderId="1" xfId="1" applyNumberFormat="1" applyFont="1" applyFill="1" applyBorder="1"/>
    <xf numFmtId="164" fontId="2" fillId="2" borderId="18" xfId="1" applyNumberFormat="1" applyFont="1" applyFill="1" applyBorder="1"/>
    <xf numFmtId="10" fontId="12" fillId="0" borderId="3" xfId="2" applyNumberFormat="1" applyFont="1" applyFill="1" applyBorder="1"/>
    <xf numFmtId="10" fontId="12" fillId="0" borderId="0" xfId="2" applyNumberFormat="1" applyFont="1" applyFill="1" applyBorder="1"/>
    <xf numFmtId="165" fontId="17" fillId="0" borderId="0" xfId="1" applyNumberFormat="1" applyFont="1" applyFill="1" applyBorder="1"/>
    <xf numFmtId="164" fontId="2" fillId="2" borderId="8" xfId="1" applyNumberFormat="1" applyFont="1" applyFill="1" applyBorder="1"/>
    <xf numFmtId="10" fontId="12" fillId="0" borderId="4" xfId="2" applyNumberFormat="1" applyFont="1" applyFill="1" applyBorder="1"/>
    <xf numFmtId="0" fontId="18" fillId="0" borderId="0" xfId="3"/>
    <xf numFmtId="0" fontId="18" fillId="0" borderId="0" xfId="3" quotePrefix="1"/>
    <xf numFmtId="15" fontId="0" fillId="0" borderId="0" xfId="0" applyNumberFormat="1"/>
    <xf numFmtId="10" fontId="0" fillId="0" borderId="0" xfId="2" applyNumberFormat="1" applyFont="1"/>
    <xf numFmtId="2" fontId="20" fillId="0" borderId="0" xfId="0" applyNumberFormat="1" applyFont="1"/>
    <xf numFmtId="0" fontId="0" fillId="4" borderId="6" xfId="0" applyFill="1" applyBorder="1"/>
    <xf numFmtId="0" fontId="15" fillId="0" borderId="2" xfId="0" applyFont="1" applyBorder="1" applyAlignment="1">
      <alignment horizontal="right"/>
    </xf>
    <xf numFmtId="0" fontId="15" fillId="0" borderId="0" xfId="0" applyFont="1" applyAlignment="1">
      <alignment horizontal="right"/>
    </xf>
    <xf numFmtId="0" fontId="0" fillId="0" borderId="6" xfId="0" applyBorder="1"/>
    <xf numFmtId="0" fontId="10" fillId="0" borderId="6" xfId="0" applyFont="1" applyBorder="1"/>
    <xf numFmtId="0" fontId="15" fillId="0" borderId="6" xfId="0" applyFont="1" applyBorder="1"/>
    <xf numFmtId="0" fontId="15" fillId="0" borderId="6" xfId="0" applyFont="1" applyBorder="1" applyAlignment="1">
      <alignment horizontal="right"/>
    </xf>
    <xf numFmtId="10" fontId="0" fillId="0" borderId="6" xfId="2" applyNumberFormat="1" applyFont="1" applyBorder="1"/>
    <xf numFmtId="10" fontId="0" fillId="0" borderId="6" xfId="0" applyNumberFormat="1" applyBorder="1"/>
    <xf numFmtId="2" fontId="0" fillId="0" borderId="6" xfId="0" applyNumberFormat="1" applyBorder="1"/>
    <xf numFmtId="2" fontId="10" fillId="0" borderId="6" xfId="0" applyNumberFormat="1" applyFont="1" applyBorder="1"/>
    <xf numFmtId="0" fontId="19" fillId="0" borderId="0" xfId="0" applyFont="1"/>
    <xf numFmtId="0" fontId="10" fillId="0" borderId="0" xfId="0" applyFont="1"/>
    <xf numFmtId="0" fontId="0" fillId="0" borderId="0" xfId="0"/>
    <xf numFmtId="0" fontId="21" fillId="0" borderId="0" xfId="0" applyFont="1"/>
    <xf numFmtId="0" fontId="16" fillId="4" borderId="7" xfId="0" applyFont="1" applyFill="1" applyBorder="1" applyAlignment="1">
      <alignment horizontal="left"/>
    </xf>
    <xf numFmtId="0" fontId="14" fillId="4" borderId="4" xfId="0" applyFont="1" applyFill="1" applyBorder="1" applyAlignment="1">
      <alignment horizontal="left"/>
    </xf>
    <xf numFmtId="0" fontId="14" fillId="4" borderId="8" xfId="0" applyFont="1" applyFill="1" applyBorder="1" applyAlignment="1">
      <alignment horizontal="left"/>
    </xf>
    <xf numFmtId="164" fontId="4" fillId="3" borderId="0" xfId="1" applyNumberFormat="1" applyFont="1" applyFill="1" applyBorder="1"/>
    <xf numFmtId="164" fontId="4" fillId="2" borderId="0" xfId="1" applyNumberFormat="1" applyFont="1" applyFill="1" applyBorder="1"/>
    <xf numFmtId="0" fontId="0" fillId="6" borderId="0" xfId="0" applyFill="1" applyAlignment="1">
      <alignment horizontal="center"/>
    </xf>
    <xf numFmtId="0" fontId="0" fillId="4" borderId="0" xfId="0" applyFill="1" applyAlignment="1">
      <alignment horizontal="center"/>
    </xf>
    <xf numFmtId="164" fontId="13" fillId="3" borderId="6" xfId="1" applyNumberFormat="1" applyFont="1" applyFill="1" applyBorder="1"/>
    <xf numFmtId="164" fontId="13" fillId="0" borderId="6" xfId="1" applyNumberFormat="1" applyFont="1" applyFill="1" applyBorder="1"/>
    <xf numFmtId="164" fontId="4" fillId="10" borderId="0" xfId="1" applyNumberFormat="1" applyFont="1" applyFill="1" applyBorder="1"/>
    <xf numFmtId="0" fontId="16" fillId="4" borderId="17" xfId="0" applyFont="1" applyFill="1" applyBorder="1" applyAlignment="1">
      <alignment horizontal="left"/>
    </xf>
    <xf numFmtId="0" fontId="16" fillId="4" borderId="0" xfId="0" applyFont="1" applyFill="1" applyAlignment="1">
      <alignment horizontal="left"/>
    </xf>
    <xf numFmtId="164" fontId="4" fillId="7" borderId="0" xfId="1" applyNumberFormat="1" applyFont="1" applyFill="1" applyBorder="1" applyAlignment="1">
      <alignment horizontal="center" vertical="center" textRotation="90"/>
    </xf>
    <xf numFmtId="0" fontId="10" fillId="6" borderId="9" xfId="0" applyFont="1" applyFill="1" applyBorder="1" applyAlignment="1">
      <alignment horizontal="center"/>
    </xf>
    <xf numFmtId="0" fontId="10" fillId="6" borderId="10" xfId="0" applyFont="1" applyFill="1" applyBorder="1" applyAlignment="1">
      <alignment horizontal="center"/>
    </xf>
    <xf numFmtId="0" fontId="10" fillId="6" borderId="11" xfId="0" applyFont="1" applyFill="1" applyBorder="1" applyAlignment="1">
      <alignment horizontal="center"/>
    </xf>
    <xf numFmtId="164" fontId="4" fillId="2" borderId="2" xfId="1" applyNumberFormat="1" applyFont="1" applyFill="1" applyBorder="1" applyAlignment="1"/>
    <xf numFmtId="164" fontId="4" fillId="2" borderId="15" xfId="1" applyNumberFormat="1" applyFont="1" applyFill="1" applyBorder="1" applyAlignment="1"/>
    <xf numFmtId="0" fontId="0" fillId="0" borderId="1" xfId="0" applyBorder="1"/>
    <xf numFmtId="0" fontId="0" fillId="0" borderId="14" xfId="0" applyBorder="1"/>
    <xf numFmtId="164" fontId="4" fillId="2" borderId="5" xfId="1" applyNumberFormat="1" applyFont="1" applyFill="1" applyBorder="1"/>
    <xf numFmtId="164" fontId="2" fillId="2" borderId="1" xfId="1" applyNumberFormat="1" applyFont="1" applyFill="1" applyBorder="1"/>
    <xf numFmtId="164" fontId="2" fillId="2" borderId="14" xfId="1" applyNumberFormat="1" applyFont="1" applyFill="1" applyBorder="1"/>
    <xf numFmtId="164" fontId="4" fillId="7" borderId="12" xfId="1" applyNumberFormat="1" applyFont="1" applyFill="1" applyBorder="1" applyAlignment="1">
      <alignment horizontal="center"/>
    </xf>
    <xf numFmtId="164" fontId="4" fillId="2" borderId="12" xfId="1" applyNumberFormat="1" applyFont="1" applyFill="1" applyBorder="1"/>
    <xf numFmtId="164" fontId="4" fillId="2" borderId="13" xfId="1" applyNumberFormat="1" applyFont="1" applyFill="1" applyBorder="1"/>
    <xf numFmtId="164" fontId="4" fillId="2" borderId="12" xfId="1" applyNumberFormat="1" applyFont="1" applyFill="1" applyBorder="1" applyAlignment="1"/>
    <xf numFmtId="164" fontId="4" fillId="2" borderId="13" xfId="1" applyNumberFormat="1" applyFont="1" applyFill="1" applyBorder="1" applyAlignment="1"/>
    <xf numFmtId="164" fontId="2" fillId="5" borderId="9" xfId="1" applyNumberFormat="1" applyFont="1" applyFill="1" applyBorder="1" applyAlignment="1">
      <alignment horizontal="center"/>
    </xf>
    <xf numFmtId="164" fontId="2" fillId="5" borderId="10" xfId="1" applyNumberFormat="1" applyFont="1" applyFill="1" applyBorder="1" applyAlignment="1">
      <alignment horizontal="center"/>
    </xf>
    <xf numFmtId="164" fontId="2" fillId="5" borderId="11" xfId="1" applyNumberFormat="1" applyFont="1" applyFill="1" applyBorder="1" applyAlignment="1">
      <alignment horizontal="center"/>
    </xf>
    <xf numFmtId="164" fontId="2" fillId="2" borderId="3" xfId="1" applyNumberFormat="1" applyFont="1" applyFill="1" applyBorder="1"/>
    <xf numFmtId="0" fontId="16" fillId="4" borderId="4" xfId="0" applyFont="1" applyFill="1" applyBorder="1" applyAlignment="1">
      <alignment horizontal="left"/>
    </xf>
    <xf numFmtId="164" fontId="4" fillId="2" borderId="0" xfId="1" applyNumberFormat="1" applyFont="1" applyFill="1" applyBorder="1" applyAlignment="1"/>
    <xf numFmtId="164" fontId="4" fillId="2" borderId="5" xfId="1" applyNumberFormat="1" applyFont="1" applyFill="1" applyBorder="1" applyAlignment="1"/>
    <xf numFmtId="164" fontId="2" fillId="2" borderId="0" xfId="1" applyNumberFormat="1" applyFont="1" applyFill="1" applyBorder="1" applyAlignment="1"/>
    <xf numFmtId="164" fontId="2" fillId="2" borderId="5" xfId="1" applyNumberFormat="1" applyFont="1" applyFill="1" applyBorder="1" applyAlignment="1"/>
    <xf numFmtId="164" fontId="2" fillId="2" borderId="1" xfId="1" applyNumberFormat="1" applyFont="1" applyFill="1" applyBorder="1" applyAlignment="1"/>
    <xf numFmtId="164" fontId="2" fillId="2" borderId="14" xfId="1" applyNumberFormat="1" applyFont="1" applyFill="1" applyBorder="1" applyAlignment="1"/>
    <xf numFmtId="164" fontId="4" fillId="2" borderId="1" xfId="1" applyNumberFormat="1" applyFont="1" applyFill="1" applyBorder="1"/>
    <xf numFmtId="164" fontId="4" fillId="2" borderId="14" xfId="1" applyNumberFormat="1" applyFont="1" applyFill="1" applyBorder="1"/>
    <xf numFmtId="164" fontId="2" fillId="2" borderId="0" xfId="1" applyNumberFormat="1" applyFont="1" applyFill="1" applyBorder="1"/>
    <xf numFmtId="164" fontId="2" fillId="2" borderId="5" xfId="1" applyNumberFormat="1" applyFont="1" applyFill="1" applyBorder="1"/>
    <xf numFmtId="0" fontId="0" fillId="4" borderId="2" xfId="0" applyFill="1" applyBorder="1" applyAlignment="1">
      <alignment horizontal="center"/>
    </xf>
    <xf numFmtId="0" fontId="16" fillId="4" borderId="7" xfId="0" applyFont="1" applyFill="1" applyBorder="1"/>
    <xf numFmtId="0" fontId="16" fillId="4" borderId="4" xfId="0" applyFont="1" applyFill="1" applyBorder="1"/>
    <xf numFmtId="14" fontId="12" fillId="0" borderId="0" xfId="1" applyNumberFormat="1" applyFont="1" applyFill="1" applyBorder="1"/>
  </cellXfs>
  <cellStyles count="4">
    <cellStyle name="Comma" xfId="1" builtinId="3"/>
    <cellStyle name="Hyperlink" xfId="3" builtinId="8"/>
    <cellStyle name="Normal" xfId="0" builtinId="0"/>
    <cellStyle name="Percent" xfId="2" builtinId="5"/>
  </cellStyles>
  <dxfs count="0"/>
  <tableStyles count="0" defaultTableStyle="TableStyleMedium2" defaultPivotStyle="PivotStyleLight16"/>
  <colors>
    <mruColors>
      <color rgb="FFFF3300"/>
      <color rgb="FFFF6600"/>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DCF</a:t>
            </a:r>
            <a:r>
              <a:rPr lang="en-IN">
                <a:solidFill>
                  <a:schemeClr val="tx1"/>
                </a:solidFill>
              </a:rPr>
              <a:t> </a:t>
            </a:r>
            <a:r>
              <a:rPr lang="en-IN" b="1">
                <a:solidFill>
                  <a:schemeClr val="tx1"/>
                </a:solidFill>
              </a:rPr>
              <a:t>Analysis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areaChart>
        <c:grouping val="standard"/>
        <c:varyColors val="0"/>
        <c:ser>
          <c:idx val="0"/>
          <c:order val="0"/>
          <c:tx>
            <c:strRef>
              <c:f>'Charts Summary'!$A$27</c:f>
              <c:strCache>
                <c:ptCount val="1"/>
                <c:pt idx="0">
                  <c:v>UFCF</c:v>
                </c:pt>
              </c:strCache>
            </c:strRef>
          </c:tx>
          <c:spPr>
            <a:solidFill>
              <a:schemeClr val="accent1"/>
            </a:solidFill>
            <a:ln>
              <a:noFill/>
            </a:ln>
            <a:effectLst/>
          </c:spPr>
          <c:cat>
            <c:strRef>
              <c:f>'Charts Summary'!$B$26:$F$26</c:f>
              <c:strCache>
                <c:ptCount val="5"/>
                <c:pt idx="0">
                  <c:v>2023E</c:v>
                </c:pt>
                <c:pt idx="1">
                  <c:v>2024E</c:v>
                </c:pt>
                <c:pt idx="2">
                  <c:v>2025E</c:v>
                </c:pt>
                <c:pt idx="3">
                  <c:v>2026E</c:v>
                </c:pt>
                <c:pt idx="4">
                  <c:v>2027E</c:v>
                </c:pt>
              </c:strCache>
            </c:strRef>
          </c:cat>
          <c:val>
            <c:numRef>
              <c:f>'Charts Summary'!$B$27:$F$27</c:f>
              <c:numCache>
                <c:formatCode>General</c:formatCode>
                <c:ptCount val="5"/>
                <c:pt idx="0">
                  <c:v>-236.1937621923436</c:v>
                </c:pt>
                <c:pt idx="1">
                  <c:v>102.75152925486492</c:v>
                </c:pt>
                <c:pt idx="2">
                  <c:v>124.94384934035648</c:v>
                </c:pt>
                <c:pt idx="3">
                  <c:v>151.92927639319615</c:v>
                </c:pt>
                <c:pt idx="4">
                  <c:v>184.74302774586056</c:v>
                </c:pt>
              </c:numCache>
            </c:numRef>
          </c:val>
          <c:extLst>
            <c:ext xmlns:c16="http://schemas.microsoft.com/office/drawing/2014/chart" uri="{C3380CC4-5D6E-409C-BE32-E72D297353CC}">
              <c16:uniqueId val="{00000000-5328-423E-BE4D-3FAAD79664CD}"/>
            </c:ext>
          </c:extLst>
        </c:ser>
        <c:ser>
          <c:idx val="1"/>
          <c:order val="1"/>
          <c:tx>
            <c:strRef>
              <c:f>'Charts Summary'!$A$28</c:f>
              <c:strCache>
                <c:ptCount val="1"/>
                <c:pt idx="0">
                  <c:v>PV FCF</c:v>
                </c:pt>
              </c:strCache>
            </c:strRef>
          </c:tx>
          <c:spPr>
            <a:solidFill>
              <a:schemeClr val="accent2"/>
            </a:solidFill>
            <a:ln>
              <a:noFill/>
            </a:ln>
            <a:effectLst/>
          </c:spPr>
          <c:cat>
            <c:strRef>
              <c:f>'Charts Summary'!$B$26:$F$26</c:f>
              <c:strCache>
                <c:ptCount val="5"/>
                <c:pt idx="0">
                  <c:v>2023E</c:v>
                </c:pt>
                <c:pt idx="1">
                  <c:v>2024E</c:v>
                </c:pt>
                <c:pt idx="2">
                  <c:v>2025E</c:v>
                </c:pt>
                <c:pt idx="3">
                  <c:v>2026E</c:v>
                </c:pt>
                <c:pt idx="4">
                  <c:v>2027E</c:v>
                </c:pt>
              </c:strCache>
            </c:strRef>
          </c:cat>
          <c:val>
            <c:numRef>
              <c:f>'Charts Summary'!$B$28:$F$28</c:f>
              <c:numCache>
                <c:formatCode>General</c:formatCode>
                <c:ptCount val="5"/>
                <c:pt idx="0">
                  <c:v>-210.74861590124874</c:v>
                </c:pt>
                <c:pt idx="1">
                  <c:v>81.805199605654039</c:v>
                </c:pt>
                <c:pt idx="2">
                  <c:v>88.75724297310289</c:v>
                </c:pt>
                <c:pt idx="3">
                  <c:v>96.300091169780188</c:v>
                </c:pt>
                <c:pt idx="4">
                  <c:v>104.48395250535505</c:v>
                </c:pt>
              </c:numCache>
            </c:numRef>
          </c:val>
          <c:extLst>
            <c:ext xmlns:c16="http://schemas.microsoft.com/office/drawing/2014/chart" uri="{C3380CC4-5D6E-409C-BE32-E72D297353CC}">
              <c16:uniqueId val="{00000001-5328-423E-BE4D-3FAAD79664CD}"/>
            </c:ext>
          </c:extLst>
        </c:ser>
        <c:dLbls>
          <c:showLegendKey val="0"/>
          <c:showVal val="0"/>
          <c:showCatName val="0"/>
          <c:showSerName val="0"/>
          <c:showPercent val="0"/>
          <c:showBubbleSize val="0"/>
        </c:dLbls>
        <c:axId val="1738802704"/>
        <c:axId val="1738807280"/>
      </c:areaChart>
      <c:catAx>
        <c:axId val="173880270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8807280"/>
        <c:crosses val="autoZero"/>
        <c:auto val="1"/>
        <c:lblAlgn val="ctr"/>
        <c:lblOffset val="100"/>
        <c:noMultiLvlLbl val="0"/>
      </c:catAx>
      <c:valAx>
        <c:axId val="173880728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8802704"/>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IN" b="1">
                <a:solidFill>
                  <a:schemeClr val="tx1"/>
                </a:solidFill>
              </a:rPr>
              <a:t>Revenue</a:t>
            </a:r>
            <a:r>
              <a:rPr lang="en-IN" b="1" baseline="0">
                <a:solidFill>
                  <a:schemeClr val="tx1"/>
                </a:solidFill>
              </a:rPr>
              <a:t> vs EBIDTA %</a:t>
            </a:r>
            <a:endParaRPr lang="en-IN"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'Charts Summary'!$A$4</c:f>
              <c:strCache>
                <c:ptCount val="1"/>
                <c:pt idx="0">
                  <c:v>Revenue</c:v>
                </c:pt>
              </c:strCache>
            </c:strRef>
          </c:tx>
          <c:spPr>
            <a:solidFill>
              <a:schemeClr val="accent1"/>
            </a:solidFill>
            <a:ln>
              <a:noFill/>
            </a:ln>
            <a:effectLst/>
          </c:spPr>
          <c:invertIfNegative val="0"/>
          <c:cat>
            <c:strRef>
              <c:f>'Charts Summary'!$B$3:$L$3</c:f>
              <c:strCache>
                <c:ptCount val="11"/>
                <c:pt idx="0">
                  <c:v>2018</c:v>
                </c:pt>
                <c:pt idx="1">
                  <c:v>2019</c:v>
                </c:pt>
                <c:pt idx="2">
                  <c:v>2020</c:v>
                </c:pt>
                <c:pt idx="3">
                  <c:v>2021</c:v>
                </c:pt>
                <c:pt idx="4">
                  <c:v>2022</c:v>
                </c:pt>
                <c:pt idx="6">
                  <c:v>2023E</c:v>
                </c:pt>
                <c:pt idx="7">
                  <c:v>2024E</c:v>
                </c:pt>
                <c:pt idx="8">
                  <c:v>2025E</c:v>
                </c:pt>
                <c:pt idx="9">
                  <c:v>2026E</c:v>
                </c:pt>
                <c:pt idx="10">
                  <c:v>2027E</c:v>
                </c:pt>
              </c:strCache>
            </c:strRef>
          </c:cat>
          <c:val>
            <c:numRef>
              <c:f>'Charts Summary'!$B$4:$L$4</c:f>
              <c:numCache>
                <c:formatCode>General</c:formatCode>
                <c:ptCount val="11"/>
                <c:pt idx="0">
                  <c:v>1951.47</c:v>
                </c:pt>
                <c:pt idx="1">
                  <c:v>2461.5700000000002</c:v>
                </c:pt>
                <c:pt idx="2">
                  <c:v>2237.3000000000002</c:v>
                </c:pt>
                <c:pt idx="3">
                  <c:v>2515.63</c:v>
                </c:pt>
                <c:pt idx="4">
                  <c:v>3947.61</c:v>
                </c:pt>
                <c:pt idx="6">
                  <c:v>4800.2165288565493</c:v>
                </c:pt>
                <c:pt idx="7">
                  <c:v>5836.96938753008</c:v>
                </c:pt>
                <c:pt idx="8">
                  <c:v>7097.6405806175335</c:v>
                </c:pt>
                <c:pt idx="9">
                  <c:v>8630.5920876082691</c:v>
                </c:pt>
                <c:pt idx="10">
                  <c:v>10494.631129406342</c:v>
                </c:pt>
              </c:numCache>
            </c:numRef>
          </c:val>
          <c:extLst>
            <c:ext xmlns:c16="http://schemas.microsoft.com/office/drawing/2014/chart" uri="{C3380CC4-5D6E-409C-BE32-E72D297353CC}">
              <c16:uniqueId val="{00000000-D58A-4A55-BD04-CB736BFB40E0}"/>
            </c:ext>
          </c:extLst>
        </c:ser>
        <c:dLbls>
          <c:showLegendKey val="0"/>
          <c:showVal val="0"/>
          <c:showCatName val="0"/>
          <c:showSerName val="0"/>
          <c:showPercent val="0"/>
          <c:showBubbleSize val="0"/>
        </c:dLbls>
        <c:gapWidth val="219"/>
        <c:overlap val="-27"/>
        <c:axId val="1672227968"/>
        <c:axId val="1672229632"/>
      </c:barChart>
      <c:lineChart>
        <c:grouping val="standard"/>
        <c:varyColors val="0"/>
        <c:ser>
          <c:idx val="1"/>
          <c:order val="1"/>
          <c:tx>
            <c:strRef>
              <c:f>'Charts Summary'!$A$5</c:f>
              <c:strCache>
                <c:ptCount val="1"/>
                <c:pt idx="0">
                  <c:v>Ebitda %</c:v>
                </c:pt>
              </c:strCache>
            </c:strRef>
          </c:tx>
          <c:spPr>
            <a:ln w="28575" cap="rnd">
              <a:solidFill>
                <a:schemeClr val="accent2"/>
              </a:solidFill>
              <a:round/>
            </a:ln>
            <a:effectLst/>
          </c:spPr>
          <c:marker>
            <c:symbol val="none"/>
          </c:marker>
          <c:cat>
            <c:strRef>
              <c:f>'Charts Summary'!$B$3:$L$3</c:f>
              <c:strCache>
                <c:ptCount val="11"/>
                <c:pt idx="0">
                  <c:v>2018</c:v>
                </c:pt>
                <c:pt idx="1">
                  <c:v>2019</c:v>
                </c:pt>
                <c:pt idx="2">
                  <c:v>2020</c:v>
                </c:pt>
                <c:pt idx="3">
                  <c:v>2021</c:v>
                </c:pt>
                <c:pt idx="4">
                  <c:v>2022</c:v>
                </c:pt>
                <c:pt idx="6">
                  <c:v>2023E</c:v>
                </c:pt>
                <c:pt idx="7">
                  <c:v>2024E</c:v>
                </c:pt>
                <c:pt idx="8">
                  <c:v>2025E</c:v>
                </c:pt>
                <c:pt idx="9">
                  <c:v>2026E</c:v>
                </c:pt>
                <c:pt idx="10">
                  <c:v>2027E</c:v>
                </c:pt>
              </c:strCache>
            </c:strRef>
          </c:cat>
          <c:val>
            <c:numRef>
              <c:f>'Charts Summary'!$B$5:$L$5</c:f>
              <c:numCache>
                <c:formatCode>0.00%</c:formatCode>
                <c:ptCount val="11"/>
                <c:pt idx="0">
                  <c:v>0.23520730526218703</c:v>
                </c:pt>
                <c:pt idx="1">
                  <c:v>0.2074326547691108</c:v>
                </c:pt>
                <c:pt idx="2">
                  <c:v>0.21247485808787384</c:v>
                </c:pt>
                <c:pt idx="3">
                  <c:v>0.21307584978713098</c:v>
                </c:pt>
                <c:pt idx="4">
                  <c:v>0.19427451039996349</c:v>
                </c:pt>
                <c:pt idx="6">
                  <c:v>0.21628342288073524</c:v>
                </c:pt>
                <c:pt idx="7">
                  <c:v>0.21628342288073521</c:v>
                </c:pt>
                <c:pt idx="8">
                  <c:v>0.21628342288073515</c:v>
                </c:pt>
                <c:pt idx="9">
                  <c:v>0.21628342288073521</c:v>
                </c:pt>
                <c:pt idx="10">
                  <c:v>0.21628342288073527</c:v>
                </c:pt>
              </c:numCache>
            </c:numRef>
          </c:val>
          <c:smooth val="0"/>
          <c:extLst>
            <c:ext xmlns:c16="http://schemas.microsoft.com/office/drawing/2014/chart" uri="{C3380CC4-5D6E-409C-BE32-E72D297353CC}">
              <c16:uniqueId val="{00000001-D58A-4A55-BD04-CB736BFB40E0}"/>
            </c:ext>
          </c:extLst>
        </c:ser>
        <c:dLbls>
          <c:showLegendKey val="0"/>
          <c:showVal val="0"/>
          <c:showCatName val="0"/>
          <c:showSerName val="0"/>
          <c:showPercent val="0"/>
          <c:showBubbleSize val="0"/>
        </c:dLbls>
        <c:marker val="1"/>
        <c:smooth val="0"/>
        <c:axId val="1672232544"/>
        <c:axId val="1672224224"/>
      </c:lineChart>
      <c:catAx>
        <c:axId val="16722279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2229632"/>
        <c:crosses val="autoZero"/>
        <c:auto val="1"/>
        <c:lblAlgn val="ctr"/>
        <c:lblOffset val="100"/>
        <c:noMultiLvlLbl val="0"/>
      </c:catAx>
      <c:valAx>
        <c:axId val="16722296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2227968"/>
        <c:crosses val="autoZero"/>
        <c:crossBetween val="between"/>
      </c:valAx>
      <c:valAx>
        <c:axId val="1672224224"/>
        <c:scaling>
          <c:orientation val="minMax"/>
        </c:scaling>
        <c:delete val="0"/>
        <c:axPos val="r"/>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2232544"/>
        <c:crosses val="max"/>
        <c:crossBetween val="between"/>
      </c:valAx>
      <c:catAx>
        <c:axId val="1672232544"/>
        <c:scaling>
          <c:orientation val="minMax"/>
        </c:scaling>
        <c:delete val="1"/>
        <c:axPos val="b"/>
        <c:numFmt formatCode="General" sourceLinked="1"/>
        <c:majorTickMark val="none"/>
        <c:minorTickMark val="none"/>
        <c:tickLblPos val="nextTo"/>
        <c:crossAx val="1672224224"/>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_xlchart.v1.1</cx:f>
      </cx:numDim>
    </cx:data>
  </cx:chartData>
  <cx:chart>
    <cx:title pos="t" align="ctr" overlay="0">
      <cx:tx>
        <cx:txData>
          <cx:v>EBITDA Bridge</cx:v>
        </cx:txData>
      </cx:tx>
      <cx:txPr>
        <a:bodyPr spcFirstLastPara="1" vertOverflow="ellipsis" horzOverflow="overflow" wrap="square" lIns="0" tIns="0" rIns="0" bIns="0" anchor="ctr" anchorCtr="1"/>
        <a:lstStyle/>
        <a:p>
          <a:pPr algn="ctr" rtl="0">
            <a:defRPr>
              <a:solidFill>
                <a:schemeClr val="tx1"/>
              </a:solidFill>
            </a:defRPr>
          </a:pPr>
          <a:r>
            <a:rPr lang="en-US" sz="1400" b="1" i="0" u="none" strike="noStrike" baseline="0">
              <a:solidFill>
                <a:schemeClr val="tx1"/>
              </a:solidFill>
              <a:latin typeface="Calibri" panose="020F0502020204030204"/>
            </a:rPr>
            <a:t>EBITDA Bridge</a:t>
          </a:r>
        </a:p>
      </cx:txPr>
    </cx:title>
    <cx:plotArea>
      <cx:plotAreaRegion>
        <cx:series layoutId="waterfall" uniqueId="{754EBFEC-1754-4050-90C1-09EF1F2EF11D}">
          <cx:dataLabels pos="outEnd">
            <cx:visibility seriesName="0" categoryName="0" value="1"/>
          </cx:dataLabels>
          <cx:dataId val="0"/>
          <cx:layoutPr>
            <cx:subtotals/>
          </cx:layoutPr>
        </cx:series>
      </cx:plotAreaRegion>
      <cx:axis id="0">
        <cx:catScaling gapWidth="0.5"/>
        <cx:majorGridlines/>
        <cx:tickLabels/>
      </cx:axis>
      <cx:axis id="1">
        <cx:valScaling/>
        <cx:tickLabels/>
      </cx:axis>
    </cx:plotArea>
    <cx:legend pos="t"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6</xdr:col>
      <xdr:colOff>558800</xdr:colOff>
      <xdr:row>2</xdr:row>
      <xdr:rowOff>152400</xdr:rowOff>
    </xdr:from>
    <xdr:to>
      <xdr:col>13</xdr:col>
      <xdr:colOff>165100</xdr:colOff>
      <xdr:row>18</xdr:row>
      <xdr:rowOff>12700</xdr:rowOff>
    </xdr:to>
    <xdr:sp macro="" textlink="">
      <xdr:nvSpPr>
        <xdr:cNvPr id="2" name="Rectangle: Rounded Corners 1">
          <a:extLst>
            <a:ext uri="{FF2B5EF4-FFF2-40B4-BE49-F238E27FC236}">
              <a16:creationId xmlns:a16="http://schemas.microsoft.com/office/drawing/2014/main" id="{34C1E21B-97E9-8941-8190-64795E1E37BD}"/>
            </a:ext>
          </a:extLst>
        </xdr:cNvPr>
        <xdr:cNvSpPr/>
      </xdr:nvSpPr>
      <xdr:spPr>
        <a:xfrm>
          <a:off x="4216400" y="520700"/>
          <a:ext cx="3873500" cy="2971800"/>
        </a:xfrm>
        <a:prstGeom prst="roundRect">
          <a:avLst/>
        </a:prstGeom>
        <a:solidFill>
          <a:srgbClr val="FF33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IN" sz="1100" b="0" i="0">
              <a:solidFill>
                <a:schemeClr val="lt1"/>
              </a:solidFill>
              <a:effectLst/>
              <a:latin typeface="+mn-lt"/>
              <a:ea typeface="+mn-ea"/>
              <a:cs typeface="+mn-cs"/>
            </a:rPr>
            <a:t>Founded by visionary Shri Satyanarayan Nandlal Nuwal, Solar Group has evolved from a single site manufacturing company in 1995 to a globally recognised Industrial Explosives manufacturer today.</a:t>
          </a:r>
        </a:p>
        <a:p>
          <a:r>
            <a:rPr lang="en-IN" sz="1100" b="0" i="0">
              <a:solidFill>
                <a:schemeClr val="lt1"/>
              </a:solidFill>
              <a:effectLst/>
              <a:latin typeface="+mn-lt"/>
              <a:ea typeface="+mn-ea"/>
              <a:cs typeface="+mn-cs"/>
            </a:rPr>
            <a:t>With our extensive experience, expertise and potential founded on our years of experience in the Industrial Explosives segment, we have entered into Defence and setup one of the world’s most integrated facilities for Ammunition.</a:t>
          </a:r>
        </a:p>
        <a:p>
          <a:pPr algn="l"/>
          <a:endParaRPr lang="en-IN" sz="1100"/>
        </a:p>
        <a:p>
          <a:pPr algn="l"/>
          <a:r>
            <a:rPr lang="en-IN" sz="1100" b="1">
              <a:solidFill>
                <a:schemeClr val="tx1"/>
              </a:solidFill>
            </a:rPr>
            <a:t>Vision-</a:t>
          </a:r>
          <a:r>
            <a:rPr lang="en-IN" sz="1100" b="1" baseline="0">
              <a:solidFill>
                <a:schemeClr val="tx1"/>
              </a:solidFill>
            </a:rPr>
            <a:t> </a:t>
          </a:r>
          <a:r>
            <a:rPr lang="en-IN" sz="1100" b="1" i="0">
              <a:solidFill>
                <a:schemeClr val="tx1"/>
              </a:solidFill>
              <a:effectLst/>
              <a:latin typeface="+mn-lt"/>
              <a:ea typeface="+mn-ea"/>
              <a:cs typeface="+mn-cs"/>
            </a:rPr>
            <a:t>To emerge as a global leader in the manufacturing of industrial and military explosives and an innovative solution provider with a focus on safety, quality and reliability.</a:t>
          </a:r>
          <a:endParaRPr lang="en-IN" sz="1100" b="1">
            <a:solidFill>
              <a:schemeClr val="tx1"/>
            </a:solidFill>
          </a:endParaRPr>
        </a:p>
      </xdr:txBody>
    </xdr:sp>
    <xdr:clientData/>
  </xdr:twoCellAnchor>
  <xdr:twoCellAnchor editAs="oneCell">
    <xdr:from>
      <xdr:col>2</xdr:col>
      <xdr:colOff>38100</xdr:colOff>
      <xdr:row>3</xdr:row>
      <xdr:rowOff>57149</xdr:rowOff>
    </xdr:from>
    <xdr:to>
      <xdr:col>3</xdr:col>
      <xdr:colOff>336550</xdr:colOff>
      <xdr:row>9</xdr:row>
      <xdr:rowOff>102446</xdr:rowOff>
    </xdr:to>
    <xdr:pic>
      <xdr:nvPicPr>
        <xdr:cNvPr id="4" name="Picture 3" descr="Solar Industries Logo">
          <a:extLst>
            <a:ext uri="{FF2B5EF4-FFF2-40B4-BE49-F238E27FC236}">
              <a16:creationId xmlns:a16="http://schemas.microsoft.com/office/drawing/2014/main" id="{904DE9A2-D316-B137-09BB-6832C9A88E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57300" y="609599"/>
          <a:ext cx="908050" cy="115019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11</xdr:col>
      <xdr:colOff>193675</xdr:colOff>
      <xdr:row>6</xdr:row>
      <xdr:rowOff>104775</xdr:rowOff>
    </xdr:from>
    <xdr:to>
      <xdr:col>18</xdr:col>
      <xdr:colOff>422275</xdr:colOff>
      <xdr:row>21</xdr:row>
      <xdr:rowOff>85725</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2539C5A6-1546-3EDD-2E30-79B6A7C8FEE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600825" y="1260475"/>
              <a:ext cx="48006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600075</xdr:colOff>
      <xdr:row>25</xdr:row>
      <xdr:rowOff>3175</xdr:rowOff>
    </xdr:from>
    <xdr:to>
      <xdr:col>14</xdr:col>
      <xdr:colOff>219075</xdr:colOff>
      <xdr:row>39</xdr:row>
      <xdr:rowOff>168275</xdr:rowOff>
    </xdr:to>
    <xdr:graphicFrame macro="">
      <xdr:nvGraphicFramePr>
        <xdr:cNvPr id="5" name="Chart 4">
          <a:extLst>
            <a:ext uri="{FF2B5EF4-FFF2-40B4-BE49-F238E27FC236}">
              <a16:creationId xmlns:a16="http://schemas.microsoft.com/office/drawing/2014/main" id="{574648D8-C155-BE86-2450-07C818A1B01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406400</xdr:colOff>
      <xdr:row>6</xdr:row>
      <xdr:rowOff>104775</xdr:rowOff>
    </xdr:from>
    <xdr:to>
      <xdr:col>10</xdr:col>
      <xdr:colOff>228599</xdr:colOff>
      <xdr:row>21</xdr:row>
      <xdr:rowOff>107951</xdr:rowOff>
    </xdr:to>
    <xdr:graphicFrame macro="">
      <xdr:nvGraphicFramePr>
        <xdr:cNvPr id="3" name="Chart 2">
          <a:extLst>
            <a:ext uri="{FF2B5EF4-FFF2-40B4-BE49-F238E27FC236}">
              <a16:creationId xmlns:a16="http://schemas.microsoft.com/office/drawing/2014/main" id="{90AA178A-30A2-A70E-B73C-C7426BE07B8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DEA9BF-C779-4626-98EF-A239F04C8F15}">
  <dimension ref="B13:K25"/>
  <sheetViews>
    <sheetView showGridLines="0" workbookViewId="0">
      <selection activeCell="M23" sqref="M23"/>
    </sheetView>
  </sheetViews>
  <sheetFormatPr defaultRowHeight="14.5" x14ac:dyDescent="0.35"/>
  <sheetData>
    <row r="13" spans="2:7" ht="23.5" x14ac:dyDescent="0.55000000000000004">
      <c r="B13" s="114" t="s">
        <v>136</v>
      </c>
      <c r="C13" s="114"/>
      <c r="D13" s="114"/>
      <c r="E13" s="114"/>
      <c r="F13" s="114"/>
      <c r="G13" s="114"/>
    </row>
    <row r="15" spans="2:7" ht="18.5" x14ac:dyDescent="0.45">
      <c r="B15" s="111" t="s">
        <v>137</v>
      </c>
      <c r="C15" s="111"/>
      <c r="D15" s="111"/>
    </row>
    <row r="16" spans="2:7" x14ac:dyDescent="0.35">
      <c r="B16">
        <v>1</v>
      </c>
      <c r="C16" s="96" t="s">
        <v>139</v>
      </c>
    </row>
    <row r="17" spans="2:11" x14ac:dyDescent="0.35">
      <c r="B17">
        <v>2</v>
      </c>
      <c r="C17" s="95" t="s">
        <v>135</v>
      </c>
    </row>
    <row r="18" spans="2:11" x14ac:dyDescent="0.35">
      <c r="B18">
        <v>3</v>
      </c>
      <c r="C18" s="95" t="s">
        <v>138</v>
      </c>
    </row>
    <row r="19" spans="2:11" x14ac:dyDescent="0.35">
      <c r="B19">
        <v>4</v>
      </c>
      <c r="C19" s="95" t="s">
        <v>161</v>
      </c>
    </row>
    <row r="20" spans="2:11" x14ac:dyDescent="0.35">
      <c r="B20">
        <v>5</v>
      </c>
      <c r="C20" s="95" t="s">
        <v>176</v>
      </c>
    </row>
    <row r="21" spans="2:11" x14ac:dyDescent="0.35">
      <c r="H21" s="112" t="s">
        <v>140</v>
      </c>
      <c r="I21" s="112"/>
      <c r="J21" s="112"/>
    </row>
    <row r="22" spans="2:11" x14ac:dyDescent="0.35">
      <c r="H22" s="112" t="s">
        <v>141</v>
      </c>
      <c r="I22" s="112"/>
      <c r="J22" s="112"/>
      <c r="K22" s="112"/>
    </row>
    <row r="24" spans="2:11" x14ac:dyDescent="0.35">
      <c r="B24" s="42" t="s">
        <v>142</v>
      </c>
    </row>
    <row r="25" spans="2:11" x14ac:dyDescent="0.35">
      <c r="B25" s="113" t="s">
        <v>143</v>
      </c>
      <c r="C25" s="113"/>
      <c r="D25" s="113"/>
      <c r="E25" s="113"/>
      <c r="F25" s="113"/>
      <c r="G25" s="113"/>
      <c r="H25" s="113"/>
      <c r="I25" s="113"/>
      <c r="J25" s="113"/>
      <c r="K25" s="113"/>
    </row>
  </sheetData>
  <mergeCells count="5">
    <mergeCell ref="B15:D15"/>
    <mergeCell ref="H22:K22"/>
    <mergeCell ref="B25:K25"/>
    <mergeCell ref="H21:J21"/>
    <mergeCell ref="B13:G13"/>
  </mergeCells>
  <hyperlinks>
    <hyperlink ref="C16" location="'Financial Forecast'!A1" display="Financial Forecast" xr:uid="{61D36DD1-88D0-49A7-81F1-4DFD4660F444}"/>
    <hyperlink ref="C17" location="WACC!A1" display="WACC Calculation" xr:uid="{022D8532-073E-4B6F-88BD-10125E90E810}"/>
    <hyperlink ref="C18" location="DCF!A1" display="DCF Analysis" xr:uid="{64E5BD7E-23C1-415E-884E-CC90CB1C15E4}"/>
    <hyperlink ref="C19" location="'Stock Attributes'!A1" display="Stock Attributes" xr:uid="{ED546014-2B27-4284-BD92-D2E9BA24CB56}"/>
    <hyperlink ref="C20" location="Charts!A1" display="Charts Summary" xr:uid="{3469D3AB-1DAF-44AB-9A37-4F186FCC39B9}"/>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23"/>
  <sheetViews>
    <sheetView showGridLines="0" workbookViewId="0">
      <pane ySplit="3" topLeftCell="A4" activePane="bottomLeft" state="frozen"/>
      <selection pane="bottomLeft" activeCell="Q9" sqref="Q9"/>
    </sheetView>
  </sheetViews>
  <sheetFormatPr defaultColWidth="9.6328125" defaultRowHeight="14.5" outlineLevelRow="1" x14ac:dyDescent="0.35"/>
  <cols>
    <col min="2" max="2" width="10.36328125" customWidth="1"/>
    <col min="9" max="9" width="3.90625" customWidth="1"/>
  </cols>
  <sheetData>
    <row r="1" spans="1:14" x14ac:dyDescent="0.35">
      <c r="D1" s="120" t="s">
        <v>120</v>
      </c>
      <c r="E1" s="120"/>
      <c r="F1" s="120"/>
      <c r="G1" s="120"/>
      <c r="H1" s="120"/>
      <c r="I1" s="61"/>
      <c r="J1" s="121" t="s">
        <v>121</v>
      </c>
      <c r="K1" s="121"/>
      <c r="L1" s="121"/>
      <c r="M1" s="121"/>
      <c r="N1" s="121"/>
    </row>
    <row r="2" spans="1:14" ht="19" thickBot="1" x14ac:dyDescent="0.5">
      <c r="A2" s="125" t="s">
        <v>119</v>
      </c>
      <c r="B2" s="126"/>
      <c r="C2" s="126"/>
      <c r="D2" s="86">
        <v>2018</v>
      </c>
      <c r="E2" s="86">
        <v>2019</v>
      </c>
      <c r="F2" s="86">
        <v>2020</v>
      </c>
      <c r="G2" s="86">
        <v>2021</v>
      </c>
      <c r="H2" s="86">
        <v>2022</v>
      </c>
      <c r="I2" s="86"/>
      <c r="J2" s="101" t="s">
        <v>170</v>
      </c>
      <c r="K2" s="101" t="s">
        <v>171</v>
      </c>
      <c r="L2" s="101" t="s">
        <v>172</v>
      </c>
      <c r="M2" s="101" t="s">
        <v>173</v>
      </c>
      <c r="N2" s="101" t="s">
        <v>174</v>
      </c>
    </row>
    <row r="3" spans="1:14" ht="15" thickBot="1" x14ac:dyDescent="0.4">
      <c r="A3" s="75" t="s">
        <v>56</v>
      </c>
      <c r="B3" s="74" t="s">
        <v>53</v>
      </c>
      <c r="C3" s="63" t="str">
        <f>IF(B3="Bull Market","A",IF(B3="Base Market","B","C"))</f>
        <v>B</v>
      </c>
    </row>
    <row r="4" spans="1:14" x14ac:dyDescent="0.35">
      <c r="A4" s="124" t="s">
        <v>131</v>
      </c>
      <c r="B4" s="124"/>
      <c r="C4" s="124"/>
    </row>
    <row r="5" spans="1:14" ht="18.5" x14ac:dyDescent="0.45">
      <c r="A5" s="115" t="s">
        <v>48</v>
      </c>
      <c r="B5" s="116"/>
      <c r="C5" s="116"/>
      <c r="D5" s="116"/>
      <c r="E5" s="116"/>
      <c r="F5" s="116"/>
      <c r="G5" s="116"/>
      <c r="H5" s="116"/>
      <c r="I5" s="116"/>
      <c r="J5" s="116"/>
      <c r="K5" s="116"/>
      <c r="L5" s="116"/>
      <c r="M5" s="116"/>
      <c r="N5" s="117"/>
    </row>
    <row r="6" spans="1:14" outlineLevel="1" x14ac:dyDescent="0.35">
      <c r="A6" s="119" t="s">
        <v>49</v>
      </c>
      <c r="B6" s="119"/>
      <c r="C6" s="119"/>
      <c r="D6" s="47"/>
      <c r="E6" s="47">
        <f>(E34-D34)/D34</f>
        <v>0.26139269371294466</v>
      </c>
      <c r="F6" s="47">
        <f t="shared" ref="F6:H6" si="0">(F34-E34)/E34</f>
        <v>-9.1108520172085275E-2</v>
      </c>
      <c r="G6" s="47">
        <f t="shared" si="0"/>
        <v>0.12440441603718765</v>
      </c>
      <c r="H6" s="47">
        <f t="shared" si="0"/>
        <v>0.56923315431919641</v>
      </c>
      <c r="I6" s="47"/>
      <c r="J6" s="47">
        <f>IF($C$3="A",$J$7,IF($C$3="B",$J$8,$J$9))</f>
        <v>0.21598043597431088</v>
      </c>
      <c r="K6" s="47">
        <f>IF($C$3="A",$J$7,IF($C$3="B",$J$8,$J$9))</f>
        <v>0.21598043597431088</v>
      </c>
      <c r="L6" s="47">
        <f>IF($C$3="A",$J$7,IF($C$3="B",$J$8,$J$9))</f>
        <v>0.21598043597431088</v>
      </c>
      <c r="M6" s="47">
        <f>IF($C$3="A",$J$7,IF($C$3="B",$J$8,$J$9))</f>
        <v>0.21598043597431088</v>
      </c>
      <c r="N6" s="47">
        <f>IF($C$3="A",$J$7,IF($C$3="B",$J$8,$J$9))</f>
        <v>0.21598043597431088</v>
      </c>
    </row>
    <row r="7" spans="1:14" outlineLevel="1" x14ac:dyDescent="0.35">
      <c r="A7" s="4"/>
      <c r="D7" s="47"/>
      <c r="E7" s="45"/>
      <c r="F7" s="45"/>
      <c r="G7" s="45"/>
      <c r="H7" s="122" t="s">
        <v>52</v>
      </c>
      <c r="I7" s="122"/>
      <c r="J7" s="48">
        <f>J8*1.2</f>
        <v>0.25917652316917306</v>
      </c>
      <c r="K7" s="48">
        <f t="shared" ref="K7:N7" si="1">K8*1.2</f>
        <v>0.25917652316917306</v>
      </c>
      <c r="L7" s="48">
        <f t="shared" si="1"/>
        <v>0.25917652316917306</v>
      </c>
      <c r="M7" s="48">
        <f t="shared" si="1"/>
        <v>0.25917652316917306</v>
      </c>
      <c r="N7" s="49">
        <f t="shared" si="1"/>
        <v>0.25917652316917306</v>
      </c>
    </row>
    <row r="8" spans="1:14" outlineLevel="1" x14ac:dyDescent="0.35">
      <c r="A8" s="4"/>
      <c r="D8" s="47"/>
      <c r="E8" s="45"/>
      <c r="F8" s="45"/>
      <c r="G8" s="45"/>
      <c r="H8" s="122" t="s">
        <v>53</v>
      </c>
      <c r="I8" s="122"/>
      <c r="J8" s="48">
        <f>AVERAGE($E$6:$H$6)</f>
        <v>0.21598043597431088</v>
      </c>
      <c r="K8" s="48">
        <f t="shared" ref="K8:N8" si="2">AVERAGE($E$6:$H$6)</f>
        <v>0.21598043597431088</v>
      </c>
      <c r="L8" s="48">
        <f t="shared" si="2"/>
        <v>0.21598043597431088</v>
      </c>
      <c r="M8" s="48">
        <f t="shared" si="2"/>
        <v>0.21598043597431088</v>
      </c>
      <c r="N8" s="49">
        <f t="shared" si="2"/>
        <v>0.21598043597431088</v>
      </c>
    </row>
    <row r="9" spans="1:14" outlineLevel="1" x14ac:dyDescent="0.35">
      <c r="A9" s="4"/>
      <c r="D9" s="47"/>
      <c r="E9" s="47"/>
      <c r="F9" s="47"/>
      <c r="G9" s="47"/>
      <c r="H9" s="123" t="s">
        <v>54</v>
      </c>
      <c r="I9" s="123"/>
      <c r="J9" s="49">
        <f>J8*0.8</f>
        <v>0.1727843487794487</v>
      </c>
      <c r="K9" s="49">
        <f t="shared" ref="K9:N9" si="3">K8*0.8</f>
        <v>0.1727843487794487</v>
      </c>
      <c r="L9" s="49">
        <f t="shared" si="3"/>
        <v>0.1727843487794487</v>
      </c>
      <c r="M9" s="49">
        <f t="shared" si="3"/>
        <v>0.1727843487794487</v>
      </c>
      <c r="N9" s="49">
        <f t="shared" si="3"/>
        <v>0.1727843487794487</v>
      </c>
    </row>
    <row r="10" spans="1:14" outlineLevel="1" x14ac:dyDescent="0.35">
      <c r="A10" s="119" t="s">
        <v>55</v>
      </c>
      <c r="B10" s="119"/>
      <c r="C10" s="119"/>
      <c r="D10" s="47"/>
      <c r="E10" s="45">
        <f>-D35/D34</f>
        <v>0.54348260542052906</v>
      </c>
      <c r="F10" s="45">
        <f t="shared" ref="F10:H10" si="4">-E35/E34</f>
        <v>0.50921160072636562</v>
      </c>
      <c r="G10" s="45">
        <f t="shared" si="4"/>
        <v>0.49335359585214317</v>
      </c>
      <c r="H10" s="45">
        <f t="shared" si="4"/>
        <v>0.47108676554183243</v>
      </c>
      <c r="I10" s="47"/>
      <c r="J10" s="45">
        <f>AVERAGE($E10:$H10)</f>
        <v>0.50428364188521757</v>
      </c>
      <c r="K10" s="45">
        <f t="shared" ref="K10:N10" si="5">AVERAGE($E10:$H10)</f>
        <v>0.50428364188521757</v>
      </c>
      <c r="L10" s="45">
        <f t="shared" si="5"/>
        <v>0.50428364188521757</v>
      </c>
      <c r="M10" s="45">
        <f t="shared" si="5"/>
        <v>0.50428364188521757</v>
      </c>
      <c r="N10" s="47">
        <f t="shared" si="5"/>
        <v>0.50428364188521757</v>
      </c>
    </row>
    <row r="11" spans="1:14" outlineLevel="1" x14ac:dyDescent="0.35">
      <c r="A11" s="119" t="s">
        <v>50</v>
      </c>
      <c r="B11" s="119"/>
      <c r="C11" s="119"/>
      <c r="D11" s="47">
        <f>-D38/D$34</f>
        <v>7.2950135026415994E-2</v>
      </c>
      <c r="E11" s="45">
        <f t="shared" ref="E11:H11" si="6">-E38/E$34</f>
        <v>7.4830291236893512E-2</v>
      </c>
      <c r="F11" s="45">
        <f t="shared" si="6"/>
        <v>9.2352389040361138E-2</v>
      </c>
      <c r="G11" s="45">
        <f t="shared" si="6"/>
        <v>9.1682799139778101E-2</v>
      </c>
      <c r="H11" s="45">
        <f t="shared" si="6"/>
        <v>7.336844318461043E-2</v>
      </c>
      <c r="I11" s="47"/>
      <c r="J11" s="45">
        <f>AVERAGE($D11:$H11)</f>
        <v>8.1036811525611846E-2</v>
      </c>
      <c r="K11" s="45">
        <f t="shared" ref="K11:N17" si="7">AVERAGE($D11:$H11)</f>
        <v>8.1036811525611846E-2</v>
      </c>
      <c r="L11" s="45">
        <f t="shared" si="7"/>
        <v>8.1036811525611846E-2</v>
      </c>
      <c r="M11" s="45">
        <f t="shared" si="7"/>
        <v>8.1036811525611846E-2</v>
      </c>
      <c r="N11" s="47">
        <f t="shared" si="7"/>
        <v>8.1036811525611846E-2</v>
      </c>
    </row>
    <row r="12" spans="1:14" outlineLevel="1" x14ac:dyDescent="0.35">
      <c r="A12" s="119" t="s">
        <v>5</v>
      </c>
      <c r="B12" s="119"/>
      <c r="C12" s="119"/>
      <c r="D12" s="47">
        <f>-D39/D$34</f>
        <v>2.0697217994639937E-2</v>
      </c>
      <c r="E12" s="47">
        <f t="shared" ref="E12:H12" si="8">-E39/E$34</f>
        <v>5.5793660143729405E-2</v>
      </c>
      <c r="F12" s="47">
        <f t="shared" si="8"/>
        <v>6.8546909220935953E-2</v>
      </c>
      <c r="G12" s="47">
        <f t="shared" si="8"/>
        <v>7.9252513286930115E-2</v>
      </c>
      <c r="H12" s="47">
        <f t="shared" si="8"/>
        <v>7.6463987070657949E-2</v>
      </c>
      <c r="I12" s="47"/>
      <c r="J12" s="47">
        <f t="shared" ref="J12:J17" si="9">AVERAGE($D12:$H12)</f>
        <v>6.0150857543378664E-2</v>
      </c>
      <c r="K12" s="47">
        <f t="shared" si="7"/>
        <v>6.0150857543378664E-2</v>
      </c>
      <c r="L12" s="47">
        <f t="shared" si="7"/>
        <v>6.0150857543378664E-2</v>
      </c>
      <c r="M12" s="47">
        <f t="shared" si="7"/>
        <v>6.0150857543378664E-2</v>
      </c>
      <c r="N12" s="47">
        <f t="shared" si="7"/>
        <v>6.0150857543378664E-2</v>
      </c>
    </row>
    <row r="13" spans="1:14" outlineLevel="1" x14ac:dyDescent="0.35">
      <c r="A13" s="119" t="s">
        <v>51</v>
      </c>
      <c r="B13" s="119"/>
      <c r="C13" s="119"/>
      <c r="D13" s="47">
        <f>-D40/D$34</f>
        <v>0.13386319031294358</v>
      </c>
      <c r="E13" s="45">
        <f t="shared" ref="E13:H13" si="10">-E40/E$34</f>
        <v>0.15871171650613225</v>
      </c>
      <c r="F13" s="45">
        <f t="shared" si="10"/>
        <v>0.15162025655924552</v>
      </c>
      <c r="G13" s="45">
        <f t="shared" si="10"/>
        <v>0.15341683792926622</v>
      </c>
      <c r="H13" s="45">
        <f t="shared" si="10"/>
        <v>0.13763770990548713</v>
      </c>
      <c r="I13" s="47"/>
      <c r="J13" s="45">
        <f t="shared" si="9"/>
        <v>0.14704994224261494</v>
      </c>
      <c r="K13" s="45">
        <f t="shared" si="7"/>
        <v>0.14704994224261494</v>
      </c>
      <c r="L13" s="45">
        <f t="shared" si="7"/>
        <v>0.14704994224261494</v>
      </c>
      <c r="M13" s="45">
        <f t="shared" si="7"/>
        <v>0.14704994224261494</v>
      </c>
      <c r="N13" s="47">
        <f t="shared" si="7"/>
        <v>0.14704994224261494</v>
      </c>
    </row>
    <row r="14" spans="1:14" outlineLevel="1" x14ac:dyDescent="0.35">
      <c r="A14" s="119" t="s">
        <v>8</v>
      </c>
      <c r="B14" s="119"/>
      <c r="C14" s="119"/>
      <c r="D14" s="47">
        <f>D42/D34</f>
        <v>6.2004540167156039E-3</v>
      </c>
      <c r="E14" s="45">
        <f t="shared" ref="E14:H14" si="11">E42/E34</f>
        <v>5.9799233822316654E-3</v>
      </c>
      <c r="F14" s="45">
        <f t="shared" si="11"/>
        <v>1.83480087605596E-2</v>
      </c>
      <c r="G14" s="45">
        <f t="shared" si="11"/>
        <v>8.5147656849377702E-3</v>
      </c>
      <c r="H14" s="45">
        <f t="shared" si="11"/>
        <v>4.9802285433464804E-3</v>
      </c>
      <c r="I14" s="47"/>
      <c r="J14" s="45">
        <f t="shared" si="9"/>
        <v>8.8046760775582246E-3</v>
      </c>
      <c r="K14" s="45">
        <f t="shared" si="7"/>
        <v>8.8046760775582246E-3</v>
      </c>
      <c r="L14" s="45">
        <f t="shared" si="7"/>
        <v>8.8046760775582246E-3</v>
      </c>
      <c r="M14" s="45">
        <f t="shared" si="7"/>
        <v>8.8046760775582246E-3</v>
      </c>
      <c r="N14" s="47">
        <f t="shared" si="7"/>
        <v>8.8046760775582246E-3</v>
      </c>
    </row>
    <row r="15" spans="1:14" outlineLevel="1" x14ac:dyDescent="0.35">
      <c r="A15" s="119" t="s">
        <v>10</v>
      </c>
      <c r="B15" s="119"/>
      <c r="C15" s="119"/>
      <c r="D15" s="47">
        <f>-D44/D34</f>
        <v>2.6282750951846557E-2</v>
      </c>
      <c r="E15" s="47">
        <f t="shared" ref="E15:H15" si="12">-E44/E34</f>
        <v>2.3923755976876546E-2</v>
      </c>
      <c r="F15" s="47">
        <f t="shared" si="12"/>
        <v>3.7782148124972062E-2</v>
      </c>
      <c r="G15" s="47">
        <f t="shared" si="12"/>
        <v>3.7179553431943485E-2</v>
      </c>
      <c r="H15" s="47">
        <f t="shared" si="12"/>
        <v>2.7674972958321616E-2</v>
      </c>
      <c r="I15" s="47"/>
      <c r="J15" s="47">
        <f t="shared" si="9"/>
        <v>3.0568636288792049E-2</v>
      </c>
      <c r="K15" s="47">
        <f t="shared" si="7"/>
        <v>3.0568636288792049E-2</v>
      </c>
      <c r="L15" s="47">
        <f t="shared" si="7"/>
        <v>3.0568636288792049E-2</v>
      </c>
      <c r="M15" s="47">
        <f t="shared" si="7"/>
        <v>3.0568636288792049E-2</v>
      </c>
      <c r="N15" s="47">
        <f t="shared" si="7"/>
        <v>3.0568636288792049E-2</v>
      </c>
    </row>
    <row r="16" spans="1:14" outlineLevel="1" x14ac:dyDescent="0.35">
      <c r="A16" s="119" t="s">
        <v>12</v>
      </c>
      <c r="B16" s="119"/>
      <c r="C16" s="119"/>
      <c r="D16" s="47">
        <f>-D46/D34</f>
        <v>1.6766847555945003E-2</v>
      </c>
      <c r="E16" s="45">
        <f t="shared" ref="E16:H16" si="13">-E46/E34</f>
        <v>2.0259427926079696E-2</v>
      </c>
      <c r="F16" s="45">
        <f t="shared" si="13"/>
        <v>2.4601081660930585E-2</v>
      </c>
      <c r="G16" s="45">
        <f t="shared" si="13"/>
        <v>1.8043193951415747E-2</v>
      </c>
      <c r="H16" s="45">
        <f t="shared" si="13"/>
        <v>1.2729220971676534E-2</v>
      </c>
      <c r="I16" s="47"/>
      <c r="J16" s="45">
        <f t="shared" si="9"/>
        <v>1.8479954413209512E-2</v>
      </c>
      <c r="K16" s="45">
        <f t="shared" si="7"/>
        <v>1.8479954413209512E-2</v>
      </c>
      <c r="L16" s="45">
        <f t="shared" si="7"/>
        <v>1.8479954413209512E-2</v>
      </c>
      <c r="M16" s="45">
        <f t="shared" si="7"/>
        <v>1.8479954413209512E-2</v>
      </c>
      <c r="N16" s="47">
        <f t="shared" si="7"/>
        <v>1.8479954413209512E-2</v>
      </c>
    </row>
    <row r="17" spans="1:14" outlineLevel="1" x14ac:dyDescent="0.35">
      <c r="A17" s="119" t="s">
        <v>14</v>
      </c>
      <c r="B17" s="119"/>
      <c r="C17" s="119"/>
      <c r="D17" s="47">
        <f>-D48/D47</f>
        <v>0.28280754153444082</v>
      </c>
      <c r="E17" s="45">
        <f t="shared" ref="E17:H17" si="14">-E48/E47</f>
        <v>0.31118576583302221</v>
      </c>
      <c r="F17" s="45">
        <f t="shared" si="14"/>
        <v>0.17013103037522329</v>
      </c>
      <c r="G17" s="45">
        <f t="shared" si="14"/>
        <v>0.27456560060438151</v>
      </c>
      <c r="H17" s="45">
        <f t="shared" si="14"/>
        <v>0.25015639919660204</v>
      </c>
      <c r="I17" s="47"/>
      <c r="J17" s="45">
        <f t="shared" si="9"/>
        <v>0.25776926750873397</v>
      </c>
      <c r="K17" s="45">
        <f t="shared" si="7"/>
        <v>0.25776926750873397</v>
      </c>
      <c r="L17" s="45">
        <f t="shared" si="7"/>
        <v>0.25776926750873397</v>
      </c>
      <c r="M17" s="45">
        <f t="shared" si="7"/>
        <v>0.25776926750873397</v>
      </c>
      <c r="N17" s="47">
        <f t="shared" si="7"/>
        <v>0.25776926750873397</v>
      </c>
    </row>
    <row r="18" spans="1:14" outlineLevel="1" x14ac:dyDescent="0.35">
      <c r="A18" s="119"/>
      <c r="B18" s="119"/>
      <c r="C18" s="119"/>
      <c r="D18" s="47"/>
      <c r="E18" s="47"/>
      <c r="F18" s="47"/>
      <c r="G18" s="47"/>
      <c r="H18" s="47"/>
      <c r="I18" s="47"/>
      <c r="J18" s="47"/>
      <c r="K18" s="47"/>
      <c r="L18" s="47"/>
      <c r="M18" s="47"/>
      <c r="N18" s="47"/>
    </row>
    <row r="19" spans="1:14" outlineLevel="1" x14ac:dyDescent="0.35">
      <c r="A19" s="119" t="s">
        <v>57</v>
      </c>
      <c r="B19" s="119"/>
      <c r="C19" s="119"/>
      <c r="D19" s="47">
        <f>-D55/D35*360</f>
        <v>78.891183209345741</v>
      </c>
      <c r="E19" s="45">
        <f t="shared" ref="E19:H19" si="15">-E55/E35*360</f>
        <v>81.204346369249919</v>
      </c>
      <c r="F19" s="45">
        <f t="shared" si="15"/>
        <v>107.94977259961225</v>
      </c>
      <c r="G19" s="45">
        <f t="shared" si="15"/>
        <v>133.81071320079658</v>
      </c>
      <c r="H19" s="45">
        <f t="shared" si="15"/>
        <v>125.29142641355971</v>
      </c>
      <c r="I19" s="47"/>
      <c r="J19" s="45">
        <f t="shared" ref="J19:J24" si="16">AVERAGE($D19:$H19)</f>
        <v>105.42948835851284</v>
      </c>
      <c r="K19" s="45">
        <f t="shared" ref="K19:N24" si="17">AVERAGE($D19:$H19)</f>
        <v>105.42948835851284</v>
      </c>
      <c r="L19" s="45">
        <f t="shared" si="17"/>
        <v>105.42948835851284</v>
      </c>
      <c r="M19" s="45">
        <f t="shared" si="17"/>
        <v>105.42948835851284</v>
      </c>
      <c r="N19" s="47">
        <f t="shared" si="17"/>
        <v>105.42948835851284</v>
      </c>
    </row>
    <row r="20" spans="1:14" outlineLevel="1" x14ac:dyDescent="0.35">
      <c r="A20" s="119" t="s">
        <v>58</v>
      </c>
      <c r="B20" s="119"/>
      <c r="C20" s="119"/>
      <c r="D20" s="47">
        <f>D56/D34*360</f>
        <v>67.071899644883089</v>
      </c>
      <c r="E20" s="45">
        <f>E56/E34*360</f>
        <v>58.358852277205202</v>
      </c>
      <c r="F20" s="45">
        <f>F56/F34*360</f>
        <v>59.587538550931917</v>
      </c>
      <c r="G20" s="45">
        <f>G56/G34*360</f>
        <v>65.181604607990835</v>
      </c>
      <c r="H20" s="45">
        <f>H56/H34*360</f>
        <v>49.345300067635854</v>
      </c>
      <c r="I20" s="47"/>
      <c r="J20" s="45">
        <f t="shared" ref="J20:N20" si="18">AVERAGE($F$20:$H$20)</f>
        <v>58.038147742186204</v>
      </c>
      <c r="K20" s="45">
        <f t="shared" si="18"/>
        <v>58.038147742186204</v>
      </c>
      <c r="L20" s="45">
        <f t="shared" si="18"/>
        <v>58.038147742186204</v>
      </c>
      <c r="M20" s="45">
        <f t="shared" si="18"/>
        <v>58.038147742186204</v>
      </c>
      <c r="N20" s="45">
        <f t="shared" si="18"/>
        <v>58.038147742186204</v>
      </c>
    </row>
    <row r="21" spans="1:14" outlineLevel="1" x14ac:dyDescent="0.35">
      <c r="A21" s="119" t="s">
        <v>59</v>
      </c>
      <c r="B21" s="119"/>
      <c r="C21" s="119"/>
      <c r="D21" s="47">
        <f>D58/D34</f>
        <v>3.7233470153269069E-2</v>
      </c>
      <c r="E21" s="47">
        <f t="shared" ref="E21:H21" si="19">E58/E34</f>
        <v>2.3253452065145414E-2</v>
      </c>
      <c r="F21" s="47">
        <f t="shared" si="19"/>
        <v>3.118938005631788E-2</v>
      </c>
      <c r="G21" s="47">
        <f t="shared" si="19"/>
        <v>3.2536581293751463E-2</v>
      </c>
      <c r="H21" s="47">
        <f t="shared" si="19"/>
        <v>5.0881419390466635E-2</v>
      </c>
      <c r="I21" s="47"/>
      <c r="J21" s="47">
        <f t="shared" si="16"/>
        <v>3.5018860591790088E-2</v>
      </c>
      <c r="K21" s="47">
        <f t="shared" si="17"/>
        <v>3.5018860591790088E-2</v>
      </c>
      <c r="L21" s="47">
        <f t="shared" si="17"/>
        <v>3.5018860591790088E-2</v>
      </c>
      <c r="M21" s="47">
        <f t="shared" si="17"/>
        <v>3.5018860591790088E-2</v>
      </c>
      <c r="N21" s="47">
        <f t="shared" si="17"/>
        <v>3.5018860591790088E-2</v>
      </c>
    </row>
    <row r="22" spans="1:14" outlineLevel="1" x14ac:dyDescent="0.35">
      <c r="A22" s="119" t="s">
        <v>60</v>
      </c>
      <c r="B22" s="119"/>
      <c r="C22" s="119"/>
      <c r="D22" s="47">
        <f>D61/D34</f>
        <v>0.45794708604282924</v>
      </c>
      <c r="E22" s="45">
        <f t="shared" ref="E22:G22" si="20">E61/E34</f>
        <v>0.40805258432626329</v>
      </c>
      <c r="F22" s="45">
        <f t="shared" si="20"/>
        <v>0.51285478031555898</v>
      </c>
      <c r="G22" s="45">
        <f t="shared" si="20"/>
        <v>0.4835687283106021</v>
      </c>
      <c r="H22" s="45">
        <f>H61/H34</f>
        <v>0.35879937481159485</v>
      </c>
      <c r="I22" s="47"/>
      <c r="J22" s="45">
        <f>AVERAGE($D22:$H22)</f>
        <v>0.44424451076136967</v>
      </c>
      <c r="K22" s="45">
        <f t="shared" si="17"/>
        <v>0.44424451076136967</v>
      </c>
      <c r="L22" s="45">
        <f t="shared" si="17"/>
        <v>0.44424451076136967</v>
      </c>
      <c r="M22" s="45">
        <f t="shared" si="17"/>
        <v>0.44424451076136967</v>
      </c>
      <c r="N22" s="47">
        <f t="shared" si="17"/>
        <v>0.44424451076136967</v>
      </c>
    </row>
    <row r="23" spans="1:14" outlineLevel="1" x14ac:dyDescent="0.35">
      <c r="A23" s="119" t="s">
        <v>61</v>
      </c>
      <c r="B23" s="119"/>
      <c r="C23" s="119"/>
      <c r="D23" s="47">
        <f>D66/D34</f>
        <v>5.6931441426206911E-3</v>
      </c>
      <c r="E23" s="45">
        <f t="shared" ref="E23:H23" si="21">E66/E34</f>
        <v>1.5802922525055146E-2</v>
      </c>
      <c r="F23" s="45">
        <f t="shared" si="21"/>
        <v>3.6454655164707458E-2</v>
      </c>
      <c r="G23" s="45">
        <f t="shared" si="21"/>
        <v>3.6555455293505006E-2</v>
      </c>
      <c r="H23" s="45">
        <f t="shared" si="21"/>
        <v>3.1748323669258109E-2</v>
      </c>
      <c r="I23" s="47"/>
      <c r="J23" s="45">
        <f t="shared" si="16"/>
        <v>2.5250900159029283E-2</v>
      </c>
      <c r="K23" s="45">
        <f t="shared" si="17"/>
        <v>2.5250900159029283E-2</v>
      </c>
      <c r="L23" s="45">
        <f t="shared" si="17"/>
        <v>2.5250900159029283E-2</v>
      </c>
      <c r="M23" s="45">
        <f t="shared" si="17"/>
        <v>2.5250900159029283E-2</v>
      </c>
      <c r="N23" s="47">
        <f t="shared" si="17"/>
        <v>2.5250900159029283E-2</v>
      </c>
    </row>
    <row r="24" spans="1:14" outlineLevel="1" x14ac:dyDescent="0.35">
      <c r="A24" s="119" t="s">
        <v>59</v>
      </c>
      <c r="B24" s="119"/>
      <c r="C24" s="119"/>
      <c r="D24" s="47">
        <f>D67/D34</f>
        <v>1.1186438940900961E-2</v>
      </c>
      <c r="E24" s="47">
        <f t="shared" ref="E24:H24" si="22">E67/E34</f>
        <v>1.4031695218905007E-2</v>
      </c>
      <c r="F24" s="47">
        <f t="shared" si="22"/>
        <v>2.8480758056586061E-2</v>
      </c>
      <c r="G24" s="47">
        <f t="shared" si="22"/>
        <v>1.9927413808866964E-2</v>
      </c>
      <c r="H24" s="47">
        <f t="shared" si="22"/>
        <v>1.816288843122801E-2</v>
      </c>
      <c r="I24" s="47"/>
      <c r="J24" s="47">
        <f t="shared" si="16"/>
        <v>1.8357838891297402E-2</v>
      </c>
      <c r="K24" s="47">
        <f t="shared" si="17"/>
        <v>1.8357838891297402E-2</v>
      </c>
      <c r="L24" s="47">
        <f t="shared" si="17"/>
        <v>1.8357838891297402E-2</v>
      </c>
      <c r="M24" s="47">
        <f t="shared" si="17"/>
        <v>1.8357838891297402E-2</v>
      </c>
      <c r="N24" s="47">
        <f t="shared" si="17"/>
        <v>1.8357838891297402E-2</v>
      </c>
    </row>
    <row r="25" spans="1:14" outlineLevel="1" x14ac:dyDescent="0.35">
      <c r="A25" s="119"/>
      <c r="B25" s="119"/>
      <c r="C25" s="119"/>
      <c r="D25" s="47"/>
      <c r="E25" s="45"/>
      <c r="F25" s="45"/>
      <c r="G25" s="45"/>
      <c r="H25" s="45"/>
      <c r="I25" s="47"/>
      <c r="J25" s="45"/>
      <c r="K25" s="45"/>
      <c r="L25" s="45"/>
      <c r="M25" s="45"/>
      <c r="N25" s="47"/>
    </row>
    <row r="26" spans="1:14" outlineLevel="1" x14ac:dyDescent="0.35">
      <c r="A26" s="119" t="s">
        <v>34</v>
      </c>
      <c r="B26" s="119"/>
      <c r="C26" s="119"/>
      <c r="D26" s="47">
        <f>D73/D34</f>
        <v>5.1883964396070653E-2</v>
      </c>
      <c r="E26" s="45">
        <f>E73/E34</f>
        <v>4.8595002376532047E-2</v>
      </c>
      <c r="F26" s="45">
        <f>F73/F34</f>
        <v>4.7727171143789389E-2</v>
      </c>
      <c r="G26" s="45">
        <f>G73/G34</f>
        <v>4.664040419298545E-2</v>
      </c>
      <c r="H26" s="45">
        <f>H73/H34</f>
        <v>3.4993325075172062E-2</v>
      </c>
      <c r="I26" s="47"/>
      <c r="J26" s="45">
        <f>AVERAGE($D26:$H26)</f>
        <v>4.596797343690992E-2</v>
      </c>
      <c r="K26" s="45">
        <f t="shared" ref="K26:N28" si="23">AVERAGE($D26:$H26)</f>
        <v>4.596797343690992E-2</v>
      </c>
      <c r="L26" s="45">
        <f t="shared" si="23"/>
        <v>4.596797343690992E-2</v>
      </c>
      <c r="M26" s="45">
        <f t="shared" si="23"/>
        <v>4.596797343690992E-2</v>
      </c>
      <c r="N26" s="47">
        <f t="shared" si="23"/>
        <v>4.596797343690992E-2</v>
      </c>
    </row>
    <row r="27" spans="1:14" outlineLevel="1" x14ac:dyDescent="0.35">
      <c r="A27" s="119" t="s">
        <v>35</v>
      </c>
      <c r="B27" s="119"/>
      <c r="C27" s="119"/>
      <c r="D27" s="47">
        <f>D75/D34</f>
        <v>0.10048834980809339</v>
      </c>
      <c r="E27" s="47">
        <f>E75/E34</f>
        <v>6.1570461128466786E-2</v>
      </c>
      <c r="F27" s="47">
        <f>F75/F34</f>
        <v>0.11299334018683234</v>
      </c>
      <c r="G27" s="47">
        <f>G75/G34</f>
        <v>0.17220735958785671</v>
      </c>
      <c r="H27" s="47">
        <f>H75/H34</f>
        <v>0.11041110950676485</v>
      </c>
      <c r="I27" s="47"/>
      <c r="J27" s="47">
        <f>AVERAGE($D27:$H27)</f>
        <v>0.11153412404360281</v>
      </c>
      <c r="K27" s="47">
        <f t="shared" si="23"/>
        <v>0.11153412404360281</v>
      </c>
      <c r="L27" s="47">
        <f t="shared" si="23"/>
        <v>0.11153412404360281</v>
      </c>
      <c r="M27" s="47">
        <f t="shared" si="23"/>
        <v>0.11153412404360281</v>
      </c>
      <c r="N27" s="47">
        <f t="shared" si="23"/>
        <v>0.11153412404360281</v>
      </c>
    </row>
    <row r="28" spans="1:14" outlineLevel="1" x14ac:dyDescent="0.35">
      <c r="A28" s="119" t="s">
        <v>35</v>
      </c>
      <c r="B28" s="119"/>
      <c r="C28" s="119"/>
      <c r="D28" s="47">
        <f>D78/D34</f>
        <v>0.18326697310232798</v>
      </c>
      <c r="E28" s="45">
        <f>E78/E34</f>
        <v>0.20408926010635486</v>
      </c>
      <c r="F28" s="45">
        <f>F78/F34</f>
        <v>0.22838689491798148</v>
      </c>
      <c r="G28" s="45">
        <f>G78/G34</f>
        <v>0.16336663181787464</v>
      </c>
      <c r="H28" s="45">
        <f>H78/H34</f>
        <v>0.12342657962666018</v>
      </c>
      <c r="I28" s="47"/>
      <c r="J28" s="45">
        <f>AVERAGE($D28:$H28)</f>
        <v>0.18050726791423982</v>
      </c>
      <c r="K28" s="45">
        <f t="shared" si="23"/>
        <v>0.18050726791423982</v>
      </c>
      <c r="L28" s="45">
        <f t="shared" si="23"/>
        <v>0.18050726791423982</v>
      </c>
      <c r="M28" s="45">
        <f t="shared" si="23"/>
        <v>0.18050726791423982</v>
      </c>
      <c r="N28" s="47">
        <f t="shared" si="23"/>
        <v>0.18050726791423982</v>
      </c>
    </row>
    <row r="29" spans="1:14" outlineLevel="1" x14ac:dyDescent="0.35">
      <c r="A29" s="119" t="s">
        <v>62</v>
      </c>
      <c r="B29" s="119"/>
      <c r="C29" s="119"/>
      <c r="D29" s="47">
        <f>-D79/D35*360</f>
        <v>48.651033858512719</v>
      </c>
      <c r="E29" s="45">
        <f>-E79/E35*360</f>
        <v>46.900579196783305</v>
      </c>
      <c r="F29" s="45">
        <f>-F79/F35*360</f>
        <v>50.367645726503476</v>
      </c>
      <c r="G29" s="45">
        <f>-G79/G35*360</f>
        <v>86.90451277550882</v>
      </c>
      <c r="H29" s="45">
        <f>-H79/H35*360</f>
        <v>81.034117151530111</v>
      </c>
      <c r="I29" s="47"/>
      <c r="J29" s="45">
        <f>AVERAGE($F$29:$H$29)</f>
        <v>72.768758551180795</v>
      </c>
      <c r="K29" s="45">
        <f t="shared" ref="K29:N29" si="24">AVERAGE($F$29:$H$29)</f>
        <v>72.768758551180795</v>
      </c>
      <c r="L29" s="45">
        <f t="shared" si="24"/>
        <v>72.768758551180795</v>
      </c>
      <c r="M29" s="45">
        <f t="shared" si="24"/>
        <v>72.768758551180795</v>
      </c>
      <c r="N29" s="45">
        <f t="shared" si="24"/>
        <v>72.768758551180795</v>
      </c>
    </row>
    <row r="30" spans="1:14" outlineLevel="1" x14ac:dyDescent="0.35">
      <c r="A30" s="119" t="s">
        <v>34</v>
      </c>
      <c r="B30" s="119"/>
      <c r="C30" s="119"/>
      <c r="D30" s="47">
        <f>D80/D34</f>
        <v>9.3724218153494535E-3</v>
      </c>
      <c r="E30" s="47">
        <f>E80/E34</f>
        <v>4.9968109783593397E-3</v>
      </c>
      <c r="F30" s="47">
        <f>F80/F34</f>
        <v>5.2652751083895758E-3</v>
      </c>
      <c r="G30" s="47">
        <f>G80/G34</f>
        <v>1.1396747534414839E-2</v>
      </c>
      <c r="H30" s="47">
        <f>H80/H34</f>
        <v>8.453215996514345E-3</v>
      </c>
      <c r="I30" s="47"/>
      <c r="J30" s="47">
        <f t="shared" ref="J30:N31" si="25">AVERAGE($D30:$H30)</f>
        <v>7.8968942866055099E-3</v>
      </c>
      <c r="K30" s="47">
        <f t="shared" si="25"/>
        <v>7.8968942866055099E-3</v>
      </c>
      <c r="L30" s="47">
        <f t="shared" si="25"/>
        <v>7.8968942866055099E-3</v>
      </c>
      <c r="M30" s="47">
        <f t="shared" si="25"/>
        <v>7.8968942866055099E-3</v>
      </c>
      <c r="N30" s="47">
        <f t="shared" si="25"/>
        <v>7.8968942866055099E-3</v>
      </c>
    </row>
    <row r="31" spans="1:14" outlineLevel="1" x14ac:dyDescent="0.35">
      <c r="A31" s="119" t="s">
        <v>63</v>
      </c>
      <c r="B31" s="119"/>
      <c r="C31" s="119"/>
      <c r="D31" s="47">
        <f>D81/D34</f>
        <v>2.3940926583549835E-2</v>
      </c>
      <c r="E31" s="45">
        <f>E81/E34</f>
        <v>1.8886320519018351E-2</v>
      </c>
      <c r="F31" s="45">
        <f>F81/F34</f>
        <v>2.4569793948062395E-2</v>
      </c>
      <c r="G31" s="45">
        <f>G81/G34</f>
        <v>3.7251106084758089E-2</v>
      </c>
      <c r="H31" s="45">
        <f>H81/H34</f>
        <v>3.3521548481232948E-2</v>
      </c>
      <c r="I31" s="47"/>
      <c r="J31" s="45">
        <f t="shared" si="25"/>
        <v>2.7633939123324326E-2</v>
      </c>
      <c r="K31" s="45">
        <f t="shared" si="25"/>
        <v>2.7633939123324326E-2</v>
      </c>
      <c r="L31" s="45">
        <f t="shared" si="25"/>
        <v>2.7633939123324326E-2</v>
      </c>
      <c r="M31" s="45">
        <f t="shared" si="25"/>
        <v>2.7633939123324326E-2</v>
      </c>
      <c r="N31" s="47">
        <f t="shared" si="25"/>
        <v>2.7633939123324326E-2</v>
      </c>
    </row>
    <row r="32" spans="1:14" x14ac:dyDescent="0.35">
      <c r="A32" s="4"/>
      <c r="B32" s="4"/>
      <c r="C32" s="4"/>
      <c r="D32" s="47"/>
      <c r="E32" s="45"/>
      <c r="F32" s="45"/>
      <c r="G32" s="45"/>
      <c r="H32" s="45"/>
      <c r="I32" s="47"/>
      <c r="J32" s="45"/>
      <c r="K32" s="45"/>
      <c r="L32" s="45"/>
      <c r="M32" s="45"/>
      <c r="N32" s="47"/>
    </row>
    <row r="33" spans="1:14" ht="18.5" x14ac:dyDescent="0.45">
      <c r="A33" s="115" t="s">
        <v>128</v>
      </c>
      <c r="B33" s="116"/>
      <c r="C33" s="116"/>
      <c r="D33" s="116"/>
      <c r="E33" s="116"/>
      <c r="F33" s="116"/>
      <c r="G33" s="116"/>
      <c r="H33" s="116"/>
      <c r="I33" s="116"/>
      <c r="J33" s="116"/>
      <c r="K33" s="116"/>
      <c r="L33" s="116"/>
      <c r="M33" s="116"/>
      <c r="N33" s="117"/>
    </row>
    <row r="34" spans="1:14" hidden="1" outlineLevel="1" x14ac:dyDescent="0.35">
      <c r="A34" s="1" t="s">
        <v>0</v>
      </c>
      <c r="B34" s="1"/>
      <c r="C34" s="2"/>
      <c r="D34" s="3">
        <v>1951.47</v>
      </c>
      <c r="E34" s="3">
        <v>2461.5700000000002</v>
      </c>
      <c r="F34" s="3">
        <v>2237.3000000000002</v>
      </c>
      <c r="G34" s="3">
        <v>2515.63</v>
      </c>
      <c r="H34" s="3">
        <v>3947.61</v>
      </c>
      <c r="I34" s="3"/>
      <c r="J34" s="44">
        <f>H34*J6+H34</f>
        <v>4800.2165288565493</v>
      </c>
      <c r="K34" s="44">
        <f>J34*K6+J34</f>
        <v>5836.96938753008</v>
      </c>
      <c r="L34" s="44">
        <f t="shared" ref="L34:N34" si="26">K34*L6+K34</f>
        <v>7097.6405806175335</v>
      </c>
      <c r="M34" s="44">
        <f t="shared" si="26"/>
        <v>8630.5920876082691</v>
      </c>
      <c r="N34" s="44">
        <f t="shared" si="26"/>
        <v>10494.631129406342</v>
      </c>
    </row>
    <row r="35" spans="1:14" hidden="1" outlineLevel="1" x14ac:dyDescent="0.35">
      <c r="A35" s="4" t="s">
        <v>1</v>
      </c>
      <c r="B35" s="4"/>
      <c r="C35" s="5"/>
      <c r="D35" s="6">
        <v>-1060.5899999999999</v>
      </c>
      <c r="E35" s="6">
        <v>-1253.46</v>
      </c>
      <c r="F35" s="6">
        <v>-1103.78</v>
      </c>
      <c r="G35" s="6">
        <v>-1185.08</v>
      </c>
      <c r="H35" s="6">
        <v>-2065.5300000000002</v>
      </c>
      <c r="I35" s="13"/>
      <c r="J35" s="45">
        <f>-J34*J10</f>
        <v>-2420.6706730093983</v>
      </c>
      <c r="K35" s="45">
        <f>-K34*K10</f>
        <v>-2943.4881803161966</v>
      </c>
      <c r="L35" s="45">
        <f t="shared" ref="L35:N35" si="27">-L34*L10</f>
        <v>-3579.22404078612</v>
      </c>
      <c r="M35" s="45">
        <f t="shared" si="27"/>
        <v>-4352.2664095648406</v>
      </c>
      <c r="N35" s="45">
        <f t="shared" si="27"/>
        <v>-5292.2708061790036</v>
      </c>
    </row>
    <row r="36" spans="1:14" hidden="1" outlineLevel="1" x14ac:dyDescent="0.35">
      <c r="A36" s="7" t="s">
        <v>2</v>
      </c>
      <c r="B36" s="7"/>
      <c r="C36" s="8"/>
      <c r="D36" s="9">
        <f>SUM(D34:D35)</f>
        <v>890.88000000000011</v>
      </c>
      <c r="E36" s="9">
        <f t="shared" ref="E36:H36" si="28">SUM(E34:E35)</f>
        <v>1208.1100000000001</v>
      </c>
      <c r="F36" s="9">
        <f t="shared" si="28"/>
        <v>1133.5200000000002</v>
      </c>
      <c r="G36" s="9">
        <f t="shared" si="28"/>
        <v>1330.5500000000002</v>
      </c>
      <c r="H36" s="9">
        <f t="shared" si="28"/>
        <v>1882.08</v>
      </c>
      <c r="I36" s="43"/>
      <c r="J36" s="9">
        <f>SUM(J34:J35)</f>
        <v>2379.545855847151</v>
      </c>
      <c r="K36" s="9">
        <f>SUM(K34:K35)</f>
        <v>2893.4812072138834</v>
      </c>
      <c r="L36" s="9">
        <f t="shared" ref="L36:N36" si="29">SUM(L34:L35)</f>
        <v>3518.4165398314135</v>
      </c>
      <c r="M36" s="9">
        <f t="shared" si="29"/>
        <v>4278.3256780434285</v>
      </c>
      <c r="N36" s="9">
        <f t="shared" si="29"/>
        <v>5202.3603232273381</v>
      </c>
    </row>
    <row r="37" spans="1:14" hidden="1" outlineLevel="1" x14ac:dyDescent="0.35">
      <c r="A37" s="1" t="s">
        <v>3</v>
      </c>
      <c r="B37" s="1"/>
      <c r="C37" s="2"/>
      <c r="D37" s="10"/>
      <c r="E37" s="10"/>
      <c r="F37" s="10"/>
      <c r="G37" s="10"/>
      <c r="H37" s="10"/>
      <c r="I37" s="10"/>
      <c r="J37" s="10"/>
      <c r="K37" s="10"/>
      <c r="L37" s="10"/>
      <c r="M37" s="10"/>
      <c r="N37" s="10"/>
    </row>
    <row r="38" spans="1:14" hidden="1" outlineLevel="1" x14ac:dyDescent="0.35">
      <c r="A38" s="4" t="s">
        <v>4</v>
      </c>
      <c r="B38" s="4"/>
      <c r="C38" s="4"/>
      <c r="D38" s="6">
        <v>-142.36000000000001</v>
      </c>
      <c r="E38" s="6">
        <v>-184.2</v>
      </c>
      <c r="F38" s="6">
        <v>-206.62</v>
      </c>
      <c r="G38" s="6">
        <v>-230.64</v>
      </c>
      <c r="H38" s="6">
        <v>-289.63</v>
      </c>
      <c r="I38" s="6"/>
      <c r="J38" s="45">
        <f t="shared" ref="J38:K40" si="30">-J$34*J11</f>
        <v>-388.99424213107488</v>
      </c>
      <c r="K38" s="45">
        <f t="shared" si="30"/>
        <v>-473.00938813804112</v>
      </c>
      <c r="L38" s="45">
        <f t="shared" ref="L38:N38" si="31">-L$34*L11</f>
        <v>-575.17016200803732</v>
      </c>
      <c r="M38" s="45">
        <f t="shared" si="31"/>
        <v>-699.39566435794814</v>
      </c>
      <c r="N38" s="45">
        <f t="shared" si="31"/>
        <v>-850.45144486452068</v>
      </c>
    </row>
    <row r="39" spans="1:14" hidden="1" outlineLevel="1" x14ac:dyDescent="0.35">
      <c r="A39" s="4" t="s">
        <v>5</v>
      </c>
      <c r="B39" s="4"/>
      <c r="C39" s="5"/>
      <c r="D39" s="6">
        <v>-40.39</v>
      </c>
      <c r="E39" s="6">
        <v>-137.34</v>
      </c>
      <c r="F39" s="6">
        <v>-153.36000000000001</v>
      </c>
      <c r="G39" s="6">
        <v>-199.37</v>
      </c>
      <c r="H39" s="6">
        <v>-301.85000000000002</v>
      </c>
      <c r="I39" s="6"/>
      <c r="J39" s="45">
        <f t="shared" si="30"/>
        <v>-288.73714060462191</v>
      </c>
      <c r="K39" s="45">
        <f t="shared" si="30"/>
        <v>-351.09871411438405</v>
      </c>
      <c r="L39" s="45">
        <f t="shared" ref="L39:N39" si="32">-L$34*L12</f>
        <v>-426.92916745882866</v>
      </c>
      <c r="M39" s="45">
        <f t="shared" si="32"/>
        <v>-519.13751517673609</v>
      </c>
      <c r="N39" s="45">
        <f t="shared" si="32"/>
        <v>-631.26106203522795</v>
      </c>
    </row>
    <row r="40" spans="1:14" hidden="1" outlineLevel="1" x14ac:dyDescent="0.35">
      <c r="A40" s="11" t="s">
        <v>6</v>
      </c>
      <c r="B40" s="11"/>
      <c r="C40" s="12"/>
      <c r="D40" s="13">
        <v>-261.23</v>
      </c>
      <c r="E40" s="13">
        <v>-390.68</v>
      </c>
      <c r="F40" s="13">
        <v>-339.22</v>
      </c>
      <c r="G40" s="13">
        <v>-385.94</v>
      </c>
      <c r="H40" s="13">
        <v>-543.34</v>
      </c>
      <c r="I40" s="13"/>
      <c r="J40" s="46">
        <f t="shared" si="30"/>
        <v>-705.87156332040115</v>
      </c>
      <c r="K40" s="46">
        <f t="shared" si="30"/>
        <v>-858.32601130820979</v>
      </c>
      <c r="L40" s="46">
        <f t="shared" ref="L40:N40" si="33">-L$34*L13</f>
        <v>-1043.7076374386484</v>
      </c>
      <c r="M40" s="46">
        <f t="shared" si="33"/>
        <v>-1269.1280680023656</v>
      </c>
      <c r="N40" s="46">
        <f t="shared" si="33"/>
        <v>-1543.2349014367514</v>
      </c>
    </row>
    <row r="41" spans="1:14" hidden="1" outlineLevel="1" x14ac:dyDescent="0.35">
      <c r="A41" s="1" t="s">
        <v>7</v>
      </c>
      <c r="B41" s="1"/>
      <c r="C41" s="2"/>
      <c r="D41" s="10"/>
      <c r="E41" s="10"/>
      <c r="F41" s="10"/>
      <c r="G41" s="10"/>
      <c r="H41" s="10"/>
      <c r="I41" s="10"/>
      <c r="J41" s="10"/>
      <c r="K41" s="10"/>
      <c r="L41" s="10"/>
      <c r="M41" s="10"/>
      <c r="N41" s="10"/>
    </row>
    <row r="42" spans="1:14" hidden="1" outlineLevel="1" x14ac:dyDescent="0.35">
      <c r="A42" s="4" t="s">
        <v>8</v>
      </c>
      <c r="B42" s="4"/>
      <c r="C42" s="4"/>
      <c r="D42" s="6">
        <v>12.1</v>
      </c>
      <c r="E42" s="6">
        <v>14.72</v>
      </c>
      <c r="F42" s="6">
        <v>41.05</v>
      </c>
      <c r="G42" s="6">
        <v>21.42</v>
      </c>
      <c r="H42" s="6">
        <v>19.66</v>
      </c>
      <c r="I42" s="6"/>
      <c r="J42" s="45">
        <f>J34*J14</f>
        <v>42.264351638722836</v>
      </c>
      <c r="K42" s="45">
        <f>K34*K14</f>
        <v>51.392624731825777</v>
      </c>
      <c r="L42" s="45">
        <f t="shared" ref="L42:N42" si="34">L34*L14</f>
        <v>62.492426227269668</v>
      </c>
      <c r="M42" s="45">
        <f t="shared" si="34"/>
        <v>75.989567688927821</v>
      </c>
      <c r="N42" s="45">
        <f t="shared" si="34"/>
        <v>92.401827647881873</v>
      </c>
    </row>
    <row r="43" spans="1:14" hidden="1" outlineLevel="1" x14ac:dyDescent="0.35">
      <c r="A43" s="7" t="s">
        <v>9</v>
      </c>
      <c r="B43" s="14"/>
      <c r="C43" s="15"/>
      <c r="D43" s="9">
        <f>SUM(D36:D42)</f>
        <v>459.00000000000011</v>
      </c>
      <c r="E43" s="9">
        <f t="shared" ref="E43:G43" si="35">SUM(E36:E42)</f>
        <v>510.61000000000007</v>
      </c>
      <c r="F43" s="9">
        <f t="shared" si="35"/>
        <v>475.37000000000018</v>
      </c>
      <c r="G43" s="9">
        <f t="shared" si="35"/>
        <v>536.02000000000032</v>
      </c>
      <c r="H43" s="9">
        <f>SUM(H36:H42)</f>
        <v>766.91999999999985</v>
      </c>
      <c r="I43" s="9"/>
      <c r="J43" s="9">
        <f>SUM(J36:J42)</f>
        <v>1038.2072614297761</v>
      </c>
      <c r="K43" s="9">
        <f>SUM(K36:K42)</f>
        <v>1262.4397183850742</v>
      </c>
      <c r="L43" s="9">
        <f t="shared" ref="L43:N43" si="36">SUM(L36:L42)</f>
        <v>1535.1019991531687</v>
      </c>
      <c r="M43" s="9">
        <f t="shared" si="36"/>
        <v>1866.6539981953065</v>
      </c>
      <c r="N43" s="9">
        <f t="shared" si="36"/>
        <v>2269.8147425387201</v>
      </c>
    </row>
    <row r="44" spans="1:14" hidden="1" outlineLevel="1" x14ac:dyDescent="0.35">
      <c r="A44" s="39" t="s">
        <v>10</v>
      </c>
      <c r="B44" s="39"/>
      <c r="C44" s="39"/>
      <c r="D44" s="40">
        <v>-51.29</v>
      </c>
      <c r="E44" s="40">
        <v>-58.89</v>
      </c>
      <c r="F44" s="40">
        <v>-84.53</v>
      </c>
      <c r="G44" s="40">
        <v>-93.53</v>
      </c>
      <c r="H44" s="40">
        <v>-109.25</v>
      </c>
      <c r="I44" s="40"/>
      <c r="J44" s="47">
        <f>-J34*J15</f>
        <v>-146.73607317806372</v>
      </c>
      <c r="K44" s="47">
        <f>-K34*K15</f>
        <v>-178.42819423622029</v>
      </c>
      <c r="L44" s="47">
        <f t="shared" ref="L44:N44" si="37">-L34*L15</f>
        <v>-216.96519341746821</v>
      </c>
      <c r="M44" s="47">
        <f t="shared" si="37"/>
        <v>-263.82543048302364</v>
      </c>
      <c r="N44" s="47">
        <f t="shared" si="37"/>
        <v>-320.80656197985741</v>
      </c>
    </row>
    <row r="45" spans="1:14" hidden="1" outlineLevel="1" x14ac:dyDescent="0.35">
      <c r="A45" s="7" t="s">
        <v>11</v>
      </c>
      <c r="B45" s="14"/>
      <c r="C45" s="15"/>
      <c r="D45" s="9">
        <f>SUM(D43:D44)</f>
        <v>407.71000000000009</v>
      </c>
      <c r="E45" s="9">
        <f t="shared" ref="E45:K45" si="38">SUM(E43:E44)</f>
        <v>451.72000000000008</v>
      </c>
      <c r="F45" s="9">
        <f t="shared" si="38"/>
        <v>390.84000000000015</v>
      </c>
      <c r="G45" s="9">
        <f t="shared" si="38"/>
        <v>442.49000000000035</v>
      </c>
      <c r="H45" s="9">
        <f t="shared" si="38"/>
        <v>657.66999999999985</v>
      </c>
      <c r="I45" s="9"/>
      <c r="J45" s="9">
        <f t="shared" si="38"/>
        <v>891.47118825171231</v>
      </c>
      <c r="K45" s="9">
        <f t="shared" si="38"/>
        <v>1084.0115241488538</v>
      </c>
      <c r="L45" s="9">
        <f t="shared" ref="L45:N45" si="39">SUM(L43:L44)</f>
        <v>1318.1368057357004</v>
      </c>
      <c r="M45" s="9">
        <f t="shared" si="39"/>
        <v>1602.8285677122828</v>
      </c>
      <c r="N45" s="9">
        <f t="shared" si="39"/>
        <v>1949.0081805588627</v>
      </c>
    </row>
    <row r="46" spans="1:14" hidden="1" outlineLevel="1" x14ac:dyDescent="0.35">
      <c r="A46" s="50" t="s">
        <v>12</v>
      </c>
      <c r="B46" s="50"/>
      <c r="C46" s="51"/>
      <c r="D46" s="52">
        <v>-32.72</v>
      </c>
      <c r="E46" s="52">
        <v>-49.87</v>
      </c>
      <c r="F46" s="52">
        <v>-55.04</v>
      </c>
      <c r="G46" s="52">
        <v>-45.39</v>
      </c>
      <c r="H46" s="52">
        <v>-50.25</v>
      </c>
      <c r="I46" s="40"/>
      <c r="J46" s="53">
        <f>-J34*J16</f>
        <v>-88.707782626803834</v>
      </c>
      <c r="K46" s="53">
        <f>-K34*K16</f>
        <v>-107.86692819285533</v>
      </c>
      <c r="L46" s="53">
        <f t="shared" ref="L46:N46" si="40">-L34*L16</f>
        <v>-131.16407437115791</v>
      </c>
      <c r="M46" s="53">
        <f t="shared" si="40"/>
        <v>-159.49294833800752</v>
      </c>
      <c r="N46" s="53">
        <f t="shared" si="40"/>
        <v>-193.94030485487863</v>
      </c>
    </row>
    <row r="47" spans="1:14" hidden="1" outlineLevel="1" x14ac:dyDescent="0.35">
      <c r="A47" s="7" t="s">
        <v>13</v>
      </c>
      <c r="B47" s="7"/>
      <c r="C47" s="8"/>
      <c r="D47" s="9">
        <f>SUM(D45:D46)</f>
        <v>374.99000000000012</v>
      </c>
      <c r="E47" s="9">
        <f t="shared" ref="E47:K47" si="41">SUM(E45:E46)</f>
        <v>401.85000000000008</v>
      </c>
      <c r="F47" s="9">
        <f t="shared" si="41"/>
        <v>335.80000000000013</v>
      </c>
      <c r="G47" s="9">
        <f t="shared" si="41"/>
        <v>397.10000000000036</v>
      </c>
      <c r="H47" s="9">
        <f t="shared" si="41"/>
        <v>607.41999999999985</v>
      </c>
      <c r="I47" s="9"/>
      <c r="J47" s="9">
        <f t="shared" si="41"/>
        <v>802.7634056249085</v>
      </c>
      <c r="K47" s="9">
        <f t="shared" si="41"/>
        <v>976.14459595599851</v>
      </c>
      <c r="L47" s="9">
        <f t="shared" ref="L47:N47" si="42">SUM(L45:L46)</f>
        <v>1186.9727313645424</v>
      </c>
      <c r="M47" s="9">
        <f t="shared" si="42"/>
        <v>1443.3356193742752</v>
      </c>
      <c r="N47" s="9">
        <f t="shared" si="42"/>
        <v>1755.0678757039841</v>
      </c>
    </row>
    <row r="48" spans="1:14" hidden="1" outlineLevel="1" x14ac:dyDescent="0.35">
      <c r="A48" s="4" t="s">
        <v>14</v>
      </c>
      <c r="B48" s="4"/>
      <c r="C48" s="5"/>
      <c r="D48" s="6">
        <v>-106.05</v>
      </c>
      <c r="E48" s="6">
        <v>-125.05</v>
      </c>
      <c r="F48" s="6">
        <v>-57.13</v>
      </c>
      <c r="G48" s="6">
        <v>-109.03</v>
      </c>
      <c r="H48" s="6">
        <v>-151.94999999999999</v>
      </c>
      <c r="I48" s="6"/>
      <c r="J48" s="45">
        <f>-J47*J17</f>
        <v>-206.92773505074936</v>
      </c>
      <c r="K48" s="45">
        <f>-K47*K17</f>
        <v>-251.62007748218682</v>
      </c>
      <c r="L48" s="45">
        <f t="shared" ref="L48:N48" si="43">-L47*L17</f>
        <v>-305.96509151667937</v>
      </c>
      <c r="M48" s="45">
        <f t="shared" si="43"/>
        <v>-372.04756537537179</v>
      </c>
      <c r="N48" s="45">
        <f t="shared" si="43"/>
        <v>-452.40256074832575</v>
      </c>
    </row>
    <row r="49" spans="1:14" ht="15" hidden="1" outlineLevel="1" thickBot="1" x14ac:dyDescent="0.4">
      <c r="A49" s="16" t="s">
        <v>15</v>
      </c>
      <c r="B49" s="16"/>
      <c r="C49" s="17"/>
      <c r="D49" s="18">
        <f>SUM(D47:D48)</f>
        <v>268.94000000000011</v>
      </c>
      <c r="E49" s="18">
        <f t="shared" ref="E49:K49" si="44">SUM(E47:E48)</f>
        <v>276.80000000000007</v>
      </c>
      <c r="F49" s="18">
        <f t="shared" si="44"/>
        <v>278.67000000000013</v>
      </c>
      <c r="G49" s="18">
        <f t="shared" si="44"/>
        <v>288.07000000000039</v>
      </c>
      <c r="H49" s="18">
        <f t="shared" si="44"/>
        <v>455.46999999999986</v>
      </c>
      <c r="I49" s="18"/>
      <c r="J49" s="18">
        <f t="shared" si="44"/>
        <v>595.83567057415917</v>
      </c>
      <c r="K49" s="18">
        <f t="shared" si="44"/>
        <v>724.52451847381167</v>
      </c>
      <c r="L49" s="18">
        <f t="shared" ref="L49:N49" si="45">SUM(L47:L48)</f>
        <v>881.00763984786295</v>
      </c>
      <c r="M49" s="18">
        <f t="shared" si="45"/>
        <v>1071.2880539989035</v>
      </c>
      <c r="N49" s="18">
        <f t="shared" si="45"/>
        <v>1302.6653149556582</v>
      </c>
    </row>
    <row r="50" spans="1:14" collapsed="1" x14ac:dyDescent="0.35"/>
    <row r="51" spans="1:14" ht="18.5" x14ac:dyDescent="0.45">
      <c r="A51" s="115" t="s">
        <v>129</v>
      </c>
      <c r="B51" s="116"/>
      <c r="C51" s="116"/>
      <c r="D51" s="116"/>
      <c r="E51" s="116"/>
      <c r="F51" s="116"/>
      <c r="G51" s="116"/>
      <c r="H51" s="116"/>
      <c r="I51" s="116"/>
      <c r="J51" s="116"/>
      <c r="K51" s="116"/>
      <c r="L51" s="116"/>
      <c r="M51" s="116"/>
      <c r="N51" s="117"/>
    </row>
    <row r="52" spans="1:14" hidden="1" outlineLevel="1" x14ac:dyDescent="0.35">
      <c r="A52" s="19" t="s">
        <v>16</v>
      </c>
      <c r="B52" s="20"/>
      <c r="C52" s="21"/>
      <c r="D52" s="22"/>
      <c r="E52" s="22"/>
      <c r="F52" s="22"/>
      <c r="G52" s="22"/>
      <c r="H52" s="22"/>
      <c r="I52" s="22"/>
    </row>
    <row r="53" spans="1:14" hidden="1" outlineLevel="1" x14ac:dyDescent="0.35">
      <c r="A53" s="118" t="s">
        <v>17</v>
      </c>
      <c r="B53" s="118"/>
      <c r="C53" s="21"/>
      <c r="D53" s="22"/>
      <c r="E53" s="22"/>
      <c r="F53" s="22"/>
      <c r="G53" s="22"/>
      <c r="H53" s="22"/>
      <c r="I53" s="22"/>
    </row>
    <row r="54" spans="1:14" hidden="1" outlineLevel="1" x14ac:dyDescent="0.35">
      <c r="A54" s="39" t="s">
        <v>18</v>
      </c>
      <c r="B54" s="39"/>
      <c r="C54" s="38"/>
      <c r="D54" s="40">
        <v>69.459999999999994</v>
      </c>
      <c r="E54" s="40">
        <v>91.76</v>
      </c>
      <c r="F54" s="40">
        <v>92.56</v>
      </c>
      <c r="G54" s="40">
        <v>169.93</v>
      </c>
      <c r="H54" s="40">
        <v>84.67</v>
      </c>
      <c r="I54" s="40"/>
      <c r="J54" s="47">
        <f>J120</f>
        <v>352.56975217640922</v>
      </c>
      <c r="K54" s="47">
        <f>K120</f>
        <v>707.69949294087144</v>
      </c>
      <c r="L54" s="47">
        <f t="shared" ref="L54:N54" si="46">L120</f>
        <v>1139.5303099430853</v>
      </c>
      <c r="M54" s="47">
        <f t="shared" si="46"/>
        <v>1664.6281350685804</v>
      </c>
      <c r="N54" s="47">
        <f t="shared" si="46"/>
        <v>2303.1368173938436</v>
      </c>
    </row>
    <row r="55" spans="1:14" hidden="1" outlineLevel="1" x14ac:dyDescent="0.35">
      <c r="A55" s="39" t="s">
        <v>19</v>
      </c>
      <c r="B55" s="39"/>
      <c r="C55" s="38"/>
      <c r="D55" s="40">
        <v>232.42</v>
      </c>
      <c r="E55" s="6">
        <v>282.74</v>
      </c>
      <c r="F55" s="6">
        <v>330.98</v>
      </c>
      <c r="G55" s="6">
        <v>440.49</v>
      </c>
      <c r="H55" s="6">
        <v>718.87</v>
      </c>
      <c r="I55" s="6"/>
      <c r="J55" s="47">
        <f>-J19*J35/360</f>
        <v>708.91686261066059</v>
      </c>
      <c r="K55" s="45">
        <f>-K19*K35/360</f>
        <v>862.02903566685154</v>
      </c>
      <c r="L55" s="45">
        <f t="shared" ref="L55:N55" si="47">-L19*L35/360</f>
        <v>1048.2104426126932</v>
      </c>
      <c r="M55" s="45">
        <f t="shared" si="47"/>
        <v>1274.603391001008</v>
      </c>
      <c r="N55" s="45">
        <f t="shared" si="47"/>
        <v>1549.8927870837406</v>
      </c>
    </row>
    <row r="56" spans="1:14" hidden="1" outlineLevel="1" x14ac:dyDescent="0.35">
      <c r="A56" s="39" t="s">
        <v>20</v>
      </c>
      <c r="B56" s="39"/>
      <c r="C56" s="38"/>
      <c r="D56" s="40">
        <v>363.58</v>
      </c>
      <c r="E56" s="6">
        <v>399.04</v>
      </c>
      <c r="F56" s="6">
        <v>370.32</v>
      </c>
      <c r="G56" s="6">
        <v>455.48</v>
      </c>
      <c r="H56" s="6">
        <v>541.1</v>
      </c>
      <c r="I56" s="6"/>
      <c r="J56" s="47">
        <f>J20*J34/360</f>
        <v>773.8768780451685</v>
      </c>
      <c r="K56" s="45">
        <f>K20*K34/360</f>
        <v>941.01914355580243</v>
      </c>
      <c r="L56" s="45">
        <f t="shared" ref="L56:N56" si="48">L20*L34/360</f>
        <v>1144.2608684411575</v>
      </c>
      <c r="M56" s="45">
        <f t="shared" si="48"/>
        <v>1391.3988296754221</v>
      </c>
      <c r="N56" s="45">
        <f t="shared" si="48"/>
        <v>1691.913755522866</v>
      </c>
    </row>
    <row r="57" spans="1:14" hidden="1" outlineLevel="1" x14ac:dyDescent="0.35">
      <c r="A57" s="20" t="s">
        <v>21</v>
      </c>
      <c r="B57" s="20"/>
      <c r="C57" s="23"/>
      <c r="D57" s="6">
        <v>78.959999999999994</v>
      </c>
      <c r="E57" s="6">
        <v>131.19</v>
      </c>
      <c r="F57" s="6">
        <v>119.86</v>
      </c>
      <c r="G57" s="6">
        <v>77.91</v>
      </c>
      <c r="H57" s="6">
        <v>115.45</v>
      </c>
      <c r="I57" s="6"/>
      <c r="J57" s="45">
        <f>$H$57</f>
        <v>115.45</v>
      </c>
      <c r="K57" s="45">
        <f>$H$57</f>
        <v>115.45</v>
      </c>
      <c r="L57" s="45">
        <f t="shared" ref="L57:N57" si="49">$H$57</f>
        <v>115.45</v>
      </c>
      <c r="M57" s="45">
        <f t="shared" si="49"/>
        <v>115.45</v>
      </c>
      <c r="N57" s="45">
        <f t="shared" si="49"/>
        <v>115.45</v>
      </c>
    </row>
    <row r="58" spans="1:14" hidden="1" outlineLevel="1" x14ac:dyDescent="0.35">
      <c r="A58" s="39" t="s">
        <v>22</v>
      </c>
      <c r="B58" s="39"/>
      <c r="C58" s="38"/>
      <c r="D58" s="40">
        <v>72.66</v>
      </c>
      <c r="E58" s="6">
        <v>57.24</v>
      </c>
      <c r="F58" s="6">
        <v>69.78</v>
      </c>
      <c r="G58" s="6">
        <v>81.849999999999994</v>
      </c>
      <c r="H58" s="6">
        <v>200.86</v>
      </c>
      <c r="I58" s="6"/>
      <c r="J58" s="47">
        <f>J34*J21</f>
        <v>168.09811343443403</v>
      </c>
      <c r="K58" s="45">
        <f>K34*K21</f>
        <v>204.40401726046224</v>
      </c>
      <c r="L58" s="45">
        <f t="shared" ref="L58:N58" si="50">L34*L21</f>
        <v>248.55128602327747</v>
      </c>
      <c r="M58" s="45">
        <f t="shared" si="50"/>
        <v>302.23350114056058</v>
      </c>
      <c r="N58" s="45">
        <f t="shared" si="50"/>
        <v>367.51002448294122</v>
      </c>
    </row>
    <row r="59" spans="1:14" hidden="1" outlineLevel="1" x14ac:dyDescent="0.35">
      <c r="A59" s="24" t="s">
        <v>23</v>
      </c>
      <c r="B59" s="25"/>
      <c r="C59" s="26"/>
      <c r="D59" s="27">
        <f>SUM(D54:D58)</f>
        <v>817.08</v>
      </c>
      <c r="E59" s="27">
        <f t="shared" ref="E59:K59" si="51">SUM(E54:E58)</f>
        <v>961.97</v>
      </c>
      <c r="F59" s="27">
        <f t="shared" si="51"/>
        <v>983.5</v>
      </c>
      <c r="G59" s="27">
        <f t="shared" si="51"/>
        <v>1225.6600000000001</v>
      </c>
      <c r="H59" s="27">
        <f t="shared" si="51"/>
        <v>1660.9499999999998</v>
      </c>
      <c r="I59" s="27"/>
      <c r="J59" s="27">
        <f t="shared" si="51"/>
        <v>2118.9116062666726</v>
      </c>
      <c r="K59" s="27">
        <f t="shared" si="51"/>
        <v>2830.6016894239879</v>
      </c>
      <c r="L59" s="27">
        <f t="shared" ref="L59:N59" si="52">SUM(L54:L58)</f>
        <v>3696.0029070202131</v>
      </c>
      <c r="M59" s="27">
        <f t="shared" si="52"/>
        <v>4748.3138568855711</v>
      </c>
      <c r="N59" s="27">
        <f t="shared" si="52"/>
        <v>6027.9033844833912</v>
      </c>
    </row>
    <row r="60" spans="1:14" hidden="1" outlineLevel="1" x14ac:dyDescent="0.35">
      <c r="A60" s="118" t="s">
        <v>24</v>
      </c>
      <c r="B60" s="118"/>
      <c r="C60" s="23"/>
      <c r="D60" s="22"/>
      <c r="E60" s="22"/>
      <c r="F60" s="22"/>
      <c r="G60" s="22"/>
      <c r="H60" s="22"/>
      <c r="I60" s="22"/>
      <c r="J60" s="22"/>
      <c r="K60" s="22"/>
      <c r="L60" s="22"/>
      <c r="M60" s="22"/>
      <c r="N60" s="22"/>
    </row>
    <row r="61" spans="1:14" hidden="1" outlineLevel="1" x14ac:dyDescent="0.35">
      <c r="A61" s="39" t="s">
        <v>25</v>
      </c>
      <c r="B61" s="39"/>
      <c r="C61" s="38"/>
      <c r="D61" s="40">
        <v>893.67</v>
      </c>
      <c r="E61" s="6">
        <v>1004.45</v>
      </c>
      <c r="F61" s="6">
        <v>1147.4100000000001</v>
      </c>
      <c r="G61" s="6">
        <v>1216.48</v>
      </c>
      <c r="H61" s="6">
        <v>1416.4</v>
      </c>
      <c r="I61" s="6"/>
      <c r="J61" s="47">
        <f>J34*J22</f>
        <v>2132.469843410518</v>
      </c>
      <c r="K61" s="45">
        <f>K34*K22</f>
        <v>2593.041609892392</v>
      </c>
      <c r="L61" s="45">
        <f t="shared" ref="L61:N61" si="53">L34*L22</f>
        <v>3153.08786729648</v>
      </c>
      <c r="M61" s="45">
        <f t="shared" si="53"/>
        <v>3834.0931595404836</v>
      </c>
      <c r="N61" s="45">
        <f t="shared" si="53"/>
        <v>4662.1822717041605</v>
      </c>
    </row>
    <row r="62" spans="1:14" hidden="1" outlineLevel="1" x14ac:dyDescent="0.35">
      <c r="A62" s="39" t="s">
        <v>26</v>
      </c>
      <c r="B62" s="39"/>
      <c r="C62" s="38"/>
      <c r="D62" s="40">
        <v>96.84</v>
      </c>
      <c r="E62" s="6">
        <v>165.56</v>
      </c>
      <c r="F62" s="6">
        <v>152.22999999999999</v>
      </c>
      <c r="G62" s="6">
        <v>282.37</v>
      </c>
      <c r="H62" s="6">
        <v>221.13</v>
      </c>
      <c r="I62" s="6"/>
      <c r="J62" s="47">
        <f>$H$62</f>
        <v>221.13</v>
      </c>
      <c r="K62" s="45">
        <f>$H$62</f>
        <v>221.13</v>
      </c>
      <c r="L62" s="45">
        <f t="shared" ref="L62:N62" si="54">$H$62</f>
        <v>221.13</v>
      </c>
      <c r="M62" s="45">
        <f t="shared" si="54"/>
        <v>221.13</v>
      </c>
      <c r="N62" s="45">
        <f t="shared" si="54"/>
        <v>221.13</v>
      </c>
    </row>
    <row r="63" spans="1:14" hidden="1" outlineLevel="1" x14ac:dyDescent="0.35">
      <c r="A63" s="39" t="s">
        <v>27</v>
      </c>
      <c r="B63" s="39"/>
      <c r="C63" s="38"/>
      <c r="D63" s="40">
        <v>8.14</v>
      </c>
      <c r="E63" s="6">
        <v>8.6300000000000008</v>
      </c>
      <c r="F63" s="6">
        <v>9.8699999999999992</v>
      </c>
      <c r="G63" s="6">
        <v>9.56</v>
      </c>
      <c r="H63" s="6">
        <v>9.89</v>
      </c>
      <c r="I63" s="6"/>
      <c r="J63" s="47">
        <f>$H$63</f>
        <v>9.89</v>
      </c>
      <c r="K63" s="45">
        <f>$H$63</f>
        <v>9.89</v>
      </c>
      <c r="L63" s="45">
        <f t="shared" ref="L63:N63" si="55">$H$63</f>
        <v>9.89</v>
      </c>
      <c r="M63" s="45">
        <f t="shared" si="55"/>
        <v>9.89</v>
      </c>
      <c r="N63" s="45">
        <f t="shared" si="55"/>
        <v>9.89</v>
      </c>
    </row>
    <row r="64" spans="1:14" hidden="1" outlineLevel="1" x14ac:dyDescent="0.35">
      <c r="A64" s="39" t="s">
        <v>28</v>
      </c>
      <c r="B64" s="39"/>
      <c r="C64" s="38"/>
      <c r="D64" s="40">
        <v>32.03</v>
      </c>
      <c r="E64" s="6">
        <v>41.51</v>
      </c>
      <c r="F64" s="6">
        <v>47.11</v>
      </c>
      <c r="G64" s="6">
        <v>47</v>
      </c>
      <c r="H64" s="6">
        <v>50.2</v>
      </c>
      <c r="I64" s="6"/>
      <c r="J64" s="47">
        <f>$H$64</f>
        <v>50.2</v>
      </c>
      <c r="K64" s="45">
        <f>$H$64</f>
        <v>50.2</v>
      </c>
      <c r="L64" s="45">
        <f t="shared" ref="L64:N64" si="56">$H$64</f>
        <v>50.2</v>
      </c>
      <c r="M64" s="45">
        <f t="shared" si="56"/>
        <v>50.2</v>
      </c>
      <c r="N64" s="45">
        <f t="shared" si="56"/>
        <v>50.2</v>
      </c>
    </row>
    <row r="65" spans="1:14" hidden="1" outlineLevel="1" x14ac:dyDescent="0.35">
      <c r="A65" s="20" t="s">
        <v>21</v>
      </c>
      <c r="B65" s="20"/>
      <c r="C65" s="23"/>
      <c r="D65" s="6">
        <v>114.41</v>
      </c>
      <c r="E65" s="6">
        <v>26.5</v>
      </c>
      <c r="F65" s="6">
        <v>46.92</v>
      </c>
      <c r="G65" s="6">
        <v>106.55</v>
      </c>
      <c r="H65" s="6">
        <v>168.7</v>
      </c>
      <c r="I65" s="6"/>
      <c r="J65" s="45">
        <f>$H$65</f>
        <v>168.7</v>
      </c>
      <c r="K65" s="45">
        <f>$H$65</f>
        <v>168.7</v>
      </c>
      <c r="L65" s="45">
        <f t="shared" ref="L65:N65" si="57">$H$65</f>
        <v>168.7</v>
      </c>
      <c r="M65" s="45">
        <f t="shared" si="57"/>
        <v>168.7</v>
      </c>
      <c r="N65" s="45">
        <f t="shared" si="57"/>
        <v>168.7</v>
      </c>
    </row>
    <row r="66" spans="1:14" hidden="1" outlineLevel="1" x14ac:dyDescent="0.35">
      <c r="A66" s="20" t="s">
        <v>29</v>
      </c>
      <c r="B66" s="20"/>
      <c r="C66" s="23"/>
      <c r="D66" s="6">
        <v>11.11</v>
      </c>
      <c r="E66" s="6">
        <v>38.9</v>
      </c>
      <c r="F66" s="6">
        <v>81.56</v>
      </c>
      <c r="G66" s="6">
        <v>91.96</v>
      </c>
      <c r="H66" s="6">
        <v>125.33</v>
      </c>
      <c r="I66" s="6"/>
      <c r="J66" s="45">
        <f>J34*J23</f>
        <v>121.20978831187882</v>
      </c>
      <c r="K66" s="45">
        <f>K34*K23</f>
        <v>147.38873123583235</v>
      </c>
      <c r="L66" s="45">
        <f t="shared" ref="L66:N66" si="58">L34*L23</f>
        <v>179.22181366584798</v>
      </c>
      <c r="M66" s="45">
        <f t="shared" si="58"/>
        <v>217.93021911750452</v>
      </c>
      <c r="N66" s="45">
        <f t="shared" si="58"/>
        <v>264.99888285448026</v>
      </c>
    </row>
    <row r="67" spans="1:14" hidden="1" outlineLevel="1" x14ac:dyDescent="0.35">
      <c r="A67" s="39" t="s">
        <v>22</v>
      </c>
      <c r="B67" s="39"/>
      <c r="C67" s="38"/>
      <c r="D67" s="40">
        <v>21.83</v>
      </c>
      <c r="E67" s="6">
        <v>34.54</v>
      </c>
      <c r="F67" s="6">
        <v>63.72</v>
      </c>
      <c r="G67" s="6">
        <v>50.13</v>
      </c>
      <c r="H67" s="6">
        <v>71.7</v>
      </c>
      <c r="I67" s="6"/>
      <c r="J67" s="47">
        <f>J34*J24</f>
        <v>88.121601680091374</v>
      </c>
      <c r="K67" s="45">
        <f>K34*K24</f>
        <v>107.15414362971208</v>
      </c>
      <c r="L67" s="45">
        <f t="shared" ref="L67:N67" si="59">L34*L24</f>
        <v>130.29734228731124</v>
      </c>
      <c r="M67" s="45">
        <f t="shared" si="59"/>
        <v>158.43901908081872</v>
      </c>
      <c r="N67" s="45">
        <f t="shared" si="59"/>
        <v>192.65874749723611</v>
      </c>
    </row>
    <row r="68" spans="1:14" hidden="1" outlineLevel="1" x14ac:dyDescent="0.35">
      <c r="A68" s="24" t="s">
        <v>30</v>
      </c>
      <c r="B68" s="25"/>
      <c r="C68" s="26"/>
      <c r="D68" s="24">
        <f>SUM(D61:D67)</f>
        <v>1178.03</v>
      </c>
      <c r="E68" s="24">
        <f t="shared" ref="E68:J68" si="60">SUM(E61:E67)</f>
        <v>1320.0900000000001</v>
      </c>
      <c r="F68" s="24">
        <f t="shared" si="60"/>
        <v>1548.82</v>
      </c>
      <c r="G68" s="24">
        <f t="shared" si="60"/>
        <v>1804.05</v>
      </c>
      <c r="H68" s="24">
        <f t="shared" si="60"/>
        <v>2063.3500000000004</v>
      </c>
      <c r="I68" s="24"/>
      <c r="J68" s="24">
        <f t="shared" si="60"/>
        <v>2791.721233402488</v>
      </c>
      <c r="K68" s="24">
        <f t="shared" ref="K68:L68" si="61">SUM(K61:K67)</f>
        <v>3297.5044847579361</v>
      </c>
      <c r="L68" s="24">
        <f t="shared" si="61"/>
        <v>3912.5270232496387</v>
      </c>
      <c r="M68" s="24">
        <f t="shared" ref="M68:N68" si="62">SUM(M61:M67)</f>
        <v>4660.3823977388074</v>
      </c>
      <c r="N68" s="24">
        <f t="shared" si="62"/>
        <v>5569.7599020558764</v>
      </c>
    </row>
    <row r="69" spans="1:14" ht="15" hidden="1" outlineLevel="1" thickBot="1" x14ac:dyDescent="0.4">
      <c r="A69" s="28" t="s">
        <v>31</v>
      </c>
      <c r="B69" s="28"/>
      <c r="C69" s="29"/>
      <c r="D69" s="18">
        <f>D68+D59</f>
        <v>1995.1100000000001</v>
      </c>
      <c r="E69" s="18">
        <f t="shared" ref="E69:J69" si="63">E68+E59</f>
        <v>2282.0600000000004</v>
      </c>
      <c r="F69" s="18">
        <f t="shared" si="63"/>
        <v>2532.3199999999997</v>
      </c>
      <c r="G69" s="18">
        <f t="shared" si="63"/>
        <v>3029.71</v>
      </c>
      <c r="H69" s="18">
        <f t="shared" si="63"/>
        <v>3724.3</v>
      </c>
      <c r="I69" s="18"/>
      <c r="J69" s="18">
        <f t="shared" si="63"/>
        <v>4910.6328396691606</v>
      </c>
      <c r="K69" s="18">
        <f t="shared" ref="K69:L69" si="64">K68+K59</f>
        <v>6128.106174181924</v>
      </c>
      <c r="L69" s="18">
        <f t="shared" si="64"/>
        <v>7608.5299302698513</v>
      </c>
      <c r="M69" s="18">
        <f t="shared" ref="M69:N69" si="65">M68+M59</f>
        <v>9408.6962546243776</v>
      </c>
      <c r="N69" s="18">
        <f t="shared" si="65"/>
        <v>11597.663286539268</v>
      </c>
    </row>
    <row r="70" spans="1:14" ht="15" hidden="1" outlineLevel="1" thickTop="1" x14ac:dyDescent="0.35">
      <c r="A70" s="19"/>
      <c r="B70" s="19"/>
      <c r="C70" s="30"/>
      <c r="D70" s="10"/>
      <c r="E70" s="10"/>
      <c r="F70" s="10"/>
      <c r="G70" s="10"/>
      <c r="H70" s="10"/>
      <c r="I70" s="10"/>
    </row>
    <row r="71" spans="1:14" hidden="1" outlineLevel="1" x14ac:dyDescent="0.35">
      <c r="A71" s="19" t="s">
        <v>32</v>
      </c>
      <c r="B71" s="20"/>
      <c r="C71" s="23"/>
      <c r="D71" s="22"/>
      <c r="E71" s="22"/>
      <c r="F71" s="22"/>
      <c r="G71" s="22"/>
      <c r="H71" s="22"/>
      <c r="I71" s="22"/>
    </row>
    <row r="72" spans="1:14" hidden="1" outlineLevel="1" x14ac:dyDescent="0.35">
      <c r="A72" s="118" t="s">
        <v>33</v>
      </c>
      <c r="B72" s="118"/>
      <c r="C72" s="23"/>
      <c r="D72" s="22"/>
      <c r="E72" s="22"/>
      <c r="F72" s="22"/>
      <c r="G72" s="22"/>
      <c r="H72" s="22"/>
      <c r="I72" s="22"/>
    </row>
    <row r="73" spans="1:14" hidden="1" outlineLevel="1" x14ac:dyDescent="0.35">
      <c r="A73" s="20" t="s">
        <v>34</v>
      </c>
      <c r="B73" s="20"/>
      <c r="C73" s="23"/>
      <c r="D73" s="6">
        <v>101.25</v>
      </c>
      <c r="E73" s="6">
        <v>119.62</v>
      </c>
      <c r="F73" s="6">
        <v>106.78</v>
      </c>
      <c r="G73" s="6">
        <v>117.33</v>
      </c>
      <c r="H73" s="6">
        <v>138.13999999999999</v>
      </c>
      <c r="I73" s="6"/>
      <c r="J73" s="45">
        <f>J34*J26</f>
        <v>220.65622588989379</v>
      </c>
      <c r="K73" s="45">
        <f>K34*K26</f>
        <v>268.3136537580391</v>
      </c>
      <c r="L73" s="45">
        <f>L34*L26</f>
        <v>326.2641536745607</v>
      </c>
      <c r="M73" s="45">
        <f>M34*M26</f>
        <v>396.73082782798184</v>
      </c>
      <c r="N73" s="45">
        <f>N34*N26</f>
        <v>482.41692498671864</v>
      </c>
    </row>
    <row r="74" spans="1:14" hidden="1" outlineLevel="1" x14ac:dyDescent="0.35">
      <c r="A74" s="39" t="s">
        <v>76</v>
      </c>
      <c r="B74" s="39"/>
      <c r="C74" s="38"/>
      <c r="D74" s="40">
        <v>0.54</v>
      </c>
      <c r="E74" s="6">
        <v>0.53</v>
      </c>
      <c r="F74" s="6">
        <v>8.99</v>
      </c>
      <c r="G74" s="6">
        <v>17.64</v>
      </c>
      <c r="H74" s="6">
        <v>17.510000000000002</v>
      </c>
      <c r="I74" s="6"/>
      <c r="J74" s="47">
        <f>$H$74</f>
        <v>17.510000000000002</v>
      </c>
      <c r="K74" s="45">
        <f>$H$74</f>
        <v>17.510000000000002</v>
      </c>
      <c r="L74" s="45">
        <f t="shared" ref="L74:N74" si="66">$H$74</f>
        <v>17.510000000000002</v>
      </c>
      <c r="M74" s="45">
        <f t="shared" si="66"/>
        <v>17.510000000000002</v>
      </c>
      <c r="N74" s="45">
        <f t="shared" si="66"/>
        <v>17.510000000000002</v>
      </c>
    </row>
    <row r="75" spans="1:14" hidden="1" outlineLevel="1" x14ac:dyDescent="0.35">
      <c r="A75" s="39" t="s">
        <v>35</v>
      </c>
      <c r="B75" s="39"/>
      <c r="C75" s="38"/>
      <c r="D75" s="40">
        <v>196.1</v>
      </c>
      <c r="E75" s="6">
        <v>151.56</v>
      </c>
      <c r="F75" s="6">
        <v>252.8</v>
      </c>
      <c r="G75" s="6">
        <v>433.21</v>
      </c>
      <c r="H75" s="6">
        <v>435.86</v>
      </c>
      <c r="I75" s="6"/>
      <c r="J75" s="47">
        <f>J34*J27</f>
        <v>535.38794576563885</v>
      </c>
      <c r="K75" s="45">
        <f>K34*K27</f>
        <v>651.02126770749226</v>
      </c>
      <c r="L75" s="45">
        <f>L34*L27</f>
        <v>791.62912493550505</v>
      </c>
      <c r="M75" s="45">
        <f>M34*M27</f>
        <v>962.60552846903761</v>
      </c>
      <c r="N75" s="45">
        <f>N34*N27</f>
        <v>1170.5094901790624</v>
      </c>
    </row>
    <row r="76" spans="1:14" hidden="1" outlineLevel="1" x14ac:dyDescent="0.35">
      <c r="A76" s="24" t="s">
        <v>36</v>
      </c>
      <c r="B76" s="25"/>
      <c r="C76" s="26"/>
      <c r="D76" s="27">
        <f t="shared" ref="D76:N76" si="67">SUM(D73:D75)</f>
        <v>297.89</v>
      </c>
      <c r="E76" s="27">
        <f t="shared" si="67"/>
        <v>271.71000000000004</v>
      </c>
      <c r="F76" s="27">
        <f t="shared" si="67"/>
        <v>368.57</v>
      </c>
      <c r="G76" s="27">
        <f t="shared" si="67"/>
        <v>568.17999999999995</v>
      </c>
      <c r="H76" s="27">
        <f t="shared" si="67"/>
        <v>591.51</v>
      </c>
      <c r="I76" s="27"/>
      <c r="J76" s="27">
        <f t="shared" si="67"/>
        <v>773.55417165553263</v>
      </c>
      <c r="K76" s="27">
        <f t="shared" si="67"/>
        <v>936.84492146553134</v>
      </c>
      <c r="L76" s="27">
        <f t="shared" si="67"/>
        <v>1135.4032786100656</v>
      </c>
      <c r="M76" s="27">
        <f t="shared" si="67"/>
        <v>1376.8463562970194</v>
      </c>
      <c r="N76" s="27">
        <f t="shared" si="67"/>
        <v>1670.436415165781</v>
      </c>
    </row>
    <row r="77" spans="1:14" hidden="1" outlineLevel="1" x14ac:dyDescent="0.35">
      <c r="A77" s="118" t="s">
        <v>37</v>
      </c>
      <c r="B77" s="118"/>
      <c r="C77" s="23"/>
      <c r="D77" s="22"/>
      <c r="E77" s="22"/>
      <c r="F77" s="22"/>
      <c r="G77" s="22"/>
      <c r="H77" s="22"/>
      <c r="I77" s="22"/>
      <c r="J77" s="22"/>
      <c r="K77" s="22"/>
      <c r="L77" s="22"/>
      <c r="M77" s="22"/>
      <c r="N77" s="22"/>
    </row>
    <row r="78" spans="1:14" hidden="1" outlineLevel="1" x14ac:dyDescent="0.35">
      <c r="A78" s="39" t="s">
        <v>35</v>
      </c>
      <c r="B78" s="39"/>
      <c r="C78" s="38"/>
      <c r="D78" s="40">
        <v>357.64</v>
      </c>
      <c r="E78" s="6">
        <v>502.38</v>
      </c>
      <c r="F78" s="6">
        <v>510.97</v>
      </c>
      <c r="G78" s="6">
        <v>410.97</v>
      </c>
      <c r="H78" s="6">
        <v>487.24</v>
      </c>
      <c r="I78" s="6"/>
      <c r="J78" s="47">
        <f>J34*J28</f>
        <v>866.47397102067146</v>
      </c>
      <c r="K78" s="45">
        <f>K34*K28</f>
        <v>1053.6153970421085</v>
      </c>
      <c r="L78" s="45">
        <f>L34*L28</f>
        <v>1281.1757098445098</v>
      </c>
      <c r="M78" s="45">
        <f>M34*M28</f>
        <v>1557.8845982164241</v>
      </c>
      <c r="N78" s="45">
        <f>N34*N28</f>
        <v>1894.3571929368718</v>
      </c>
    </row>
    <row r="79" spans="1:14" hidden="1" outlineLevel="1" x14ac:dyDescent="0.35">
      <c r="A79" s="39" t="s">
        <v>38</v>
      </c>
      <c r="B79" s="39"/>
      <c r="C79" s="38"/>
      <c r="D79" s="40">
        <v>143.33000000000001</v>
      </c>
      <c r="E79" s="6">
        <v>163.30000000000001</v>
      </c>
      <c r="F79" s="6">
        <v>154.43</v>
      </c>
      <c r="G79" s="6">
        <v>286.08</v>
      </c>
      <c r="H79" s="6">
        <v>464.94</v>
      </c>
      <c r="I79" s="6"/>
      <c r="J79" s="47">
        <f>-J35*J29/360</f>
        <v>489.30333260040345</v>
      </c>
      <c r="K79" s="45">
        <f>-K35*K29/360</f>
        <v>594.98327969912179</v>
      </c>
      <c r="L79" s="45">
        <f>-L35*L29/360</f>
        <v>723.48802784596342</v>
      </c>
      <c r="M79" s="45">
        <f>-M35*M29/360</f>
        <v>879.74728752232897</v>
      </c>
      <c r="N79" s="45">
        <f>-N35*N29/360</f>
        <v>1069.755490228619</v>
      </c>
    </row>
    <row r="80" spans="1:14" hidden="1" outlineLevel="1" x14ac:dyDescent="0.35">
      <c r="A80" s="20" t="s">
        <v>34</v>
      </c>
      <c r="B80" s="20"/>
      <c r="C80" s="23"/>
      <c r="D80" s="6">
        <v>18.29</v>
      </c>
      <c r="E80" s="6">
        <v>12.3</v>
      </c>
      <c r="F80" s="6">
        <v>11.78</v>
      </c>
      <c r="G80" s="6">
        <v>28.67</v>
      </c>
      <c r="H80" s="6">
        <v>33.369999999999997</v>
      </c>
      <c r="I80" s="6"/>
      <c r="J80" s="45">
        <f>J34*J30</f>
        <v>37.906802481196614</v>
      </c>
      <c r="K80" s="45">
        <f>K34*K30</f>
        <v>46.093930207477548</v>
      </c>
      <c r="L80" s="45">
        <f>L34*L30</f>
        <v>56.049317349458015</v>
      </c>
      <c r="M80" s="45">
        <f>M34*M30</f>
        <v>68.154873346656458</v>
      </c>
      <c r="N80" s="45">
        <f>N34*N30</f>
        <v>82.874992605841271</v>
      </c>
    </row>
    <row r="81" spans="1:14" hidden="1" outlineLevel="1" x14ac:dyDescent="0.35">
      <c r="A81" s="39" t="s">
        <v>39</v>
      </c>
      <c r="B81" s="39"/>
      <c r="C81" s="38"/>
      <c r="D81" s="40">
        <v>46.72</v>
      </c>
      <c r="E81" s="6">
        <v>46.49</v>
      </c>
      <c r="F81" s="6">
        <v>54.97</v>
      </c>
      <c r="G81" s="6">
        <v>93.71</v>
      </c>
      <c r="H81" s="6">
        <v>132.33000000000001</v>
      </c>
      <c r="I81" s="6"/>
      <c r="J81" s="47">
        <f>J34*J31</f>
        <v>132.64889133719709</v>
      </c>
      <c r="K81" s="45">
        <f>K34*K31</f>
        <v>161.2984567197139</v>
      </c>
      <c r="L81" s="45">
        <f>L34*L31</f>
        <v>196.13576772402124</v>
      </c>
      <c r="M81" s="45">
        <f>M34*M31</f>
        <v>238.49725634721153</v>
      </c>
      <c r="N81" s="45">
        <f>N34*N31</f>
        <v>290.00799775175926</v>
      </c>
    </row>
    <row r="82" spans="1:14" hidden="1" outlineLevel="1" x14ac:dyDescent="0.35">
      <c r="A82" s="31" t="s">
        <v>40</v>
      </c>
      <c r="B82" s="32"/>
      <c r="C82" s="33"/>
      <c r="D82" s="9">
        <f t="shared" ref="D82:N82" si="68">SUM(D78:D81)</f>
        <v>565.98</v>
      </c>
      <c r="E82" s="9">
        <f t="shared" si="68"/>
        <v>724.47</v>
      </c>
      <c r="F82" s="9">
        <f t="shared" si="68"/>
        <v>732.15000000000009</v>
      </c>
      <c r="G82" s="9">
        <f t="shared" si="68"/>
        <v>819.43</v>
      </c>
      <c r="H82" s="9">
        <f t="shared" si="68"/>
        <v>1117.8800000000001</v>
      </c>
      <c r="I82" s="9"/>
      <c r="J82" s="9">
        <f t="shared" si="68"/>
        <v>1526.3329974394685</v>
      </c>
      <c r="K82" s="9">
        <f t="shared" si="68"/>
        <v>1855.9910636684217</v>
      </c>
      <c r="L82" s="9">
        <f t="shared" si="68"/>
        <v>2256.8488227639523</v>
      </c>
      <c r="M82" s="9">
        <f t="shared" si="68"/>
        <v>2744.2840154326213</v>
      </c>
      <c r="N82" s="9">
        <f t="shared" si="68"/>
        <v>3336.9956735230917</v>
      </c>
    </row>
    <row r="83" spans="1:14" ht="15" hidden="1" outlineLevel="1" thickBot="1" x14ac:dyDescent="0.4">
      <c r="A83" s="28" t="s">
        <v>41</v>
      </c>
      <c r="B83" s="28"/>
      <c r="C83" s="29"/>
      <c r="D83" s="18">
        <f t="shared" ref="D83:N83" si="69">D82+D76</f>
        <v>863.87</v>
      </c>
      <c r="E83" s="18">
        <f t="shared" si="69"/>
        <v>996.18000000000006</v>
      </c>
      <c r="F83" s="18">
        <f t="shared" si="69"/>
        <v>1100.72</v>
      </c>
      <c r="G83" s="18">
        <f t="shared" si="69"/>
        <v>1387.61</v>
      </c>
      <c r="H83" s="18">
        <f t="shared" si="69"/>
        <v>1709.39</v>
      </c>
      <c r="I83" s="18"/>
      <c r="J83" s="18">
        <f t="shared" si="69"/>
        <v>2299.8871690950009</v>
      </c>
      <c r="K83" s="18">
        <f t="shared" si="69"/>
        <v>2792.8359851339528</v>
      </c>
      <c r="L83" s="18">
        <f t="shared" si="69"/>
        <v>3392.2521013740179</v>
      </c>
      <c r="M83" s="18">
        <f t="shared" si="69"/>
        <v>4121.1303717296405</v>
      </c>
      <c r="N83" s="18">
        <f t="shared" si="69"/>
        <v>5007.4320886888727</v>
      </c>
    </row>
    <row r="84" spans="1:14" ht="15" hidden="1" outlineLevel="1" thickTop="1" x14ac:dyDescent="0.35">
      <c r="A84" s="19" t="s">
        <v>42</v>
      </c>
      <c r="B84" s="20"/>
      <c r="C84" s="21"/>
      <c r="D84" s="22"/>
      <c r="E84" s="22"/>
      <c r="F84" s="22"/>
      <c r="G84" s="22"/>
      <c r="H84" s="22"/>
      <c r="I84" s="22"/>
      <c r="J84" s="22"/>
      <c r="K84" s="22"/>
      <c r="L84" s="22"/>
      <c r="M84" s="22"/>
      <c r="N84" s="22"/>
    </row>
    <row r="85" spans="1:14" hidden="1" outlineLevel="1" x14ac:dyDescent="0.35">
      <c r="A85" s="39" t="s">
        <v>43</v>
      </c>
      <c r="B85" s="39"/>
      <c r="C85" s="41"/>
      <c r="D85" s="40">
        <v>18.100000000000001</v>
      </c>
      <c r="E85" s="6">
        <v>18.100000000000001</v>
      </c>
      <c r="F85" s="6">
        <v>18.100000000000001</v>
      </c>
      <c r="G85" s="6">
        <v>18.100000000000001</v>
      </c>
      <c r="H85" s="6">
        <v>18.100000000000001</v>
      </c>
      <c r="I85" s="6"/>
      <c r="J85" s="47">
        <f>$H$85</f>
        <v>18.100000000000001</v>
      </c>
      <c r="K85" s="45">
        <f>$H$85</f>
        <v>18.100000000000001</v>
      </c>
      <c r="L85" s="45">
        <f t="shared" ref="L85:N85" si="70">$H$85</f>
        <v>18.100000000000001</v>
      </c>
      <c r="M85" s="45">
        <f t="shared" si="70"/>
        <v>18.100000000000001</v>
      </c>
      <c r="N85" s="45">
        <f t="shared" si="70"/>
        <v>18.100000000000001</v>
      </c>
    </row>
    <row r="86" spans="1:14" hidden="1" outlineLevel="1" x14ac:dyDescent="0.35">
      <c r="A86" s="39" t="s">
        <v>44</v>
      </c>
      <c r="B86" s="39"/>
      <c r="C86" s="41"/>
      <c r="D86" s="40">
        <v>1065.76</v>
      </c>
      <c r="E86" s="6">
        <v>1220.23</v>
      </c>
      <c r="F86" s="6">
        <v>1361.99</v>
      </c>
      <c r="G86" s="6">
        <v>1561.31</v>
      </c>
      <c r="H86" s="6">
        <v>1896.18</v>
      </c>
      <c r="I86" s="6"/>
      <c r="J86" s="47">
        <f>H86+J49</f>
        <v>2492.0156705741592</v>
      </c>
      <c r="K86" s="45">
        <f>J86+K49</f>
        <v>3216.5401890479707</v>
      </c>
      <c r="L86" s="45">
        <f>K86+L49</f>
        <v>4097.5478288958338</v>
      </c>
      <c r="M86" s="45">
        <f>L86+M49</f>
        <v>5168.8358828947376</v>
      </c>
      <c r="N86" s="45">
        <f>M86+N49</f>
        <v>6471.5011978503953</v>
      </c>
    </row>
    <row r="87" spans="1:14" hidden="1" outlineLevel="1" x14ac:dyDescent="0.35">
      <c r="A87" s="20" t="s">
        <v>45</v>
      </c>
      <c r="B87" s="20"/>
      <c r="C87" s="21"/>
      <c r="D87" s="6">
        <v>47.38</v>
      </c>
      <c r="E87" s="6">
        <v>47.55</v>
      </c>
      <c r="F87" s="6">
        <v>51.51</v>
      </c>
      <c r="G87" s="6">
        <v>62.69</v>
      </c>
      <c r="H87" s="6">
        <v>100.63</v>
      </c>
      <c r="I87" s="6"/>
      <c r="J87" s="45">
        <f>$H$87</f>
        <v>100.63</v>
      </c>
      <c r="K87" s="45">
        <f>$H$87</f>
        <v>100.63</v>
      </c>
      <c r="L87" s="45">
        <f t="shared" ref="L87:N87" si="71">$H$87</f>
        <v>100.63</v>
      </c>
      <c r="M87" s="45">
        <f t="shared" si="71"/>
        <v>100.63</v>
      </c>
      <c r="N87" s="45">
        <f t="shared" si="71"/>
        <v>100.63</v>
      </c>
    </row>
    <row r="88" spans="1:14" hidden="1" outlineLevel="1" x14ac:dyDescent="0.35">
      <c r="A88" s="24" t="s">
        <v>42</v>
      </c>
      <c r="B88" s="24"/>
      <c r="C88" s="34"/>
      <c r="D88" s="27">
        <f t="shared" ref="D88:E88" si="72">SUM(D85:D87)</f>
        <v>1131.24</v>
      </c>
      <c r="E88" s="27">
        <f t="shared" si="72"/>
        <v>1285.8799999999999</v>
      </c>
      <c r="F88" s="27">
        <f>SUM(F85:F87)</f>
        <v>1431.6</v>
      </c>
      <c r="G88" s="27">
        <f>SUM(G85:G87)</f>
        <v>1642.1</v>
      </c>
      <c r="H88" s="27">
        <f>SUM(H85:H87)</f>
        <v>2014.9099999999999</v>
      </c>
      <c r="I88" s="27"/>
      <c r="J88" s="27">
        <f t="shared" ref="J88:K88" si="73">SUM(J85:J87)</f>
        <v>2610.7456705741592</v>
      </c>
      <c r="K88" s="27">
        <f t="shared" si="73"/>
        <v>3335.2701890479707</v>
      </c>
      <c r="L88" s="27">
        <f t="shared" ref="L88:N88" si="74">SUM(L85:L87)</f>
        <v>4216.2778288958343</v>
      </c>
      <c r="M88" s="27">
        <f t="shared" si="74"/>
        <v>5287.565882894738</v>
      </c>
      <c r="N88" s="27">
        <f t="shared" si="74"/>
        <v>6590.2311978503958</v>
      </c>
    </row>
    <row r="89" spans="1:14" ht="15" hidden="1" outlineLevel="1" thickBot="1" x14ac:dyDescent="0.4">
      <c r="A89" s="28" t="s">
        <v>46</v>
      </c>
      <c r="B89" s="28"/>
      <c r="C89" s="29"/>
      <c r="D89" s="18">
        <f>D83+D88</f>
        <v>1995.1100000000001</v>
      </c>
      <c r="E89" s="18">
        <f t="shared" ref="E89:H89" si="75">E83+E88</f>
        <v>2282.06</v>
      </c>
      <c r="F89" s="18">
        <f t="shared" si="75"/>
        <v>2532.3199999999997</v>
      </c>
      <c r="G89" s="18">
        <f t="shared" si="75"/>
        <v>3029.71</v>
      </c>
      <c r="H89" s="18">
        <f t="shared" si="75"/>
        <v>3724.3</v>
      </c>
      <c r="I89" s="18"/>
      <c r="J89" s="18">
        <f t="shared" ref="J89:K89" si="76">J83+J88</f>
        <v>4910.6328396691606</v>
      </c>
      <c r="K89" s="18">
        <f t="shared" si="76"/>
        <v>6128.1061741819231</v>
      </c>
      <c r="L89" s="18">
        <f t="shared" ref="L89:N89" si="77">L83+L88</f>
        <v>7608.5299302698522</v>
      </c>
      <c r="M89" s="18">
        <f t="shared" si="77"/>
        <v>9408.6962546243776</v>
      </c>
      <c r="N89" s="18">
        <f t="shared" si="77"/>
        <v>11597.663286539268</v>
      </c>
    </row>
    <row r="90" spans="1:14" ht="15" hidden="1" outlineLevel="1" thickTop="1" x14ac:dyDescent="0.35">
      <c r="A90" s="20"/>
      <c r="B90" s="20"/>
      <c r="C90" s="21"/>
      <c r="D90" s="22"/>
      <c r="E90" s="22"/>
      <c r="F90" s="22"/>
      <c r="G90" s="22"/>
      <c r="H90" s="22"/>
      <c r="I90" s="22"/>
      <c r="J90" s="22"/>
      <c r="K90" s="22"/>
      <c r="L90" s="22"/>
      <c r="M90" s="22"/>
      <c r="N90" s="22"/>
    </row>
    <row r="91" spans="1:14" hidden="1" outlineLevel="1" x14ac:dyDescent="0.35">
      <c r="A91" s="35" t="s">
        <v>47</v>
      </c>
      <c r="B91" s="35"/>
      <c r="C91" s="36"/>
      <c r="D91" s="35">
        <f>D89-D69</f>
        <v>0</v>
      </c>
      <c r="E91" s="35">
        <f>E89-E69</f>
        <v>0</v>
      </c>
      <c r="F91" s="35">
        <f>F89-F69</f>
        <v>0</v>
      </c>
      <c r="G91" s="35">
        <f>G89-G69</f>
        <v>0</v>
      </c>
      <c r="H91" s="35">
        <f>H89-H69</f>
        <v>0</v>
      </c>
      <c r="I91" s="35"/>
      <c r="J91" s="35">
        <f t="shared" ref="J91:N91" si="78">J89-J69</f>
        <v>0</v>
      </c>
      <c r="K91" s="35">
        <f t="shared" si="78"/>
        <v>0</v>
      </c>
      <c r="L91" s="35">
        <f t="shared" si="78"/>
        <v>0</v>
      </c>
      <c r="M91" s="35">
        <f t="shared" si="78"/>
        <v>0</v>
      </c>
      <c r="N91" s="35">
        <f t="shared" si="78"/>
        <v>0</v>
      </c>
    </row>
    <row r="92" spans="1:14" collapsed="1" x14ac:dyDescent="0.35"/>
    <row r="93" spans="1:14" ht="18.5" x14ac:dyDescent="0.45">
      <c r="A93" s="115" t="s">
        <v>130</v>
      </c>
      <c r="B93" s="116"/>
      <c r="C93" s="116"/>
      <c r="D93" s="116"/>
      <c r="E93" s="116"/>
      <c r="F93" s="116"/>
      <c r="G93" s="116"/>
      <c r="H93" s="116"/>
      <c r="I93" s="116"/>
      <c r="J93" s="116"/>
      <c r="K93" s="116"/>
      <c r="L93" s="116"/>
      <c r="M93" s="116"/>
      <c r="N93" s="117"/>
    </row>
    <row r="94" spans="1:14" hidden="1" outlineLevel="1" x14ac:dyDescent="0.35">
      <c r="A94" s="20" t="s">
        <v>11</v>
      </c>
      <c r="D94" s="47"/>
      <c r="E94" s="47">
        <f t="shared" ref="E94:N94" si="79">E45</f>
        <v>451.72000000000008</v>
      </c>
      <c r="F94" s="45">
        <f t="shared" si="79"/>
        <v>390.84000000000015</v>
      </c>
      <c r="G94" s="45">
        <f t="shared" si="79"/>
        <v>442.49000000000035</v>
      </c>
      <c r="H94" s="45">
        <f t="shared" si="79"/>
        <v>657.66999999999985</v>
      </c>
      <c r="I94" s="45"/>
      <c r="J94" s="47">
        <f t="shared" si="79"/>
        <v>891.47118825171231</v>
      </c>
      <c r="K94" s="45">
        <f t="shared" si="79"/>
        <v>1084.0115241488538</v>
      </c>
      <c r="L94" s="45">
        <f t="shared" si="79"/>
        <v>1318.1368057357004</v>
      </c>
      <c r="M94" s="45">
        <f t="shared" si="79"/>
        <v>1602.8285677122828</v>
      </c>
      <c r="N94" s="45">
        <f t="shared" si="79"/>
        <v>1949.0081805588627</v>
      </c>
    </row>
    <row r="95" spans="1:14" hidden="1" outlineLevel="1" x14ac:dyDescent="0.35">
      <c r="A95" s="39" t="s">
        <v>14</v>
      </c>
      <c r="D95" s="47"/>
      <c r="E95" s="47">
        <f t="shared" ref="E95:N95" si="80">-E94*E17</f>
        <v>-140.56883414209281</v>
      </c>
      <c r="F95" s="45">
        <f t="shared" si="80"/>
        <v>-66.494011911852297</v>
      </c>
      <c r="G95" s="45">
        <f t="shared" si="80"/>
        <v>-121.49253261143286</v>
      </c>
      <c r="H95" s="45">
        <f t="shared" si="80"/>
        <v>-164.52035905962921</v>
      </c>
      <c r="I95" s="45"/>
      <c r="J95" s="47">
        <f t="shared" si="80"/>
        <v>-229.79387520078456</v>
      </c>
      <c r="K95" s="45">
        <f t="shared" si="80"/>
        <v>-279.42485655087631</v>
      </c>
      <c r="L95" s="45">
        <f t="shared" si="80"/>
        <v>-339.77515889079382</v>
      </c>
      <c r="M95" s="45">
        <f t="shared" si="80"/>
        <v>-413.15994584126838</v>
      </c>
      <c r="N95" s="45">
        <f t="shared" si="80"/>
        <v>-502.39441107118836</v>
      </c>
    </row>
    <row r="96" spans="1:14" s="42" customFormat="1" hidden="1" outlineLevel="1" x14ac:dyDescent="0.35">
      <c r="A96" s="64" t="s">
        <v>64</v>
      </c>
      <c r="B96" s="65"/>
      <c r="C96" s="65"/>
      <c r="D96" s="66"/>
      <c r="E96" s="66">
        <f t="shared" ref="E96:J96" si="81">SUM(E94:E95)</f>
        <v>311.15116585790724</v>
      </c>
      <c r="F96" s="66">
        <f t="shared" si="81"/>
        <v>324.34598808814786</v>
      </c>
      <c r="G96" s="66">
        <f t="shared" si="81"/>
        <v>320.99746738856749</v>
      </c>
      <c r="H96" s="66">
        <f t="shared" si="81"/>
        <v>493.14964094037066</v>
      </c>
      <c r="I96" s="66"/>
      <c r="J96" s="66">
        <f t="shared" si="81"/>
        <v>661.67731305092775</v>
      </c>
      <c r="K96" s="66">
        <f t="shared" ref="K96:L96" si="82">SUM(K94:K95)</f>
        <v>804.58666759797757</v>
      </c>
      <c r="L96" s="66">
        <f t="shared" si="82"/>
        <v>978.36164684490655</v>
      </c>
      <c r="M96" s="66">
        <f t="shared" ref="M96:N96" si="83">SUM(M94:M95)</f>
        <v>1189.6686218710145</v>
      </c>
      <c r="N96" s="66">
        <f t="shared" si="83"/>
        <v>1446.6137694876743</v>
      </c>
    </row>
    <row r="97" spans="1:14" hidden="1" outlineLevel="1" x14ac:dyDescent="0.35">
      <c r="A97" s="20"/>
      <c r="D97" s="47"/>
      <c r="E97" s="47"/>
      <c r="F97" s="45"/>
      <c r="G97" s="45"/>
      <c r="H97" s="45"/>
      <c r="I97" s="45"/>
      <c r="J97" s="47"/>
      <c r="K97" s="45"/>
      <c r="L97" s="45"/>
      <c r="M97" s="45"/>
      <c r="N97" s="45"/>
    </row>
    <row r="98" spans="1:14" hidden="1" outlineLevel="1" x14ac:dyDescent="0.35">
      <c r="A98" s="39" t="s">
        <v>65</v>
      </c>
      <c r="D98" s="47"/>
      <c r="E98" s="47">
        <f t="shared" ref="E98:N98" si="84">-E44</f>
        <v>58.89</v>
      </c>
      <c r="F98" s="45">
        <f t="shared" si="84"/>
        <v>84.53</v>
      </c>
      <c r="G98" s="45">
        <f t="shared" si="84"/>
        <v>93.53</v>
      </c>
      <c r="H98" s="45">
        <f t="shared" si="84"/>
        <v>109.25</v>
      </c>
      <c r="I98" s="45"/>
      <c r="J98" s="47">
        <f t="shared" si="84"/>
        <v>146.73607317806372</v>
      </c>
      <c r="K98" s="45">
        <f t="shared" si="84"/>
        <v>178.42819423622029</v>
      </c>
      <c r="L98" s="45">
        <f t="shared" si="84"/>
        <v>216.96519341746821</v>
      </c>
      <c r="M98" s="45">
        <f t="shared" si="84"/>
        <v>263.82543048302364</v>
      </c>
      <c r="N98" s="45">
        <f t="shared" si="84"/>
        <v>320.80656197985741</v>
      </c>
    </row>
    <row r="99" spans="1:14" s="42" customFormat="1" hidden="1" outlineLevel="1" x14ac:dyDescent="0.35">
      <c r="A99" s="24" t="s">
        <v>66</v>
      </c>
      <c r="B99" s="65"/>
      <c r="C99" s="65"/>
      <c r="D99" s="66"/>
      <c r="E99" s="66">
        <f t="shared" ref="E99:J99" si="85">SUM(E96:E98)</f>
        <v>370.04116585790723</v>
      </c>
      <c r="F99" s="66">
        <f t="shared" si="85"/>
        <v>408.87598808814789</v>
      </c>
      <c r="G99" s="66">
        <f t="shared" si="85"/>
        <v>414.52746738856752</v>
      </c>
      <c r="H99" s="66">
        <f t="shared" si="85"/>
        <v>602.39964094037066</v>
      </c>
      <c r="I99" s="66"/>
      <c r="J99" s="66">
        <f t="shared" si="85"/>
        <v>808.4133862289915</v>
      </c>
      <c r="K99" s="66">
        <f t="shared" ref="K99:L99" si="86">SUM(K96:K98)</f>
        <v>983.01486183419786</v>
      </c>
      <c r="L99" s="66">
        <f t="shared" si="86"/>
        <v>1195.3268402623748</v>
      </c>
      <c r="M99" s="66">
        <f t="shared" ref="M99:N99" si="87">SUM(M96:M98)</f>
        <v>1453.4940523540381</v>
      </c>
      <c r="N99" s="66">
        <f t="shared" si="87"/>
        <v>1767.4203314675317</v>
      </c>
    </row>
    <row r="100" spans="1:14" hidden="1" outlineLevel="1" x14ac:dyDescent="0.35">
      <c r="A100" s="39"/>
      <c r="D100" s="47"/>
      <c r="E100" s="47"/>
      <c r="F100" s="45"/>
      <c r="G100" s="45"/>
      <c r="H100" s="45"/>
      <c r="I100" s="45"/>
      <c r="J100" s="47"/>
      <c r="K100" s="45"/>
      <c r="L100" s="45"/>
      <c r="M100" s="45"/>
      <c r="N100" s="45"/>
    </row>
    <row r="101" spans="1:14" hidden="1" outlineLevel="1" x14ac:dyDescent="0.35">
      <c r="A101" s="39" t="s">
        <v>67</v>
      </c>
      <c r="D101" s="47"/>
      <c r="E101" s="47"/>
      <c r="F101" s="45"/>
      <c r="G101" s="45"/>
      <c r="H101" s="45"/>
      <c r="I101" s="45"/>
      <c r="J101" s="47"/>
      <c r="K101" s="45"/>
      <c r="L101" s="45"/>
      <c r="M101" s="45"/>
      <c r="N101" s="45"/>
    </row>
    <row r="102" spans="1:14" hidden="1" outlineLevel="1" x14ac:dyDescent="0.35">
      <c r="A102" s="20" t="s">
        <v>68</v>
      </c>
      <c r="D102" s="45"/>
      <c r="E102" s="45">
        <f t="shared" ref="E102:N102" si="88">D55-E55</f>
        <v>-50.320000000000022</v>
      </c>
      <c r="F102" s="45">
        <f t="shared" si="88"/>
        <v>-48.240000000000009</v>
      </c>
      <c r="G102" s="45">
        <f t="shared" si="88"/>
        <v>-109.50999999999999</v>
      </c>
      <c r="H102" s="45">
        <f t="shared" si="88"/>
        <v>-278.38</v>
      </c>
      <c r="I102" s="45"/>
      <c r="J102" s="45">
        <f>H55-J55</f>
        <v>9.9531373893394175</v>
      </c>
      <c r="K102" s="45">
        <f t="shared" si="88"/>
        <v>-153.11217305619095</v>
      </c>
      <c r="L102" s="45">
        <f t="shared" si="88"/>
        <v>-186.18140694584167</v>
      </c>
      <c r="M102" s="45">
        <f t="shared" si="88"/>
        <v>-226.39294838831484</v>
      </c>
      <c r="N102" s="45">
        <f t="shared" si="88"/>
        <v>-275.28939608273254</v>
      </c>
    </row>
    <row r="103" spans="1:14" hidden="1" outlineLevel="1" x14ac:dyDescent="0.35">
      <c r="A103" s="39" t="s">
        <v>20</v>
      </c>
      <c r="D103" s="47"/>
      <c r="E103" s="47">
        <f t="shared" ref="E103:N103" si="89">D56-E56</f>
        <v>-35.460000000000036</v>
      </c>
      <c r="F103" s="45">
        <f t="shared" si="89"/>
        <v>28.720000000000027</v>
      </c>
      <c r="G103" s="45">
        <f t="shared" si="89"/>
        <v>-85.160000000000025</v>
      </c>
      <c r="H103" s="45">
        <f t="shared" si="89"/>
        <v>-85.62</v>
      </c>
      <c r="I103" s="45"/>
      <c r="J103" s="47">
        <f>H56-J56</f>
        <v>-232.77687804516847</v>
      </c>
      <c r="K103" s="45">
        <f t="shared" si="89"/>
        <v>-167.14226551063393</v>
      </c>
      <c r="L103" s="45">
        <f t="shared" si="89"/>
        <v>-203.2417248853551</v>
      </c>
      <c r="M103" s="45">
        <f t="shared" si="89"/>
        <v>-247.13796123426459</v>
      </c>
      <c r="N103" s="45">
        <f t="shared" si="89"/>
        <v>-300.51492584744392</v>
      </c>
    </row>
    <row r="104" spans="1:14" hidden="1" outlineLevel="1" x14ac:dyDescent="0.35">
      <c r="A104" s="20" t="s">
        <v>69</v>
      </c>
      <c r="D104" s="47"/>
      <c r="E104" s="47">
        <f t="shared" ref="E104:N104" si="90">E79-D79</f>
        <v>19.97</v>
      </c>
      <c r="F104" s="45">
        <f t="shared" si="90"/>
        <v>-8.8700000000000045</v>
      </c>
      <c r="G104" s="45">
        <f t="shared" si="90"/>
        <v>131.64999999999998</v>
      </c>
      <c r="H104" s="45">
        <f t="shared" si="90"/>
        <v>178.86</v>
      </c>
      <c r="I104" s="45"/>
      <c r="J104" s="47">
        <f>J79-H79</f>
        <v>24.363332600403453</v>
      </c>
      <c r="K104" s="45">
        <f t="shared" si="90"/>
        <v>105.67994709871834</v>
      </c>
      <c r="L104" s="45">
        <f t="shared" si="90"/>
        <v>128.50474814684162</v>
      </c>
      <c r="M104" s="45">
        <f t="shared" si="90"/>
        <v>156.25925967636556</v>
      </c>
      <c r="N104" s="45">
        <f t="shared" si="90"/>
        <v>190.00820270629004</v>
      </c>
    </row>
    <row r="105" spans="1:14" s="42" customFormat="1" hidden="1" outlineLevel="1" x14ac:dyDescent="0.35">
      <c r="A105" s="64" t="s">
        <v>70</v>
      </c>
      <c r="B105" s="65"/>
      <c r="C105" s="65"/>
      <c r="D105" s="66"/>
      <c r="E105" s="66">
        <f>SUM(E102:E104)</f>
        <v>-65.810000000000059</v>
      </c>
      <c r="F105" s="66">
        <f t="shared" ref="F105:H105" si="91">SUM(F102:F104)</f>
        <v>-28.389999999999986</v>
      </c>
      <c r="G105" s="66">
        <f t="shared" si="91"/>
        <v>-63.020000000000039</v>
      </c>
      <c r="H105" s="66">
        <f t="shared" si="91"/>
        <v>-185.14</v>
      </c>
      <c r="I105" s="66"/>
      <c r="J105" s="66">
        <f t="shared" ref="J105:K105" si="92">SUM(J102:J104)</f>
        <v>-198.4604080554256</v>
      </c>
      <c r="K105" s="66">
        <f t="shared" si="92"/>
        <v>-214.57449146810654</v>
      </c>
      <c r="L105" s="66">
        <f t="shared" ref="L105:N105" si="93">SUM(L102:L104)</f>
        <v>-260.91838368435515</v>
      </c>
      <c r="M105" s="66">
        <f t="shared" si="93"/>
        <v>-317.27164994621387</v>
      </c>
      <c r="N105" s="66">
        <f t="shared" si="93"/>
        <v>-385.79611922388642</v>
      </c>
    </row>
    <row r="106" spans="1:14" hidden="1" outlineLevel="1" x14ac:dyDescent="0.35">
      <c r="A106" s="39"/>
      <c r="D106" s="47"/>
      <c r="E106" s="47"/>
      <c r="F106" s="45"/>
      <c r="G106" s="45"/>
      <c r="H106" s="45"/>
      <c r="I106" s="45"/>
      <c r="J106" s="47"/>
      <c r="K106" s="45"/>
      <c r="L106" s="45"/>
      <c r="M106" s="45"/>
      <c r="N106" s="45"/>
    </row>
    <row r="107" spans="1:14" hidden="1" outlineLevel="1" x14ac:dyDescent="0.35">
      <c r="A107" s="20" t="s">
        <v>71</v>
      </c>
      <c r="D107" s="47"/>
      <c r="E107" s="47">
        <f t="shared" ref="E107:N107" si="94">-(SUM(E61:E64)-SUM(D61:D64))+E44</f>
        <v>-248.36</v>
      </c>
      <c r="F107" s="45">
        <f t="shared" si="94"/>
        <v>-220.9999999999998</v>
      </c>
      <c r="G107" s="45">
        <f t="shared" si="94"/>
        <v>-292.31999999999994</v>
      </c>
      <c r="H107" s="45">
        <f t="shared" si="94"/>
        <v>-251.46000000000049</v>
      </c>
      <c r="I107" s="45"/>
      <c r="J107" s="47">
        <f>-(SUM(J61:J64)-SUM(H61:H64))+J44</f>
        <v>-862.80591658858123</v>
      </c>
      <c r="K107" s="45">
        <f t="shared" si="94"/>
        <v>-638.99996071809426</v>
      </c>
      <c r="L107" s="45">
        <f t="shared" si="94"/>
        <v>-777.0114508215562</v>
      </c>
      <c r="M107" s="45">
        <f t="shared" si="94"/>
        <v>-944.83072272702771</v>
      </c>
      <c r="N107" s="45">
        <f t="shared" si="94"/>
        <v>-1148.8956741435343</v>
      </c>
    </row>
    <row r="108" spans="1:14" hidden="1" outlineLevel="1" x14ac:dyDescent="0.35">
      <c r="A108" s="39" t="s">
        <v>22</v>
      </c>
      <c r="D108" s="45"/>
      <c r="E108" s="45">
        <f t="shared" ref="E108:N108" si="95">(D58+D67)-(E58+E67)</f>
        <v>2.7099999999999937</v>
      </c>
      <c r="F108" s="45">
        <f t="shared" si="95"/>
        <v>-41.72</v>
      </c>
      <c r="G108" s="45">
        <f t="shared" si="95"/>
        <v>1.5200000000000102</v>
      </c>
      <c r="H108" s="45">
        <f t="shared" si="95"/>
        <v>-140.58000000000001</v>
      </c>
      <c r="I108" s="45"/>
      <c r="J108" s="45">
        <f>(H58+H67)-(J58+J67)</f>
        <v>16.340284885474603</v>
      </c>
      <c r="K108" s="45">
        <f t="shared" si="95"/>
        <v>-55.33844577564895</v>
      </c>
      <c r="L108" s="45">
        <f t="shared" si="95"/>
        <v>-67.290467420414359</v>
      </c>
      <c r="M108" s="45">
        <f t="shared" si="95"/>
        <v>-81.823891910790564</v>
      </c>
      <c r="N108" s="45">
        <f t="shared" si="95"/>
        <v>-99.496251758798053</v>
      </c>
    </row>
    <row r="109" spans="1:14" hidden="1" outlineLevel="1" x14ac:dyDescent="0.35">
      <c r="A109" s="20" t="s">
        <v>63</v>
      </c>
      <c r="D109" s="47"/>
      <c r="E109" s="47">
        <f>(E81+E74)-(D81+D74)</f>
        <v>-0.23999999999999488</v>
      </c>
      <c r="F109" s="45">
        <f>(F81+F74)-(E81+E74)</f>
        <v>16.939999999999998</v>
      </c>
      <c r="G109" s="45">
        <f>(G81+G74)-(F81+F74)</f>
        <v>47.389999999999993</v>
      </c>
      <c r="H109" s="45">
        <f>(H81+H74)-(G81+G74)</f>
        <v>38.490000000000009</v>
      </c>
      <c r="I109" s="45"/>
      <c r="J109" s="47">
        <f>J81-H81</f>
        <v>0.31889133719707274</v>
      </c>
      <c r="K109" s="45">
        <f>K81-J81</f>
        <v>28.649565382516812</v>
      </c>
      <c r="L109" s="45">
        <f t="shared" ref="L109:N109" si="96">L81-K81</f>
        <v>34.837311004307338</v>
      </c>
      <c r="M109" s="45">
        <f t="shared" si="96"/>
        <v>42.361488623190297</v>
      </c>
      <c r="N109" s="45">
        <f t="shared" si="96"/>
        <v>51.51074140454773</v>
      </c>
    </row>
    <row r="110" spans="1:14" s="42" customFormat="1" hidden="1" outlineLevel="1" x14ac:dyDescent="0.35">
      <c r="A110" s="64" t="s">
        <v>72</v>
      </c>
      <c r="B110" s="65"/>
      <c r="C110" s="65"/>
      <c r="D110" s="69"/>
      <c r="E110" s="69">
        <f>E99+E105+E107+E108+E109</f>
        <v>58.341165857907157</v>
      </c>
      <c r="F110" s="66">
        <f t="shared" ref="F110:H110" si="97">F99+F105+F107+F108+F109</f>
        <v>134.7059880881481</v>
      </c>
      <c r="G110" s="66">
        <f t="shared" si="97"/>
        <v>108.09746738856754</v>
      </c>
      <c r="H110" s="66">
        <f t="shared" si="97"/>
        <v>63.709640940370178</v>
      </c>
      <c r="I110" s="66"/>
      <c r="J110" s="69">
        <f>J99+J105+J107+J108+J109</f>
        <v>-236.1937621923436</v>
      </c>
      <c r="K110" s="66">
        <f>K99+K105+K107+K108+K109</f>
        <v>102.75152925486492</v>
      </c>
      <c r="L110" s="66">
        <f t="shared" ref="L110:N110" si="98">L99+L105+L107+L108+L109</f>
        <v>124.94384934035648</v>
      </c>
      <c r="M110" s="66">
        <f t="shared" si="98"/>
        <v>151.92927639319615</v>
      </c>
      <c r="N110" s="66">
        <f t="shared" si="98"/>
        <v>184.74302774586056</v>
      </c>
    </row>
    <row r="111" spans="1:14" hidden="1" outlineLevel="1" x14ac:dyDescent="0.35">
      <c r="A111" s="39"/>
      <c r="D111" s="45"/>
      <c r="E111" s="45"/>
      <c r="F111" s="45"/>
      <c r="G111" s="45"/>
      <c r="H111" s="45"/>
      <c r="I111" s="45"/>
      <c r="J111" s="45"/>
      <c r="K111" s="45"/>
      <c r="L111" s="45"/>
      <c r="M111" s="45"/>
      <c r="N111" s="45"/>
    </row>
    <row r="112" spans="1:14" hidden="1" outlineLevel="1" x14ac:dyDescent="0.35">
      <c r="A112" s="20" t="s">
        <v>12</v>
      </c>
      <c r="D112" s="47"/>
      <c r="E112" s="47">
        <f t="shared" ref="E112:N112" si="99">E46</f>
        <v>-49.87</v>
      </c>
      <c r="F112" s="45">
        <f t="shared" si="99"/>
        <v>-55.04</v>
      </c>
      <c r="G112" s="45">
        <f t="shared" si="99"/>
        <v>-45.39</v>
      </c>
      <c r="H112" s="45">
        <f t="shared" si="99"/>
        <v>-50.25</v>
      </c>
      <c r="I112" s="45"/>
      <c r="J112" s="47">
        <f t="shared" si="99"/>
        <v>-88.707782626803834</v>
      </c>
      <c r="K112" s="45">
        <f t="shared" si="99"/>
        <v>-107.86692819285533</v>
      </c>
      <c r="L112" s="45">
        <f t="shared" si="99"/>
        <v>-131.16407437115791</v>
      </c>
      <c r="M112" s="45">
        <f t="shared" si="99"/>
        <v>-159.49294833800752</v>
      </c>
      <c r="N112" s="45">
        <f t="shared" si="99"/>
        <v>-193.94030485487863</v>
      </c>
    </row>
    <row r="113" spans="1:14" hidden="1" outlineLevel="1" x14ac:dyDescent="0.35">
      <c r="A113" s="39" t="s">
        <v>79</v>
      </c>
      <c r="D113" s="47"/>
      <c r="E113" s="47">
        <f t="shared" ref="E113:N113" si="100">(E75+E78)-(D75+D78)+(D57+D65)-(E57+E65)</f>
        <v>135.88000000000005</v>
      </c>
      <c r="F113" s="45">
        <f t="shared" si="100"/>
        <v>100.73999999999992</v>
      </c>
      <c r="G113" s="45">
        <f t="shared" si="100"/>
        <v>62.730000000000103</v>
      </c>
      <c r="H113" s="45">
        <f t="shared" si="100"/>
        <v>-20.770000000000039</v>
      </c>
      <c r="I113" s="45"/>
      <c r="J113" s="47">
        <f>(J75+J78)-(H75+H78)+(H57+H65)-(J57+J65)</f>
        <v>478.76191678631028</v>
      </c>
      <c r="K113" s="45">
        <f t="shared" si="100"/>
        <v>302.77474796329034</v>
      </c>
      <c r="L113" s="45">
        <f t="shared" si="100"/>
        <v>368.16817003041433</v>
      </c>
      <c r="M113" s="45">
        <f t="shared" si="100"/>
        <v>447.68529190544677</v>
      </c>
      <c r="N113" s="45">
        <f t="shared" si="100"/>
        <v>544.37655643047265</v>
      </c>
    </row>
    <row r="114" spans="1:14" hidden="1" outlineLevel="1" x14ac:dyDescent="0.35">
      <c r="A114" s="20" t="s">
        <v>80</v>
      </c>
      <c r="D114" s="45"/>
      <c r="E114" s="45">
        <f t="shared" ref="E114:N114" si="101">D66-E66+(E73+E80)-(D73+D80)</f>
        <v>-15.409999999999968</v>
      </c>
      <c r="F114" s="45">
        <f t="shared" si="101"/>
        <v>-56.02000000000001</v>
      </c>
      <c r="G114" s="45">
        <f t="shared" si="101"/>
        <v>17.04000000000002</v>
      </c>
      <c r="H114" s="45">
        <f t="shared" si="101"/>
        <v>-7.8600000000000136</v>
      </c>
      <c r="I114" s="45"/>
      <c r="J114" s="45">
        <f>H66-J66+(J73+J80)-(H73+H80)</f>
        <v>91.173240059211594</v>
      </c>
      <c r="K114" s="45">
        <f t="shared" si="101"/>
        <v>29.66561267047274</v>
      </c>
      <c r="L114" s="45">
        <f t="shared" si="101"/>
        <v>36.072804628486438</v>
      </c>
      <c r="M114" s="45">
        <f t="shared" si="101"/>
        <v>43.863824698963015</v>
      </c>
      <c r="N114" s="45">
        <f t="shared" si="101"/>
        <v>53.337552680945862</v>
      </c>
    </row>
    <row r="115" spans="1:14" hidden="1" outlineLevel="1" x14ac:dyDescent="0.35">
      <c r="A115" s="39" t="s">
        <v>77</v>
      </c>
      <c r="D115" s="47"/>
      <c r="E115" s="47">
        <f t="shared" ref="E115:N115" si="102">E88-D88-E49</f>
        <v>-122.1600000000002</v>
      </c>
      <c r="F115" s="45">
        <f t="shared" si="102"/>
        <v>-132.9500000000001</v>
      </c>
      <c r="G115" s="45">
        <f t="shared" si="102"/>
        <v>-77.570000000000391</v>
      </c>
      <c r="H115" s="45">
        <f t="shared" si="102"/>
        <v>-82.659999999999911</v>
      </c>
      <c r="I115" s="45"/>
      <c r="J115" s="47">
        <f>J88-H88-J49</f>
        <v>0</v>
      </c>
      <c r="K115" s="45">
        <f t="shared" si="102"/>
        <v>0</v>
      </c>
      <c r="L115" s="45">
        <f t="shared" si="102"/>
        <v>0</v>
      </c>
      <c r="M115" s="45">
        <f t="shared" si="102"/>
        <v>0</v>
      </c>
      <c r="N115" s="45">
        <f t="shared" si="102"/>
        <v>0</v>
      </c>
    </row>
    <row r="116" spans="1:14" hidden="1" outlineLevel="1" x14ac:dyDescent="0.35">
      <c r="A116" s="39" t="s">
        <v>78</v>
      </c>
      <c r="D116" s="47"/>
      <c r="E116" s="47">
        <f t="shared" ref="E116:N116" si="103">E48-E95</f>
        <v>15.518834142092814</v>
      </c>
      <c r="F116" s="45">
        <f t="shared" si="103"/>
        <v>9.3640119118522946</v>
      </c>
      <c r="G116" s="45">
        <f t="shared" si="103"/>
        <v>12.462532611432863</v>
      </c>
      <c r="H116" s="45">
        <f t="shared" si="103"/>
        <v>12.570359059629226</v>
      </c>
      <c r="I116" s="45"/>
      <c r="J116" s="47">
        <f t="shared" si="103"/>
        <v>22.866140150035193</v>
      </c>
      <c r="K116" s="45">
        <f t="shared" si="103"/>
        <v>27.804779068689498</v>
      </c>
      <c r="L116" s="45">
        <f t="shared" si="103"/>
        <v>33.810067374114453</v>
      </c>
      <c r="M116" s="45">
        <f t="shared" si="103"/>
        <v>41.112380465896592</v>
      </c>
      <c r="N116" s="45">
        <f t="shared" si="103"/>
        <v>49.991850322862604</v>
      </c>
    </row>
    <row r="117" spans="1:14" s="42" customFormat="1" hidden="1" outlineLevel="1" x14ac:dyDescent="0.35">
      <c r="A117" s="64" t="s">
        <v>73</v>
      </c>
      <c r="B117" s="65"/>
      <c r="C117" s="65"/>
      <c r="D117" s="69"/>
      <c r="E117" s="69">
        <f>SUM(E110:E116)</f>
        <v>22.299999999999855</v>
      </c>
      <c r="F117" s="66">
        <f>SUM(F110:F116)</f>
        <v>0.80000000000021743</v>
      </c>
      <c r="G117" s="66">
        <f>SUM(G110:G116)</f>
        <v>77.370000000000147</v>
      </c>
      <c r="H117" s="66">
        <f>SUM(H110:H116)</f>
        <v>-85.260000000000559</v>
      </c>
      <c r="I117" s="66"/>
      <c r="J117" s="69">
        <f>SUM(J110:J116)</f>
        <v>267.89975217640961</v>
      </c>
      <c r="K117" s="66">
        <f>SUM(K110:K116)</f>
        <v>355.12974076446221</v>
      </c>
      <c r="L117" s="66">
        <f>SUM(L110:L116)</f>
        <v>431.83081700221379</v>
      </c>
      <c r="M117" s="66">
        <f>SUM(M110:M116)</f>
        <v>525.09782512549498</v>
      </c>
      <c r="N117" s="66">
        <f>SUM(N110:N116)</f>
        <v>638.50868232526295</v>
      </c>
    </row>
    <row r="118" spans="1:14" hidden="1" outlineLevel="1" x14ac:dyDescent="0.35">
      <c r="A118" s="39"/>
      <c r="D118" s="47"/>
      <c r="E118" s="47"/>
      <c r="F118" s="45"/>
      <c r="G118" s="45"/>
      <c r="H118" s="45"/>
      <c r="I118" s="45"/>
      <c r="J118" s="47"/>
      <c r="K118" s="45"/>
      <c r="L118" s="45"/>
      <c r="M118" s="45"/>
      <c r="N118" s="45"/>
    </row>
    <row r="119" spans="1:14" s="42" customFormat="1" hidden="1" outlineLevel="1" x14ac:dyDescent="0.35">
      <c r="A119" s="31" t="s">
        <v>74</v>
      </c>
      <c r="B119" s="67"/>
      <c r="C119" s="67"/>
      <c r="D119" s="70"/>
      <c r="E119" s="70">
        <f>D120</f>
        <v>69.459999999999994</v>
      </c>
      <c r="F119" s="68">
        <f t="shared" ref="F119:H119" si="104">E120</f>
        <v>91.759999999999849</v>
      </c>
      <c r="G119" s="68">
        <f t="shared" si="104"/>
        <v>92.560000000000059</v>
      </c>
      <c r="H119" s="68">
        <f t="shared" si="104"/>
        <v>169.93000000000021</v>
      </c>
      <c r="I119" s="68"/>
      <c r="J119" s="70">
        <f>H120</f>
        <v>84.669999999999646</v>
      </c>
      <c r="K119" s="68">
        <f>J120</f>
        <v>352.56975217640922</v>
      </c>
      <c r="L119" s="68">
        <f t="shared" ref="L119:N119" si="105">K120</f>
        <v>707.69949294087144</v>
      </c>
      <c r="M119" s="68">
        <f t="shared" si="105"/>
        <v>1139.5303099430853</v>
      </c>
      <c r="N119" s="68">
        <f t="shared" si="105"/>
        <v>1664.6281350685804</v>
      </c>
    </row>
    <row r="120" spans="1:14" s="42" customFormat="1" ht="15" hidden="1" outlineLevel="1" thickBot="1" x14ac:dyDescent="0.4">
      <c r="A120" s="71" t="s">
        <v>75</v>
      </c>
      <c r="B120" s="72"/>
      <c r="C120" s="72"/>
      <c r="D120" s="73">
        <f>D54</f>
        <v>69.459999999999994</v>
      </c>
      <c r="E120" s="73">
        <f>E119+E117</f>
        <v>91.759999999999849</v>
      </c>
      <c r="F120" s="73">
        <f t="shared" ref="F120:H120" si="106">F119+F117</f>
        <v>92.560000000000059</v>
      </c>
      <c r="G120" s="73">
        <f t="shared" si="106"/>
        <v>169.93000000000021</v>
      </c>
      <c r="H120" s="73">
        <f t="shared" si="106"/>
        <v>84.669999999999646</v>
      </c>
      <c r="I120" s="73"/>
      <c r="J120" s="73">
        <f>J119+J117</f>
        <v>352.56975217640922</v>
      </c>
      <c r="K120" s="73">
        <f>K119+K117</f>
        <v>707.69949294087144</v>
      </c>
      <c r="L120" s="73">
        <f t="shared" ref="L120:N120" si="107">L119+L117</f>
        <v>1139.5303099430853</v>
      </c>
      <c r="M120" s="73">
        <f t="shared" si="107"/>
        <v>1664.6281350685804</v>
      </c>
      <c r="N120" s="73">
        <f t="shared" si="107"/>
        <v>2303.1368173938436</v>
      </c>
    </row>
    <row r="121" spans="1:14" ht="15" hidden="1" outlineLevel="1" thickTop="1" x14ac:dyDescent="0.35">
      <c r="D121" s="47"/>
      <c r="E121" s="47"/>
      <c r="F121" s="45"/>
      <c r="G121" s="45"/>
      <c r="H121" s="45"/>
      <c r="I121" s="45"/>
      <c r="J121" s="47"/>
      <c r="K121" s="45"/>
      <c r="L121" s="45"/>
      <c r="M121" s="45"/>
      <c r="N121" s="45"/>
    </row>
    <row r="122" spans="1:14" hidden="1" outlineLevel="1" x14ac:dyDescent="0.35">
      <c r="A122" s="39" t="s">
        <v>127</v>
      </c>
      <c r="D122" s="37">
        <f>D54-D120</f>
        <v>0</v>
      </c>
      <c r="E122" s="37">
        <f t="shared" ref="E122:N122" si="108">E54-E120</f>
        <v>1.5631940186722204E-13</v>
      </c>
      <c r="F122" s="37">
        <f t="shared" si="108"/>
        <v>0</v>
      </c>
      <c r="G122" s="37">
        <f t="shared" si="108"/>
        <v>0</v>
      </c>
      <c r="H122" s="37">
        <f t="shared" si="108"/>
        <v>3.5527136788005009E-13</v>
      </c>
      <c r="I122" s="37"/>
      <c r="J122" s="37">
        <f t="shared" si="108"/>
        <v>0</v>
      </c>
      <c r="K122" s="37">
        <f t="shared" si="108"/>
        <v>0</v>
      </c>
      <c r="L122" s="37">
        <f t="shared" si="108"/>
        <v>0</v>
      </c>
      <c r="M122" s="37">
        <f t="shared" si="108"/>
        <v>0</v>
      </c>
      <c r="N122" s="37">
        <f t="shared" si="108"/>
        <v>0</v>
      </c>
    </row>
    <row r="123" spans="1:14" collapsed="1" x14ac:dyDescent="0.35">
      <c r="D123" s="37"/>
      <c r="E123" s="37"/>
    </row>
  </sheetData>
  <mergeCells count="38">
    <mergeCell ref="A31:C31"/>
    <mergeCell ref="A5:N5"/>
    <mergeCell ref="A26:C26"/>
    <mergeCell ref="A27:C27"/>
    <mergeCell ref="A28:C28"/>
    <mergeCell ref="A29:C29"/>
    <mergeCell ref="A30:C30"/>
    <mergeCell ref="A21:C21"/>
    <mergeCell ref="A22:C22"/>
    <mergeCell ref="A23:C23"/>
    <mergeCell ref="A24:C24"/>
    <mergeCell ref="A25:C25"/>
    <mergeCell ref="A19:C19"/>
    <mergeCell ref="A20:C20"/>
    <mergeCell ref="A14:C14"/>
    <mergeCell ref="A15:C15"/>
    <mergeCell ref="J1:N1"/>
    <mergeCell ref="A6:C6"/>
    <mergeCell ref="H7:I7"/>
    <mergeCell ref="H8:I8"/>
    <mergeCell ref="H9:I9"/>
    <mergeCell ref="A4:C4"/>
    <mergeCell ref="A2:C2"/>
    <mergeCell ref="A16:C16"/>
    <mergeCell ref="A17:C17"/>
    <mergeCell ref="A18:C18"/>
    <mergeCell ref="D1:H1"/>
    <mergeCell ref="A10:C10"/>
    <mergeCell ref="A11:C11"/>
    <mergeCell ref="A12:C12"/>
    <mergeCell ref="A13:C13"/>
    <mergeCell ref="A33:N33"/>
    <mergeCell ref="A51:N51"/>
    <mergeCell ref="A93:N93"/>
    <mergeCell ref="A53:B53"/>
    <mergeCell ref="A60:B60"/>
    <mergeCell ref="A72:B72"/>
    <mergeCell ref="A77:B77"/>
  </mergeCells>
  <dataValidations count="1">
    <dataValidation type="list" allowBlank="1" showInputMessage="1" showErrorMessage="1" sqref="B3:B4" xr:uid="{D567D834-F934-4BC0-A6BA-C002515815F2}">
      <formula1>H7:H9</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E88440-5791-43AB-8B8A-3C391D369EF5}">
  <dimension ref="A1:E20"/>
  <sheetViews>
    <sheetView showGridLines="0" tabSelected="1" workbookViewId="0">
      <selection activeCell="H6" sqref="H6"/>
    </sheetView>
  </sheetViews>
  <sheetFormatPr defaultRowHeight="14.5" x14ac:dyDescent="0.35"/>
  <cols>
    <col min="1" max="1" width="15.7265625" customWidth="1"/>
    <col min="2" max="2" width="20" bestFit="1" customWidth="1"/>
    <col min="4" max="4" width="12.6328125" customWidth="1"/>
    <col min="5" max="5" width="9.81640625" bestFit="1" customWidth="1"/>
  </cols>
  <sheetData>
    <row r="1" spans="1:5" ht="18.5" x14ac:dyDescent="0.45">
      <c r="A1" s="115" t="s">
        <v>135</v>
      </c>
      <c r="B1" s="116"/>
      <c r="C1" s="116"/>
      <c r="D1" s="116"/>
      <c r="E1" s="116"/>
    </row>
    <row r="2" spans="1:5" ht="15" thickBot="1" x14ac:dyDescent="0.4">
      <c r="A2" s="4"/>
    </row>
    <row r="3" spans="1:5" ht="15" thickBot="1" x14ac:dyDescent="0.4">
      <c r="A3" s="62" t="s">
        <v>81</v>
      </c>
      <c r="B3" s="76" t="s">
        <v>82</v>
      </c>
    </row>
    <row r="4" spans="1:5" x14ac:dyDescent="0.35">
      <c r="A4" s="1" t="s">
        <v>123</v>
      </c>
      <c r="B4" s="78">
        <v>3153</v>
      </c>
    </row>
    <row r="5" spans="1:5" x14ac:dyDescent="0.35">
      <c r="A5" s="1" t="s">
        <v>145</v>
      </c>
      <c r="B5" s="161">
        <v>44784</v>
      </c>
    </row>
    <row r="6" spans="1:5" s="42" customFormat="1" x14ac:dyDescent="0.35">
      <c r="A6" s="80" t="s">
        <v>86</v>
      </c>
      <c r="B6" s="88"/>
      <c r="D6" s="80" t="s">
        <v>88</v>
      </c>
      <c r="E6" s="67"/>
    </row>
    <row r="7" spans="1:5" x14ac:dyDescent="0.35">
      <c r="A7" s="59" t="s">
        <v>83</v>
      </c>
      <c r="B7" s="47">
        <f>'Financial Forecast'!H46</f>
        <v>-50.25</v>
      </c>
      <c r="D7" s="59" t="s">
        <v>89</v>
      </c>
      <c r="E7" s="54">
        <v>7.4999999999999997E-2</v>
      </c>
    </row>
    <row r="8" spans="1:5" x14ac:dyDescent="0.35">
      <c r="A8" s="59" t="s">
        <v>84</v>
      </c>
      <c r="B8" s="47">
        <f>'Financial Forecast'!H78</f>
        <v>487.24</v>
      </c>
      <c r="D8" s="59" t="s">
        <v>90</v>
      </c>
      <c r="E8" s="47">
        <f>'Stock Attributes'!K13</f>
        <v>0.56951988534166698</v>
      </c>
    </row>
    <row r="9" spans="1:5" x14ac:dyDescent="0.35">
      <c r="A9" s="59" t="s">
        <v>85</v>
      </c>
      <c r="B9" s="47">
        <f>'Financial Forecast'!H75</f>
        <v>435.86</v>
      </c>
      <c r="D9" s="59" t="s">
        <v>91</v>
      </c>
      <c r="E9" s="54">
        <v>8.5099999999999995E-2</v>
      </c>
    </row>
    <row r="10" spans="1:5" x14ac:dyDescent="0.35">
      <c r="A10" s="59" t="s">
        <v>86</v>
      </c>
      <c r="B10" s="47">
        <f>-B7/(SUM(B8:B9))</f>
        <v>5.4436139096522583E-2</v>
      </c>
      <c r="D10" s="93" t="s">
        <v>88</v>
      </c>
      <c r="E10" s="94">
        <f>E7+(E8*E9)</f>
        <v>0.12346614224257585</v>
      </c>
    </row>
    <row r="11" spans="1:5" x14ac:dyDescent="0.35">
      <c r="A11" s="59" t="s">
        <v>87</v>
      </c>
      <c r="B11" s="47">
        <f>'Financial Forecast'!H17</f>
        <v>0.25015639919660204</v>
      </c>
    </row>
    <row r="12" spans="1:5" x14ac:dyDescent="0.35">
      <c r="A12" s="93" t="s">
        <v>134</v>
      </c>
      <c r="B12" s="69">
        <f>B10*(1-B11)</f>
        <v>4.0818590553971121E-2</v>
      </c>
    </row>
    <row r="13" spans="1:5" x14ac:dyDescent="0.35">
      <c r="B13" s="47"/>
    </row>
    <row r="14" spans="1:5" x14ac:dyDescent="0.35">
      <c r="B14" s="47"/>
    </row>
    <row r="15" spans="1:5" x14ac:dyDescent="0.35">
      <c r="A15" s="87" t="s">
        <v>92</v>
      </c>
      <c r="B15" s="88">
        <f>SUM(B8:B9)</f>
        <v>923.1</v>
      </c>
      <c r="C15" s="91">
        <f>B15/B17</f>
        <v>3.3021989618696367E-2</v>
      </c>
    </row>
    <row r="16" spans="1:5" x14ac:dyDescent="0.35">
      <c r="A16" s="59" t="s">
        <v>93</v>
      </c>
      <c r="B16" s="47">
        <v>27031</v>
      </c>
      <c r="C16" s="91">
        <f>B16/B17</f>
        <v>0.96697801038130371</v>
      </c>
    </row>
    <row r="17" spans="1:2" x14ac:dyDescent="0.35">
      <c r="A17" s="59" t="s">
        <v>94</v>
      </c>
      <c r="B17" s="47">
        <f>SUM(B15:B16)</f>
        <v>27954.1</v>
      </c>
    </row>
    <row r="18" spans="1:2" x14ac:dyDescent="0.35">
      <c r="A18" s="59"/>
      <c r="B18" s="47"/>
    </row>
    <row r="19" spans="1:2" s="42" customFormat="1" ht="15" thickBot="1" x14ac:dyDescent="0.4">
      <c r="A19" s="89" t="s">
        <v>95</v>
      </c>
      <c r="B19" s="90">
        <f>(C15*B12)+(C16*E10)</f>
        <v>0.12073695564870408</v>
      </c>
    </row>
    <row r="20" spans="1:2" ht="15" thickTop="1" x14ac:dyDescent="0.35"/>
  </sheetData>
  <mergeCells count="1">
    <mergeCell ref="A1:E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C3C9BA-2657-458E-B9E2-FE6C34050E00}">
  <dimension ref="A1:Q40"/>
  <sheetViews>
    <sheetView showGridLines="0" workbookViewId="0">
      <selection activeCell="E5" sqref="E5"/>
    </sheetView>
  </sheetViews>
  <sheetFormatPr defaultRowHeight="14.5" x14ac:dyDescent="0.35"/>
  <cols>
    <col min="3" max="3" width="9.7265625" bestFit="1" customWidth="1"/>
    <col min="4" max="4" width="10.26953125" customWidth="1"/>
    <col min="5" max="5" width="9.90625" customWidth="1"/>
    <col min="6" max="6" width="9.36328125" customWidth="1"/>
    <col min="7" max="8" width="9.7265625" bestFit="1" customWidth="1"/>
    <col min="9" max="9" width="4" customWidth="1"/>
    <col min="14" max="14" width="9.7265625" bestFit="1" customWidth="1"/>
  </cols>
  <sheetData>
    <row r="1" spans="1:15" x14ac:dyDescent="0.35">
      <c r="D1" s="120" t="s">
        <v>120</v>
      </c>
      <c r="E1" s="120"/>
      <c r="F1" s="120"/>
      <c r="G1" s="120"/>
      <c r="H1" s="120"/>
      <c r="I1" s="60"/>
      <c r="J1" s="121" t="s">
        <v>121</v>
      </c>
      <c r="K1" s="121"/>
      <c r="L1" s="121"/>
      <c r="M1" s="121"/>
      <c r="N1" s="121"/>
    </row>
    <row r="2" spans="1:15" x14ac:dyDescent="0.35">
      <c r="D2" s="85">
        <v>2018</v>
      </c>
      <c r="E2" s="85">
        <v>2019</v>
      </c>
      <c r="F2" s="85">
        <v>2020</v>
      </c>
      <c r="G2" s="85">
        <v>2021</v>
      </c>
      <c r="H2" s="85">
        <v>2022</v>
      </c>
      <c r="J2" s="102" t="s">
        <v>170</v>
      </c>
      <c r="K2" s="102" t="s">
        <v>171</v>
      </c>
      <c r="L2" s="102" t="s">
        <v>172</v>
      </c>
      <c r="M2" s="102" t="s">
        <v>173</v>
      </c>
      <c r="N2" s="102" t="s">
        <v>174</v>
      </c>
    </row>
    <row r="3" spans="1:15" ht="18.5" x14ac:dyDescent="0.45">
      <c r="A3" s="115" t="s">
        <v>132</v>
      </c>
      <c r="B3" s="147"/>
      <c r="C3" s="147"/>
      <c r="D3" s="147"/>
      <c r="E3" s="147"/>
      <c r="F3" s="147"/>
      <c r="G3" s="147"/>
      <c r="H3" s="147"/>
      <c r="I3" s="147"/>
      <c r="J3" s="147"/>
      <c r="K3" s="147"/>
      <c r="L3" s="147"/>
      <c r="M3" s="147"/>
      <c r="N3" s="147"/>
    </row>
    <row r="4" spans="1:15" x14ac:dyDescent="0.35">
      <c r="A4" s="4" t="s">
        <v>103</v>
      </c>
    </row>
    <row r="5" spans="1:15" x14ac:dyDescent="0.35">
      <c r="J5" s="92">
        <v>1</v>
      </c>
      <c r="K5" s="92">
        <v>2</v>
      </c>
      <c r="L5" s="92">
        <v>3</v>
      </c>
      <c r="M5" s="92">
        <v>4</v>
      </c>
      <c r="N5" s="92">
        <v>5</v>
      </c>
    </row>
    <row r="6" spans="1:15" x14ac:dyDescent="0.35">
      <c r="A6" s="4" t="s">
        <v>72</v>
      </c>
      <c r="D6" s="37">
        <f>'Financial Forecast'!D110</f>
        <v>0</v>
      </c>
      <c r="E6" s="47">
        <f>'Financial Forecast'!E110</f>
        <v>58.341165857907157</v>
      </c>
      <c r="F6" s="47">
        <f>'Financial Forecast'!F110</f>
        <v>134.7059880881481</v>
      </c>
      <c r="G6" s="47">
        <f>'Financial Forecast'!G110</f>
        <v>108.09746738856754</v>
      </c>
      <c r="H6" s="47">
        <f>'Financial Forecast'!H110</f>
        <v>63.709640940370178</v>
      </c>
      <c r="I6" s="47"/>
      <c r="J6" s="47">
        <f>'Financial Forecast'!J110</f>
        <v>-236.1937621923436</v>
      </c>
      <c r="K6" s="47">
        <f>'Financial Forecast'!K110</f>
        <v>102.75152925486492</v>
      </c>
      <c r="L6" s="47">
        <f>'Financial Forecast'!L110</f>
        <v>124.94384934035648</v>
      </c>
      <c r="M6" s="47">
        <f>'Financial Forecast'!M110</f>
        <v>151.92927639319615</v>
      </c>
      <c r="N6" s="47">
        <f>'Financial Forecast'!N110</f>
        <v>184.74302774586056</v>
      </c>
      <c r="O6" s="37"/>
    </row>
    <row r="7" spans="1:15" x14ac:dyDescent="0.35">
      <c r="A7" s="1" t="s">
        <v>100</v>
      </c>
      <c r="B7" s="91">
        <f>WACC!B19</f>
        <v>0.12073695564870408</v>
      </c>
      <c r="C7" s="47"/>
      <c r="D7" s="47"/>
      <c r="E7" s="47"/>
      <c r="F7" s="47"/>
      <c r="G7" s="47"/>
      <c r="H7" s="47"/>
      <c r="I7" s="47"/>
      <c r="J7" s="47"/>
      <c r="K7" s="47"/>
      <c r="L7" s="47"/>
      <c r="M7" s="47"/>
      <c r="N7" s="47"/>
    </row>
    <row r="8" spans="1:15" x14ac:dyDescent="0.35">
      <c r="A8" s="119" t="s">
        <v>104</v>
      </c>
      <c r="B8" s="119"/>
      <c r="C8" s="47"/>
      <c r="D8" s="47"/>
      <c r="E8" s="47"/>
      <c r="F8" s="47"/>
      <c r="G8" s="47"/>
      <c r="H8" s="47"/>
      <c r="I8" s="47"/>
      <c r="J8" s="47">
        <f>1/(1+$B$7)^J5</f>
        <v>0.89227003264220972</v>
      </c>
      <c r="K8" s="47">
        <f t="shared" ref="K8:N8" si="0">1/(1+$B$7)^K5</f>
        <v>0.79614581115132999</v>
      </c>
      <c r="L8" s="47">
        <f t="shared" si="0"/>
        <v>0.7103770489039557</v>
      </c>
      <c r="M8" s="47">
        <f t="shared" si="0"/>
        <v>0.63384815261380922</v>
      </c>
      <c r="N8" s="47">
        <f t="shared" si="0"/>
        <v>0.56556371182292786</v>
      </c>
    </row>
    <row r="9" spans="1:15" s="42" customFormat="1" ht="15" thickBot="1" x14ac:dyDescent="0.4">
      <c r="A9" s="146" t="s">
        <v>105</v>
      </c>
      <c r="B9" s="146"/>
      <c r="C9" s="77"/>
      <c r="D9" s="77"/>
      <c r="E9" s="77"/>
      <c r="F9" s="77"/>
      <c r="G9" s="77"/>
      <c r="H9" s="77"/>
      <c r="I9" s="77"/>
      <c r="J9" s="77">
        <f>J6*J8</f>
        <v>-210.74861590124874</v>
      </c>
      <c r="K9" s="77">
        <f t="shared" ref="K9:N9" si="1">K6*K8</f>
        <v>81.805199605654039</v>
      </c>
      <c r="L9" s="77">
        <f t="shared" si="1"/>
        <v>88.75724297310289</v>
      </c>
      <c r="M9" s="77">
        <f t="shared" si="1"/>
        <v>96.300091169780188</v>
      </c>
      <c r="N9" s="77">
        <f t="shared" si="1"/>
        <v>104.48395250535505</v>
      </c>
    </row>
    <row r="10" spans="1:15" ht="15.5" thickTop="1" thickBot="1" x14ac:dyDescent="0.4">
      <c r="B10" s="47"/>
      <c r="C10" s="47"/>
      <c r="D10" s="47"/>
      <c r="E10" s="47"/>
      <c r="F10" s="47"/>
      <c r="G10" s="47"/>
      <c r="H10" s="47"/>
      <c r="I10" s="47"/>
      <c r="J10" s="47"/>
      <c r="K10" s="47"/>
    </row>
    <row r="11" spans="1:15" ht="15" thickBot="1" x14ac:dyDescent="0.4">
      <c r="A11" s="143" t="s">
        <v>109</v>
      </c>
      <c r="B11" s="144"/>
      <c r="C11" s="145"/>
      <c r="F11" s="143" t="s">
        <v>126</v>
      </c>
      <c r="G11" s="144"/>
      <c r="H11" s="145"/>
      <c r="K11" s="143" t="s">
        <v>98</v>
      </c>
      <c r="L11" s="144"/>
      <c r="M11" s="144"/>
      <c r="N11" s="145"/>
    </row>
    <row r="12" spans="1:15" x14ac:dyDescent="0.35">
      <c r="A12" s="119" t="s">
        <v>106</v>
      </c>
      <c r="B12" s="135"/>
      <c r="C12" s="47">
        <f>SUM(J9:N9)</f>
        <v>160.59787035264341</v>
      </c>
      <c r="F12" s="141" t="s">
        <v>109</v>
      </c>
      <c r="G12" s="142"/>
      <c r="H12" s="47">
        <f>C22</f>
        <v>9146.6718269368575</v>
      </c>
      <c r="K12" s="139" t="s">
        <v>99</v>
      </c>
      <c r="L12" s="139"/>
      <c r="M12" s="140"/>
      <c r="N12" s="47">
        <f>'Financial Forecast'!N110</f>
        <v>184.74302774586056</v>
      </c>
    </row>
    <row r="13" spans="1:15" x14ac:dyDescent="0.35">
      <c r="A13" s="119"/>
      <c r="B13" s="135"/>
      <c r="C13" s="47"/>
      <c r="F13" s="148" t="s">
        <v>111</v>
      </c>
      <c r="G13" s="149"/>
      <c r="H13" s="47">
        <f>'Financial Forecast'!H75+'Financial Forecast'!H78</f>
        <v>923.1</v>
      </c>
      <c r="K13" s="119" t="s">
        <v>100</v>
      </c>
      <c r="L13" s="119"/>
      <c r="M13" s="135"/>
      <c r="N13" s="54">
        <f>WACC!B19</f>
        <v>0.12073695564870408</v>
      </c>
    </row>
    <row r="14" spans="1:15" x14ac:dyDescent="0.35">
      <c r="A14" s="156" t="s">
        <v>97</v>
      </c>
      <c r="B14" s="157"/>
      <c r="C14" s="47"/>
      <c r="F14" s="148" t="s">
        <v>112</v>
      </c>
      <c r="G14" s="149"/>
      <c r="H14" s="47"/>
      <c r="K14" s="119" t="s">
        <v>97</v>
      </c>
      <c r="L14" s="119"/>
      <c r="M14" s="135"/>
      <c r="N14" s="47">
        <f>C17</f>
        <v>15888.703197771041</v>
      </c>
    </row>
    <row r="15" spans="1:15" x14ac:dyDescent="0.35">
      <c r="A15" s="119" t="s">
        <v>102</v>
      </c>
      <c r="B15" s="135"/>
      <c r="C15" s="47">
        <f>'Financial Forecast'!N43</f>
        <v>2269.8147425387201</v>
      </c>
      <c r="F15" s="148" t="s">
        <v>113</v>
      </c>
      <c r="G15" s="149"/>
      <c r="H15" s="47">
        <f>'Financial Forecast'!H87</f>
        <v>100.63</v>
      </c>
      <c r="K15" s="136" t="s">
        <v>101</v>
      </c>
      <c r="L15" s="136"/>
      <c r="M15" s="137"/>
      <c r="N15" s="81">
        <f>((N14*N13)-N12)/(N14+N12)</f>
        <v>0.1078555650876353</v>
      </c>
    </row>
    <row r="16" spans="1:15" x14ac:dyDescent="0.35">
      <c r="A16" s="119" t="s">
        <v>133</v>
      </c>
      <c r="B16" s="135"/>
      <c r="C16" s="99">
        <v>7</v>
      </c>
      <c r="F16" s="148" t="s">
        <v>114</v>
      </c>
      <c r="G16" s="149"/>
      <c r="H16" s="47">
        <f>'Financial Forecast'!H54</f>
        <v>84.67</v>
      </c>
      <c r="K16" s="119"/>
      <c r="L16" s="119"/>
      <c r="M16" s="135"/>
      <c r="N16" s="47"/>
    </row>
    <row r="17" spans="1:17" x14ac:dyDescent="0.35">
      <c r="A17" s="154" t="s">
        <v>97</v>
      </c>
      <c r="B17" s="155"/>
      <c r="C17" s="88">
        <f>C15*C16</f>
        <v>15888.703197771041</v>
      </c>
      <c r="F17" s="152" t="s">
        <v>115</v>
      </c>
      <c r="G17" s="153"/>
      <c r="H17" s="70">
        <f>C22-SUM(H13:H15)+H16</f>
        <v>8207.6118269368581</v>
      </c>
      <c r="K17" s="119" t="s">
        <v>117</v>
      </c>
      <c r="L17" s="119"/>
      <c r="M17" s="135"/>
      <c r="N17" s="47"/>
    </row>
    <row r="18" spans="1:17" x14ac:dyDescent="0.35">
      <c r="A18" s="119" t="s">
        <v>107</v>
      </c>
      <c r="B18" s="135"/>
      <c r="C18" s="47">
        <f>N8</f>
        <v>0.56556371182292786</v>
      </c>
      <c r="G18" s="79"/>
      <c r="K18" s="119" t="s">
        <v>109</v>
      </c>
      <c r="L18" s="119"/>
      <c r="M18" s="135"/>
      <c r="N18" s="47">
        <f>C22</f>
        <v>9146.6718269368575</v>
      </c>
    </row>
    <row r="19" spans="1:17" x14ac:dyDescent="0.35">
      <c r="A19" s="119" t="s">
        <v>108</v>
      </c>
      <c r="B19" s="135"/>
      <c r="C19" s="47">
        <f>C17*C18</f>
        <v>8986.0739565842141</v>
      </c>
      <c r="F19" s="148" t="s">
        <v>122</v>
      </c>
      <c r="G19" s="149"/>
      <c r="H19" s="47">
        <v>8.5731000000000002</v>
      </c>
      <c r="K19" s="119" t="s">
        <v>118</v>
      </c>
      <c r="L19" s="119"/>
      <c r="M19" s="135"/>
      <c r="N19" s="47">
        <f>'Financial Forecast'!H43</f>
        <v>766.91999999999985</v>
      </c>
    </row>
    <row r="20" spans="1:17" x14ac:dyDescent="0.35">
      <c r="A20" s="119" t="s">
        <v>110</v>
      </c>
      <c r="B20" s="135"/>
      <c r="C20" s="54">
        <f>C19/C22</f>
        <v>0.98244193370099009</v>
      </c>
      <c r="F20" s="150" t="s">
        <v>124</v>
      </c>
      <c r="G20" s="151"/>
      <c r="H20" s="78">
        <f>H17/H19</f>
        <v>957.36802637748985</v>
      </c>
      <c r="K20" s="136" t="s">
        <v>117</v>
      </c>
      <c r="L20" s="136"/>
      <c r="M20" s="137"/>
      <c r="N20" s="70">
        <f>N18/N19</f>
        <v>11.926500582768554</v>
      </c>
    </row>
    <row r="21" spans="1:17" x14ac:dyDescent="0.35">
      <c r="A21" s="119"/>
      <c r="B21" s="135"/>
      <c r="C21" s="47"/>
      <c r="F21" s="131" t="s">
        <v>125</v>
      </c>
      <c r="G21" s="132"/>
      <c r="H21" s="47">
        <f>WACC!B4</f>
        <v>3153</v>
      </c>
      <c r="I21" s="37"/>
    </row>
    <row r="22" spans="1:17" x14ac:dyDescent="0.35">
      <c r="A22" s="136" t="s">
        <v>109</v>
      </c>
      <c r="B22" s="137"/>
      <c r="C22" s="70">
        <f>C12+C19</f>
        <v>9146.6718269368575</v>
      </c>
      <c r="F22" s="133"/>
      <c r="G22" s="134"/>
      <c r="H22" s="84" t="str">
        <f>IF(H20&gt;H21, "BUY", "SELL")</f>
        <v>SELL</v>
      </c>
    </row>
    <row r="24" spans="1:17" ht="15" thickBot="1" x14ac:dyDescent="0.4"/>
    <row r="25" spans="1:17" ht="15" thickBot="1" x14ac:dyDescent="0.4">
      <c r="C25" s="128" t="s">
        <v>109</v>
      </c>
      <c r="D25" s="129"/>
      <c r="E25" s="129"/>
      <c r="F25" s="129"/>
      <c r="G25" s="129"/>
      <c r="H25" s="130"/>
      <c r="L25" s="128" t="s">
        <v>98</v>
      </c>
      <c r="M25" s="129"/>
      <c r="N25" s="129"/>
      <c r="O25" s="129"/>
      <c r="P25" s="129"/>
      <c r="Q25" s="130"/>
    </row>
    <row r="26" spans="1:17" x14ac:dyDescent="0.35">
      <c r="C26" s="58"/>
      <c r="D26" s="138" t="s">
        <v>96</v>
      </c>
      <c r="E26" s="138"/>
      <c r="F26" s="138"/>
      <c r="G26" s="138"/>
      <c r="H26" s="138"/>
      <c r="L26" s="58"/>
      <c r="M26" s="138" t="s">
        <v>96</v>
      </c>
      <c r="N26" s="138"/>
      <c r="O26" s="138"/>
      <c r="P26" s="138"/>
      <c r="Q26" s="138"/>
    </row>
    <row r="27" spans="1:17" ht="14.5" customHeight="1" x14ac:dyDescent="0.35">
      <c r="B27" s="58"/>
      <c r="C27" s="57">
        <f>C22</f>
        <v>9146.6718269368575</v>
      </c>
      <c r="D27" s="82">
        <v>6</v>
      </c>
      <c r="E27" s="82">
        <v>6.5</v>
      </c>
      <c r="F27" s="82">
        <v>7</v>
      </c>
      <c r="G27" s="82">
        <v>7.5</v>
      </c>
      <c r="H27" s="82">
        <v>8</v>
      </c>
      <c r="I27" s="47"/>
      <c r="K27" s="58"/>
      <c r="L27" s="56">
        <f>N15</f>
        <v>0.1078555650876353</v>
      </c>
      <c r="M27" s="82">
        <v>6</v>
      </c>
      <c r="N27" s="82">
        <v>6.5</v>
      </c>
      <c r="O27" s="82">
        <v>7</v>
      </c>
      <c r="P27" s="82">
        <v>7.5</v>
      </c>
      <c r="Q27" s="82">
        <v>8</v>
      </c>
    </row>
    <row r="28" spans="1:17" x14ac:dyDescent="0.35">
      <c r="B28" s="127" t="s">
        <v>100</v>
      </c>
      <c r="C28" s="83">
        <v>7.4999999999999997E-2</v>
      </c>
      <c r="D28" s="47">
        <f t="dataTable" ref="D28:H32" dt2D="1" dtr="1" r1="C16" r2="B7" ca="1"/>
        <v>9698.5773836210083</v>
      </c>
      <c r="E28" s="47">
        <v>10489.106909996459</v>
      </c>
      <c r="F28" s="47">
        <v>11279.636436371909</v>
      </c>
      <c r="G28" s="47">
        <v>12070.16596274736</v>
      </c>
      <c r="H28" s="47">
        <v>12860.695489122811</v>
      </c>
      <c r="I28" s="47"/>
      <c r="K28" s="127" t="s">
        <v>100</v>
      </c>
      <c r="L28" s="83">
        <v>7.4999999999999997E-2</v>
      </c>
      <c r="M28" s="55">
        <f t="dataTable" ref="M28:Q32" dt2D="1" dtr="1" r1="C16" r2="N13"/>
        <v>6.0612571947338614E-2</v>
      </c>
      <c r="N28" s="55">
        <v>6.1705610450627724E-2</v>
      </c>
      <c r="O28" s="55">
        <v>6.264429531536797E-2</v>
      </c>
      <c r="P28" s="55">
        <v>6.3459165851642574E-2</v>
      </c>
      <c r="Q28" s="55">
        <v>6.4173203435711063E-2</v>
      </c>
    </row>
    <row r="29" spans="1:17" x14ac:dyDescent="0.35">
      <c r="B29" s="127"/>
      <c r="C29" s="83">
        <v>0.08</v>
      </c>
      <c r="D29" s="47">
        <v>9474.7716018670562</v>
      </c>
      <c r="E29" s="47">
        <v>10247.170488942729</v>
      </c>
      <c r="F29" s="47">
        <v>11019.569376018404</v>
      </c>
      <c r="G29" s="47">
        <v>11791.968263094077</v>
      </c>
      <c r="H29" s="47">
        <v>12564.36715016975</v>
      </c>
      <c r="I29" s="47"/>
      <c r="K29" s="127"/>
      <c r="L29" s="83">
        <v>0.08</v>
      </c>
      <c r="M29" s="55">
        <v>6.5545653677326246E-2</v>
      </c>
      <c r="N29" s="55">
        <v>6.6643776080630657E-2</v>
      </c>
      <c r="O29" s="55">
        <v>6.758682692148596E-2</v>
      </c>
      <c r="P29" s="55">
        <v>6.8405487553278146E-2</v>
      </c>
      <c r="Q29" s="55">
        <v>6.9122846242388791E-2</v>
      </c>
    </row>
    <row r="30" spans="1:17" ht="14.5" customHeight="1" x14ac:dyDescent="0.35">
      <c r="B30" s="127"/>
      <c r="C30" s="83">
        <v>8.4599999999999995E-2</v>
      </c>
      <c r="D30" s="47">
        <v>9274.2771347667513</v>
      </c>
      <c r="E30" s="47">
        <v>10030.434899747142</v>
      </c>
      <c r="F30" s="47">
        <v>10786.592664727534</v>
      </c>
      <c r="G30" s="47">
        <v>11542.750429707925</v>
      </c>
      <c r="H30" s="47">
        <v>12298.908194688318</v>
      </c>
      <c r="I30" s="47"/>
      <c r="K30" s="127"/>
      <c r="L30" s="83">
        <v>8.4599999999999995E-2</v>
      </c>
      <c r="M30" s="55">
        <v>7.0084088868914846E-2</v>
      </c>
      <c r="N30" s="55">
        <v>7.1186888460233341E-2</v>
      </c>
      <c r="O30" s="55">
        <v>7.2133955999114513E-2</v>
      </c>
      <c r="P30" s="55">
        <v>7.2956103518782844E-2</v>
      </c>
      <c r="Q30" s="55">
        <v>7.3676517624532298E-2</v>
      </c>
    </row>
    <row r="31" spans="1:17" x14ac:dyDescent="0.35">
      <c r="B31" s="127"/>
      <c r="C31" s="83">
        <v>0.09</v>
      </c>
      <c r="D31" s="47">
        <v>9045.3158332794465</v>
      </c>
      <c r="E31" s="47">
        <v>9782.9277544087508</v>
      </c>
      <c r="F31" s="47">
        <v>10520.539675538057</v>
      </c>
      <c r="G31" s="47">
        <v>11258.151596667363</v>
      </c>
      <c r="H31" s="47">
        <v>11995.763517796669</v>
      </c>
      <c r="I31" s="47"/>
      <c r="K31" s="127"/>
      <c r="L31" s="83">
        <v>0.09</v>
      </c>
      <c r="M31" s="55">
        <v>7.5411817137301496E-2</v>
      </c>
      <c r="N31" s="55">
        <v>7.6520107340636481E-2</v>
      </c>
      <c r="O31" s="55">
        <v>7.7471890133721938E-2</v>
      </c>
      <c r="P31" s="55">
        <v>7.8298130956549222E-2</v>
      </c>
      <c r="Q31" s="55">
        <v>7.9022131855744235E-2</v>
      </c>
    </row>
    <row r="32" spans="1:17" x14ac:dyDescent="0.35">
      <c r="B32" s="127"/>
      <c r="C32" s="83">
        <v>9.5000000000000001E-2</v>
      </c>
      <c r="D32" s="47">
        <v>8839.2844988550969</v>
      </c>
      <c r="E32" s="47">
        <v>9560.2090586177055</v>
      </c>
      <c r="F32" s="47">
        <v>10281.133618380316</v>
      </c>
      <c r="G32" s="47">
        <v>11002.058178142926</v>
      </c>
      <c r="H32" s="47">
        <v>11722.982737905537</v>
      </c>
      <c r="I32" s="47"/>
      <c r="K32" s="127"/>
      <c r="L32" s="83">
        <v>9.5000000000000001E-2</v>
      </c>
      <c r="M32" s="55">
        <v>8.0344898867289086E-2</v>
      </c>
      <c r="N32" s="55">
        <v>8.1458272970639414E-2</v>
      </c>
      <c r="O32" s="55">
        <v>8.2414421739839927E-2</v>
      </c>
      <c r="P32" s="55">
        <v>8.3244452658184781E-2</v>
      </c>
      <c r="Q32" s="55">
        <v>8.3971774662421964E-2</v>
      </c>
    </row>
    <row r="40" spans="3:3" x14ac:dyDescent="0.35">
      <c r="C40" t="s">
        <v>116</v>
      </c>
    </row>
  </sheetData>
  <mergeCells count="44">
    <mergeCell ref="A20:B20"/>
    <mergeCell ref="F13:G13"/>
    <mergeCell ref="F14:G14"/>
    <mergeCell ref="F15:G15"/>
    <mergeCell ref="F16:G16"/>
    <mergeCell ref="F20:G20"/>
    <mergeCell ref="A18:B18"/>
    <mergeCell ref="A19:B19"/>
    <mergeCell ref="F17:G17"/>
    <mergeCell ref="F19:G19"/>
    <mergeCell ref="A17:B17"/>
    <mergeCell ref="A14:B14"/>
    <mergeCell ref="A15:B15"/>
    <mergeCell ref="A16:B16"/>
    <mergeCell ref="D1:H1"/>
    <mergeCell ref="A12:B12"/>
    <mergeCell ref="A13:B13"/>
    <mergeCell ref="J1:N1"/>
    <mergeCell ref="K11:N11"/>
    <mergeCell ref="A11:C11"/>
    <mergeCell ref="A8:B8"/>
    <mergeCell ref="A9:B9"/>
    <mergeCell ref="F11:H11"/>
    <mergeCell ref="A3:N3"/>
    <mergeCell ref="L25:Q25"/>
    <mergeCell ref="K20:M20"/>
    <mergeCell ref="D26:H26"/>
    <mergeCell ref="M26:Q26"/>
    <mergeCell ref="K12:M12"/>
    <mergeCell ref="K13:M13"/>
    <mergeCell ref="K14:M14"/>
    <mergeCell ref="K15:M15"/>
    <mergeCell ref="K16:M16"/>
    <mergeCell ref="K17:M17"/>
    <mergeCell ref="K18:M18"/>
    <mergeCell ref="K19:M19"/>
    <mergeCell ref="F12:G12"/>
    <mergeCell ref="B28:B32"/>
    <mergeCell ref="K28:K32"/>
    <mergeCell ref="C25:H25"/>
    <mergeCell ref="F21:G21"/>
    <mergeCell ref="F22:G22"/>
    <mergeCell ref="A21:B21"/>
    <mergeCell ref="A22:B22"/>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8A00D5-02D4-451E-AC0B-97C034168836}">
  <dimension ref="A1:K255"/>
  <sheetViews>
    <sheetView showGridLines="0" workbookViewId="0">
      <selection activeCell="K15" sqref="K15"/>
    </sheetView>
  </sheetViews>
  <sheetFormatPr defaultRowHeight="14.5" x14ac:dyDescent="0.35"/>
  <cols>
    <col min="1" max="7" width="12.6328125" customWidth="1"/>
    <col min="8" max="8" width="5.6328125" customWidth="1"/>
    <col min="9" max="9" width="6" customWidth="1"/>
    <col min="10" max="11" width="12.6328125" customWidth="1"/>
  </cols>
  <sheetData>
    <row r="1" spans="1:11" ht="18.5" x14ac:dyDescent="0.45">
      <c r="A1" s="159" t="s">
        <v>161</v>
      </c>
      <c r="B1" s="160"/>
      <c r="C1" s="160"/>
      <c r="D1" s="160"/>
      <c r="E1" s="160"/>
      <c r="F1" s="160"/>
      <c r="G1" s="160"/>
      <c r="H1" s="160"/>
      <c r="I1" s="160"/>
      <c r="J1" s="160"/>
      <c r="K1" s="160"/>
    </row>
    <row r="3" spans="1:11" x14ac:dyDescent="0.35">
      <c r="A3" s="75" t="s">
        <v>144</v>
      </c>
      <c r="B3" s="100" t="s">
        <v>154</v>
      </c>
    </row>
    <row r="4" spans="1:11" x14ac:dyDescent="0.35">
      <c r="A4" s="75" t="s">
        <v>146</v>
      </c>
      <c r="B4" s="100" t="s">
        <v>147</v>
      </c>
    </row>
    <row r="6" spans="1:11" x14ac:dyDescent="0.35">
      <c r="A6" s="60" t="s">
        <v>145</v>
      </c>
      <c r="B6" s="60" t="s">
        <v>148</v>
      </c>
      <c r="C6" s="60" t="s">
        <v>149</v>
      </c>
      <c r="D6" s="60" t="s">
        <v>150</v>
      </c>
      <c r="E6" s="60" t="s">
        <v>151</v>
      </c>
      <c r="F6" s="60" t="s">
        <v>152</v>
      </c>
      <c r="G6" s="60" t="s">
        <v>153</v>
      </c>
      <c r="J6" s="158" t="s">
        <v>154</v>
      </c>
      <c r="K6" s="158"/>
    </row>
    <row r="7" spans="1:11" x14ac:dyDescent="0.35">
      <c r="A7" s="97">
        <v>44421</v>
      </c>
      <c r="B7">
        <v>1725.65</v>
      </c>
      <c r="C7">
        <v>1760.05</v>
      </c>
      <c r="D7">
        <f>C7-B7</f>
        <v>34.399999999999864</v>
      </c>
      <c r="E7" s="98">
        <f>D7/B7</f>
        <v>1.9934517428215375E-2</v>
      </c>
      <c r="F7">
        <v>16529.099999999999</v>
      </c>
      <c r="J7" s="103" t="s">
        <v>155</v>
      </c>
      <c r="K7" s="108">
        <f>AVERAGE(E7:E255)</f>
        <v>2.7693628615510992E-3</v>
      </c>
    </row>
    <row r="8" spans="1:11" x14ac:dyDescent="0.35">
      <c r="A8" s="97">
        <v>44424</v>
      </c>
      <c r="B8">
        <v>1760.05</v>
      </c>
      <c r="C8">
        <v>1734.2</v>
      </c>
      <c r="D8">
        <f t="shared" ref="D8:D71" si="0">C8-B8</f>
        <v>-25.849999999999909</v>
      </c>
      <c r="E8" s="98">
        <f t="shared" ref="E8:E71" si="1">D8/B8</f>
        <v>-1.468708275333082E-2</v>
      </c>
      <c r="F8">
        <v>16563.05</v>
      </c>
      <c r="G8" s="98">
        <f>F8/F7-1</f>
        <v>2.0539533307923907E-3</v>
      </c>
      <c r="J8" s="103" t="s">
        <v>156</v>
      </c>
      <c r="K8" s="107">
        <f>249*K7</f>
        <v>0.6895713525262237</v>
      </c>
    </row>
    <row r="9" spans="1:11" x14ac:dyDescent="0.35">
      <c r="A9" s="97">
        <v>44425</v>
      </c>
      <c r="B9">
        <v>1734.2</v>
      </c>
      <c r="C9">
        <v>1701.85</v>
      </c>
      <c r="D9">
        <f t="shared" si="0"/>
        <v>-32.350000000000136</v>
      </c>
      <c r="E9" s="98">
        <f t="shared" si="1"/>
        <v>-1.8654134471226002E-2</v>
      </c>
      <c r="F9">
        <v>16614.599999999999</v>
      </c>
      <c r="G9" s="98">
        <f t="shared" ref="G9:G72" si="2">F9/F8-1</f>
        <v>3.1123494766964743E-3</v>
      </c>
      <c r="J9" s="103" t="s">
        <v>157</v>
      </c>
      <c r="K9" s="103">
        <f>_xlfn.VAR.S(E7:E255)</f>
        <v>6.7436708987977511E-4</v>
      </c>
    </row>
    <row r="10" spans="1:11" x14ac:dyDescent="0.35">
      <c r="A10" s="97">
        <v>44426</v>
      </c>
      <c r="B10">
        <v>1701.85</v>
      </c>
      <c r="C10">
        <v>1696.75</v>
      </c>
      <c r="D10">
        <f t="shared" si="0"/>
        <v>-5.0999999999999091</v>
      </c>
      <c r="E10" s="98">
        <f t="shared" si="1"/>
        <v>-2.9967388430237152E-3</v>
      </c>
      <c r="F10">
        <v>16568.849999999999</v>
      </c>
      <c r="G10" s="98">
        <f t="shared" si="2"/>
        <v>-2.7536022534397908E-3</v>
      </c>
      <c r="J10" s="104" t="s">
        <v>158</v>
      </c>
      <c r="K10" s="103">
        <f>249*K9</f>
        <v>0.167917405380064</v>
      </c>
    </row>
    <row r="11" spans="1:11" x14ac:dyDescent="0.35">
      <c r="A11" s="97">
        <v>44428</v>
      </c>
      <c r="B11">
        <v>1696.75</v>
      </c>
      <c r="C11">
        <v>1671.65</v>
      </c>
      <c r="D11">
        <f t="shared" si="0"/>
        <v>-25.099999999999909</v>
      </c>
      <c r="E11" s="98">
        <f t="shared" si="1"/>
        <v>-1.4792986592014092E-2</v>
      </c>
      <c r="F11">
        <v>16450.5</v>
      </c>
      <c r="G11" s="98">
        <f t="shared" si="2"/>
        <v>-7.1429218080916179E-3</v>
      </c>
      <c r="J11" s="104" t="s">
        <v>159</v>
      </c>
      <c r="K11" s="107">
        <f>SQRT(K10)</f>
        <v>0.40977726313213619</v>
      </c>
    </row>
    <row r="12" spans="1:11" x14ac:dyDescent="0.35">
      <c r="A12" s="97">
        <v>44431</v>
      </c>
      <c r="B12">
        <v>1671.65</v>
      </c>
      <c r="C12">
        <v>1683.7</v>
      </c>
      <c r="D12">
        <f t="shared" si="0"/>
        <v>12.049999999999955</v>
      </c>
      <c r="E12" s="98">
        <f t="shared" si="1"/>
        <v>7.2084467442347106E-3</v>
      </c>
      <c r="F12">
        <v>16496.45</v>
      </c>
      <c r="G12" s="98">
        <f t="shared" si="2"/>
        <v>2.7932281693565653E-3</v>
      </c>
      <c r="J12" s="103" t="s">
        <v>160</v>
      </c>
      <c r="K12" s="109">
        <f>K8/K11</f>
        <v>1.68279554423171</v>
      </c>
    </row>
    <row r="13" spans="1:11" x14ac:dyDescent="0.35">
      <c r="A13" s="97">
        <v>44432</v>
      </c>
      <c r="B13">
        <v>1683.7</v>
      </c>
      <c r="C13">
        <v>1706.65</v>
      </c>
      <c r="D13">
        <f t="shared" si="0"/>
        <v>22.950000000000045</v>
      </c>
      <c r="E13" s="98">
        <f t="shared" si="1"/>
        <v>1.363069430421099E-2</v>
      </c>
      <c r="F13">
        <v>16624.599999999999</v>
      </c>
      <c r="G13" s="98">
        <f t="shared" si="2"/>
        <v>7.7683380363653409E-3</v>
      </c>
      <c r="J13" s="104" t="s">
        <v>90</v>
      </c>
      <c r="K13" s="110">
        <f>SLOPE(E7:E255,G7:G255)</f>
        <v>0.56951988534166698</v>
      </c>
    </row>
    <row r="14" spans="1:11" x14ac:dyDescent="0.35">
      <c r="A14" s="97">
        <v>44433</v>
      </c>
      <c r="B14">
        <v>1706.65</v>
      </c>
      <c r="C14">
        <v>1705.25</v>
      </c>
      <c r="D14">
        <f t="shared" si="0"/>
        <v>-1.4000000000000909</v>
      </c>
      <c r="E14" s="98">
        <f t="shared" si="1"/>
        <v>-8.2032051094254297E-4</v>
      </c>
      <c r="F14">
        <v>16634.650000000001</v>
      </c>
      <c r="G14" s="98">
        <f t="shared" si="2"/>
        <v>6.0452582317793713E-4</v>
      </c>
    </row>
    <row r="15" spans="1:11" x14ac:dyDescent="0.35">
      <c r="A15" s="97">
        <v>44434</v>
      </c>
      <c r="B15">
        <v>1705.25</v>
      </c>
      <c r="C15">
        <v>1700.75</v>
      </c>
      <c r="D15">
        <f t="shared" si="0"/>
        <v>-4.5</v>
      </c>
      <c r="E15" s="98">
        <f t="shared" si="1"/>
        <v>-2.6389092508429849E-3</v>
      </c>
      <c r="F15">
        <v>16636.900000000001</v>
      </c>
      <c r="G15" s="98">
        <f t="shared" si="2"/>
        <v>1.3525983414131026E-4</v>
      </c>
    </row>
    <row r="16" spans="1:11" x14ac:dyDescent="0.35">
      <c r="A16" s="97">
        <v>44435</v>
      </c>
      <c r="B16">
        <v>1700.75</v>
      </c>
      <c r="C16">
        <v>1724.25</v>
      </c>
      <c r="D16">
        <f t="shared" si="0"/>
        <v>23.5</v>
      </c>
      <c r="E16" s="98">
        <f t="shared" si="1"/>
        <v>1.3817433485227106E-2</v>
      </c>
      <c r="F16">
        <v>16705.2</v>
      </c>
      <c r="G16" s="98">
        <f t="shared" si="2"/>
        <v>4.1053321231718787E-3</v>
      </c>
    </row>
    <row r="17" spans="1:10" x14ac:dyDescent="0.35">
      <c r="A17" s="97">
        <v>44438</v>
      </c>
      <c r="B17">
        <v>1724.25</v>
      </c>
      <c r="C17">
        <v>1747.5</v>
      </c>
      <c r="D17">
        <f t="shared" si="0"/>
        <v>23.25</v>
      </c>
      <c r="E17" s="98">
        <f t="shared" si="1"/>
        <v>1.3484123531970421E-2</v>
      </c>
      <c r="F17">
        <v>16931.05</v>
      </c>
      <c r="G17" s="98">
        <f t="shared" si="2"/>
        <v>1.3519742355673658E-2</v>
      </c>
      <c r="J17" s="42"/>
    </row>
    <row r="18" spans="1:10" x14ac:dyDescent="0.35">
      <c r="A18" s="97">
        <v>44439</v>
      </c>
      <c r="B18">
        <v>1747.5</v>
      </c>
      <c r="C18">
        <v>1749.45</v>
      </c>
      <c r="D18">
        <f t="shared" si="0"/>
        <v>1.9500000000000455</v>
      </c>
      <c r="E18" s="98">
        <f t="shared" si="1"/>
        <v>1.1158798283262062E-3</v>
      </c>
      <c r="F18">
        <v>17132.2</v>
      </c>
      <c r="G18" s="98">
        <f t="shared" si="2"/>
        <v>1.1880539009689439E-2</v>
      </c>
    </row>
    <row r="19" spans="1:10" x14ac:dyDescent="0.35">
      <c r="A19" s="97">
        <v>44440</v>
      </c>
      <c r="B19">
        <v>1749.45</v>
      </c>
      <c r="C19">
        <v>1749.95</v>
      </c>
      <c r="D19">
        <f t="shared" si="0"/>
        <v>0.5</v>
      </c>
      <c r="E19" s="98">
        <f t="shared" si="1"/>
        <v>2.8580410986309981E-4</v>
      </c>
      <c r="F19">
        <v>17076.25</v>
      </c>
      <c r="G19" s="98">
        <f t="shared" si="2"/>
        <v>-3.2657802267076486E-3</v>
      </c>
    </row>
    <row r="20" spans="1:10" x14ac:dyDescent="0.35">
      <c r="A20" s="97">
        <v>44441</v>
      </c>
      <c r="B20">
        <v>1749.95</v>
      </c>
      <c r="C20">
        <v>1755.6</v>
      </c>
      <c r="D20">
        <f t="shared" si="0"/>
        <v>5.6499999999998636</v>
      </c>
      <c r="E20" s="98">
        <f t="shared" si="1"/>
        <v>3.2286636761049534E-3</v>
      </c>
      <c r="F20">
        <v>17234.150000000001</v>
      </c>
      <c r="G20" s="98">
        <f t="shared" si="2"/>
        <v>9.2467608520607758E-3</v>
      </c>
    </row>
    <row r="21" spans="1:10" x14ac:dyDescent="0.35">
      <c r="A21" s="97">
        <v>44442</v>
      </c>
      <c r="B21">
        <v>1755.6</v>
      </c>
      <c r="C21">
        <v>1768.4</v>
      </c>
      <c r="D21">
        <f t="shared" si="0"/>
        <v>12.800000000000182</v>
      </c>
      <c r="E21" s="98">
        <f t="shared" si="1"/>
        <v>7.2909546593758158E-3</v>
      </c>
      <c r="F21">
        <v>17323.599999999999</v>
      </c>
      <c r="G21" s="98">
        <f t="shared" si="2"/>
        <v>5.1902762828452964E-3</v>
      </c>
    </row>
    <row r="22" spans="1:10" x14ac:dyDescent="0.35">
      <c r="A22" s="97">
        <v>44445</v>
      </c>
      <c r="B22">
        <v>1768.4</v>
      </c>
      <c r="C22">
        <v>1758.5</v>
      </c>
      <c r="D22">
        <f t="shared" si="0"/>
        <v>-9.9000000000000909</v>
      </c>
      <c r="E22" s="98">
        <f t="shared" si="1"/>
        <v>-5.598280931915907E-3</v>
      </c>
      <c r="F22">
        <v>17377.8</v>
      </c>
      <c r="G22" s="98">
        <f t="shared" si="2"/>
        <v>3.1286799510494845E-3</v>
      </c>
    </row>
    <row r="23" spans="1:10" x14ac:dyDescent="0.35">
      <c r="A23" s="97">
        <v>44446</v>
      </c>
      <c r="B23">
        <v>1758.5</v>
      </c>
      <c r="C23">
        <v>1731</v>
      </c>
      <c r="D23">
        <f t="shared" si="0"/>
        <v>-27.5</v>
      </c>
      <c r="E23" s="98">
        <f t="shared" si="1"/>
        <v>-1.5638328120557293E-2</v>
      </c>
      <c r="F23">
        <v>17362.099999999999</v>
      </c>
      <c r="G23" s="98">
        <f t="shared" si="2"/>
        <v>-9.0345153011317514E-4</v>
      </c>
    </row>
    <row r="24" spans="1:10" x14ac:dyDescent="0.35">
      <c r="A24" s="97">
        <v>44447</v>
      </c>
      <c r="B24">
        <v>1731</v>
      </c>
      <c r="C24">
        <v>1743.35</v>
      </c>
      <c r="D24">
        <f t="shared" si="0"/>
        <v>12.349999999999909</v>
      </c>
      <c r="E24" s="98">
        <f t="shared" si="1"/>
        <v>7.134604274985505E-3</v>
      </c>
      <c r="F24">
        <v>17353.5</v>
      </c>
      <c r="G24" s="98">
        <f t="shared" si="2"/>
        <v>-4.9533178590144278E-4</v>
      </c>
    </row>
    <row r="25" spans="1:10" x14ac:dyDescent="0.35">
      <c r="A25" s="97">
        <v>44448</v>
      </c>
      <c r="B25">
        <v>1743.35</v>
      </c>
      <c r="C25">
        <v>1788.75</v>
      </c>
      <c r="D25">
        <f t="shared" si="0"/>
        <v>45.400000000000091</v>
      </c>
      <c r="E25" s="98">
        <f t="shared" si="1"/>
        <v>2.6041816043823725E-2</v>
      </c>
      <c r="F25">
        <v>17369.25</v>
      </c>
      <c r="G25" s="98">
        <f t="shared" si="2"/>
        <v>9.0759789091543475E-4</v>
      </c>
    </row>
    <row r="26" spans="1:10" x14ac:dyDescent="0.35">
      <c r="A26" s="97">
        <v>44452</v>
      </c>
      <c r="B26">
        <v>1788.75</v>
      </c>
      <c r="C26">
        <v>1805.75</v>
      </c>
      <c r="D26">
        <f t="shared" si="0"/>
        <v>17</v>
      </c>
      <c r="E26" s="98">
        <f t="shared" si="1"/>
        <v>9.5038434661076174E-3</v>
      </c>
      <c r="F26">
        <v>17355.3</v>
      </c>
      <c r="G26" s="98">
        <f t="shared" si="2"/>
        <v>-8.0314348633370169E-4</v>
      </c>
    </row>
    <row r="27" spans="1:10" x14ac:dyDescent="0.35">
      <c r="A27" s="97">
        <v>44453</v>
      </c>
      <c r="B27">
        <v>1805.75</v>
      </c>
      <c r="C27">
        <v>1987.55</v>
      </c>
      <c r="D27">
        <f t="shared" si="0"/>
        <v>181.79999999999995</v>
      </c>
      <c r="E27" s="98">
        <f t="shared" si="1"/>
        <v>0.10067838848124046</v>
      </c>
      <c r="F27">
        <v>17380</v>
      </c>
      <c r="G27" s="98">
        <f t="shared" si="2"/>
        <v>1.4231963722897145E-3</v>
      </c>
    </row>
    <row r="28" spans="1:10" x14ac:dyDescent="0.35">
      <c r="A28" s="97">
        <v>44454</v>
      </c>
      <c r="B28">
        <v>1987.55</v>
      </c>
      <c r="C28">
        <v>1987</v>
      </c>
      <c r="D28">
        <f t="shared" si="0"/>
        <v>-0.54999999999995453</v>
      </c>
      <c r="E28" s="98">
        <f t="shared" si="1"/>
        <v>-2.76722598173608E-4</v>
      </c>
      <c r="F28">
        <v>17519.45</v>
      </c>
      <c r="G28" s="98">
        <f t="shared" si="2"/>
        <v>8.0235903337169123E-3</v>
      </c>
    </row>
    <row r="29" spans="1:10" x14ac:dyDescent="0.35">
      <c r="A29" s="97">
        <v>44455</v>
      </c>
      <c r="B29">
        <v>1987</v>
      </c>
      <c r="C29">
        <v>1963.25</v>
      </c>
      <c r="D29">
        <f t="shared" si="0"/>
        <v>-23.75</v>
      </c>
      <c r="E29" s="98">
        <f t="shared" si="1"/>
        <v>-1.1952692501258178E-2</v>
      </c>
      <c r="F29">
        <v>17629.5</v>
      </c>
      <c r="G29" s="98">
        <f t="shared" si="2"/>
        <v>6.2815898900936418E-3</v>
      </c>
    </row>
    <row r="30" spans="1:10" x14ac:dyDescent="0.35">
      <c r="A30" s="97">
        <v>44456</v>
      </c>
      <c r="B30">
        <v>1963.25</v>
      </c>
      <c r="C30">
        <v>1979.1</v>
      </c>
      <c r="D30">
        <f t="shared" si="0"/>
        <v>15.849999999999909</v>
      </c>
      <c r="E30" s="98">
        <f t="shared" si="1"/>
        <v>8.0733477651852327E-3</v>
      </c>
      <c r="F30">
        <v>17585.150000000001</v>
      </c>
      <c r="G30" s="98">
        <f t="shared" si="2"/>
        <v>-2.5156697580758225E-3</v>
      </c>
    </row>
    <row r="31" spans="1:10" x14ac:dyDescent="0.35">
      <c r="A31" s="97">
        <v>44459</v>
      </c>
      <c r="B31">
        <v>1979.1</v>
      </c>
      <c r="C31">
        <v>1928.05</v>
      </c>
      <c r="D31">
        <f t="shared" si="0"/>
        <v>-51.049999999999955</v>
      </c>
      <c r="E31" s="98">
        <f t="shared" si="1"/>
        <v>-2.5794553079682661E-2</v>
      </c>
      <c r="F31">
        <v>17396.900000000001</v>
      </c>
      <c r="G31" s="98">
        <f t="shared" si="2"/>
        <v>-1.0705055117528173E-2</v>
      </c>
    </row>
    <row r="32" spans="1:10" x14ac:dyDescent="0.35">
      <c r="A32" s="97">
        <v>44460</v>
      </c>
      <c r="B32">
        <v>1928.05</v>
      </c>
      <c r="C32">
        <v>1952.75</v>
      </c>
      <c r="D32">
        <f t="shared" si="0"/>
        <v>24.700000000000045</v>
      </c>
      <c r="E32" s="98">
        <f t="shared" si="1"/>
        <v>1.281087108736809E-2</v>
      </c>
      <c r="F32">
        <v>17562</v>
      </c>
      <c r="G32" s="98">
        <f t="shared" si="2"/>
        <v>9.4901965292666368E-3</v>
      </c>
    </row>
    <row r="33" spans="1:7" x14ac:dyDescent="0.35">
      <c r="A33" s="97">
        <v>44461</v>
      </c>
      <c r="B33">
        <v>1952.75</v>
      </c>
      <c r="C33">
        <v>1978.35</v>
      </c>
      <c r="D33">
        <f t="shared" si="0"/>
        <v>25.599999999999909</v>
      </c>
      <c r="E33" s="98">
        <f t="shared" si="1"/>
        <v>1.3109717065676563E-2</v>
      </c>
      <c r="F33">
        <v>17546.650000000001</v>
      </c>
      <c r="G33" s="98">
        <f t="shared" si="2"/>
        <v>-8.7404623619169453E-4</v>
      </c>
    </row>
    <row r="34" spans="1:7" x14ac:dyDescent="0.35">
      <c r="A34" s="97">
        <v>44462</v>
      </c>
      <c r="B34">
        <v>1978.35</v>
      </c>
      <c r="C34">
        <v>1999.9</v>
      </c>
      <c r="D34">
        <f t="shared" si="0"/>
        <v>21.550000000000182</v>
      </c>
      <c r="E34" s="98">
        <f t="shared" si="1"/>
        <v>1.0892915813683212E-2</v>
      </c>
      <c r="F34">
        <v>17822.95</v>
      </c>
      <c r="G34" s="98">
        <f t="shared" si="2"/>
        <v>1.574659550398505E-2</v>
      </c>
    </row>
    <row r="35" spans="1:7" x14ac:dyDescent="0.35">
      <c r="A35" s="97">
        <v>44463</v>
      </c>
      <c r="B35">
        <v>1999.9</v>
      </c>
      <c r="C35">
        <v>2009.45</v>
      </c>
      <c r="D35">
        <f t="shared" si="0"/>
        <v>9.5499999999999545</v>
      </c>
      <c r="E35" s="98">
        <f t="shared" si="1"/>
        <v>4.7752387619380736E-3</v>
      </c>
      <c r="F35">
        <v>17853.2</v>
      </c>
      <c r="G35" s="98">
        <f t="shared" si="2"/>
        <v>1.6972498940972525E-3</v>
      </c>
    </row>
    <row r="36" spans="1:7" x14ac:dyDescent="0.35">
      <c r="A36" s="97">
        <v>44466</v>
      </c>
      <c r="B36">
        <v>2009.45</v>
      </c>
      <c r="C36">
        <v>2007</v>
      </c>
      <c r="D36">
        <f t="shared" si="0"/>
        <v>-2.4500000000000455</v>
      </c>
      <c r="E36" s="98">
        <f t="shared" si="1"/>
        <v>-1.219239095274849E-3</v>
      </c>
      <c r="F36">
        <v>17855.099999999999</v>
      </c>
      <c r="G36" s="98">
        <f t="shared" si="2"/>
        <v>1.0642349830836118E-4</v>
      </c>
    </row>
    <row r="37" spans="1:7" x14ac:dyDescent="0.35">
      <c r="A37" s="97">
        <v>44467</v>
      </c>
      <c r="B37">
        <v>2007</v>
      </c>
      <c r="C37">
        <v>1996.3</v>
      </c>
      <c r="D37">
        <f t="shared" si="0"/>
        <v>-10.700000000000045</v>
      </c>
      <c r="E37" s="98">
        <f t="shared" si="1"/>
        <v>-5.3313403089188067E-3</v>
      </c>
      <c r="F37">
        <v>17748.599999999999</v>
      </c>
      <c r="G37" s="98">
        <f t="shared" si="2"/>
        <v>-5.9646823596619658E-3</v>
      </c>
    </row>
    <row r="38" spans="1:7" x14ac:dyDescent="0.35">
      <c r="A38" s="97">
        <v>44468</v>
      </c>
      <c r="B38">
        <v>1996.3</v>
      </c>
      <c r="C38">
        <v>2015</v>
      </c>
      <c r="D38">
        <f t="shared" si="0"/>
        <v>18.700000000000045</v>
      </c>
      <c r="E38" s="98">
        <f t="shared" si="1"/>
        <v>9.367329559685441E-3</v>
      </c>
      <c r="F38">
        <v>17711.3</v>
      </c>
      <c r="G38" s="98">
        <f t="shared" si="2"/>
        <v>-2.1015742086699651E-3</v>
      </c>
    </row>
    <row r="39" spans="1:7" x14ac:dyDescent="0.35">
      <c r="A39" s="97">
        <v>44469</v>
      </c>
      <c r="B39">
        <v>2015</v>
      </c>
      <c r="C39">
        <v>2118.3000000000002</v>
      </c>
      <c r="D39">
        <f t="shared" si="0"/>
        <v>103.30000000000018</v>
      </c>
      <c r="E39" s="98">
        <f t="shared" si="1"/>
        <v>5.1265508684863612E-2</v>
      </c>
      <c r="F39">
        <v>17618.150000000001</v>
      </c>
      <c r="G39" s="98">
        <f t="shared" si="2"/>
        <v>-5.2593541976024838E-3</v>
      </c>
    </row>
    <row r="40" spans="1:7" x14ac:dyDescent="0.35">
      <c r="A40" s="97">
        <v>44470</v>
      </c>
      <c r="B40">
        <v>2118.3000000000002</v>
      </c>
      <c r="C40">
        <v>2166.9</v>
      </c>
      <c r="D40">
        <f t="shared" si="0"/>
        <v>48.599999999999909</v>
      </c>
      <c r="E40" s="98">
        <f t="shared" si="1"/>
        <v>2.2942925931171178E-2</v>
      </c>
      <c r="F40">
        <v>17532.05</v>
      </c>
      <c r="G40" s="98">
        <f t="shared" si="2"/>
        <v>-4.8870057298866509E-3</v>
      </c>
    </row>
    <row r="41" spans="1:7" x14ac:dyDescent="0.35">
      <c r="A41" s="97">
        <v>44473</v>
      </c>
      <c r="B41">
        <v>2166.9</v>
      </c>
      <c r="C41">
        <v>2418.75</v>
      </c>
      <c r="D41">
        <f t="shared" si="0"/>
        <v>251.84999999999991</v>
      </c>
      <c r="E41" s="98">
        <f t="shared" si="1"/>
        <v>0.11622594489824169</v>
      </c>
      <c r="F41">
        <v>17691.25</v>
      </c>
      <c r="G41" s="98">
        <f t="shared" si="2"/>
        <v>9.0805125470210246E-3</v>
      </c>
    </row>
    <row r="42" spans="1:7" x14ac:dyDescent="0.35">
      <c r="A42" s="97">
        <v>44474</v>
      </c>
      <c r="B42">
        <v>2418.75</v>
      </c>
      <c r="C42">
        <v>2404</v>
      </c>
      <c r="D42">
        <f t="shared" si="0"/>
        <v>-14.75</v>
      </c>
      <c r="E42" s="98">
        <f t="shared" si="1"/>
        <v>-6.0981912144702846E-3</v>
      </c>
      <c r="F42">
        <v>17822.3</v>
      </c>
      <c r="G42" s="98">
        <f t="shared" si="2"/>
        <v>7.4076167596974773E-3</v>
      </c>
    </row>
    <row r="43" spans="1:7" x14ac:dyDescent="0.35">
      <c r="A43" s="97">
        <v>44475</v>
      </c>
      <c r="B43">
        <v>2404</v>
      </c>
      <c r="C43">
        <v>2333.3000000000002</v>
      </c>
      <c r="D43">
        <f t="shared" si="0"/>
        <v>-70.699999999999818</v>
      </c>
      <c r="E43" s="98">
        <f t="shared" si="1"/>
        <v>-2.940931780366049E-2</v>
      </c>
      <c r="F43">
        <v>17646</v>
      </c>
      <c r="G43" s="98">
        <f t="shared" si="2"/>
        <v>-9.8921014683850395E-3</v>
      </c>
    </row>
    <row r="44" spans="1:7" x14ac:dyDescent="0.35">
      <c r="A44" s="97">
        <v>44476</v>
      </c>
      <c r="B44">
        <v>2333.3000000000002</v>
      </c>
      <c r="C44">
        <v>2321.3000000000002</v>
      </c>
      <c r="D44">
        <f t="shared" si="0"/>
        <v>-12</v>
      </c>
      <c r="E44" s="98">
        <f t="shared" si="1"/>
        <v>-5.1429306132944755E-3</v>
      </c>
      <c r="F44">
        <v>17790.349999999999</v>
      </c>
      <c r="G44" s="98">
        <f t="shared" si="2"/>
        <v>8.1803241527824699E-3</v>
      </c>
    </row>
    <row r="45" spans="1:7" x14ac:dyDescent="0.35">
      <c r="A45" s="97">
        <v>44477</v>
      </c>
      <c r="B45">
        <v>2321.3000000000002</v>
      </c>
      <c r="C45">
        <v>2413.4499999999998</v>
      </c>
      <c r="D45">
        <f t="shared" si="0"/>
        <v>92.149999999999636</v>
      </c>
      <c r="E45" s="98">
        <f t="shared" si="1"/>
        <v>3.9697583250764501E-2</v>
      </c>
      <c r="F45">
        <v>17895.2</v>
      </c>
      <c r="G45" s="98">
        <f t="shared" si="2"/>
        <v>5.893644588217839E-3</v>
      </c>
    </row>
    <row r="46" spans="1:7" x14ac:dyDescent="0.35">
      <c r="A46" s="97">
        <v>44480</v>
      </c>
      <c r="B46">
        <v>2413.4499999999998</v>
      </c>
      <c r="C46">
        <v>2497.25</v>
      </c>
      <c r="D46">
        <f t="shared" si="0"/>
        <v>83.800000000000182</v>
      </c>
      <c r="E46" s="98">
        <f t="shared" si="1"/>
        <v>3.4722078352565904E-2</v>
      </c>
      <c r="F46">
        <v>17945.95</v>
      </c>
      <c r="G46" s="98">
        <f t="shared" si="2"/>
        <v>2.8359560105504222E-3</v>
      </c>
    </row>
    <row r="47" spans="1:7" x14ac:dyDescent="0.35">
      <c r="A47" s="97">
        <v>44481</v>
      </c>
      <c r="B47">
        <v>2497.25</v>
      </c>
      <c r="C47">
        <v>2529.9</v>
      </c>
      <c r="D47">
        <f t="shared" si="0"/>
        <v>32.650000000000091</v>
      </c>
      <c r="E47" s="98">
        <f t="shared" si="1"/>
        <v>1.3074381820002038E-2</v>
      </c>
      <c r="F47">
        <v>17991.95</v>
      </c>
      <c r="G47" s="98">
        <f t="shared" si="2"/>
        <v>2.5632524330001516E-3</v>
      </c>
    </row>
    <row r="48" spans="1:7" x14ac:dyDescent="0.35">
      <c r="A48" s="97">
        <v>44482</v>
      </c>
      <c r="B48">
        <v>2529.9</v>
      </c>
      <c r="C48">
        <v>2538.15</v>
      </c>
      <c r="D48">
        <f t="shared" si="0"/>
        <v>8.25</v>
      </c>
      <c r="E48" s="98">
        <f t="shared" si="1"/>
        <v>3.2609984584370923E-3</v>
      </c>
      <c r="F48">
        <v>18161.75</v>
      </c>
      <c r="G48" s="98">
        <f t="shared" si="2"/>
        <v>9.4375540172131345E-3</v>
      </c>
    </row>
    <row r="49" spans="1:7" x14ac:dyDescent="0.35">
      <c r="A49" s="97">
        <v>44483</v>
      </c>
      <c r="B49">
        <v>2538.15</v>
      </c>
      <c r="C49">
        <v>2532.4499999999998</v>
      </c>
      <c r="D49">
        <f t="shared" si="0"/>
        <v>-5.7000000000002728</v>
      </c>
      <c r="E49" s="98">
        <f t="shared" si="1"/>
        <v>-2.2457301577921999E-3</v>
      </c>
      <c r="F49">
        <v>18338.55</v>
      </c>
      <c r="G49" s="98">
        <f t="shared" si="2"/>
        <v>9.7347447244895413E-3</v>
      </c>
    </row>
    <row r="50" spans="1:7" x14ac:dyDescent="0.35">
      <c r="A50" s="97">
        <v>44487</v>
      </c>
      <c r="B50">
        <v>2532.4499999999998</v>
      </c>
      <c r="C50">
        <v>2697.35</v>
      </c>
      <c r="D50">
        <f t="shared" si="0"/>
        <v>164.90000000000009</v>
      </c>
      <c r="E50" s="98">
        <f t="shared" si="1"/>
        <v>6.5114809769195883E-2</v>
      </c>
      <c r="F50">
        <v>18477.05</v>
      </c>
      <c r="G50" s="98">
        <f t="shared" si="2"/>
        <v>7.5523964544634836E-3</v>
      </c>
    </row>
    <row r="51" spans="1:7" x14ac:dyDescent="0.35">
      <c r="A51" s="97">
        <v>44488</v>
      </c>
      <c r="B51">
        <v>2697.35</v>
      </c>
      <c r="C51">
        <v>2715.15</v>
      </c>
      <c r="D51">
        <f t="shared" si="0"/>
        <v>17.800000000000182</v>
      </c>
      <c r="E51" s="98">
        <f t="shared" si="1"/>
        <v>6.5990694570597745E-3</v>
      </c>
      <c r="F51">
        <v>18418.75</v>
      </c>
      <c r="G51" s="98">
        <f t="shared" si="2"/>
        <v>-3.1552655862272516E-3</v>
      </c>
    </row>
    <row r="52" spans="1:7" x14ac:dyDescent="0.35">
      <c r="A52" s="97">
        <v>44489</v>
      </c>
      <c r="B52">
        <v>2715.15</v>
      </c>
      <c r="C52">
        <v>2585.1</v>
      </c>
      <c r="D52">
        <f t="shared" si="0"/>
        <v>-130.05000000000018</v>
      </c>
      <c r="E52" s="98">
        <f t="shared" si="1"/>
        <v>-4.7897906193028077E-2</v>
      </c>
      <c r="F52">
        <v>18266.599999999999</v>
      </c>
      <c r="G52" s="98">
        <f t="shared" si="2"/>
        <v>-8.2606040040720252E-3</v>
      </c>
    </row>
    <row r="53" spans="1:7" x14ac:dyDescent="0.35">
      <c r="A53" s="97">
        <v>44490</v>
      </c>
      <c r="B53">
        <v>2585.1</v>
      </c>
      <c r="C53">
        <v>2502.9499999999998</v>
      </c>
      <c r="D53">
        <f t="shared" si="0"/>
        <v>-82.150000000000091</v>
      </c>
      <c r="E53" s="98">
        <f t="shared" si="1"/>
        <v>-3.1778267765270242E-2</v>
      </c>
      <c r="F53">
        <v>18178.099999999999</v>
      </c>
      <c r="G53" s="98">
        <f t="shared" si="2"/>
        <v>-4.8449081930955762E-3</v>
      </c>
    </row>
    <row r="54" spans="1:7" x14ac:dyDescent="0.35">
      <c r="A54" s="97">
        <v>44491</v>
      </c>
      <c r="B54">
        <v>2502.9499999999998</v>
      </c>
      <c r="C54">
        <v>2208.4499999999998</v>
      </c>
      <c r="D54">
        <f t="shared" si="0"/>
        <v>-294.5</v>
      </c>
      <c r="E54" s="98">
        <f t="shared" si="1"/>
        <v>-0.11766115983139895</v>
      </c>
      <c r="F54">
        <v>18114.900000000001</v>
      </c>
      <c r="G54" s="98">
        <f t="shared" si="2"/>
        <v>-3.4767109873967694E-3</v>
      </c>
    </row>
    <row r="55" spans="1:7" x14ac:dyDescent="0.35">
      <c r="A55" s="97">
        <v>44494</v>
      </c>
      <c r="B55">
        <v>2208.4499999999998</v>
      </c>
      <c r="C55">
        <v>2337.85</v>
      </c>
      <c r="D55">
        <f t="shared" si="0"/>
        <v>129.40000000000009</v>
      </c>
      <c r="E55" s="98">
        <f t="shared" si="1"/>
        <v>5.8593130928932105E-2</v>
      </c>
      <c r="F55">
        <v>18125.400000000001</v>
      </c>
      <c r="G55" s="98">
        <f t="shared" si="2"/>
        <v>5.7963334050969983E-4</v>
      </c>
    </row>
    <row r="56" spans="1:7" x14ac:dyDescent="0.35">
      <c r="A56" s="97">
        <v>44495</v>
      </c>
      <c r="B56">
        <v>2337.85</v>
      </c>
      <c r="C56">
        <v>2449.25</v>
      </c>
      <c r="D56">
        <f t="shared" si="0"/>
        <v>111.40000000000009</v>
      </c>
      <c r="E56" s="98">
        <f t="shared" si="1"/>
        <v>4.7650619158628699E-2</v>
      </c>
      <c r="F56">
        <v>18268.400000000001</v>
      </c>
      <c r="G56" s="98">
        <f t="shared" si="2"/>
        <v>7.8894810597283094E-3</v>
      </c>
    </row>
    <row r="57" spans="1:7" x14ac:dyDescent="0.35">
      <c r="A57" s="97">
        <v>44496</v>
      </c>
      <c r="B57">
        <v>2449.25</v>
      </c>
      <c r="C57">
        <v>2538.65</v>
      </c>
      <c r="D57">
        <f t="shared" si="0"/>
        <v>89.400000000000091</v>
      </c>
      <c r="E57" s="98">
        <f t="shared" si="1"/>
        <v>3.6500969684597366E-2</v>
      </c>
      <c r="F57">
        <v>18210.95</v>
      </c>
      <c r="G57" s="98">
        <f t="shared" si="2"/>
        <v>-3.1447745834337626E-3</v>
      </c>
    </row>
    <row r="58" spans="1:7" x14ac:dyDescent="0.35">
      <c r="A58" s="97">
        <v>44497</v>
      </c>
      <c r="B58">
        <v>2538.65</v>
      </c>
      <c r="C58">
        <v>2498.6</v>
      </c>
      <c r="D58">
        <f t="shared" si="0"/>
        <v>-40.050000000000182</v>
      </c>
      <c r="E58" s="98">
        <f t="shared" si="1"/>
        <v>-1.5776101471254477E-2</v>
      </c>
      <c r="F58">
        <v>17857.25</v>
      </c>
      <c r="G58" s="98">
        <f t="shared" si="2"/>
        <v>-1.9422380490858537E-2</v>
      </c>
    </row>
    <row r="59" spans="1:7" x14ac:dyDescent="0.35">
      <c r="A59" s="97">
        <v>44498</v>
      </c>
      <c r="B59">
        <v>2498.6</v>
      </c>
      <c r="C59">
        <v>2487.0500000000002</v>
      </c>
      <c r="D59">
        <f t="shared" si="0"/>
        <v>-11.549999999999727</v>
      </c>
      <c r="E59" s="98">
        <f t="shared" si="1"/>
        <v>-4.6225886496436917E-3</v>
      </c>
      <c r="F59">
        <v>17671.650000000001</v>
      </c>
      <c r="G59" s="98">
        <f t="shared" si="2"/>
        <v>-1.0393537638774042E-2</v>
      </c>
    </row>
    <row r="60" spans="1:7" x14ac:dyDescent="0.35">
      <c r="A60" s="97">
        <v>44501</v>
      </c>
      <c r="B60">
        <v>2487.0500000000002</v>
      </c>
      <c r="C60">
        <v>2417.9499999999998</v>
      </c>
      <c r="D60">
        <f t="shared" si="0"/>
        <v>-69.100000000000364</v>
      </c>
      <c r="E60" s="98">
        <f t="shared" si="1"/>
        <v>-2.7783920709274185E-2</v>
      </c>
      <c r="F60">
        <v>17929.650000000001</v>
      </c>
      <c r="G60" s="98">
        <f t="shared" si="2"/>
        <v>1.4599655380227672E-2</v>
      </c>
    </row>
    <row r="61" spans="1:7" x14ac:dyDescent="0.35">
      <c r="A61" s="97">
        <v>44502</v>
      </c>
      <c r="B61">
        <v>2417.9499999999998</v>
      </c>
      <c r="C61">
        <v>2393.1999999999998</v>
      </c>
      <c r="D61">
        <f t="shared" si="0"/>
        <v>-24.75</v>
      </c>
      <c r="E61" s="98">
        <f t="shared" si="1"/>
        <v>-1.0235943671291797E-2</v>
      </c>
      <c r="F61">
        <v>17888.95</v>
      </c>
      <c r="G61" s="98">
        <f t="shared" si="2"/>
        <v>-2.2699829611844136E-3</v>
      </c>
    </row>
    <row r="62" spans="1:7" x14ac:dyDescent="0.35">
      <c r="A62" s="97">
        <v>44503</v>
      </c>
      <c r="B62">
        <v>2393.1999999999998</v>
      </c>
      <c r="C62">
        <v>2270.3000000000002</v>
      </c>
      <c r="D62">
        <f t="shared" si="0"/>
        <v>-122.89999999999964</v>
      </c>
      <c r="E62" s="98">
        <f t="shared" si="1"/>
        <v>-5.1353835868293347E-2</v>
      </c>
      <c r="F62">
        <v>17829.2</v>
      </c>
      <c r="G62" s="98">
        <f t="shared" si="2"/>
        <v>-3.3400507016901892E-3</v>
      </c>
    </row>
    <row r="63" spans="1:7" x14ac:dyDescent="0.35">
      <c r="A63" s="97">
        <v>44504</v>
      </c>
      <c r="B63">
        <v>2270.3000000000002</v>
      </c>
      <c r="C63">
        <v>2324.4</v>
      </c>
      <c r="D63">
        <f t="shared" si="0"/>
        <v>54.099999999999909</v>
      </c>
      <c r="E63" s="98">
        <f t="shared" si="1"/>
        <v>2.3829449852442366E-2</v>
      </c>
      <c r="F63">
        <v>17916.8</v>
      </c>
      <c r="G63" s="98">
        <f t="shared" si="2"/>
        <v>4.913288313552977E-3</v>
      </c>
    </row>
    <row r="64" spans="1:7" x14ac:dyDescent="0.35">
      <c r="A64" s="97">
        <v>44508</v>
      </c>
      <c r="B64">
        <v>2324.4</v>
      </c>
      <c r="C64">
        <v>2483.25</v>
      </c>
      <c r="D64">
        <f t="shared" si="0"/>
        <v>158.84999999999991</v>
      </c>
      <c r="E64" s="98">
        <f t="shared" si="1"/>
        <v>6.834021683014968E-2</v>
      </c>
      <c r="F64">
        <v>18068.55</v>
      </c>
      <c r="G64" s="98">
        <f t="shared" si="2"/>
        <v>8.469704411502077E-3</v>
      </c>
    </row>
    <row r="65" spans="1:7" x14ac:dyDescent="0.35">
      <c r="A65" s="97">
        <v>44509</v>
      </c>
      <c r="B65">
        <v>2483.25</v>
      </c>
      <c r="C65">
        <v>2509</v>
      </c>
      <c r="D65">
        <f t="shared" si="0"/>
        <v>25.75</v>
      </c>
      <c r="E65" s="98">
        <f t="shared" si="1"/>
        <v>1.0369475485754556E-2</v>
      </c>
      <c r="F65">
        <v>18044.25</v>
      </c>
      <c r="G65" s="98">
        <f t="shared" si="2"/>
        <v>-1.3448782553109329E-3</v>
      </c>
    </row>
    <row r="66" spans="1:7" x14ac:dyDescent="0.35">
      <c r="A66" s="97">
        <v>44510</v>
      </c>
      <c r="B66">
        <v>2509</v>
      </c>
      <c r="C66">
        <v>2503.6999999999998</v>
      </c>
      <c r="D66">
        <f t="shared" si="0"/>
        <v>-5.3000000000001819</v>
      </c>
      <c r="E66" s="98">
        <f t="shared" si="1"/>
        <v>-2.1123953766441538E-3</v>
      </c>
      <c r="F66">
        <v>18017.2</v>
      </c>
      <c r="G66" s="98">
        <f t="shared" si="2"/>
        <v>-1.4990925086938445E-3</v>
      </c>
    </row>
    <row r="67" spans="1:7" x14ac:dyDescent="0.35">
      <c r="A67" s="97">
        <v>44511</v>
      </c>
      <c r="B67">
        <v>2503.6999999999998</v>
      </c>
      <c r="C67">
        <v>2531.75</v>
      </c>
      <c r="D67">
        <f t="shared" si="0"/>
        <v>28.050000000000182</v>
      </c>
      <c r="E67" s="98">
        <f t="shared" si="1"/>
        <v>1.120341893996892E-2</v>
      </c>
      <c r="F67">
        <v>17873.599999999999</v>
      </c>
      <c r="G67" s="98">
        <f t="shared" si="2"/>
        <v>-7.9701618453479339E-3</v>
      </c>
    </row>
    <row r="68" spans="1:7" x14ac:dyDescent="0.35">
      <c r="A68" s="97">
        <v>44512</v>
      </c>
      <c r="B68">
        <v>2531.75</v>
      </c>
      <c r="C68">
        <v>2575.9499999999998</v>
      </c>
      <c r="D68">
        <f t="shared" si="0"/>
        <v>44.199999999999818</v>
      </c>
      <c r="E68" s="98">
        <f t="shared" si="1"/>
        <v>1.7458279845956281E-2</v>
      </c>
      <c r="F68">
        <v>18102.75</v>
      </c>
      <c r="G68" s="98">
        <f t="shared" si="2"/>
        <v>1.2820584549279479E-2</v>
      </c>
    </row>
    <row r="69" spans="1:7" x14ac:dyDescent="0.35">
      <c r="A69" s="97">
        <v>44515</v>
      </c>
      <c r="B69">
        <v>2575.9499999999998</v>
      </c>
      <c r="C69">
        <v>2688.6</v>
      </c>
      <c r="D69">
        <f t="shared" si="0"/>
        <v>112.65000000000009</v>
      </c>
      <c r="E69" s="98">
        <f t="shared" si="1"/>
        <v>4.3731438886624389E-2</v>
      </c>
      <c r="F69">
        <v>18109.45</v>
      </c>
      <c r="G69" s="98">
        <f t="shared" si="2"/>
        <v>3.7010951374805146E-4</v>
      </c>
    </row>
    <row r="70" spans="1:7" x14ac:dyDescent="0.35">
      <c r="A70" s="97">
        <v>44516</v>
      </c>
      <c r="B70">
        <v>2688.6</v>
      </c>
      <c r="C70">
        <v>2683.8</v>
      </c>
      <c r="D70">
        <f t="shared" si="0"/>
        <v>-4.7999999999997272</v>
      </c>
      <c r="E70" s="98">
        <f t="shared" si="1"/>
        <v>-1.7853157777280842E-3</v>
      </c>
      <c r="F70">
        <v>17999.2</v>
      </c>
      <c r="G70" s="98">
        <f t="shared" si="2"/>
        <v>-6.0879816891180605E-3</v>
      </c>
    </row>
    <row r="71" spans="1:7" x14ac:dyDescent="0.35">
      <c r="A71" s="97">
        <v>44517</v>
      </c>
      <c r="B71">
        <v>2683.8</v>
      </c>
      <c r="C71">
        <v>2731.6</v>
      </c>
      <c r="D71">
        <f t="shared" si="0"/>
        <v>47.799999999999727</v>
      </c>
      <c r="E71" s="98">
        <f t="shared" si="1"/>
        <v>1.781056710634165E-2</v>
      </c>
      <c r="F71">
        <v>17898.650000000001</v>
      </c>
      <c r="G71" s="98">
        <f t="shared" si="2"/>
        <v>-5.5863593937507394E-3</v>
      </c>
    </row>
    <row r="72" spans="1:7" x14ac:dyDescent="0.35">
      <c r="A72" s="97">
        <v>44518</v>
      </c>
      <c r="B72">
        <v>2731.6</v>
      </c>
      <c r="C72">
        <v>2777.1</v>
      </c>
      <c r="D72">
        <f t="shared" ref="D72:D135" si="3">C72-B72</f>
        <v>45.5</v>
      </c>
      <c r="E72" s="98">
        <f t="shared" ref="E72:E135" si="4">D72/B72</f>
        <v>1.6656904378386295E-2</v>
      </c>
      <c r="F72">
        <v>17764.8</v>
      </c>
      <c r="G72" s="98">
        <f t="shared" si="2"/>
        <v>-7.4782176309388104E-3</v>
      </c>
    </row>
    <row r="73" spans="1:7" x14ac:dyDescent="0.35">
      <c r="A73" s="97">
        <v>44522</v>
      </c>
      <c r="B73">
        <v>2777.1</v>
      </c>
      <c r="C73">
        <v>2801.3</v>
      </c>
      <c r="D73">
        <f t="shared" si="3"/>
        <v>24.200000000000273</v>
      </c>
      <c r="E73" s="98">
        <f t="shared" si="4"/>
        <v>8.7141262468043192E-3</v>
      </c>
      <c r="F73">
        <v>17416.55</v>
      </c>
      <c r="G73" s="98">
        <f t="shared" ref="G73:G136" si="5">F73/F72-1</f>
        <v>-1.9603372962262444E-2</v>
      </c>
    </row>
    <row r="74" spans="1:7" x14ac:dyDescent="0.35">
      <c r="A74" s="97">
        <v>44523</v>
      </c>
      <c r="B74">
        <v>2801.3</v>
      </c>
      <c r="C74">
        <v>2861.4</v>
      </c>
      <c r="D74">
        <f t="shared" si="3"/>
        <v>60.099999999999909</v>
      </c>
      <c r="E74" s="98">
        <f t="shared" si="4"/>
        <v>2.1454324777781711E-2</v>
      </c>
      <c r="F74">
        <v>17503.349999999999</v>
      </c>
      <c r="G74" s="98">
        <f t="shared" si="5"/>
        <v>4.9837654414910393E-3</v>
      </c>
    </row>
    <row r="75" spans="1:7" x14ac:dyDescent="0.35">
      <c r="A75" s="97">
        <v>44524</v>
      </c>
      <c r="B75">
        <v>2861.4</v>
      </c>
      <c r="C75">
        <v>2840.55</v>
      </c>
      <c r="D75">
        <f t="shared" si="3"/>
        <v>-20.849999999999909</v>
      </c>
      <c r="E75" s="98">
        <f t="shared" si="4"/>
        <v>-7.2866429020758752E-3</v>
      </c>
      <c r="F75">
        <v>17415.05</v>
      </c>
      <c r="G75" s="98">
        <f t="shared" si="5"/>
        <v>-5.0447485767010081E-3</v>
      </c>
    </row>
    <row r="76" spans="1:7" x14ac:dyDescent="0.35">
      <c r="A76" s="97">
        <v>44525</v>
      </c>
      <c r="B76">
        <v>2840.55</v>
      </c>
      <c r="C76">
        <v>2858.35</v>
      </c>
      <c r="D76">
        <f t="shared" si="3"/>
        <v>17.799999999999727</v>
      </c>
      <c r="E76" s="98">
        <f t="shared" si="4"/>
        <v>6.2663920719577991E-3</v>
      </c>
      <c r="F76">
        <v>17536.25</v>
      </c>
      <c r="G76" s="98">
        <f t="shared" si="5"/>
        <v>6.959497675860904E-3</v>
      </c>
    </row>
    <row r="77" spans="1:7" x14ac:dyDescent="0.35">
      <c r="A77" s="97">
        <v>44526</v>
      </c>
      <c r="B77">
        <v>2858.35</v>
      </c>
      <c r="C77">
        <v>2729.6</v>
      </c>
      <c r="D77">
        <f t="shared" si="3"/>
        <v>-128.75</v>
      </c>
      <c r="E77" s="98">
        <f t="shared" si="4"/>
        <v>-4.5043469134290762E-2</v>
      </c>
      <c r="F77">
        <v>17026.45</v>
      </c>
      <c r="G77" s="98">
        <f t="shared" si="5"/>
        <v>-2.9071209637180129E-2</v>
      </c>
    </row>
    <row r="78" spans="1:7" x14ac:dyDescent="0.35">
      <c r="A78" s="97">
        <v>44529</v>
      </c>
      <c r="B78">
        <v>2729.6</v>
      </c>
      <c r="C78">
        <v>2597.4499999999998</v>
      </c>
      <c r="D78">
        <f t="shared" si="3"/>
        <v>-132.15000000000009</v>
      </c>
      <c r="E78" s="98">
        <f t="shared" si="4"/>
        <v>-4.8413686987104375E-2</v>
      </c>
      <c r="F78">
        <v>17053.95</v>
      </c>
      <c r="G78" s="98">
        <f t="shared" si="5"/>
        <v>1.6151341001793273E-3</v>
      </c>
    </row>
    <row r="79" spans="1:7" x14ac:dyDescent="0.35">
      <c r="A79" s="97">
        <v>44530</v>
      </c>
      <c r="B79">
        <v>2597.4499999999998</v>
      </c>
      <c r="C79">
        <v>2767.45</v>
      </c>
      <c r="D79">
        <f t="shared" si="3"/>
        <v>170</v>
      </c>
      <c r="E79" s="98">
        <f t="shared" si="4"/>
        <v>6.5448805559298551E-2</v>
      </c>
      <c r="F79">
        <v>16983.2</v>
      </c>
      <c r="G79" s="98">
        <f t="shared" si="5"/>
        <v>-4.1485990049225929E-3</v>
      </c>
    </row>
    <row r="80" spans="1:7" x14ac:dyDescent="0.35">
      <c r="A80" s="97">
        <v>44531</v>
      </c>
      <c r="B80">
        <v>2767.45</v>
      </c>
      <c r="C80">
        <v>2831.65</v>
      </c>
      <c r="D80">
        <f t="shared" si="3"/>
        <v>64.200000000000273</v>
      </c>
      <c r="E80" s="98">
        <f t="shared" si="4"/>
        <v>2.3198251097580905E-2</v>
      </c>
      <c r="F80">
        <v>17166.900000000001</v>
      </c>
      <c r="G80" s="98">
        <f t="shared" si="5"/>
        <v>1.0816571670827724E-2</v>
      </c>
    </row>
    <row r="81" spans="1:7" x14ac:dyDescent="0.35">
      <c r="A81" s="97">
        <v>44532</v>
      </c>
      <c r="B81">
        <v>2831.65</v>
      </c>
      <c r="C81">
        <v>2798.4</v>
      </c>
      <c r="D81">
        <f t="shared" si="3"/>
        <v>-33.25</v>
      </c>
      <c r="E81" s="98">
        <f t="shared" si="4"/>
        <v>-1.1742270407712817E-2</v>
      </c>
      <c r="F81">
        <v>17401.650000000001</v>
      </c>
      <c r="G81" s="98">
        <f t="shared" si="5"/>
        <v>1.3674571413592407E-2</v>
      </c>
    </row>
    <row r="82" spans="1:7" x14ac:dyDescent="0.35">
      <c r="A82" s="97">
        <v>44533</v>
      </c>
      <c r="B82">
        <v>2798.4</v>
      </c>
      <c r="C82">
        <v>2778.45</v>
      </c>
      <c r="D82">
        <f t="shared" si="3"/>
        <v>-19.950000000000273</v>
      </c>
      <c r="E82" s="98">
        <f t="shared" si="4"/>
        <v>-7.1290737564323444E-3</v>
      </c>
      <c r="F82">
        <v>17196.7</v>
      </c>
      <c r="G82" s="98">
        <f t="shared" si="5"/>
        <v>-1.1777618789022948E-2</v>
      </c>
    </row>
    <row r="83" spans="1:7" x14ac:dyDescent="0.35">
      <c r="A83" s="97">
        <v>44536</v>
      </c>
      <c r="B83">
        <v>2778.45</v>
      </c>
      <c r="C83">
        <v>2731.75</v>
      </c>
      <c r="D83">
        <f t="shared" si="3"/>
        <v>-46.699999999999818</v>
      </c>
      <c r="E83" s="98">
        <f t="shared" si="4"/>
        <v>-1.6807932480339693E-2</v>
      </c>
      <c r="F83">
        <v>16912.25</v>
      </c>
      <c r="G83" s="98">
        <f t="shared" si="5"/>
        <v>-1.6540964254769808E-2</v>
      </c>
    </row>
    <row r="84" spans="1:7" x14ac:dyDescent="0.35">
      <c r="A84" s="97">
        <v>44537</v>
      </c>
      <c r="B84">
        <v>2731.75</v>
      </c>
      <c r="C84">
        <v>2766.95</v>
      </c>
      <c r="D84">
        <f t="shared" si="3"/>
        <v>35.199999999999818</v>
      </c>
      <c r="E84" s="98">
        <f t="shared" si="4"/>
        <v>1.2885512949574383E-2</v>
      </c>
      <c r="F84">
        <v>17176.7</v>
      </c>
      <c r="G84" s="98">
        <f t="shared" si="5"/>
        <v>1.5636594775976009E-2</v>
      </c>
    </row>
    <row r="85" spans="1:7" x14ac:dyDescent="0.35">
      <c r="A85" s="97">
        <v>44538</v>
      </c>
      <c r="B85">
        <v>2766.95</v>
      </c>
      <c r="C85">
        <v>2695.7</v>
      </c>
      <c r="D85">
        <f t="shared" si="3"/>
        <v>-71.25</v>
      </c>
      <c r="E85" s="98">
        <f t="shared" si="4"/>
        <v>-2.575037496160032E-2</v>
      </c>
      <c r="F85">
        <v>17469.75</v>
      </c>
      <c r="G85" s="98">
        <f t="shared" si="5"/>
        <v>1.7060902268771105E-2</v>
      </c>
    </row>
    <row r="86" spans="1:7" x14ac:dyDescent="0.35">
      <c r="A86" s="97">
        <v>44539</v>
      </c>
      <c r="B86">
        <v>2695.7</v>
      </c>
      <c r="C86">
        <v>2697.4</v>
      </c>
      <c r="D86">
        <f t="shared" si="3"/>
        <v>1.7000000000002728</v>
      </c>
      <c r="E86" s="98">
        <f t="shared" si="4"/>
        <v>6.3063397262316757E-4</v>
      </c>
      <c r="F86">
        <v>17516.849999999999</v>
      </c>
      <c r="G86" s="98">
        <f t="shared" si="5"/>
        <v>2.6960889537628319E-3</v>
      </c>
    </row>
    <row r="87" spans="1:7" x14ac:dyDescent="0.35">
      <c r="A87" s="97">
        <v>44540</v>
      </c>
      <c r="B87">
        <v>2697.4</v>
      </c>
      <c r="C87">
        <v>2716.7</v>
      </c>
      <c r="D87">
        <f t="shared" si="3"/>
        <v>19.299999999999727</v>
      </c>
      <c r="E87" s="98">
        <f t="shared" si="4"/>
        <v>7.1550381849187095E-3</v>
      </c>
      <c r="F87">
        <v>17511.3</v>
      </c>
      <c r="G87" s="98">
        <f t="shared" si="5"/>
        <v>-3.1683778761593118E-4</v>
      </c>
    </row>
    <row r="88" spans="1:7" x14ac:dyDescent="0.35">
      <c r="A88" s="97">
        <v>44543</v>
      </c>
      <c r="B88">
        <v>2716.7</v>
      </c>
      <c r="C88">
        <v>2642.3</v>
      </c>
      <c r="D88">
        <f t="shared" si="3"/>
        <v>-74.399999999999636</v>
      </c>
      <c r="E88" s="98">
        <f t="shared" si="4"/>
        <v>-2.7386167040895072E-2</v>
      </c>
      <c r="F88">
        <v>17368.25</v>
      </c>
      <c r="G88" s="98">
        <f t="shared" si="5"/>
        <v>-8.1690108672685113E-3</v>
      </c>
    </row>
    <row r="89" spans="1:7" x14ac:dyDescent="0.35">
      <c r="A89" s="97">
        <v>44544</v>
      </c>
      <c r="B89">
        <v>2642.3</v>
      </c>
      <c r="C89">
        <v>2577.4</v>
      </c>
      <c r="D89">
        <f t="shared" si="3"/>
        <v>-64.900000000000091</v>
      </c>
      <c r="E89" s="98">
        <f t="shared" si="4"/>
        <v>-2.4561934678121365E-2</v>
      </c>
      <c r="F89">
        <v>17324.900000000001</v>
      </c>
      <c r="G89" s="98">
        <f t="shared" si="5"/>
        <v>-2.4959336720740133E-3</v>
      </c>
    </row>
    <row r="90" spans="1:7" x14ac:dyDescent="0.35">
      <c r="A90" s="97">
        <v>44545</v>
      </c>
      <c r="B90">
        <v>2577.4</v>
      </c>
      <c r="C90">
        <v>2613.4499999999998</v>
      </c>
      <c r="D90">
        <f t="shared" si="3"/>
        <v>36.049999999999727</v>
      </c>
      <c r="E90" s="98">
        <f t="shared" si="4"/>
        <v>1.3986963606735363E-2</v>
      </c>
      <c r="F90">
        <v>17221.400000000001</v>
      </c>
      <c r="G90" s="98">
        <f t="shared" si="5"/>
        <v>-5.9740604563374156E-3</v>
      </c>
    </row>
    <row r="91" spans="1:7" x14ac:dyDescent="0.35">
      <c r="A91" s="97">
        <v>44546</v>
      </c>
      <c r="B91">
        <v>2613.4499999999998</v>
      </c>
      <c r="C91">
        <v>2553.25</v>
      </c>
      <c r="D91">
        <f t="shared" si="3"/>
        <v>-60.199999999999818</v>
      </c>
      <c r="E91" s="98">
        <f t="shared" si="4"/>
        <v>-2.3034685951519952E-2</v>
      </c>
      <c r="F91">
        <v>17248.400000000001</v>
      </c>
      <c r="G91" s="98">
        <f t="shared" si="5"/>
        <v>1.5678167860917469E-3</v>
      </c>
    </row>
    <row r="92" spans="1:7" x14ac:dyDescent="0.35">
      <c r="A92" s="97">
        <v>44547</v>
      </c>
      <c r="B92">
        <v>2553.25</v>
      </c>
      <c r="C92">
        <v>2550.75</v>
      </c>
      <c r="D92">
        <f t="shared" si="3"/>
        <v>-2.5</v>
      </c>
      <c r="E92" s="98">
        <f t="shared" si="4"/>
        <v>-9.7914422794477627E-4</v>
      </c>
      <c r="F92">
        <v>16985.2</v>
      </c>
      <c r="G92" s="98">
        <f t="shared" si="5"/>
        <v>-1.5259386377866946E-2</v>
      </c>
    </row>
    <row r="93" spans="1:7" x14ac:dyDescent="0.35">
      <c r="A93" s="97">
        <v>44550</v>
      </c>
      <c r="B93">
        <v>2550.75</v>
      </c>
      <c r="C93">
        <v>2376</v>
      </c>
      <c r="D93">
        <f t="shared" si="3"/>
        <v>-174.75</v>
      </c>
      <c r="E93" s="98">
        <f t="shared" si="4"/>
        <v>-6.850926198177007E-2</v>
      </c>
      <c r="F93">
        <v>16614.2</v>
      </c>
      <c r="G93" s="98">
        <f t="shared" si="5"/>
        <v>-2.1842545274709746E-2</v>
      </c>
    </row>
    <row r="94" spans="1:7" x14ac:dyDescent="0.35">
      <c r="A94" s="97">
        <v>44551</v>
      </c>
      <c r="B94">
        <v>2376</v>
      </c>
      <c r="C94">
        <v>2323.35</v>
      </c>
      <c r="D94">
        <f t="shared" si="3"/>
        <v>-52.650000000000091</v>
      </c>
      <c r="E94" s="98">
        <f t="shared" si="4"/>
        <v>-2.2159090909090948E-2</v>
      </c>
      <c r="F94">
        <v>16770.849999999999</v>
      </c>
      <c r="G94" s="98">
        <f t="shared" si="5"/>
        <v>9.4286814893282944E-3</v>
      </c>
    </row>
    <row r="95" spans="1:7" x14ac:dyDescent="0.35">
      <c r="A95" s="97">
        <v>44552</v>
      </c>
      <c r="B95">
        <v>2323.35</v>
      </c>
      <c r="C95">
        <v>2429.5500000000002</v>
      </c>
      <c r="D95">
        <f t="shared" si="3"/>
        <v>106.20000000000027</v>
      </c>
      <c r="E95" s="98">
        <f t="shared" si="4"/>
        <v>4.5709858609335775E-2</v>
      </c>
      <c r="F95">
        <v>16955.45</v>
      </c>
      <c r="G95" s="98">
        <f t="shared" si="5"/>
        <v>1.1007194030117962E-2</v>
      </c>
    </row>
    <row r="96" spans="1:7" x14ac:dyDescent="0.35">
      <c r="A96" s="97">
        <v>44553</v>
      </c>
      <c r="B96">
        <v>2429.5500000000002</v>
      </c>
      <c r="C96">
        <v>2411.6999999999998</v>
      </c>
      <c r="D96">
        <f t="shared" si="3"/>
        <v>-17.850000000000364</v>
      </c>
      <c r="E96" s="98">
        <f t="shared" si="4"/>
        <v>-7.3470395752301297E-3</v>
      </c>
      <c r="F96">
        <v>17072.599999999999</v>
      </c>
      <c r="G96" s="98">
        <f t="shared" si="5"/>
        <v>6.9092828559547126E-3</v>
      </c>
    </row>
    <row r="97" spans="1:7" x14ac:dyDescent="0.35">
      <c r="A97" s="97">
        <v>44554</v>
      </c>
      <c r="B97">
        <v>2411.6999999999998</v>
      </c>
      <c r="C97">
        <v>2363.9</v>
      </c>
      <c r="D97">
        <f t="shared" si="3"/>
        <v>-47.799999999999727</v>
      </c>
      <c r="E97" s="98">
        <f t="shared" si="4"/>
        <v>-1.982004395239861E-2</v>
      </c>
      <c r="F97">
        <v>17003.75</v>
      </c>
      <c r="G97" s="98">
        <f t="shared" si="5"/>
        <v>-4.0327776671390536E-3</v>
      </c>
    </row>
    <row r="98" spans="1:7" x14ac:dyDescent="0.35">
      <c r="A98" s="97">
        <v>44557</v>
      </c>
      <c r="B98">
        <v>2363.9</v>
      </c>
      <c r="C98">
        <v>2353.35</v>
      </c>
      <c r="D98">
        <f t="shared" si="3"/>
        <v>-10.550000000000182</v>
      </c>
      <c r="E98" s="98">
        <f t="shared" si="4"/>
        <v>-4.4629637463514454E-3</v>
      </c>
      <c r="F98">
        <v>17086.25</v>
      </c>
      <c r="G98" s="98">
        <f t="shared" si="5"/>
        <v>4.8518709108285041E-3</v>
      </c>
    </row>
    <row r="99" spans="1:7" x14ac:dyDescent="0.35">
      <c r="A99" s="97">
        <v>44558</v>
      </c>
      <c r="B99">
        <v>2353.35</v>
      </c>
      <c r="C99">
        <v>2361.4499999999998</v>
      </c>
      <c r="D99">
        <f t="shared" si="3"/>
        <v>8.0999999999999091</v>
      </c>
      <c r="E99" s="98">
        <f t="shared" si="4"/>
        <v>3.4419019695327551E-3</v>
      </c>
      <c r="F99">
        <v>17233.25</v>
      </c>
      <c r="G99" s="98">
        <f t="shared" si="5"/>
        <v>8.6034091740434526E-3</v>
      </c>
    </row>
    <row r="100" spans="1:7" x14ac:dyDescent="0.35">
      <c r="A100" s="97">
        <v>44559</v>
      </c>
      <c r="B100">
        <v>2361.4499999999998</v>
      </c>
      <c r="C100">
        <v>2366.0500000000002</v>
      </c>
      <c r="D100">
        <f t="shared" si="3"/>
        <v>4.6000000000003638</v>
      </c>
      <c r="E100" s="98">
        <f t="shared" si="4"/>
        <v>1.9479557051812928E-3</v>
      </c>
      <c r="F100">
        <v>17213.599999999999</v>
      </c>
      <c r="G100" s="98">
        <f t="shared" si="5"/>
        <v>-1.1402376220388533E-3</v>
      </c>
    </row>
    <row r="101" spans="1:7" x14ac:dyDescent="0.35">
      <c r="A101" s="97">
        <v>44560</v>
      </c>
      <c r="B101">
        <v>2366.0500000000002</v>
      </c>
      <c r="C101">
        <v>2367.9499999999998</v>
      </c>
      <c r="D101">
        <f t="shared" si="3"/>
        <v>1.8999999999996362</v>
      </c>
      <c r="E101" s="98">
        <f t="shared" si="4"/>
        <v>8.0302614061394982E-4</v>
      </c>
      <c r="F101">
        <v>17203.95</v>
      </c>
      <c r="G101" s="98">
        <f t="shared" si="5"/>
        <v>-5.6060324394646699E-4</v>
      </c>
    </row>
    <row r="102" spans="1:7" x14ac:dyDescent="0.35">
      <c r="A102" s="97">
        <v>44561</v>
      </c>
      <c r="B102">
        <v>2367.9499999999998</v>
      </c>
      <c r="C102">
        <v>2421.5500000000002</v>
      </c>
      <c r="D102">
        <f t="shared" si="3"/>
        <v>53.600000000000364</v>
      </c>
      <c r="E102" s="98">
        <f t="shared" si="4"/>
        <v>2.2635613083046673E-2</v>
      </c>
      <c r="F102">
        <v>17354.05</v>
      </c>
      <c r="G102" s="98">
        <f t="shared" si="5"/>
        <v>8.7247405392365529E-3</v>
      </c>
    </row>
    <row r="103" spans="1:7" x14ac:dyDescent="0.35">
      <c r="A103" s="97">
        <v>44564</v>
      </c>
      <c r="B103">
        <v>2421.5500000000002</v>
      </c>
      <c r="C103">
        <v>2388.8000000000002</v>
      </c>
      <c r="D103">
        <f t="shared" si="3"/>
        <v>-32.75</v>
      </c>
      <c r="E103" s="98">
        <f t="shared" si="4"/>
        <v>-1.3524395531787491E-2</v>
      </c>
      <c r="F103">
        <v>17625.7</v>
      </c>
      <c r="G103" s="98">
        <f t="shared" si="5"/>
        <v>1.5653406553513438E-2</v>
      </c>
    </row>
    <row r="104" spans="1:7" x14ac:dyDescent="0.35">
      <c r="A104" s="97">
        <v>44565</v>
      </c>
      <c r="B104">
        <v>2388.8000000000002</v>
      </c>
      <c r="C104">
        <v>2374.9</v>
      </c>
      <c r="D104">
        <f t="shared" si="3"/>
        <v>-13.900000000000091</v>
      </c>
      <c r="E104" s="98">
        <f t="shared" si="4"/>
        <v>-5.8188211654387513E-3</v>
      </c>
      <c r="F104">
        <v>17805.25</v>
      </c>
      <c r="G104" s="98">
        <f t="shared" si="5"/>
        <v>1.0186829459255531E-2</v>
      </c>
    </row>
    <row r="105" spans="1:7" x14ac:dyDescent="0.35">
      <c r="A105" s="97">
        <v>44566</v>
      </c>
      <c r="B105">
        <v>2374.9</v>
      </c>
      <c r="C105">
        <v>2368.5500000000002</v>
      </c>
      <c r="D105">
        <f t="shared" si="3"/>
        <v>-6.3499999999999091</v>
      </c>
      <c r="E105" s="98">
        <f t="shared" si="4"/>
        <v>-2.6737967914438119E-3</v>
      </c>
      <c r="F105">
        <v>17925.25</v>
      </c>
      <c r="G105" s="98">
        <f t="shared" si="5"/>
        <v>6.7395852346920915E-3</v>
      </c>
    </row>
    <row r="106" spans="1:7" x14ac:dyDescent="0.35">
      <c r="A106" s="97">
        <v>44567</v>
      </c>
      <c r="B106">
        <v>2368.5500000000002</v>
      </c>
      <c r="C106">
        <v>2349.0500000000002</v>
      </c>
      <c r="D106">
        <f t="shared" si="3"/>
        <v>-19.5</v>
      </c>
      <c r="E106" s="98">
        <f t="shared" si="4"/>
        <v>-8.2328850984779711E-3</v>
      </c>
      <c r="F106">
        <v>17745.900000000001</v>
      </c>
      <c r="G106" s="98">
        <f t="shared" si="5"/>
        <v>-1.0005439254682558E-2</v>
      </c>
    </row>
    <row r="107" spans="1:7" x14ac:dyDescent="0.35">
      <c r="A107" s="97">
        <v>44568</v>
      </c>
      <c r="B107">
        <v>2349.0500000000002</v>
      </c>
      <c r="C107">
        <v>2346.9</v>
      </c>
      <c r="D107">
        <f t="shared" si="3"/>
        <v>-2.1500000000000909</v>
      </c>
      <c r="E107" s="98">
        <f t="shared" si="4"/>
        <v>-9.1526361720699464E-4</v>
      </c>
      <c r="F107">
        <v>17812.7</v>
      </c>
      <c r="G107" s="98">
        <f t="shared" si="5"/>
        <v>3.7642497703693767E-3</v>
      </c>
    </row>
    <row r="108" spans="1:7" x14ac:dyDescent="0.35">
      <c r="A108" s="97">
        <v>44571</v>
      </c>
      <c r="B108">
        <v>2346.9</v>
      </c>
      <c r="C108">
        <v>2343.4499999999998</v>
      </c>
      <c r="D108">
        <f t="shared" si="3"/>
        <v>-3.4500000000002728</v>
      </c>
      <c r="E108" s="98">
        <f t="shared" si="4"/>
        <v>-1.4700242873579073E-3</v>
      </c>
      <c r="F108">
        <v>18003.3</v>
      </c>
      <c r="G108" s="98">
        <f t="shared" si="5"/>
        <v>1.0700230734251415E-2</v>
      </c>
    </row>
    <row r="109" spans="1:7" x14ac:dyDescent="0.35">
      <c r="A109" s="97">
        <v>44572</v>
      </c>
      <c r="B109">
        <v>2343.4499999999998</v>
      </c>
      <c r="C109">
        <v>2279.5</v>
      </c>
      <c r="D109">
        <f t="shared" si="3"/>
        <v>-63.949999999999818</v>
      </c>
      <c r="E109" s="98">
        <f t="shared" si="4"/>
        <v>-2.7288826303100054E-2</v>
      </c>
      <c r="F109">
        <v>18055.75</v>
      </c>
      <c r="G109" s="98">
        <f t="shared" si="5"/>
        <v>2.9133547738471322E-3</v>
      </c>
    </row>
    <row r="110" spans="1:7" x14ac:dyDescent="0.35">
      <c r="A110" s="97">
        <v>44573</v>
      </c>
      <c r="B110">
        <v>2279.5</v>
      </c>
      <c r="C110">
        <v>2226</v>
      </c>
      <c r="D110">
        <f t="shared" si="3"/>
        <v>-53.5</v>
      </c>
      <c r="E110" s="98">
        <f t="shared" si="4"/>
        <v>-2.3470059223513928E-2</v>
      </c>
      <c r="F110">
        <v>18212.349999999999</v>
      </c>
      <c r="G110" s="98">
        <f t="shared" si="5"/>
        <v>8.6731373662130018E-3</v>
      </c>
    </row>
    <row r="111" spans="1:7" x14ac:dyDescent="0.35">
      <c r="A111" s="97">
        <v>44574</v>
      </c>
      <c r="B111">
        <v>2226</v>
      </c>
      <c r="C111">
        <v>2261.5</v>
      </c>
      <c r="D111">
        <f t="shared" si="3"/>
        <v>35.5</v>
      </c>
      <c r="E111" s="98">
        <f t="shared" si="4"/>
        <v>1.5947888589398024E-2</v>
      </c>
      <c r="F111">
        <v>18257.8</v>
      </c>
      <c r="G111" s="98">
        <f t="shared" si="5"/>
        <v>2.495559331991748E-3</v>
      </c>
    </row>
    <row r="112" spans="1:7" x14ac:dyDescent="0.35">
      <c r="A112" s="97">
        <v>44575</v>
      </c>
      <c r="B112">
        <v>2261.5</v>
      </c>
      <c r="C112">
        <v>2245.8000000000002</v>
      </c>
      <c r="D112">
        <f t="shared" si="3"/>
        <v>-15.699999999999818</v>
      </c>
      <c r="E112" s="98">
        <f t="shared" si="4"/>
        <v>-6.9422949369886437E-3</v>
      </c>
      <c r="F112">
        <v>18255.75</v>
      </c>
      <c r="G112" s="98">
        <f t="shared" si="5"/>
        <v>-1.1228077862612817E-4</v>
      </c>
    </row>
    <row r="113" spans="1:7" x14ac:dyDescent="0.35">
      <c r="A113" s="97">
        <v>44578</v>
      </c>
      <c r="B113">
        <v>2245.8000000000002</v>
      </c>
      <c r="C113">
        <v>2244.15</v>
      </c>
      <c r="D113">
        <f t="shared" si="3"/>
        <v>-1.6500000000000909</v>
      </c>
      <c r="E113" s="98">
        <f t="shared" si="4"/>
        <v>-7.3470478226025948E-4</v>
      </c>
      <c r="F113">
        <v>18308.099999999999</v>
      </c>
      <c r="G113" s="98">
        <f t="shared" si="5"/>
        <v>2.8675896635306231E-3</v>
      </c>
    </row>
    <row r="114" spans="1:7" x14ac:dyDescent="0.35">
      <c r="A114" s="97">
        <v>44579</v>
      </c>
      <c r="B114">
        <v>2244.15</v>
      </c>
      <c r="C114">
        <v>2214.5</v>
      </c>
      <c r="D114">
        <f t="shared" si="3"/>
        <v>-29.650000000000091</v>
      </c>
      <c r="E114" s="98">
        <f t="shared" si="4"/>
        <v>-1.3212129313994203E-2</v>
      </c>
      <c r="F114">
        <v>18113.05</v>
      </c>
      <c r="G114" s="98">
        <f t="shared" si="5"/>
        <v>-1.0653754349167821E-2</v>
      </c>
    </row>
    <row r="115" spans="1:7" x14ac:dyDescent="0.35">
      <c r="A115" s="97">
        <v>44580</v>
      </c>
      <c r="B115">
        <v>2214.5</v>
      </c>
      <c r="C115">
        <v>2223.3000000000002</v>
      </c>
      <c r="D115">
        <f t="shared" si="3"/>
        <v>8.8000000000001819</v>
      </c>
      <c r="E115" s="98">
        <f t="shared" si="4"/>
        <v>3.9738089862272211E-3</v>
      </c>
      <c r="F115">
        <v>17938.400000000001</v>
      </c>
      <c r="G115" s="98">
        <f t="shared" si="5"/>
        <v>-9.6422192838863108E-3</v>
      </c>
    </row>
    <row r="116" spans="1:7" x14ac:dyDescent="0.35">
      <c r="A116" s="97">
        <v>44581</v>
      </c>
      <c r="B116">
        <v>2223.3000000000002</v>
      </c>
      <c r="C116">
        <v>2287.5</v>
      </c>
      <c r="D116">
        <f t="shared" si="3"/>
        <v>64.199999999999818</v>
      </c>
      <c r="E116" s="98">
        <f t="shared" si="4"/>
        <v>2.8875995142355872E-2</v>
      </c>
      <c r="F116">
        <v>17757</v>
      </c>
      <c r="G116" s="98">
        <f t="shared" si="5"/>
        <v>-1.0112384605093117E-2</v>
      </c>
    </row>
    <row r="117" spans="1:7" x14ac:dyDescent="0.35">
      <c r="A117" s="97">
        <v>44582</v>
      </c>
      <c r="B117">
        <v>2287.5</v>
      </c>
      <c r="C117">
        <v>2303</v>
      </c>
      <c r="D117">
        <f t="shared" si="3"/>
        <v>15.5</v>
      </c>
      <c r="E117" s="98">
        <f t="shared" si="4"/>
        <v>6.7759562841530055E-3</v>
      </c>
      <c r="F117">
        <v>17617.150000000001</v>
      </c>
      <c r="G117" s="98">
        <f t="shared" si="5"/>
        <v>-7.875767303035297E-3</v>
      </c>
    </row>
    <row r="118" spans="1:7" x14ac:dyDescent="0.35">
      <c r="A118" s="97">
        <v>44585</v>
      </c>
      <c r="B118">
        <v>2303</v>
      </c>
      <c r="C118">
        <v>2315.75</v>
      </c>
      <c r="D118">
        <f t="shared" si="3"/>
        <v>12.75</v>
      </c>
      <c r="E118" s="98">
        <f t="shared" si="4"/>
        <v>5.5362570560138951E-3</v>
      </c>
      <c r="F118">
        <v>17149.099999999999</v>
      </c>
      <c r="G118" s="98">
        <f t="shared" si="5"/>
        <v>-2.6567861430481288E-2</v>
      </c>
    </row>
    <row r="119" spans="1:7" x14ac:dyDescent="0.35">
      <c r="A119" s="97">
        <v>44586</v>
      </c>
      <c r="B119">
        <v>2315.75</v>
      </c>
      <c r="C119">
        <v>2480.25</v>
      </c>
      <c r="D119">
        <f t="shared" si="3"/>
        <v>164.5</v>
      </c>
      <c r="E119" s="98">
        <f t="shared" si="4"/>
        <v>7.1035301738097814E-2</v>
      </c>
      <c r="F119">
        <v>17277.95</v>
      </c>
      <c r="G119" s="98">
        <f t="shared" si="5"/>
        <v>7.5135138287141245E-3</v>
      </c>
    </row>
    <row r="120" spans="1:7" x14ac:dyDescent="0.35">
      <c r="A120" s="97">
        <v>44588</v>
      </c>
      <c r="B120">
        <v>2480.25</v>
      </c>
      <c r="C120">
        <v>2399.9</v>
      </c>
      <c r="D120">
        <f t="shared" si="3"/>
        <v>-80.349999999999909</v>
      </c>
      <c r="E120" s="98">
        <f t="shared" si="4"/>
        <v>-3.2395927829855828E-2</v>
      </c>
      <c r="F120">
        <v>17110.150000000001</v>
      </c>
      <c r="G120" s="98">
        <f t="shared" si="5"/>
        <v>-9.7118003003827669E-3</v>
      </c>
    </row>
    <row r="121" spans="1:7" x14ac:dyDescent="0.35">
      <c r="A121" s="97">
        <v>44589</v>
      </c>
      <c r="B121">
        <v>2399.9</v>
      </c>
      <c r="C121">
        <v>2426.4499999999998</v>
      </c>
      <c r="D121">
        <f t="shared" si="3"/>
        <v>26.549999999999727</v>
      </c>
      <c r="E121" s="98">
        <f t="shared" si="4"/>
        <v>1.1062960956706416E-2</v>
      </c>
      <c r="F121">
        <v>17101.95</v>
      </c>
      <c r="G121" s="98">
        <f t="shared" si="5"/>
        <v>-4.7924769800389289E-4</v>
      </c>
    </row>
    <row r="122" spans="1:7" x14ac:dyDescent="0.35">
      <c r="A122" s="97">
        <v>44592</v>
      </c>
      <c r="B122">
        <v>2426.4499999999998</v>
      </c>
      <c r="C122">
        <v>2308.6999999999998</v>
      </c>
      <c r="D122">
        <f t="shared" si="3"/>
        <v>-117.75</v>
      </c>
      <c r="E122" s="98">
        <f t="shared" si="4"/>
        <v>-4.8527684477322842E-2</v>
      </c>
      <c r="F122">
        <v>17339.849999999999</v>
      </c>
      <c r="G122" s="98">
        <f t="shared" si="5"/>
        <v>1.3910694394498657E-2</v>
      </c>
    </row>
    <row r="123" spans="1:7" x14ac:dyDescent="0.35">
      <c r="A123" s="97">
        <v>44593</v>
      </c>
      <c r="B123">
        <v>2308.6999999999998</v>
      </c>
      <c r="C123">
        <v>2300.85</v>
      </c>
      <c r="D123">
        <f t="shared" si="3"/>
        <v>-7.8499999999999091</v>
      </c>
      <c r="E123" s="98">
        <f t="shared" si="4"/>
        <v>-3.4001819205613159E-3</v>
      </c>
      <c r="F123">
        <v>17576.849999999999</v>
      </c>
      <c r="G123" s="98">
        <f t="shared" si="5"/>
        <v>1.3667938303964622E-2</v>
      </c>
    </row>
    <row r="124" spans="1:7" x14ac:dyDescent="0.35">
      <c r="A124" s="97">
        <v>44594</v>
      </c>
      <c r="B124">
        <v>2300.85</v>
      </c>
      <c r="C124">
        <v>2331.85</v>
      </c>
      <c r="D124">
        <f t="shared" si="3"/>
        <v>31</v>
      </c>
      <c r="E124" s="98">
        <f t="shared" si="4"/>
        <v>1.3473281613316818E-2</v>
      </c>
      <c r="F124">
        <v>17780</v>
      </c>
      <c r="G124" s="98">
        <f t="shared" si="5"/>
        <v>1.1557816104706076E-2</v>
      </c>
    </row>
    <row r="125" spans="1:7" x14ac:dyDescent="0.35">
      <c r="A125" s="97">
        <v>44595</v>
      </c>
      <c r="B125">
        <v>2331.85</v>
      </c>
      <c r="C125">
        <v>2339.9</v>
      </c>
      <c r="D125">
        <f t="shared" si="3"/>
        <v>8.0500000000001819</v>
      </c>
      <c r="E125" s="98">
        <f t="shared" si="4"/>
        <v>3.4521946094303586E-3</v>
      </c>
      <c r="F125">
        <v>17560.2</v>
      </c>
      <c r="G125" s="98">
        <f t="shared" si="5"/>
        <v>-1.2362204724409409E-2</v>
      </c>
    </row>
    <row r="126" spans="1:7" x14ac:dyDescent="0.35">
      <c r="A126" s="97">
        <v>44596</v>
      </c>
      <c r="B126">
        <v>2339.9</v>
      </c>
      <c r="C126">
        <v>2330.65</v>
      </c>
      <c r="D126">
        <f t="shared" si="3"/>
        <v>-9.25</v>
      </c>
      <c r="E126" s="98">
        <f t="shared" si="4"/>
        <v>-3.9531603914697211E-3</v>
      </c>
      <c r="F126">
        <v>17516.3</v>
      </c>
      <c r="G126" s="98">
        <f t="shared" si="5"/>
        <v>-2.4999715265202616E-3</v>
      </c>
    </row>
    <row r="127" spans="1:7" x14ac:dyDescent="0.35">
      <c r="A127" s="97">
        <v>44599</v>
      </c>
      <c r="B127">
        <v>2330.65</v>
      </c>
      <c r="C127">
        <v>2339.6999999999998</v>
      </c>
      <c r="D127">
        <f t="shared" si="3"/>
        <v>9.0499999999997272</v>
      </c>
      <c r="E127" s="98">
        <f t="shared" si="4"/>
        <v>3.8830369210304965E-3</v>
      </c>
      <c r="F127">
        <v>17213.599999999999</v>
      </c>
      <c r="G127" s="98">
        <f t="shared" si="5"/>
        <v>-1.7281046796412514E-2</v>
      </c>
    </row>
    <row r="128" spans="1:7" x14ac:dyDescent="0.35">
      <c r="A128" s="97">
        <v>44600</v>
      </c>
      <c r="B128">
        <v>2339.6999999999998</v>
      </c>
      <c r="C128">
        <v>2355.4499999999998</v>
      </c>
      <c r="D128">
        <f t="shared" si="3"/>
        <v>15.75</v>
      </c>
      <c r="E128" s="98">
        <f t="shared" si="4"/>
        <v>6.7316322605462248E-3</v>
      </c>
      <c r="F128">
        <v>17266.75</v>
      </c>
      <c r="G128" s="98">
        <f t="shared" si="5"/>
        <v>3.0876748617372218E-3</v>
      </c>
    </row>
    <row r="129" spans="1:7" x14ac:dyDescent="0.35">
      <c r="A129" s="97">
        <v>44601</v>
      </c>
      <c r="B129">
        <v>2355.4499999999998</v>
      </c>
      <c r="C129">
        <v>2337.35</v>
      </c>
      <c r="D129">
        <f t="shared" si="3"/>
        <v>-18.099999999999909</v>
      </c>
      <c r="E129" s="98">
        <f t="shared" si="4"/>
        <v>-7.6843066080790976E-3</v>
      </c>
      <c r="F129">
        <v>17463.8</v>
      </c>
      <c r="G129" s="98">
        <f t="shared" si="5"/>
        <v>1.1412107084425305E-2</v>
      </c>
    </row>
    <row r="130" spans="1:7" x14ac:dyDescent="0.35">
      <c r="A130" s="97">
        <v>44602</v>
      </c>
      <c r="B130">
        <v>2337.35</v>
      </c>
      <c r="C130">
        <v>2285.4</v>
      </c>
      <c r="D130">
        <f t="shared" si="3"/>
        <v>-51.949999999999818</v>
      </c>
      <c r="E130" s="98">
        <f t="shared" si="4"/>
        <v>-2.2226025199477965E-2</v>
      </c>
      <c r="F130">
        <v>17605.849999999999</v>
      </c>
      <c r="G130" s="98">
        <f t="shared" si="5"/>
        <v>8.1339685520904759E-3</v>
      </c>
    </row>
    <row r="131" spans="1:7" x14ac:dyDescent="0.35">
      <c r="A131" s="97">
        <v>44603</v>
      </c>
      <c r="B131">
        <v>2285.4</v>
      </c>
      <c r="C131">
        <v>2262.85</v>
      </c>
      <c r="D131">
        <f t="shared" si="3"/>
        <v>-22.550000000000182</v>
      </c>
      <c r="E131" s="98">
        <f t="shared" si="4"/>
        <v>-9.8669817099852029E-3</v>
      </c>
      <c r="F131">
        <v>17374.75</v>
      </c>
      <c r="G131" s="98">
        <f t="shared" si="5"/>
        <v>-1.3126318808804993E-2</v>
      </c>
    </row>
    <row r="132" spans="1:7" x14ac:dyDescent="0.35">
      <c r="A132" s="97">
        <v>44606</v>
      </c>
      <c r="B132">
        <v>2262.85</v>
      </c>
      <c r="C132">
        <v>2208.6999999999998</v>
      </c>
      <c r="D132">
        <f t="shared" si="3"/>
        <v>-54.150000000000091</v>
      </c>
      <c r="E132" s="98">
        <f t="shared" si="4"/>
        <v>-2.3929999779039746E-2</v>
      </c>
      <c r="F132">
        <v>16842.8</v>
      </c>
      <c r="G132" s="98">
        <f t="shared" si="5"/>
        <v>-3.0616267859969293E-2</v>
      </c>
    </row>
    <row r="133" spans="1:7" x14ac:dyDescent="0.35">
      <c r="A133" s="97">
        <v>44607</v>
      </c>
      <c r="B133">
        <v>2208.6999999999998</v>
      </c>
      <c r="C133">
        <v>2275.85</v>
      </c>
      <c r="D133">
        <f t="shared" si="3"/>
        <v>67.150000000000091</v>
      </c>
      <c r="E133" s="98">
        <f t="shared" si="4"/>
        <v>3.040249920767877E-2</v>
      </c>
      <c r="F133">
        <v>17352.45</v>
      </c>
      <c r="G133" s="98">
        <f t="shared" si="5"/>
        <v>3.0259220557152133E-2</v>
      </c>
    </row>
    <row r="134" spans="1:7" x14ac:dyDescent="0.35">
      <c r="A134" s="97">
        <v>44608</v>
      </c>
      <c r="B134">
        <v>2275.85</v>
      </c>
      <c r="C134">
        <v>2284.6999999999998</v>
      </c>
      <c r="D134">
        <f t="shared" si="3"/>
        <v>8.8499999999999091</v>
      </c>
      <c r="E134" s="98">
        <f t="shared" si="4"/>
        <v>3.8886569853021549E-3</v>
      </c>
      <c r="F134">
        <v>17322.2</v>
      </c>
      <c r="G134" s="98">
        <f t="shared" si="5"/>
        <v>-1.7432696823791449E-3</v>
      </c>
    </row>
    <row r="135" spans="1:7" x14ac:dyDescent="0.35">
      <c r="A135" s="97">
        <v>44609</v>
      </c>
      <c r="B135">
        <v>2284.6999999999998</v>
      </c>
      <c r="C135">
        <v>2311.25</v>
      </c>
      <c r="D135">
        <f t="shared" si="3"/>
        <v>26.550000000000182</v>
      </c>
      <c r="E135" s="98">
        <f t="shared" si="4"/>
        <v>1.1620781721889168E-2</v>
      </c>
      <c r="F135">
        <v>17304.599999999999</v>
      </c>
      <c r="G135" s="98">
        <f t="shared" si="5"/>
        <v>-1.0160372239093052E-3</v>
      </c>
    </row>
    <row r="136" spans="1:7" x14ac:dyDescent="0.35">
      <c r="A136" s="97">
        <v>44610</v>
      </c>
      <c r="B136">
        <v>2311.25</v>
      </c>
      <c r="C136">
        <v>2289.9499999999998</v>
      </c>
      <c r="D136">
        <f t="shared" ref="D136:D199" si="6">C136-B136</f>
        <v>-21.300000000000182</v>
      </c>
      <c r="E136" s="98">
        <f t="shared" ref="E136:E199" si="7">D136/B136</f>
        <v>-9.2157923201731454E-3</v>
      </c>
      <c r="F136">
        <v>17276.3</v>
      </c>
      <c r="G136" s="98">
        <f t="shared" si="5"/>
        <v>-1.6354033031679149E-3</v>
      </c>
    </row>
    <row r="137" spans="1:7" x14ac:dyDescent="0.35">
      <c r="A137" s="97">
        <v>44613</v>
      </c>
      <c r="B137">
        <v>2289.9499999999998</v>
      </c>
      <c r="C137">
        <v>2311.5500000000002</v>
      </c>
      <c r="D137">
        <f t="shared" si="6"/>
        <v>21.600000000000364</v>
      </c>
      <c r="E137" s="98">
        <f t="shared" si="7"/>
        <v>9.4325203607067247E-3</v>
      </c>
      <c r="F137">
        <v>17206.650000000001</v>
      </c>
      <c r="G137" s="98">
        <f t="shared" ref="G137:G200" si="8">F137/F136-1</f>
        <v>-4.0315345299628547E-3</v>
      </c>
    </row>
    <row r="138" spans="1:7" x14ac:dyDescent="0.35">
      <c r="A138" s="97">
        <v>44614</v>
      </c>
      <c r="B138">
        <v>2311.5500000000002</v>
      </c>
      <c r="C138">
        <v>2305.9</v>
      </c>
      <c r="D138">
        <f t="shared" si="6"/>
        <v>-5.6500000000000909</v>
      </c>
      <c r="E138" s="98">
        <f t="shared" si="7"/>
        <v>-2.4442473664857307E-3</v>
      </c>
      <c r="F138">
        <v>17092.2</v>
      </c>
      <c r="G138" s="98">
        <f t="shared" si="8"/>
        <v>-6.651498112648313E-3</v>
      </c>
    </row>
    <row r="139" spans="1:7" x14ac:dyDescent="0.35">
      <c r="A139" s="97">
        <v>44615</v>
      </c>
      <c r="B139">
        <v>2305.9</v>
      </c>
      <c r="C139">
        <v>2325.65</v>
      </c>
      <c r="D139">
        <f t="shared" si="6"/>
        <v>19.75</v>
      </c>
      <c r="E139" s="98">
        <f t="shared" si="7"/>
        <v>8.5649854720499588E-3</v>
      </c>
      <c r="F139">
        <v>17063.25</v>
      </c>
      <c r="G139" s="98">
        <f t="shared" si="8"/>
        <v>-1.693755046161427E-3</v>
      </c>
    </row>
    <row r="140" spans="1:7" x14ac:dyDescent="0.35">
      <c r="A140" s="97">
        <v>44616</v>
      </c>
      <c r="B140">
        <v>2325.65</v>
      </c>
      <c r="C140">
        <v>2272.9</v>
      </c>
      <c r="D140">
        <f t="shared" si="6"/>
        <v>-52.75</v>
      </c>
      <c r="E140" s="98">
        <f t="shared" si="7"/>
        <v>-2.2681830885988862E-2</v>
      </c>
      <c r="F140">
        <v>16247.95</v>
      </c>
      <c r="G140" s="98">
        <f t="shared" si="8"/>
        <v>-4.7781049917219764E-2</v>
      </c>
    </row>
    <row r="141" spans="1:7" x14ac:dyDescent="0.35">
      <c r="A141" s="97">
        <v>44617</v>
      </c>
      <c r="B141">
        <v>2272.9</v>
      </c>
      <c r="C141">
        <v>2340.85</v>
      </c>
      <c r="D141">
        <f t="shared" si="6"/>
        <v>67.949999999999818</v>
      </c>
      <c r="E141" s="98">
        <f t="shared" si="7"/>
        <v>2.9895727924677644E-2</v>
      </c>
      <c r="F141">
        <v>16658.400000000001</v>
      </c>
      <c r="G141" s="98">
        <f t="shared" si="8"/>
        <v>2.5261648392566505E-2</v>
      </c>
    </row>
    <row r="142" spans="1:7" x14ac:dyDescent="0.35">
      <c r="A142" s="97">
        <v>44620</v>
      </c>
      <c r="B142">
        <v>2340.85</v>
      </c>
      <c r="C142">
        <v>2312.85</v>
      </c>
      <c r="D142">
        <f t="shared" si="6"/>
        <v>-28</v>
      </c>
      <c r="E142" s="98">
        <f t="shared" si="7"/>
        <v>-1.1961466988487088E-2</v>
      </c>
      <c r="F142">
        <v>16793.900000000001</v>
      </c>
      <c r="G142" s="98">
        <f t="shared" si="8"/>
        <v>8.1340344811027254E-3</v>
      </c>
    </row>
    <row r="143" spans="1:7" x14ac:dyDescent="0.35">
      <c r="A143" s="97">
        <v>44622</v>
      </c>
      <c r="B143">
        <v>2312.85</v>
      </c>
      <c r="C143">
        <v>2291.8000000000002</v>
      </c>
      <c r="D143">
        <f t="shared" si="6"/>
        <v>-21.049999999999727</v>
      </c>
      <c r="E143" s="98">
        <f t="shared" si="7"/>
        <v>-9.1013252048337458E-3</v>
      </c>
      <c r="F143">
        <v>16605.95</v>
      </c>
      <c r="G143" s="98">
        <f t="shared" si="8"/>
        <v>-1.1191563603451304E-2</v>
      </c>
    </row>
    <row r="144" spans="1:7" x14ac:dyDescent="0.35">
      <c r="A144" s="97">
        <v>44623</v>
      </c>
      <c r="B144">
        <v>2291.8000000000002</v>
      </c>
      <c r="C144">
        <v>2312.1</v>
      </c>
      <c r="D144">
        <f t="shared" si="6"/>
        <v>20.299999999999727</v>
      </c>
      <c r="E144" s="98">
        <f t="shared" si="7"/>
        <v>8.8576664630420302E-3</v>
      </c>
      <c r="F144">
        <v>16498.05</v>
      </c>
      <c r="G144" s="98">
        <f t="shared" si="8"/>
        <v>-6.4976710155095763E-3</v>
      </c>
    </row>
    <row r="145" spans="1:7" x14ac:dyDescent="0.35">
      <c r="A145" s="97">
        <v>44624</v>
      </c>
      <c r="B145">
        <v>2312.1</v>
      </c>
      <c r="C145">
        <v>2279.25</v>
      </c>
      <c r="D145">
        <f t="shared" si="6"/>
        <v>-32.849999999999909</v>
      </c>
      <c r="E145" s="98">
        <f t="shared" si="7"/>
        <v>-1.4207862981704905E-2</v>
      </c>
      <c r="F145">
        <v>16245.35</v>
      </c>
      <c r="G145" s="98">
        <f t="shared" si="8"/>
        <v>-1.5316961701534404E-2</v>
      </c>
    </row>
    <row r="146" spans="1:7" x14ac:dyDescent="0.35">
      <c r="A146" s="97">
        <v>44627</v>
      </c>
      <c r="B146">
        <v>2279.25</v>
      </c>
      <c r="C146">
        <v>2245.0500000000002</v>
      </c>
      <c r="D146">
        <f t="shared" si="6"/>
        <v>-34.199999999999818</v>
      </c>
      <c r="E146" s="98">
        <f t="shared" si="7"/>
        <v>-1.5004935834155892E-2</v>
      </c>
      <c r="F146">
        <v>15863.15</v>
      </c>
      <c r="G146" s="98">
        <f t="shared" si="8"/>
        <v>-2.3526732264925077E-2</v>
      </c>
    </row>
    <row r="147" spans="1:7" x14ac:dyDescent="0.35">
      <c r="A147" s="97">
        <v>44628</v>
      </c>
      <c r="B147">
        <v>2245.0500000000002</v>
      </c>
      <c r="C147">
        <v>2305.75</v>
      </c>
      <c r="D147">
        <f t="shared" si="6"/>
        <v>60.699999999999818</v>
      </c>
      <c r="E147" s="98">
        <f t="shared" si="7"/>
        <v>2.7037259749225991E-2</v>
      </c>
      <c r="F147">
        <v>16013.45</v>
      </c>
      <c r="G147" s="98">
        <f t="shared" si="8"/>
        <v>9.4747890551372116E-3</v>
      </c>
    </row>
    <row r="148" spans="1:7" x14ac:dyDescent="0.35">
      <c r="A148" s="97">
        <v>44629</v>
      </c>
      <c r="B148">
        <v>2305.75</v>
      </c>
      <c r="C148">
        <v>2403.85</v>
      </c>
      <c r="D148">
        <f t="shared" si="6"/>
        <v>98.099999999999909</v>
      </c>
      <c r="E148" s="98">
        <f t="shared" si="7"/>
        <v>4.2545809389569512E-2</v>
      </c>
      <c r="F148">
        <v>16345.35</v>
      </c>
      <c r="G148" s="98">
        <f t="shared" si="8"/>
        <v>2.0726326931423289E-2</v>
      </c>
    </row>
    <row r="149" spans="1:7" x14ac:dyDescent="0.35">
      <c r="A149" s="97">
        <v>44630</v>
      </c>
      <c r="B149">
        <v>2403.85</v>
      </c>
      <c r="C149">
        <v>2419</v>
      </c>
      <c r="D149">
        <f t="shared" si="6"/>
        <v>15.150000000000091</v>
      </c>
      <c r="E149" s="98">
        <f t="shared" si="7"/>
        <v>6.3023899161761725E-3</v>
      </c>
      <c r="F149">
        <v>16594.900000000001</v>
      </c>
      <c r="G149" s="98">
        <f t="shared" si="8"/>
        <v>1.5267339029142901E-2</v>
      </c>
    </row>
    <row r="150" spans="1:7" x14ac:dyDescent="0.35">
      <c r="A150" s="97">
        <v>44631</v>
      </c>
      <c r="B150">
        <v>2419</v>
      </c>
      <c r="C150">
        <v>2414.35</v>
      </c>
      <c r="D150">
        <f t="shared" si="6"/>
        <v>-4.6500000000000909</v>
      </c>
      <c r="E150" s="98">
        <f t="shared" si="7"/>
        <v>-1.9222819346837912E-3</v>
      </c>
      <c r="F150">
        <v>16630.45</v>
      </c>
      <c r="G150" s="98">
        <f t="shared" si="8"/>
        <v>2.1422244183453287E-3</v>
      </c>
    </row>
    <row r="151" spans="1:7" x14ac:dyDescent="0.35">
      <c r="A151" s="97">
        <v>44634</v>
      </c>
      <c r="B151">
        <v>2414.35</v>
      </c>
      <c r="C151">
        <v>2402.9499999999998</v>
      </c>
      <c r="D151">
        <f t="shared" si="6"/>
        <v>-11.400000000000091</v>
      </c>
      <c r="E151" s="98">
        <f t="shared" si="7"/>
        <v>-4.7217677635802979E-3</v>
      </c>
      <c r="F151">
        <v>16871.3</v>
      </c>
      <c r="G151" s="98">
        <f t="shared" si="8"/>
        <v>1.4482470408196946E-2</v>
      </c>
    </row>
    <row r="152" spans="1:7" x14ac:dyDescent="0.35">
      <c r="A152" s="97">
        <v>44635</v>
      </c>
      <c r="B152">
        <v>2402.9499999999998</v>
      </c>
      <c r="C152">
        <v>2407.25</v>
      </c>
      <c r="D152">
        <f t="shared" si="6"/>
        <v>4.3000000000001819</v>
      </c>
      <c r="E152" s="98">
        <f t="shared" si="7"/>
        <v>1.7894671133399289E-3</v>
      </c>
      <c r="F152">
        <v>16663</v>
      </c>
      <c r="G152" s="98">
        <f t="shared" si="8"/>
        <v>-1.2346410768583338E-2</v>
      </c>
    </row>
    <row r="153" spans="1:7" x14ac:dyDescent="0.35">
      <c r="A153" s="97">
        <v>44636</v>
      </c>
      <c r="B153">
        <v>2407.25</v>
      </c>
      <c r="C153">
        <v>2405.75</v>
      </c>
      <c r="D153">
        <f t="shared" si="6"/>
        <v>-1.5</v>
      </c>
      <c r="E153" s="98">
        <f t="shared" si="7"/>
        <v>-6.2311766538581369E-4</v>
      </c>
      <c r="F153">
        <v>16975.349999999999</v>
      </c>
      <c r="G153" s="98">
        <f t="shared" si="8"/>
        <v>1.8745123927264018E-2</v>
      </c>
    </row>
    <row r="154" spans="1:7" x14ac:dyDescent="0.35">
      <c r="A154" s="97">
        <v>44637</v>
      </c>
      <c r="B154">
        <v>2405.75</v>
      </c>
      <c r="C154">
        <v>2586.85</v>
      </c>
      <c r="D154">
        <f t="shared" si="6"/>
        <v>181.09999999999991</v>
      </c>
      <c r="E154" s="98">
        <f t="shared" si="7"/>
        <v>7.5277979839966702E-2</v>
      </c>
      <c r="F154">
        <v>17287.05</v>
      </c>
      <c r="G154" s="98">
        <f t="shared" si="8"/>
        <v>1.8361918900052121E-2</v>
      </c>
    </row>
    <row r="155" spans="1:7" x14ac:dyDescent="0.35">
      <c r="A155" s="97">
        <v>44641</v>
      </c>
      <c r="B155">
        <v>2586.85</v>
      </c>
      <c r="C155">
        <v>2674.45</v>
      </c>
      <c r="D155">
        <f t="shared" si="6"/>
        <v>87.599999999999909</v>
      </c>
      <c r="E155" s="98">
        <f t="shared" si="7"/>
        <v>3.3863579256624816E-2</v>
      </c>
      <c r="F155">
        <v>17117.599999999999</v>
      </c>
      <c r="G155" s="98">
        <f t="shared" si="8"/>
        <v>-9.8021351242694177E-3</v>
      </c>
    </row>
    <row r="156" spans="1:7" x14ac:dyDescent="0.35">
      <c r="A156" s="97">
        <v>44642</v>
      </c>
      <c r="B156">
        <v>2674.45</v>
      </c>
      <c r="C156">
        <v>2650.9</v>
      </c>
      <c r="D156">
        <f t="shared" si="6"/>
        <v>-23.549999999999727</v>
      </c>
      <c r="E156" s="98">
        <f t="shared" si="7"/>
        <v>-8.8055488044269763E-3</v>
      </c>
      <c r="F156">
        <v>17315.5</v>
      </c>
      <c r="G156" s="98">
        <f t="shared" si="8"/>
        <v>1.1561200168247909E-2</v>
      </c>
    </row>
    <row r="157" spans="1:7" x14ac:dyDescent="0.35">
      <c r="A157" s="97">
        <v>44643</v>
      </c>
      <c r="B157">
        <v>2650.9</v>
      </c>
      <c r="C157">
        <v>2619.8000000000002</v>
      </c>
      <c r="D157">
        <f t="shared" si="6"/>
        <v>-31.099999999999909</v>
      </c>
      <c r="E157" s="98">
        <f t="shared" si="7"/>
        <v>-1.1731864649741562E-2</v>
      </c>
      <c r="F157">
        <v>17245.650000000001</v>
      </c>
      <c r="G157" s="98">
        <f t="shared" si="8"/>
        <v>-4.0339580144955756E-3</v>
      </c>
    </row>
    <row r="158" spans="1:7" x14ac:dyDescent="0.35">
      <c r="A158" s="97">
        <v>44644</v>
      </c>
      <c r="B158">
        <v>2619.8000000000002</v>
      </c>
      <c r="C158">
        <v>2658.75</v>
      </c>
      <c r="D158">
        <f t="shared" si="6"/>
        <v>38.949999999999818</v>
      </c>
      <c r="E158" s="98">
        <f t="shared" si="7"/>
        <v>1.486754714100306E-2</v>
      </c>
      <c r="F158">
        <v>17222.75</v>
      </c>
      <c r="G158" s="98">
        <f t="shared" si="8"/>
        <v>-1.3278710863320331E-3</v>
      </c>
    </row>
    <row r="159" spans="1:7" x14ac:dyDescent="0.35">
      <c r="A159" s="97">
        <v>44645</v>
      </c>
      <c r="B159">
        <v>2658.75</v>
      </c>
      <c r="C159">
        <v>2640.3</v>
      </c>
      <c r="D159">
        <f t="shared" si="6"/>
        <v>-18.449999999999818</v>
      </c>
      <c r="E159" s="98">
        <f t="shared" si="7"/>
        <v>-6.9393511988715814E-3</v>
      </c>
      <c r="F159">
        <v>17153</v>
      </c>
      <c r="G159" s="98">
        <f t="shared" si="8"/>
        <v>-4.049875890900112E-3</v>
      </c>
    </row>
    <row r="160" spans="1:7" x14ac:dyDescent="0.35">
      <c r="A160" s="97">
        <v>44648</v>
      </c>
      <c r="B160">
        <v>2640.3</v>
      </c>
      <c r="C160">
        <v>2731.1</v>
      </c>
      <c r="D160">
        <f t="shared" si="6"/>
        <v>90.799999999999727</v>
      </c>
      <c r="E160" s="98">
        <f t="shared" si="7"/>
        <v>3.4390031435821582E-2</v>
      </c>
      <c r="F160">
        <v>17222</v>
      </c>
      <c r="G160" s="98">
        <f t="shared" si="8"/>
        <v>4.0226199498629711E-3</v>
      </c>
    </row>
    <row r="161" spans="1:7" x14ac:dyDescent="0.35">
      <c r="A161" s="97">
        <v>44649</v>
      </c>
      <c r="B161">
        <v>2731.1</v>
      </c>
      <c r="C161">
        <v>2768.7</v>
      </c>
      <c r="D161">
        <f t="shared" si="6"/>
        <v>37.599999999999909</v>
      </c>
      <c r="E161" s="98">
        <f t="shared" si="7"/>
        <v>1.376734649042507E-2</v>
      </c>
      <c r="F161">
        <v>17325.3</v>
      </c>
      <c r="G161" s="98">
        <f t="shared" si="8"/>
        <v>5.9981419115084922E-3</v>
      </c>
    </row>
    <row r="162" spans="1:7" x14ac:dyDescent="0.35">
      <c r="A162" s="97">
        <v>44650</v>
      </c>
      <c r="B162">
        <v>2768.7</v>
      </c>
      <c r="C162">
        <v>2757.9</v>
      </c>
      <c r="D162">
        <f t="shared" si="6"/>
        <v>-10.799999999999727</v>
      </c>
      <c r="E162" s="98">
        <f t="shared" si="7"/>
        <v>-3.9007476432982007E-3</v>
      </c>
      <c r="F162">
        <v>17498.25</v>
      </c>
      <c r="G162" s="98">
        <f t="shared" si="8"/>
        <v>9.9825111253484256E-3</v>
      </c>
    </row>
    <row r="163" spans="1:7" x14ac:dyDescent="0.35">
      <c r="A163" s="97">
        <v>44651</v>
      </c>
      <c r="B163">
        <v>2757.9</v>
      </c>
      <c r="C163">
        <v>2796.5</v>
      </c>
      <c r="D163">
        <f t="shared" si="6"/>
        <v>38.599999999999909</v>
      </c>
      <c r="E163" s="98">
        <f t="shared" si="7"/>
        <v>1.3996156495884517E-2</v>
      </c>
      <c r="F163">
        <v>17464.75</v>
      </c>
      <c r="G163" s="98">
        <f t="shared" si="8"/>
        <v>-1.9144771620018819E-3</v>
      </c>
    </row>
    <row r="164" spans="1:7" x14ac:dyDescent="0.35">
      <c r="A164" s="97">
        <v>44652</v>
      </c>
      <c r="B164">
        <v>2796.5</v>
      </c>
      <c r="C164">
        <v>2869.6</v>
      </c>
      <c r="D164">
        <f t="shared" si="6"/>
        <v>73.099999999999909</v>
      </c>
      <c r="E164" s="98">
        <f t="shared" si="7"/>
        <v>2.6139817629179298E-2</v>
      </c>
      <c r="F164">
        <v>17670.45</v>
      </c>
      <c r="G164" s="98">
        <f t="shared" si="8"/>
        <v>1.1778009991554539E-2</v>
      </c>
    </row>
    <row r="165" spans="1:7" x14ac:dyDescent="0.35">
      <c r="A165" s="97">
        <v>44655</v>
      </c>
      <c r="B165">
        <v>2869.6</v>
      </c>
      <c r="C165">
        <v>2875.15</v>
      </c>
      <c r="D165">
        <f t="shared" si="6"/>
        <v>5.5500000000001819</v>
      </c>
      <c r="E165" s="98">
        <f t="shared" si="7"/>
        <v>1.9340674658489623E-3</v>
      </c>
      <c r="F165">
        <v>18053.400000000001</v>
      </c>
      <c r="G165" s="98">
        <f t="shared" si="8"/>
        <v>2.1671774063478866E-2</v>
      </c>
    </row>
    <row r="166" spans="1:7" x14ac:dyDescent="0.35">
      <c r="A166" s="97">
        <v>44656</v>
      </c>
      <c r="B166">
        <v>2875.15</v>
      </c>
      <c r="C166">
        <v>2960.65</v>
      </c>
      <c r="D166">
        <f t="shared" si="6"/>
        <v>85.5</v>
      </c>
      <c r="E166" s="98">
        <f t="shared" si="7"/>
        <v>2.973757890892649E-2</v>
      </c>
      <c r="F166">
        <v>17957.400000000001</v>
      </c>
      <c r="G166" s="98">
        <f t="shared" si="8"/>
        <v>-5.3175579115291027E-3</v>
      </c>
    </row>
    <row r="167" spans="1:7" x14ac:dyDescent="0.35">
      <c r="A167" s="97">
        <v>44657</v>
      </c>
      <c r="B167">
        <v>2960.65</v>
      </c>
      <c r="C167">
        <v>2972.6</v>
      </c>
      <c r="D167">
        <f t="shared" si="6"/>
        <v>11.949999999999818</v>
      </c>
      <c r="E167" s="98">
        <f t="shared" si="7"/>
        <v>4.0362758178102169E-3</v>
      </c>
      <c r="F167">
        <v>17807.650000000001</v>
      </c>
      <c r="G167" s="98">
        <f t="shared" si="8"/>
        <v>-8.3391805049728429E-3</v>
      </c>
    </row>
    <row r="168" spans="1:7" x14ac:dyDescent="0.35">
      <c r="A168" s="97">
        <v>44658</v>
      </c>
      <c r="B168">
        <v>2972.6</v>
      </c>
      <c r="C168">
        <v>2945.45</v>
      </c>
      <c r="D168">
        <f t="shared" si="6"/>
        <v>-27.150000000000091</v>
      </c>
      <c r="E168" s="98">
        <f t="shared" si="7"/>
        <v>-9.1334185561461664E-3</v>
      </c>
      <c r="F168">
        <v>17639.55</v>
      </c>
      <c r="G168" s="98">
        <f t="shared" si="8"/>
        <v>-9.4397632478178117E-3</v>
      </c>
    </row>
    <row r="169" spans="1:7" x14ac:dyDescent="0.35">
      <c r="A169" s="97">
        <v>44659</v>
      </c>
      <c r="B169">
        <v>2945.45</v>
      </c>
      <c r="C169">
        <v>3000.05</v>
      </c>
      <c r="D169">
        <f t="shared" si="6"/>
        <v>54.600000000000364</v>
      </c>
      <c r="E169" s="98">
        <f t="shared" si="7"/>
        <v>1.8537065643619944E-2</v>
      </c>
      <c r="F169">
        <v>17784.349999999999</v>
      </c>
      <c r="G169" s="98">
        <f t="shared" si="8"/>
        <v>8.208826188876639E-3</v>
      </c>
    </row>
    <row r="170" spans="1:7" x14ac:dyDescent="0.35">
      <c r="A170" s="97">
        <v>44662</v>
      </c>
      <c r="B170">
        <v>3000.05</v>
      </c>
      <c r="C170">
        <v>3020.4</v>
      </c>
      <c r="D170">
        <f t="shared" si="6"/>
        <v>20.349999999999909</v>
      </c>
      <c r="E170" s="98">
        <f t="shared" si="7"/>
        <v>6.7832202796619745E-3</v>
      </c>
      <c r="F170">
        <v>17674.95</v>
      </c>
      <c r="G170" s="98">
        <f t="shared" si="8"/>
        <v>-6.1514758762618582E-3</v>
      </c>
    </row>
    <row r="171" spans="1:7" x14ac:dyDescent="0.35">
      <c r="A171" s="97">
        <v>44663</v>
      </c>
      <c r="B171">
        <v>3020.4</v>
      </c>
      <c r="C171">
        <v>2984.2</v>
      </c>
      <c r="D171">
        <f t="shared" si="6"/>
        <v>-36.200000000000273</v>
      </c>
      <c r="E171" s="98">
        <f t="shared" si="7"/>
        <v>-1.1985167527479895E-2</v>
      </c>
      <c r="F171">
        <v>17530.3</v>
      </c>
      <c r="G171" s="98">
        <f t="shared" si="8"/>
        <v>-8.1838986814674053E-3</v>
      </c>
    </row>
    <row r="172" spans="1:7" x14ac:dyDescent="0.35">
      <c r="A172" s="97">
        <v>44664</v>
      </c>
      <c r="B172">
        <v>2984.2</v>
      </c>
      <c r="C172">
        <v>2987.95</v>
      </c>
      <c r="D172">
        <f t="shared" si="6"/>
        <v>3.75</v>
      </c>
      <c r="E172" s="98">
        <f t="shared" si="7"/>
        <v>1.256618189129415E-3</v>
      </c>
      <c r="F172">
        <v>17475.650000000001</v>
      </c>
      <c r="G172" s="98">
        <f t="shared" si="8"/>
        <v>-3.1174594844354253E-3</v>
      </c>
    </row>
    <row r="173" spans="1:7" x14ac:dyDescent="0.35">
      <c r="A173" s="97">
        <v>44669</v>
      </c>
      <c r="B173">
        <v>2987.95</v>
      </c>
      <c r="C173">
        <v>3036.15</v>
      </c>
      <c r="D173">
        <f t="shared" si="6"/>
        <v>48.200000000000273</v>
      </c>
      <c r="E173" s="98">
        <f t="shared" si="7"/>
        <v>1.6131461369835599E-2</v>
      </c>
      <c r="F173">
        <v>17173.650000000001</v>
      </c>
      <c r="G173" s="98">
        <f t="shared" si="8"/>
        <v>-1.7281188396425895E-2</v>
      </c>
    </row>
    <row r="174" spans="1:7" x14ac:dyDescent="0.35">
      <c r="A174" s="97">
        <v>44670</v>
      </c>
      <c r="B174">
        <v>3036.15</v>
      </c>
      <c r="C174">
        <v>2994.8</v>
      </c>
      <c r="D174">
        <f t="shared" si="6"/>
        <v>-41.349999999999909</v>
      </c>
      <c r="E174" s="98">
        <f t="shared" si="7"/>
        <v>-1.361922171170723E-2</v>
      </c>
      <c r="F174">
        <v>16958.650000000001</v>
      </c>
      <c r="G174" s="98">
        <f t="shared" si="8"/>
        <v>-1.251917909122402E-2</v>
      </c>
    </row>
    <row r="175" spans="1:7" x14ac:dyDescent="0.35">
      <c r="A175" s="97">
        <v>44671</v>
      </c>
      <c r="B175">
        <v>2994.8</v>
      </c>
      <c r="C175">
        <v>2963.3</v>
      </c>
      <c r="D175">
        <f t="shared" si="6"/>
        <v>-31.5</v>
      </c>
      <c r="E175" s="98">
        <f t="shared" si="7"/>
        <v>-1.0518231601442499E-2</v>
      </c>
      <c r="F175">
        <v>17136.55</v>
      </c>
      <c r="G175" s="98">
        <f t="shared" si="8"/>
        <v>1.0490221804211775E-2</v>
      </c>
    </row>
    <row r="176" spans="1:7" x14ac:dyDescent="0.35">
      <c r="A176" s="97">
        <v>44672</v>
      </c>
      <c r="B176">
        <v>2963.3</v>
      </c>
      <c r="C176">
        <v>2985.45</v>
      </c>
      <c r="D176">
        <f t="shared" si="6"/>
        <v>22.149999999999636</v>
      </c>
      <c r="E176" s="98">
        <f t="shared" si="7"/>
        <v>7.4747747443727041E-3</v>
      </c>
      <c r="F176">
        <v>17392.599999999999</v>
      </c>
      <c r="G176" s="98">
        <f t="shared" si="8"/>
        <v>1.4941747317867238E-2</v>
      </c>
    </row>
    <row r="177" spans="1:7" x14ac:dyDescent="0.35">
      <c r="A177" s="97">
        <v>44673</v>
      </c>
      <c r="B177">
        <v>2985.45</v>
      </c>
      <c r="C177">
        <v>2969.6</v>
      </c>
      <c r="D177">
        <f t="shared" si="6"/>
        <v>-15.849999999999909</v>
      </c>
      <c r="E177" s="98">
        <f t="shared" si="7"/>
        <v>-5.3090823828903216E-3</v>
      </c>
      <c r="F177">
        <v>17171.95</v>
      </c>
      <c r="G177" s="98">
        <f t="shared" si="8"/>
        <v>-1.2686429860975235E-2</v>
      </c>
    </row>
    <row r="178" spans="1:7" x14ac:dyDescent="0.35">
      <c r="A178" s="97">
        <v>44676</v>
      </c>
      <c r="B178">
        <v>2969.6</v>
      </c>
      <c r="C178">
        <v>2850.3</v>
      </c>
      <c r="D178">
        <f t="shared" si="6"/>
        <v>-119.29999999999973</v>
      </c>
      <c r="E178" s="98">
        <f t="shared" si="7"/>
        <v>-4.0173760775861982E-2</v>
      </c>
      <c r="F178">
        <v>16953.95</v>
      </c>
      <c r="G178" s="98">
        <f t="shared" si="8"/>
        <v>-1.2695121986728397E-2</v>
      </c>
    </row>
    <row r="179" spans="1:7" x14ac:dyDescent="0.35">
      <c r="A179" s="97">
        <v>44677</v>
      </c>
      <c r="B179">
        <v>2850.3</v>
      </c>
      <c r="C179">
        <v>2833</v>
      </c>
      <c r="D179">
        <f t="shared" si="6"/>
        <v>-17.300000000000182</v>
      </c>
      <c r="E179" s="98">
        <f t="shared" si="7"/>
        <v>-6.0695365400133955E-3</v>
      </c>
      <c r="F179">
        <v>17200.8</v>
      </c>
      <c r="G179" s="98">
        <f t="shared" si="8"/>
        <v>1.4560028783852541E-2</v>
      </c>
    </row>
    <row r="180" spans="1:7" x14ac:dyDescent="0.35">
      <c r="A180" s="97">
        <v>44678</v>
      </c>
      <c r="B180">
        <v>2833</v>
      </c>
      <c r="C180">
        <v>2765.2</v>
      </c>
      <c r="D180">
        <f t="shared" si="6"/>
        <v>-67.800000000000182</v>
      </c>
      <c r="E180" s="98">
        <f t="shared" si="7"/>
        <v>-2.3932227320861341E-2</v>
      </c>
      <c r="F180">
        <v>17038.400000000001</v>
      </c>
      <c r="G180" s="98">
        <f t="shared" si="8"/>
        <v>-9.4414213292404181E-3</v>
      </c>
    </row>
    <row r="181" spans="1:7" x14ac:dyDescent="0.35">
      <c r="A181" s="97">
        <v>44679</v>
      </c>
      <c r="B181">
        <v>2765.2</v>
      </c>
      <c r="C181">
        <v>2788.5</v>
      </c>
      <c r="D181">
        <f t="shared" si="6"/>
        <v>23.300000000000182</v>
      </c>
      <c r="E181" s="98">
        <f t="shared" si="7"/>
        <v>8.4261536236077614E-3</v>
      </c>
      <c r="F181">
        <v>17245.05</v>
      </c>
      <c r="G181" s="98">
        <f t="shared" si="8"/>
        <v>1.2128486242839465E-2</v>
      </c>
    </row>
    <row r="182" spans="1:7" x14ac:dyDescent="0.35">
      <c r="A182" s="97">
        <v>44680</v>
      </c>
      <c r="B182">
        <v>2788.5</v>
      </c>
      <c r="C182">
        <v>2760.9</v>
      </c>
      <c r="D182">
        <f t="shared" si="6"/>
        <v>-27.599999999999909</v>
      </c>
      <c r="E182" s="98">
        <f t="shared" si="7"/>
        <v>-9.8977945131790961E-3</v>
      </c>
      <c r="F182">
        <v>17102.55</v>
      </c>
      <c r="G182" s="98">
        <f t="shared" si="8"/>
        <v>-8.263240756043011E-3</v>
      </c>
    </row>
    <row r="183" spans="1:7" x14ac:dyDescent="0.35">
      <c r="A183" s="97">
        <v>44683</v>
      </c>
      <c r="B183">
        <v>2760.9</v>
      </c>
      <c r="C183">
        <v>2918.95</v>
      </c>
      <c r="D183">
        <f t="shared" si="6"/>
        <v>158.04999999999973</v>
      </c>
      <c r="E183" s="98">
        <f t="shared" si="7"/>
        <v>5.7245825636567688E-2</v>
      </c>
      <c r="F183">
        <v>17069.099999999999</v>
      </c>
      <c r="G183" s="98">
        <f t="shared" si="8"/>
        <v>-1.9558486892305993E-3</v>
      </c>
    </row>
    <row r="184" spans="1:7" x14ac:dyDescent="0.35">
      <c r="A184" s="97">
        <v>44685</v>
      </c>
      <c r="B184">
        <v>2918.95</v>
      </c>
      <c r="C184">
        <v>2997.45</v>
      </c>
      <c r="D184">
        <f t="shared" si="6"/>
        <v>78.5</v>
      </c>
      <c r="E184" s="98">
        <f t="shared" si="7"/>
        <v>2.6893232155398347E-2</v>
      </c>
      <c r="F184">
        <v>16677.599999999999</v>
      </c>
      <c r="G184" s="98">
        <f t="shared" si="8"/>
        <v>-2.293618292704358E-2</v>
      </c>
    </row>
    <row r="185" spans="1:7" x14ac:dyDescent="0.35">
      <c r="A185" s="97">
        <v>44686</v>
      </c>
      <c r="B185">
        <v>2997.45</v>
      </c>
      <c r="C185">
        <v>2998.9</v>
      </c>
      <c r="D185">
        <f t="shared" si="6"/>
        <v>1.4500000000002728</v>
      </c>
      <c r="E185" s="98">
        <f t="shared" si="7"/>
        <v>4.8374451617217063E-4</v>
      </c>
      <c r="F185">
        <v>16682.650000000001</v>
      </c>
      <c r="G185" s="98">
        <f t="shared" si="8"/>
        <v>3.0280136230653731E-4</v>
      </c>
    </row>
    <row r="186" spans="1:7" x14ac:dyDescent="0.35">
      <c r="A186" s="97">
        <v>44687</v>
      </c>
      <c r="B186">
        <v>2998.9</v>
      </c>
      <c r="C186">
        <v>2983.65</v>
      </c>
      <c r="D186">
        <f t="shared" si="6"/>
        <v>-15.25</v>
      </c>
      <c r="E186" s="98">
        <f t="shared" si="7"/>
        <v>-5.0851979058988295E-3</v>
      </c>
      <c r="F186">
        <v>16411.25</v>
      </c>
      <c r="G186" s="98">
        <f t="shared" si="8"/>
        <v>-1.6268398605737144E-2</v>
      </c>
    </row>
    <row r="187" spans="1:7" x14ac:dyDescent="0.35">
      <c r="A187" s="97">
        <v>44690</v>
      </c>
      <c r="B187">
        <v>2983.65</v>
      </c>
      <c r="C187">
        <v>2983.65</v>
      </c>
      <c r="D187">
        <f t="shared" si="6"/>
        <v>0</v>
      </c>
      <c r="E187" s="98">
        <f t="shared" si="7"/>
        <v>0</v>
      </c>
      <c r="F187">
        <v>16301.85</v>
      </c>
      <c r="G187" s="98">
        <f t="shared" si="8"/>
        <v>-6.6661588849112885E-3</v>
      </c>
    </row>
    <row r="188" spans="1:7" x14ac:dyDescent="0.35">
      <c r="A188" s="97">
        <v>44691</v>
      </c>
      <c r="B188">
        <v>2983.65</v>
      </c>
      <c r="C188">
        <v>2902.3</v>
      </c>
      <c r="D188">
        <f t="shared" si="6"/>
        <v>-81.349999999999909</v>
      </c>
      <c r="E188" s="98">
        <f t="shared" si="7"/>
        <v>-2.7265262346454815E-2</v>
      </c>
      <c r="F188">
        <v>16240.05</v>
      </c>
      <c r="G188" s="98">
        <f t="shared" si="8"/>
        <v>-3.7909807782553484E-3</v>
      </c>
    </row>
    <row r="189" spans="1:7" x14ac:dyDescent="0.35">
      <c r="A189" s="97">
        <v>44692</v>
      </c>
      <c r="B189">
        <v>2902.3</v>
      </c>
      <c r="C189">
        <v>2820.35</v>
      </c>
      <c r="D189">
        <f t="shared" si="6"/>
        <v>-81.950000000000273</v>
      </c>
      <c r="E189" s="98">
        <f t="shared" si="7"/>
        <v>-2.8236226441098532E-2</v>
      </c>
      <c r="F189">
        <v>16167.1</v>
      </c>
      <c r="G189" s="98">
        <f t="shared" si="8"/>
        <v>-4.4919812439000451E-3</v>
      </c>
    </row>
    <row r="190" spans="1:7" x14ac:dyDescent="0.35">
      <c r="A190" s="97">
        <v>44693</v>
      </c>
      <c r="B190">
        <v>2820.35</v>
      </c>
      <c r="C190">
        <v>2781.1</v>
      </c>
      <c r="D190">
        <f t="shared" si="6"/>
        <v>-39.25</v>
      </c>
      <c r="E190" s="98">
        <f t="shared" si="7"/>
        <v>-1.3916712464765012E-2</v>
      </c>
      <c r="F190">
        <v>15808</v>
      </c>
      <c r="G190" s="98">
        <f t="shared" si="8"/>
        <v>-2.2211775766835085E-2</v>
      </c>
    </row>
    <row r="191" spans="1:7" x14ac:dyDescent="0.35">
      <c r="A191" s="97">
        <v>44694</v>
      </c>
      <c r="B191">
        <v>2781.1</v>
      </c>
      <c r="C191">
        <v>2783.25</v>
      </c>
      <c r="D191">
        <f t="shared" si="6"/>
        <v>2.1500000000000909</v>
      </c>
      <c r="E191" s="98">
        <f t="shared" si="7"/>
        <v>7.7307540181945674E-4</v>
      </c>
      <c r="F191">
        <v>15782.15</v>
      </c>
      <c r="G191" s="98">
        <f t="shared" si="8"/>
        <v>-1.6352479757085758E-3</v>
      </c>
    </row>
    <row r="192" spans="1:7" x14ac:dyDescent="0.35">
      <c r="A192" s="97">
        <v>44697</v>
      </c>
      <c r="B192">
        <v>2783.25</v>
      </c>
      <c r="C192">
        <v>2795.1</v>
      </c>
      <c r="D192">
        <f t="shared" si="6"/>
        <v>11.849999999999909</v>
      </c>
      <c r="E192" s="98">
        <f t="shared" si="7"/>
        <v>4.2576125033683314E-3</v>
      </c>
      <c r="F192">
        <v>15842.3</v>
      </c>
      <c r="G192" s="98">
        <f t="shared" si="8"/>
        <v>3.811267793044637E-3</v>
      </c>
    </row>
    <row r="193" spans="1:7" x14ac:dyDescent="0.35">
      <c r="A193" s="97">
        <v>44698</v>
      </c>
      <c r="B193">
        <v>2795.1</v>
      </c>
      <c r="C193">
        <v>2845.9</v>
      </c>
      <c r="D193">
        <f t="shared" si="6"/>
        <v>50.800000000000182</v>
      </c>
      <c r="E193" s="98">
        <f t="shared" si="7"/>
        <v>1.8174662802762042E-2</v>
      </c>
      <c r="F193">
        <v>16259.3</v>
      </c>
      <c r="G193" s="98">
        <f t="shared" si="8"/>
        <v>2.6321935577536149E-2</v>
      </c>
    </row>
    <row r="194" spans="1:7" x14ac:dyDescent="0.35">
      <c r="A194" s="97">
        <v>44699</v>
      </c>
      <c r="B194">
        <v>2845.9</v>
      </c>
      <c r="C194">
        <v>2886.95</v>
      </c>
      <c r="D194">
        <f t="shared" si="6"/>
        <v>41.049999999999727</v>
      </c>
      <c r="E194" s="98">
        <f t="shared" si="7"/>
        <v>1.4424259460978856E-2</v>
      </c>
      <c r="F194">
        <v>16240.3</v>
      </c>
      <c r="G194" s="98">
        <f t="shared" si="8"/>
        <v>-1.1685619922137125E-3</v>
      </c>
    </row>
    <row r="195" spans="1:7" x14ac:dyDescent="0.35">
      <c r="A195" s="97">
        <v>44700</v>
      </c>
      <c r="B195">
        <v>2886.95</v>
      </c>
      <c r="C195">
        <v>2884.4</v>
      </c>
      <c r="D195">
        <f t="shared" si="6"/>
        <v>-2.5499999999997272</v>
      </c>
      <c r="E195" s="98">
        <f t="shared" si="7"/>
        <v>-8.8328512790305591E-4</v>
      </c>
      <c r="F195">
        <v>15809.4</v>
      </c>
      <c r="G195" s="98">
        <f t="shared" si="8"/>
        <v>-2.6532761094314794E-2</v>
      </c>
    </row>
    <row r="196" spans="1:7" x14ac:dyDescent="0.35">
      <c r="A196" s="97">
        <v>44701</v>
      </c>
      <c r="B196">
        <v>2884.4</v>
      </c>
      <c r="C196">
        <v>2797.35</v>
      </c>
      <c r="D196">
        <f t="shared" si="6"/>
        <v>-87.050000000000182</v>
      </c>
      <c r="E196" s="98">
        <f t="shared" si="7"/>
        <v>-3.0179586742476835E-2</v>
      </c>
      <c r="F196">
        <v>16266.15</v>
      </c>
      <c r="G196" s="98">
        <f t="shared" si="8"/>
        <v>2.8891039508140759E-2</v>
      </c>
    </row>
    <row r="197" spans="1:7" x14ac:dyDescent="0.35">
      <c r="A197" s="97">
        <v>44704</v>
      </c>
      <c r="B197">
        <v>2797.35</v>
      </c>
      <c r="C197">
        <v>2683.55</v>
      </c>
      <c r="D197">
        <f t="shared" si="6"/>
        <v>-113.79999999999973</v>
      </c>
      <c r="E197" s="98">
        <f t="shared" si="7"/>
        <v>-4.0681359143474975E-2</v>
      </c>
      <c r="F197">
        <v>16214.7</v>
      </c>
      <c r="G197" s="98">
        <f t="shared" si="8"/>
        <v>-3.1630103005320098E-3</v>
      </c>
    </row>
    <row r="198" spans="1:7" x14ac:dyDescent="0.35">
      <c r="A198" s="97">
        <v>44705</v>
      </c>
      <c r="B198">
        <v>2683.55</v>
      </c>
      <c r="C198">
        <v>2723.25</v>
      </c>
      <c r="D198">
        <f t="shared" si="6"/>
        <v>39.699999999999818</v>
      </c>
      <c r="E198" s="98">
        <f t="shared" si="7"/>
        <v>1.4793836522516746E-2</v>
      </c>
      <c r="F198">
        <v>16125.15</v>
      </c>
      <c r="G198" s="98">
        <f t="shared" si="8"/>
        <v>-5.5227663786564518E-3</v>
      </c>
    </row>
    <row r="199" spans="1:7" x14ac:dyDescent="0.35">
      <c r="A199" s="97">
        <v>44706</v>
      </c>
      <c r="B199">
        <v>2723.25</v>
      </c>
      <c r="C199">
        <v>2579.1999999999998</v>
      </c>
      <c r="D199">
        <f t="shared" si="6"/>
        <v>-144.05000000000018</v>
      </c>
      <c r="E199" s="98">
        <f t="shared" si="7"/>
        <v>-5.2896355457633409E-2</v>
      </c>
      <c r="F199">
        <v>16025.8</v>
      </c>
      <c r="G199" s="98">
        <f t="shared" si="8"/>
        <v>-6.1611829967473941E-3</v>
      </c>
    </row>
    <row r="200" spans="1:7" x14ac:dyDescent="0.35">
      <c r="A200" s="97">
        <v>44707</v>
      </c>
      <c r="B200">
        <v>2579.1999999999998</v>
      </c>
      <c r="C200">
        <v>2561.65</v>
      </c>
      <c r="D200">
        <f t="shared" ref="D200:D255" si="9">C200-B200</f>
        <v>-17.549999999999727</v>
      </c>
      <c r="E200" s="98">
        <f t="shared" ref="E200:E255" si="10">D200/B200</f>
        <v>-6.8044354838708628E-3</v>
      </c>
      <c r="F200">
        <v>16170.15</v>
      </c>
      <c r="G200" s="98">
        <f t="shared" si="8"/>
        <v>9.0073506470815801E-3</v>
      </c>
    </row>
    <row r="201" spans="1:7" x14ac:dyDescent="0.35">
      <c r="A201" s="97">
        <v>44708</v>
      </c>
      <c r="B201">
        <v>2561.65</v>
      </c>
      <c r="C201">
        <v>2571.4</v>
      </c>
      <c r="D201">
        <f t="shared" si="9"/>
        <v>9.75</v>
      </c>
      <c r="E201" s="98">
        <f t="shared" si="10"/>
        <v>3.8061405734585128E-3</v>
      </c>
      <c r="F201">
        <v>16352.45</v>
      </c>
      <c r="G201" s="98">
        <f t="shared" ref="G201:G255" si="11">F201/F200-1</f>
        <v>1.1273859549849607E-2</v>
      </c>
    </row>
    <row r="202" spans="1:7" x14ac:dyDescent="0.35">
      <c r="A202" s="97">
        <v>44711</v>
      </c>
      <c r="B202">
        <v>2571.4</v>
      </c>
      <c r="C202">
        <v>2706.9</v>
      </c>
      <c r="D202">
        <f t="shared" si="9"/>
        <v>135.5</v>
      </c>
      <c r="E202" s="98">
        <f t="shared" si="10"/>
        <v>5.2695029944777164E-2</v>
      </c>
      <c r="F202">
        <v>16661.400000000001</v>
      </c>
      <c r="G202" s="98">
        <f t="shared" si="11"/>
        <v>1.8893193374693196E-2</v>
      </c>
    </row>
    <row r="203" spans="1:7" x14ac:dyDescent="0.35">
      <c r="A203" s="97">
        <v>44712</v>
      </c>
      <c r="B203">
        <v>2706.9</v>
      </c>
      <c r="C203">
        <v>2620.1</v>
      </c>
      <c r="D203">
        <f t="shared" si="9"/>
        <v>-86.800000000000182</v>
      </c>
      <c r="E203" s="98">
        <f t="shared" si="10"/>
        <v>-3.2066201189552689E-2</v>
      </c>
      <c r="F203">
        <v>16584.55</v>
      </c>
      <c r="G203" s="98">
        <f t="shared" si="11"/>
        <v>-4.6124575365816822E-3</v>
      </c>
    </row>
    <row r="204" spans="1:7" x14ac:dyDescent="0.35">
      <c r="A204" s="97">
        <v>44713</v>
      </c>
      <c r="B204">
        <v>2620.1</v>
      </c>
      <c r="C204">
        <v>2620.65</v>
      </c>
      <c r="D204">
        <f t="shared" si="9"/>
        <v>0.5500000000001819</v>
      </c>
      <c r="E204" s="98">
        <f t="shared" si="10"/>
        <v>2.0991565207441774E-4</v>
      </c>
      <c r="F204">
        <v>16522.75</v>
      </c>
      <c r="G204" s="98">
        <f t="shared" si="11"/>
        <v>-3.7263597746094446E-3</v>
      </c>
    </row>
    <row r="205" spans="1:7" x14ac:dyDescent="0.35">
      <c r="A205" s="97">
        <v>44714</v>
      </c>
      <c r="B205">
        <v>2620.65</v>
      </c>
      <c r="C205">
        <v>2616.15</v>
      </c>
      <c r="D205">
        <f t="shared" si="9"/>
        <v>-4.5</v>
      </c>
      <c r="E205" s="98">
        <f t="shared" si="10"/>
        <v>-1.7171312460649076E-3</v>
      </c>
      <c r="F205">
        <v>16628</v>
      </c>
      <c r="G205" s="98">
        <f t="shared" si="11"/>
        <v>6.3700049931154634E-3</v>
      </c>
    </row>
    <row r="206" spans="1:7" x14ac:dyDescent="0.35">
      <c r="A206" s="97">
        <v>44715</v>
      </c>
      <c r="B206">
        <v>2616.15</v>
      </c>
      <c r="C206">
        <v>2802.9</v>
      </c>
      <c r="D206">
        <f t="shared" si="9"/>
        <v>186.75</v>
      </c>
      <c r="E206" s="98">
        <f t="shared" si="10"/>
        <v>7.1383521587064958E-2</v>
      </c>
      <c r="F206">
        <v>16584.3</v>
      </c>
      <c r="G206" s="98">
        <f t="shared" si="11"/>
        <v>-2.6280971854703017E-3</v>
      </c>
    </row>
    <row r="207" spans="1:7" x14ac:dyDescent="0.35">
      <c r="A207" s="97">
        <v>44718</v>
      </c>
      <c r="B207">
        <v>2802.9</v>
      </c>
      <c r="C207">
        <v>2789.4</v>
      </c>
      <c r="D207">
        <f t="shared" si="9"/>
        <v>-13.5</v>
      </c>
      <c r="E207" s="98">
        <f t="shared" si="10"/>
        <v>-4.8164401155945625E-3</v>
      </c>
      <c r="F207">
        <v>16569.55</v>
      </c>
      <c r="G207" s="98">
        <f t="shared" si="11"/>
        <v>-8.8939539202737006E-4</v>
      </c>
    </row>
    <row r="208" spans="1:7" x14ac:dyDescent="0.35">
      <c r="A208" s="97">
        <v>44719</v>
      </c>
      <c r="B208">
        <v>2789.4</v>
      </c>
      <c r="C208">
        <v>2775.65</v>
      </c>
      <c r="D208">
        <f t="shared" si="9"/>
        <v>-13.75</v>
      </c>
      <c r="E208" s="98">
        <f t="shared" si="10"/>
        <v>-4.929375492937549E-3</v>
      </c>
      <c r="F208">
        <v>16416.349999999999</v>
      </c>
      <c r="G208" s="98">
        <f t="shared" si="11"/>
        <v>-9.2458757178076612E-3</v>
      </c>
    </row>
    <row r="209" spans="1:7" x14ac:dyDescent="0.35">
      <c r="A209" s="97">
        <v>44720</v>
      </c>
      <c r="B209">
        <v>2775.65</v>
      </c>
      <c r="C209">
        <v>2807.5</v>
      </c>
      <c r="D209">
        <f t="shared" si="9"/>
        <v>31.849999999999909</v>
      </c>
      <c r="E209" s="98">
        <f t="shared" si="10"/>
        <v>1.1474789688901666E-2</v>
      </c>
      <c r="F209">
        <v>16356.25</v>
      </c>
      <c r="G209" s="98">
        <f t="shared" si="11"/>
        <v>-3.6609843235554385E-3</v>
      </c>
    </row>
    <row r="210" spans="1:7" x14ac:dyDescent="0.35">
      <c r="A210" s="97">
        <v>44721</v>
      </c>
      <c r="B210">
        <v>2807.5</v>
      </c>
      <c r="C210">
        <v>2768.9</v>
      </c>
      <c r="D210">
        <f t="shared" si="9"/>
        <v>-38.599999999999909</v>
      </c>
      <c r="E210" s="98">
        <f t="shared" si="10"/>
        <v>-1.37488869100623E-2</v>
      </c>
      <c r="F210">
        <v>16478.099999999999</v>
      </c>
      <c r="G210" s="98">
        <f t="shared" si="11"/>
        <v>7.4497516239968586E-3</v>
      </c>
    </row>
    <row r="211" spans="1:7" x14ac:dyDescent="0.35">
      <c r="A211" s="97">
        <v>44722</v>
      </c>
      <c r="B211">
        <v>2768.9</v>
      </c>
      <c r="C211">
        <v>2856.25</v>
      </c>
      <c r="D211">
        <f t="shared" si="9"/>
        <v>87.349999999999909</v>
      </c>
      <c r="E211" s="98">
        <f t="shared" si="10"/>
        <v>3.1546823648380191E-2</v>
      </c>
      <c r="F211">
        <v>16201.8</v>
      </c>
      <c r="G211" s="98">
        <f t="shared" si="11"/>
        <v>-1.6767709869463077E-2</v>
      </c>
    </row>
    <row r="212" spans="1:7" x14ac:dyDescent="0.35">
      <c r="A212" s="97">
        <v>44725</v>
      </c>
      <c r="B212">
        <v>2856.25</v>
      </c>
      <c r="C212">
        <v>2771.45</v>
      </c>
      <c r="D212">
        <f t="shared" si="9"/>
        <v>-84.800000000000182</v>
      </c>
      <c r="E212" s="98">
        <f t="shared" si="10"/>
        <v>-2.968927789934361E-2</v>
      </c>
      <c r="F212">
        <v>15774.4</v>
      </c>
      <c r="G212" s="98">
        <f t="shared" si="11"/>
        <v>-2.6379784962164643E-2</v>
      </c>
    </row>
    <row r="213" spans="1:7" x14ac:dyDescent="0.35">
      <c r="A213" s="97">
        <v>44726</v>
      </c>
      <c r="B213">
        <v>2771.45</v>
      </c>
      <c r="C213">
        <v>2721.6</v>
      </c>
      <c r="D213">
        <f t="shared" si="9"/>
        <v>-49.849999999999909</v>
      </c>
      <c r="E213" s="98">
        <f t="shared" si="10"/>
        <v>-1.7986974327518054E-2</v>
      </c>
      <c r="F213">
        <v>15732.1</v>
      </c>
      <c r="G213" s="98">
        <f t="shared" si="11"/>
        <v>-2.6815599959427727E-3</v>
      </c>
    </row>
    <row r="214" spans="1:7" x14ac:dyDescent="0.35">
      <c r="A214" s="97">
        <v>44727</v>
      </c>
      <c r="B214">
        <v>2721.6</v>
      </c>
      <c r="C214">
        <v>2750.3</v>
      </c>
      <c r="D214">
        <f t="shared" si="9"/>
        <v>28.700000000000273</v>
      </c>
      <c r="E214" s="98">
        <f t="shared" si="10"/>
        <v>1.0545267489712035E-2</v>
      </c>
      <c r="F214">
        <v>15692.15</v>
      </c>
      <c r="G214" s="98">
        <f t="shared" si="11"/>
        <v>-2.5393939779178032E-3</v>
      </c>
    </row>
    <row r="215" spans="1:7" x14ac:dyDescent="0.35">
      <c r="A215" s="97">
        <v>44728</v>
      </c>
      <c r="B215">
        <v>2750.3</v>
      </c>
      <c r="C215">
        <v>2759.35</v>
      </c>
      <c r="D215">
        <f t="shared" si="9"/>
        <v>9.0499999999997272</v>
      </c>
      <c r="E215" s="98">
        <f t="shared" si="10"/>
        <v>3.2905501218047947E-3</v>
      </c>
      <c r="F215">
        <v>15360.6</v>
      </c>
      <c r="G215" s="98">
        <f t="shared" si="11"/>
        <v>-2.1128398594201458E-2</v>
      </c>
    </row>
    <row r="216" spans="1:7" x14ac:dyDescent="0.35">
      <c r="A216" s="97">
        <v>44729</v>
      </c>
      <c r="B216">
        <v>2759.35</v>
      </c>
      <c r="C216">
        <v>2761</v>
      </c>
      <c r="D216">
        <f t="shared" si="9"/>
        <v>1.6500000000000909</v>
      </c>
      <c r="E216" s="98">
        <f t="shared" si="10"/>
        <v>5.9796691249754141E-4</v>
      </c>
      <c r="F216">
        <v>15293.5</v>
      </c>
      <c r="G216" s="98">
        <f t="shared" si="11"/>
        <v>-4.3683189458745275E-3</v>
      </c>
    </row>
    <row r="217" spans="1:7" x14ac:dyDescent="0.35">
      <c r="A217" s="97">
        <v>44732</v>
      </c>
      <c r="B217">
        <v>2761</v>
      </c>
      <c r="C217">
        <v>2701.05</v>
      </c>
      <c r="D217">
        <f t="shared" si="9"/>
        <v>-59.949999999999818</v>
      </c>
      <c r="E217" s="98">
        <f t="shared" si="10"/>
        <v>-2.1713147410358499E-2</v>
      </c>
      <c r="F217">
        <v>15350.15</v>
      </c>
      <c r="G217" s="98">
        <f t="shared" si="11"/>
        <v>3.7041880537482808E-3</v>
      </c>
    </row>
    <row r="218" spans="1:7" x14ac:dyDescent="0.35">
      <c r="A218" s="97">
        <v>44733</v>
      </c>
      <c r="B218">
        <v>2701.05</v>
      </c>
      <c r="C218">
        <v>2792.6</v>
      </c>
      <c r="D218">
        <f t="shared" si="9"/>
        <v>91.549999999999727</v>
      </c>
      <c r="E218" s="98">
        <f t="shared" si="10"/>
        <v>3.3894226319394205E-2</v>
      </c>
      <c r="F218">
        <v>15638.8</v>
      </c>
      <c r="G218" s="98">
        <f t="shared" si="11"/>
        <v>1.8804376504464093E-2</v>
      </c>
    </row>
    <row r="219" spans="1:7" x14ac:dyDescent="0.35">
      <c r="A219" s="97">
        <v>44734</v>
      </c>
      <c r="B219">
        <v>2792.6</v>
      </c>
      <c r="C219">
        <v>2741.7</v>
      </c>
      <c r="D219">
        <f t="shared" si="9"/>
        <v>-50.900000000000091</v>
      </c>
      <c r="E219" s="98">
        <f t="shared" si="10"/>
        <v>-1.8226742104132384E-2</v>
      </c>
      <c r="F219">
        <v>15413.3</v>
      </c>
      <c r="G219" s="98">
        <f t="shared" si="11"/>
        <v>-1.4419264905235707E-2</v>
      </c>
    </row>
    <row r="220" spans="1:7" x14ac:dyDescent="0.35">
      <c r="A220" s="97">
        <v>44735</v>
      </c>
      <c r="B220">
        <v>2741.7</v>
      </c>
      <c r="C220">
        <v>2764.55</v>
      </c>
      <c r="D220">
        <f t="shared" si="9"/>
        <v>22.850000000000364</v>
      </c>
      <c r="E220" s="98">
        <f t="shared" si="10"/>
        <v>8.3342451763505736E-3</v>
      </c>
      <c r="F220">
        <v>15556.65</v>
      </c>
      <c r="G220" s="98">
        <f t="shared" si="11"/>
        <v>9.300409386698627E-3</v>
      </c>
    </row>
    <row r="221" spans="1:7" x14ac:dyDescent="0.35">
      <c r="A221" s="97">
        <v>44736</v>
      </c>
      <c r="B221">
        <v>2764.55</v>
      </c>
      <c r="C221">
        <v>2756.65</v>
      </c>
      <c r="D221">
        <f t="shared" si="9"/>
        <v>-7.9000000000000909</v>
      </c>
      <c r="E221" s="98">
        <f t="shared" si="10"/>
        <v>-2.8576079289577292E-3</v>
      </c>
      <c r="F221">
        <v>15699.25</v>
      </c>
      <c r="G221" s="98">
        <f t="shared" si="11"/>
        <v>9.1664979285386305E-3</v>
      </c>
    </row>
    <row r="222" spans="1:7" x14ac:dyDescent="0.35">
      <c r="A222" s="97">
        <v>44739</v>
      </c>
      <c r="B222">
        <v>2756.65</v>
      </c>
      <c r="C222">
        <v>2747.1</v>
      </c>
      <c r="D222">
        <f t="shared" si="9"/>
        <v>-9.5500000000001819</v>
      </c>
      <c r="E222" s="98">
        <f t="shared" si="10"/>
        <v>-3.4643498449205309E-3</v>
      </c>
      <c r="F222">
        <v>15832.05</v>
      </c>
      <c r="G222" s="98">
        <f t="shared" si="11"/>
        <v>8.4590028186060096E-3</v>
      </c>
    </row>
    <row r="223" spans="1:7" x14ac:dyDescent="0.35">
      <c r="A223" s="97">
        <v>44740</v>
      </c>
      <c r="B223">
        <v>2747.1</v>
      </c>
      <c r="C223">
        <v>2753</v>
      </c>
      <c r="D223">
        <f t="shared" si="9"/>
        <v>5.9000000000000909</v>
      </c>
      <c r="E223" s="98">
        <f t="shared" si="10"/>
        <v>2.1477194131994072E-3</v>
      </c>
      <c r="F223">
        <v>15850.2</v>
      </c>
      <c r="G223" s="98">
        <f t="shared" si="11"/>
        <v>1.1464087089165798E-3</v>
      </c>
    </row>
    <row r="224" spans="1:7" x14ac:dyDescent="0.35">
      <c r="A224" s="97">
        <v>44741</v>
      </c>
      <c r="B224">
        <v>2753</v>
      </c>
      <c r="C224">
        <v>2737.65</v>
      </c>
      <c r="D224">
        <f t="shared" si="9"/>
        <v>-15.349999999999909</v>
      </c>
      <c r="E224" s="98">
        <f t="shared" si="10"/>
        <v>-5.5757355612059238E-3</v>
      </c>
      <c r="F224">
        <v>15799.1</v>
      </c>
      <c r="G224" s="98">
        <f t="shared" si="11"/>
        <v>-3.2239340828507101E-3</v>
      </c>
    </row>
    <row r="225" spans="1:7" x14ac:dyDescent="0.35">
      <c r="A225" s="97">
        <v>44742</v>
      </c>
      <c r="B225">
        <v>2737.65</v>
      </c>
      <c r="C225">
        <v>2745.3</v>
      </c>
      <c r="D225">
        <f t="shared" si="9"/>
        <v>7.6500000000000909</v>
      </c>
      <c r="E225" s="98">
        <f t="shared" si="10"/>
        <v>2.7943674319215717E-3</v>
      </c>
      <c r="F225">
        <v>15780.25</v>
      </c>
      <c r="G225" s="98">
        <f t="shared" si="11"/>
        <v>-1.193105936414085E-3</v>
      </c>
    </row>
    <row r="226" spans="1:7" x14ac:dyDescent="0.35">
      <c r="A226" s="97">
        <v>44743</v>
      </c>
      <c r="B226">
        <v>2745.3</v>
      </c>
      <c r="C226">
        <v>2722.85</v>
      </c>
      <c r="D226">
        <f t="shared" si="9"/>
        <v>-22.450000000000273</v>
      </c>
      <c r="E226" s="98">
        <f t="shared" si="10"/>
        <v>-8.1776126470696365E-3</v>
      </c>
      <c r="F226">
        <v>15752.05</v>
      </c>
      <c r="G226" s="98">
        <f t="shared" si="11"/>
        <v>-1.7870439314966458E-3</v>
      </c>
    </row>
    <row r="227" spans="1:7" x14ac:dyDescent="0.35">
      <c r="A227" s="97">
        <v>44746</v>
      </c>
      <c r="B227">
        <v>2722.85</v>
      </c>
      <c r="C227">
        <v>2728.8</v>
      </c>
      <c r="D227">
        <f t="shared" si="9"/>
        <v>5.9500000000002728</v>
      </c>
      <c r="E227" s="98">
        <f t="shared" si="10"/>
        <v>2.185210349450125E-3</v>
      </c>
      <c r="F227">
        <v>15835.35</v>
      </c>
      <c r="G227" s="98">
        <f t="shared" si="11"/>
        <v>5.2882005834162804E-3</v>
      </c>
    </row>
    <row r="228" spans="1:7" x14ac:dyDescent="0.35">
      <c r="A228" s="97">
        <v>44747</v>
      </c>
      <c r="B228">
        <v>2728.8</v>
      </c>
      <c r="C228">
        <v>2670.95</v>
      </c>
      <c r="D228">
        <f t="shared" si="9"/>
        <v>-57.850000000000364</v>
      </c>
      <c r="E228" s="98">
        <f t="shared" si="10"/>
        <v>-2.119979478158911E-2</v>
      </c>
      <c r="F228">
        <v>15810.85</v>
      </c>
      <c r="G228" s="98">
        <f t="shared" si="11"/>
        <v>-1.5471713602793757E-3</v>
      </c>
    </row>
    <row r="229" spans="1:7" x14ac:dyDescent="0.35">
      <c r="A229" s="97">
        <v>44748</v>
      </c>
      <c r="B229">
        <v>2670.95</v>
      </c>
      <c r="C229">
        <v>2681.6</v>
      </c>
      <c r="D229">
        <f t="shared" si="9"/>
        <v>10.650000000000091</v>
      </c>
      <c r="E229" s="98">
        <f t="shared" si="10"/>
        <v>3.9873453265692324E-3</v>
      </c>
      <c r="F229">
        <v>15989.8</v>
      </c>
      <c r="G229" s="98">
        <f t="shared" si="11"/>
        <v>1.1318177074603808E-2</v>
      </c>
    </row>
    <row r="230" spans="1:7" x14ac:dyDescent="0.35">
      <c r="A230" s="97">
        <v>44749</v>
      </c>
      <c r="B230">
        <v>2681.6</v>
      </c>
      <c r="C230">
        <v>2715.7</v>
      </c>
      <c r="D230">
        <f t="shared" si="9"/>
        <v>34.099999999999909</v>
      </c>
      <c r="E230" s="98">
        <f t="shared" si="10"/>
        <v>1.2716288782816196E-2</v>
      </c>
      <c r="F230">
        <v>16132.9</v>
      </c>
      <c r="G230" s="98">
        <f t="shared" si="11"/>
        <v>8.9494552777396041E-3</v>
      </c>
    </row>
    <row r="231" spans="1:7" x14ac:dyDescent="0.35">
      <c r="A231" s="97">
        <v>44750</v>
      </c>
      <c r="B231">
        <v>2715.7</v>
      </c>
      <c r="C231">
        <v>2689.8</v>
      </c>
      <c r="D231">
        <f t="shared" si="9"/>
        <v>-25.899999999999636</v>
      </c>
      <c r="E231" s="98">
        <f t="shared" si="10"/>
        <v>-9.5371359133923621E-3</v>
      </c>
      <c r="F231">
        <v>16220.6</v>
      </c>
      <c r="G231" s="98">
        <f t="shared" si="11"/>
        <v>5.4360964240776077E-3</v>
      </c>
    </row>
    <row r="232" spans="1:7" x14ac:dyDescent="0.35">
      <c r="A232" s="97">
        <v>44753</v>
      </c>
      <c r="B232">
        <v>2689.8</v>
      </c>
      <c r="C232">
        <v>2709.5</v>
      </c>
      <c r="D232">
        <f t="shared" si="9"/>
        <v>19.699999999999818</v>
      </c>
      <c r="E232" s="98">
        <f t="shared" si="10"/>
        <v>7.3239646070339124E-3</v>
      </c>
      <c r="F232">
        <v>16216</v>
      </c>
      <c r="G232" s="98">
        <f t="shared" si="11"/>
        <v>-2.8359000283595392E-4</v>
      </c>
    </row>
    <row r="233" spans="1:7" x14ac:dyDescent="0.35">
      <c r="A233" s="97">
        <v>44754</v>
      </c>
      <c r="B233">
        <v>2709.5</v>
      </c>
      <c r="C233">
        <v>2714.35</v>
      </c>
      <c r="D233">
        <f t="shared" si="9"/>
        <v>4.8499999999999091</v>
      </c>
      <c r="E233" s="98">
        <f t="shared" si="10"/>
        <v>1.7899981546410442E-3</v>
      </c>
      <c r="F233">
        <v>16058.3</v>
      </c>
      <c r="G233" s="98">
        <f t="shared" si="11"/>
        <v>-9.7249629995067588E-3</v>
      </c>
    </row>
    <row r="234" spans="1:7" x14ac:dyDescent="0.35">
      <c r="A234" s="97">
        <v>44755</v>
      </c>
      <c r="B234">
        <v>2714.35</v>
      </c>
      <c r="C234">
        <v>2697.15</v>
      </c>
      <c r="D234">
        <f t="shared" si="9"/>
        <v>-17.199999999999818</v>
      </c>
      <c r="E234" s="98">
        <f t="shared" si="10"/>
        <v>-6.3366920257151137E-3</v>
      </c>
      <c r="F234">
        <v>15966.65</v>
      </c>
      <c r="G234" s="98">
        <f t="shared" si="11"/>
        <v>-5.7073289202468347E-3</v>
      </c>
    </row>
    <row r="235" spans="1:7" x14ac:dyDescent="0.35">
      <c r="A235" s="97">
        <v>44756</v>
      </c>
      <c r="B235">
        <v>2697.15</v>
      </c>
      <c r="C235">
        <v>2641.25</v>
      </c>
      <c r="D235">
        <f t="shared" si="9"/>
        <v>-55.900000000000091</v>
      </c>
      <c r="E235" s="98">
        <f t="shared" si="10"/>
        <v>-2.0725580705559604E-2</v>
      </c>
      <c r="F235">
        <v>15938.65</v>
      </c>
      <c r="G235" s="98">
        <f t="shared" si="11"/>
        <v>-1.7536552752143164E-3</v>
      </c>
    </row>
    <row r="236" spans="1:7" x14ac:dyDescent="0.35">
      <c r="A236" s="97">
        <v>44757</v>
      </c>
      <c r="B236">
        <v>2641.25</v>
      </c>
      <c r="C236">
        <v>2645.5</v>
      </c>
      <c r="D236">
        <f t="shared" si="9"/>
        <v>4.25</v>
      </c>
      <c r="E236" s="98">
        <f t="shared" si="10"/>
        <v>1.6090866067203029E-3</v>
      </c>
      <c r="F236">
        <v>16049.2</v>
      </c>
      <c r="G236" s="98">
        <f t="shared" si="11"/>
        <v>6.9359701103921534E-3</v>
      </c>
    </row>
    <row r="237" spans="1:7" x14ac:dyDescent="0.35">
      <c r="A237" s="97">
        <v>44760</v>
      </c>
      <c r="B237">
        <v>2645.5</v>
      </c>
      <c r="C237">
        <v>2698.4</v>
      </c>
      <c r="D237">
        <f t="shared" si="9"/>
        <v>52.900000000000091</v>
      </c>
      <c r="E237" s="98">
        <f t="shared" si="10"/>
        <v>1.9996219996220029E-2</v>
      </c>
      <c r="F237">
        <v>16278.5</v>
      </c>
      <c r="G237" s="98">
        <f t="shared" si="11"/>
        <v>1.4287316501756964E-2</v>
      </c>
    </row>
    <row r="238" spans="1:7" x14ac:dyDescent="0.35">
      <c r="A238" s="97">
        <v>44761</v>
      </c>
      <c r="B238">
        <v>2698.4</v>
      </c>
      <c r="C238">
        <v>2683.15</v>
      </c>
      <c r="D238">
        <f t="shared" si="9"/>
        <v>-15.25</v>
      </c>
      <c r="E238" s="98">
        <f t="shared" si="10"/>
        <v>-5.6514971835161572E-3</v>
      </c>
      <c r="F238">
        <v>16340.55</v>
      </c>
      <c r="G238" s="98">
        <f t="shared" si="11"/>
        <v>3.8117762693121726E-3</v>
      </c>
    </row>
    <row r="239" spans="1:7" x14ac:dyDescent="0.35">
      <c r="A239" s="97">
        <v>44762</v>
      </c>
      <c r="B239">
        <v>2683.15</v>
      </c>
      <c r="C239">
        <v>2715.3</v>
      </c>
      <c r="D239">
        <f t="shared" si="9"/>
        <v>32.150000000000091</v>
      </c>
      <c r="E239" s="98">
        <f t="shared" si="10"/>
        <v>1.1982185118237926E-2</v>
      </c>
      <c r="F239">
        <v>16520.849999999999</v>
      </c>
      <c r="G239" s="98">
        <f t="shared" si="11"/>
        <v>1.1033900327712232E-2</v>
      </c>
    </row>
    <row r="240" spans="1:7" x14ac:dyDescent="0.35">
      <c r="A240" s="97">
        <v>44763</v>
      </c>
      <c r="B240">
        <v>2715.3</v>
      </c>
      <c r="C240">
        <v>2725.2</v>
      </c>
      <c r="D240">
        <f t="shared" si="9"/>
        <v>9.8999999999996362</v>
      </c>
      <c r="E240" s="98">
        <f t="shared" si="10"/>
        <v>3.6460059661914466E-3</v>
      </c>
      <c r="F240">
        <v>16605.25</v>
      </c>
      <c r="G240" s="98">
        <f t="shared" si="11"/>
        <v>5.1086959811390553E-3</v>
      </c>
    </row>
    <row r="241" spans="1:7" x14ac:dyDescent="0.35">
      <c r="A241" s="97">
        <v>44764</v>
      </c>
      <c r="B241">
        <v>2725.2</v>
      </c>
      <c r="C241">
        <v>2815.55</v>
      </c>
      <c r="D241">
        <f t="shared" si="9"/>
        <v>90.350000000000364</v>
      </c>
      <c r="E241" s="98">
        <f t="shared" si="10"/>
        <v>3.3153530016145738E-2</v>
      </c>
      <c r="F241">
        <v>16719.45</v>
      </c>
      <c r="G241" s="98">
        <f t="shared" si="11"/>
        <v>6.8773430089881238E-3</v>
      </c>
    </row>
    <row r="242" spans="1:7" x14ac:dyDescent="0.35">
      <c r="A242" s="97">
        <v>44767</v>
      </c>
      <c r="B242">
        <v>2815.55</v>
      </c>
      <c r="C242">
        <v>2837.8</v>
      </c>
      <c r="D242">
        <f t="shared" si="9"/>
        <v>22.25</v>
      </c>
      <c r="E242" s="98">
        <f t="shared" si="10"/>
        <v>7.9025412441618859E-3</v>
      </c>
      <c r="F242">
        <v>16631</v>
      </c>
      <c r="G242" s="98">
        <f t="shared" si="11"/>
        <v>-5.2902457915781076E-3</v>
      </c>
    </row>
    <row r="243" spans="1:7" x14ac:dyDescent="0.35">
      <c r="A243" s="97">
        <v>44768</v>
      </c>
      <c r="B243">
        <v>2837.8</v>
      </c>
      <c r="C243">
        <v>2831.8</v>
      </c>
      <c r="D243">
        <f t="shared" si="9"/>
        <v>-6</v>
      </c>
      <c r="E243" s="98">
        <f t="shared" si="10"/>
        <v>-2.1143139051377825E-3</v>
      </c>
      <c r="F243">
        <v>16483.849999999999</v>
      </c>
      <c r="G243" s="98">
        <f t="shared" si="11"/>
        <v>-8.8479345800013265E-3</v>
      </c>
    </row>
    <row r="244" spans="1:7" x14ac:dyDescent="0.35">
      <c r="A244" s="97">
        <v>44769</v>
      </c>
      <c r="B244">
        <v>2831.8</v>
      </c>
      <c r="C244">
        <v>2799.75</v>
      </c>
      <c r="D244">
        <f t="shared" si="9"/>
        <v>-32.050000000000182</v>
      </c>
      <c r="E244" s="98">
        <f t="shared" si="10"/>
        <v>-1.1317889681474744E-2</v>
      </c>
      <c r="F244">
        <v>16641.8</v>
      </c>
      <c r="G244" s="98">
        <f t="shared" si="11"/>
        <v>9.5821061220529025E-3</v>
      </c>
    </row>
    <row r="245" spans="1:7" x14ac:dyDescent="0.35">
      <c r="A245" s="97">
        <v>44770</v>
      </c>
      <c r="B245">
        <v>2799.75</v>
      </c>
      <c r="C245">
        <v>2789.9</v>
      </c>
      <c r="D245">
        <f t="shared" si="9"/>
        <v>-9.8499999999999091</v>
      </c>
      <c r="E245" s="98">
        <f t="shared" si="10"/>
        <v>-3.5181712652915115E-3</v>
      </c>
      <c r="F245">
        <v>16929.599999999999</v>
      </c>
      <c r="G245" s="98">
        <f t="shared" si="11"/>
        <v>1.7293802353110843E-2</v>
      </c>
    </row>
    <row r="246" spans="1:7" x14ac:dyDescent="0.35">
      <c r="A246" s="97">
        <v>44771</v>
      </c>
      <c r="B246">
        <v>2789.9</v>
      </c>
      <c r="C246">
        <v>2742.1</v>
      </c>
      <c r="D246">
        <f t="shared" si="9"/>
        <v>-47.800000000000182</v>
      </c>
      <c r="E246" s="98">
        <f t="shared" si="10"/>
        <v>-1.7133230581741345E-2</v>
      </c>
      <c r="F246">
        <v>17158.25</v>
      </c>
      <c r="G246" s="98">
        <f t="shared" si="11"/>
        <v>1.3505930441357172E-2</v>
      </c>
    </row>
    <row r="247" spans="1:7" x14ac:dyDescent="0.35">
      <c r="A247" s="97">
        <v>44774</v>
      </c>
      <c r="B247">
        <v>2742.1</v>
      </c>
      <c r="C247">
        <v>2693.25</v>
      </c>
      <c r="D247">
        <f t="shared" si="9"/>
        <v>-48.849999999999909</v>
      </c>
      <c r="E247" s="98">
        <f t="shared" si="10"/>
        <v>-1.7814813464133297E-2</v>
      </c>
      <c r="F247">
        <v>17340.05</v>
      </c>
      <c r="G247" s="98">
        <f t="shared" si="11"/>
        <v>1.0595486136406596E-2</v>
      </c>
    </row>
    <row r="248" spans="1:7" x14ac:dyDescent="0.35">
      <c r="A248" s="97">
        <v>44775</v>
      </c>
      <c r="B248">
        <v>2693.25</v>
      </c>
      <c r="C248">
        <v>2709.5</v>
      </c>
      <c r="D248">
        <f t="shared" si="9"/>
        <v>16.25</v>
      </c>
      <c r="E248" s="98">
        <f t="shared" si="10"/>
        <v>6.0336025248305947E-3</v>
      </c>
      <c r="F248">
        <v>17345.45</v>
      </c>
      <c r="G248" s="98">
        <f t="shared" si="11"/>
        <v>3.1141778714594004E-4</v>
      </c>
    </row>
    <row r="249" spans="1:7" x14ac:dyDescent="0.35">
      <c r="A249" s="97">
        <v>44776</v>
      </c>
      <c r="B249">
        <v>2709.5</v>
      </c>
      <c r="C249">
        <v>2795</v>
      </c>
      <c r="D249">
        <f t="shared" si="9"/>
        <v>85.5</v>
      </c>
      <c r="E249" s="98">
        <f t="shared" si="10"/>
        <v>3.1555637571507658E-2</v>
      </c>
      <c r="F249">
        <v>17388.150000000001</v>
      </c>
      <c r="G249" s="98">
        <f t="shared" si="11"/>
        <v>2.4617406870390823E-3</v>
      </c>
    </row>
    <row r="250" spans="1:7" x14ac:dyDescent="0.35">
      <c r="A250" s="97">
        <v>44777</v>
      </c>
      <c r="B250">
        <v>2795</v>
      </c>
      <c r="C250">
        <v>2987.15</v>
      </c>
      <c r="D250">
        <f t="shared" si="9"/>
        <v>192.15000000000009</v>
      </c>
      <c r="E250" s="98">
        <f t="shared" si="10"/>
        <v>6.8747763864042966E-2</v>
      </c>
      <c r="F250">
        <v>17382</v>
      </c>
      <c r="G250" s="98">
        <f t="shared" si="11"/>
        <v>-3.5368915036970705E-4</v>
      </c>
    </row>
    <row r="251" spans="1:7" x14ac:dyDescent="0.35">
      <c r="A251" s="97">
        <v>44778</v>
      </c>
      <c r="B251">
        <v>2987.15</v>
      </c>
      <c r="C251">
        <v>3142.8</v>
      </c>
      <c r="D251">
        <f t="shared" si="9"/>
        <v>155.65000000000009</v>
      </c>
      <c r="E251" s="98">
        <f t="shared" si="10"/>
        <v>5.2106522939926042E-2</v>
      </c>
      <c r="F251">
        <v>17397.5</v>
      </c>
      <c r="G251" s="98">
        <f t="shared" si="11"/>
        <v>8.9172707398454953E-4</v>
      </c>
    </row>
    <row r="252" spans="1:7" x14ac:dyDescent="0.35">
      <c r="A252" s="97">
        <v>44781</v>
      </c>
      <c r="B252">
        <v>3142.8</v>
      </c>
      <c r="C252">
        <v>3135.15</v>
      </c>
      <c r="D252">
        <f t="shared" si="9"/>
        <v>-7.6500000000000909</v>
      </c>
      <c r="E252" s="98">
        <f t="shared" si="10"/>
        <v>-2.4341351660939576E-3</v>
      </c>
      <c r="F252">
        <v>17525.099999999999</v>
      </c>
      <c r="G252" s="98">
        <f t="shared" si="11"/>
        <v>7.3343871245867831E-3</v>
      </c>
    </row>
    <row r="253" spans="1:7" x14ac:dyDescent="0.35">
      <c r="A253" s="97">
        <v>44783</v>
      </c>
      <c r="B253">
        <v>3135.15</v>
      </c>
      <c r="C253">
        <v>3194</v>
      </c>
      <c r="D253">
        <f t="shared" si="9"/>
        <v>58.849999999999909</v>
      </c>
      <c r="E253" s="98">
        <f t="shared" si="10"/>
        <v>1.8771031689073858E-2</v>
      </c>
      <c r="F253">
        <v>17534.75</v>
      </c>
      <c r="G253" s="98">
        <f t="shared" si="11"/>
        <v>5.5063879806693805E-4</v>
      </c>
    </row>
    <row r="254" spans="1:7" x14ac:dyDescent="0.35">
      <c r="A254" s="97">
        <v>44784</v>
      </c>
      <c r="B254">
        <v>3194</v>
      </c>
      <c r="C254">
        <v>3220.5</v>
      </c>
      <c r="D254">
        <f t="shared" si="9"/>
        <v>26.5</v>
      </c>
      <c r="E254" s="98">
        <f t="shared" si="10"/>
        <v>8.2968065122103942E-3</v>
      </c>
      <c r="F254">
        <v>17659</v>
      </c>
      <c r="G254" s="98">
        <f t="shared" si="11"/>
        <v>7.0859293688247948E-3</v>
      </c>
    </row>
    <row r="255" spans="1:7" x14ac:dyDescent="0.35">
      <c r="A255" s="97">
        <v>44785</v>
      </c>
      <c r="B255">
        <v>3220.5</v>
      </c>
      <c r="C255">
        <v>3163.15</v>
      </c>
      <c r="D255">
        <f t="shared" si="9"/>
        <v>-57.349999999999909</v>
      </c>
      <c r="E255" s="98">
        <f t="shared" si="10"/>
        <v>-1.7807793820835246E-2</v>
      </c>
      <c r="F255">
        <v>17698.150000000001</v>
      </c>
      <c r="G255" s="98">
        <f t="shared" si="11"/>
        <v>2.2169998301151406E-3</v>
      </c>
    </row>
  </sheetData>
  <mergeCells count="2">
    <mergeCell ref="J6:K6"/>
    <mergeCell ref="A1:K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5E5D10-80BD-4C99-8CC5-125D5AC08A4C}">
  <dimension ref="A1:Q28"/>
  <sheetViews>
    <sheetView showGridLines="0" workbookViewId="0">
      <selection activeCell="M5" sqref="M5"/>
    </sheetView>
  </sheetViews>
  <sheetFormatPr defaultRowHeight="14.5" x14ac:dyDescent="0.35"/>
  <cols>
    <col min="7" max="7" width="4.453125" customWidth="1"/>
    <col min="14" max="14" width="9.81640625" customWidth="1"/>
    <col min="16" max="16" width="12" customWidth="1"/>
  </cols>
  <sheetData>
    <row r="1" spans="1:17" ht="18.5" x14ac:dyDescent="0.45">
      <c r="A1" s="115" t="s">
        <v>175</v>
      </c>
      <c r="B1" s="147"/>
      <c r="C1" s="147"/>
      <c r="D1" s="147"/>
      <c r="E1" s="147"/>
      <c r="F1" s="147"/>
      <c r="G1" s="147"/>
      <c r="H1" s="147"/>
      <c r="I1" s="147"/>
      <c r="J1" s="147"/>
      <c r="K1" s="147"/>
      <c r="L1" s="147"/>
      <c r="M1" s="147"/>
      <c r="N1" s="147"/>
    </row>
    <row r="2" spans="1:17" x14ac:dyDescent="0.35">
      <c r="P2" s="103" t="s">
        <v>163</v>
      </c>
      <c r="Q2" s="103">
        <f>'Financial Forecast'!H43</f>
        <v>766.91999999999985</v>
      </c>
    </row>
    <row r="3" spans="1:17" x14ac:dyDescent="0.35">
      <c r="A3" s="104" t="s">
        <v>168</v>
      </c>
      <c r="B3" s="105">
        <f>'Financial Forecast'!D2</f>
        <v>2018</v>
      </c>
      <c r="C3" s="105">
        <f>'Financial Forecast'!E2</f>
        <v>2019</v>
      </c>
      <c r="D3" s="105">
        <f>'Financial Forecast'!F2</f>
        <v>2020</v>
      </c>
      <c r="E3" s="105">
        <f>'Financial Forecast'!G2</f>
        <v>2021</v>
      </c>
      <c r="F3" s="105">
        <f>'Financial Forecast'!H2</f>
        <v>2022</v>
      </c>
      <c r="G3" s="105"/>
      <c r="H3" s="106" t="str">
        <f>'Financial Forecast'!J2</f>
        <v>2023E</v>
      </c>
      <c r="I3" s="106" t="str">
        <f>'Financial Forecast'!K2</f>
        <v>2024E</v>
      </c>
      <c r="J3" s="106" t="str">
        <f>'Financial Forecast'!L2</f>
        <v>2025E</v>
      </c>
      <c r="K3" s="106" t="str">
        <f>'Financial Forecast'!M2</f>
        <v>2026E</v>
      </c>
      <c r="L3" s="106" t="str">
        <f>'Financial Forecast'!N2</f>
        <v>2027E</v>
      </c>
      <c r="P3" s="103" t="s">
        <v>164</v>
      </c>
      <c r="Q3" s="103">
        <f>'Financial Forecast'!J34-'Financial Forecast'!H34</f>
        <v>852.60652885654918</v>
      </c>
    </row>
    <row r="4" spans="1:17" x14ac:dyDescent="0.35">
      <c r="A4" s="104" t="s">
        <v>0</v>
      </c>
      <c r="B4" s="103">
        <f>'Financial Forecast'!D34</f>
        <v>1951.47</v>
      </c>
      <c r="C4" s="103">
        <f>'Financial Forecast'!E34</f>
        <v>2461.5700000000002</v>
      </c>
      <c r="D4" s="103">
        <f>'Financial Forecast'!F34</f>
        <v>2237.3000000000002</v>
      </c>
      <c r="E4" s="103">
        <f>'Financial Forecast'!G34</f>
        <v>2515.63</v>
      </c>
      <c r="F4" s="103">
        <f>'Financial Forecast'!H34</f>
        <v>3947.61</v>
      </c>
      <c r="G4" s="103"/>
      <c r="H4" s="103">
        <f>'Financial Forecast'!J34</f>
        <v>4800.2165288565493</v>
      </c>
      <c r="I4" s="103">
        <f>'Financial Forecast'!K34</f>
        <v>5836.96938753008</v>
      </c>
      <c r="J4" s="103">
        <f>'Financial Forecast'!L34</f>
        <v>7097.6405806175335</v>
      </c>
      <c r="K4" s="103">
        <f>'Financial Forecast'!M34</f>
        <v>8630.5920876082691</v>
      </c>
      <c r="L4" s="103">
        <f>'Financial Forecast'!N34</f>
        <v>10494.631129406342</v>
      </c>
      <c r="P4" s="103" t="s">
        <v>165</v>
      </c>
      <c r="Q4" s="103">
        <f>'Financial Forecast'!J35-'Financial Forecast'!H35</f>
        <v>-355.14067300939814</v>
      </c>
    </row>
    <row r="5" spans="1:17" x14ac:dyDescent="0.35">
      <c r="A5" s="104" t="s">
        <v>162</v>
      </c>
      <c r="B5" s="107">
        <f>'Financial Forecast'!D43/'Financial Forecast'!D34</f>
        <v>0.23520730526218703</v>
      </c>
      <c r="C5" s="107">
        <f>'Financial Forecast'!E43/'Financial Forecast'!E34</f>
        <v>0.2074326547691108</v>
      </c>
      <c r="D5" s="107">
        <f>'Financial Forecast'!F43/'Financial Forecast'!F34</f>
        <v>0.21247485808787384</v>
      </c>
      <c r="E5" s="107">
        <f>'Financial Forecast'!G43/'Financial Forecast'!G34</f>
        <v>0.21307584978713098</v>
      </c>
      <c r="F5" s="107">
        <f>'Financial Forecast'!H43/'Financial Forecast'!H34</f>
        <v>0.19427451039996349</v>
      </c>
      <c r="G5" s="107"/>
      <c r="H5" s="107">
        <f>'Financial Forecast'!J43/'Financial Forecast'!J34</f>
        <v>0.21628342288073524</v>
      </c>
      <c r="I5" s="107">
        <f>'Financial Forecast'!K43/'Financial Forecast'!K34</f>
        <v>0.21628342288073521</v>
      </c>
      <c r="J5" s="107">
        <f>'Financial Forecast'!L43/'Financial Forecast'!L34</f>
        <v>0.21628342288073515</v>
      </c>
      <c r="K5" s="107">
        <f>'Financial Forecast'!M43/'Financial Forecast'!M34</f>
        <v>0.21628342288073521</v>
      </c>
      <c r="L5" s="107">
        <f>'Financial Forecast'!N43/'Financial Forecast'!N34</f>
        <v>0.21628342288073527</v>
      </c>
      <c r="P5" s="103" t="s">
        <v>166</v>
      </c>
      <c r="Q5" s="103">
        <f>SUM('Financial Forecast'!J38:J39)-SUM('Financial Forecast'!H38:H39)</f>
        <v>-86.251382735696779</v>
      </c>
    </row>
    <row r="6" spans="1:17" x14ac:dyDescent="0.35">
      <c r="P6" s="103" t="s">
        <v>167</v>
      </c>
      <c r="Q6" s="103">
        <f>'Financial Forecast'!J43</f>
        <v>1038.2072614297761</v>
      </c>
    </row>
    <row r="26" spans="1:6" x14ac:dyDescent="0.35">
      <c r="A26" s="104" t="s">
        <v>168</v>
      </c>
      <c r="B26" s="106" t="str">
        <f>'Financial Forecast'!J2</f>
        <v>2023E</v>
      </c>
      <c r="C26" s="106" t="str">
        <f>'Financial Forecast'!K2</f>
        <v>2024E</v>
      </c>
      <c r="D26" s="106" t="str">
        <f>'Financial Forecast'!L2</f>
        <v>2025E</v>
      </c>
      <c r="E26" s="106" t="str">
        <f>'Financial Forecast'!M2</f>
        <v>2026E</v>
      </c>
      <c r="F26" s="106" t="str">
        <f>'Financial Forecast'!N2</f>
        <v>2027E</v>
      </c>
    </row>
    <row r="27" spans="1:6" x14ac:dyDescent="0.35">
      <c r="A27" s="104" t="s">
        <v>72</v>
      </c>
      <c r="B27" s="103">
        <f>DCF!J6</f>
        <v>-236.1937621923436</v>
      </c>
      <c r="C27" s="103">
        <f>DCF!K6</f>
        <v>102.75152925486492</v>
      </c>
      <c r="D27" s="103">
        <f>DCF!L6</f>
        <v>124.94384934035648</v>
      </c>
      <c r="E27" s="103">
        <f>DCF!M6</f>
        <v>151.92927639319615</v>
      </c>
      <c r="F27" s="103">
        <f>DCF!N6</f>
        <v>184.74302774586056</v>
      </c>
    </row>
    <row r="28" spans="1:6" x14ac:dyDescent="0.35">
      <c r="A28" s="104" t="s">
        <v>169</v>
      </c>
      <c r="B28" s="103">
        <f>DCF!J9</f>
        <v>-210.74861590124874</v>
      </c>
      <c r="C28" s="103">
        <f>DCF!K9</f>
        <v>81.805199605654039</v>
      </c>
      <c r="D28" s="103">
        <f>DCF!L9</f>
        <v>88.75724297310289</v>
      </c>
      <c r="E28" s="103">
        <f>DCF!M9</f>
        <v>96.300091169780188</v>
      </c>
      <c r="F28" s="103">
        <f>DCF!N9</f>
        <v>104.48395250535505</v>
      </c>
    </row>
  </sheetData>
  <mergeCells count="1">
    <mergeCell ref="A1:N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Cover Page</vt:lpstr>
      <vt:lpstr>Financial Forecast</vt:lpstr>
      <vt:lpstr>WACC</vt:lpstr>
      <vt:lpstr>DCF</vt:lpstr>
      <vt:lpstr>Stock Attributes</vt:lpstr>
      <vt:lpstr>Charts 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Kumar</dc:creator>
  <cp:lastModifiedBy>2tin</cp:lastModifiedBy>
  <dcterms:created xsi:type="dcterms:W3CDTF">2015-06-05T18:17:20Z</dcterms:created>
  <dcterms:modified xsi:type="dcterms:W3CDTF">2022-09-15T19:19:52Z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2022-09-06T12:06:07Z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8ee208ea-2a14-4ce5-996a-c985411e8223</vt:lpwstr>
  </property>
  <property fmtid="{D5CDD505-2E9C-101B-9397-08002B2CF9AE}" pid="7" name="MSIP_Label_defa4170-0d19-0005-0004-bc88714345d2_ActionId">
    <vt:lpwstr>40d5fd6e-5e37-4d6c-8472-f4af6052b678</vt:lpwstr>
  </property>
  <property fmtid="{D5CDD505-2E9C-101B-9397-08002B2CF9AE}" pid="8" name="MSIP_Label_defa4170-0d19-0005-0004-bc88714345d2_ContentBits">
    <vt:lpwstr>0</vt:lpwstr>
  </property>
</Properties>
</file>