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2tin\Desktop\amit kr\fin model\"/>
    </mc:Choice>
  </mc:AlternateContent>
  <xr:revisionPtr revIDLastSave="0" documentId="13_ncr:1_{9BE5AF67-32E2-4FA9-8EEA-97F9F9984D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5" r:id="rId1"/>
    <sheet name="Financial Forecast" sheetId="1" r:id="rId2"/>
    <sheet name="WACC" sheetId="2" r:id="rId3"/>
    <sheet name="DCF" sheetId="4" r:id="rId4"/>
  </sheets>
  <definedNames>
    <definedName name="_xlnm._FilterDatabase" localSheetId="1" hidden="1">'Financial Forecast'!$A$3:$B$6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4" l="1"/>
  <c r="N13" i="4"/>
  <c r="H16" i="4" l="1"/>
  <c r="H15" i="4"/>
  <c r="H13" i="4"/>
  <c r="H21" i="4"/>
  <c r="D6" i="4" l="1"/>
  <c r="E9" i="2" l="1"/>
  <c r="B8" i="2"/>
  <c r="B7" i="2"/>
  <c r="B6" i="2"/>
  <c r="F114" i="1"/>
  <c r="G114" i="1"/>
  <c r="H114" i="1"/>
  <c r="E114" i="1"/>
  <c r="H113" i="1"/>
  <c r="G113" i="1"/>
  <c r="F113" i="1"/>
  <c r="E113" i="1"/>
  <c r="L57" i="1"/>
  <c r="M57" i="1"/>
  <c r="N57" i="1"/>
  <c r="L62" i="1"/>
  <c r="M62" i="1"/>
  <c r="N62" i="1"/>
  <c r="L63" i="1"/>
  <c r="M63" i="1"/>
  <c r="N63" i="1"/>
  <c r="L64" i="1"/>
  <c r="M64" i="1"/>
  <c r="N64" i="1"/>
  <c r="L65" i="1"/>
  <c r="M65" i="1"/>
  <c r="N65" i="1"/>
  <c r="L74" i="1"/>
  <c r="M74" i="1"/>
  <c r="N74" i="1"/>
  <c r="L85" i="1"/>
  <c r="M85" i="1"/>
  <c r="N85" i="1"/>
  <c r="L87" i="1"/>
  <c r="M87" i="1"/>
  <c r="N87" i="1"/>
  <c r="K87" i="1"/>
  <c r="K85" i="1"/>
  <c r="K74" i="1"/>
  <c r="K65" i="1"/>
  <c r="K64" i="1"/>
  <c r="K63" i="1"/>
  <c r="K62" i="1"/>
  <c r="J62" i="1"/>
  <c r="K57" i="1"/>
  <c r="J57" i="1"/>
  <c r="F112" i="1"/>
  <c r="G112" i="1"/>
  <c r="H112" i="1"/>
  <c r="F109" i="1"/>
  <c r="G109" i="1"/>
  <c r="H109" i="1"/>
  <c r="F108" i="1"/>
  <c r="G108" i="1"/>
  <c r="H108" i="1"/>
  <c r="F107" i="1"/>
  <c r="G107" i="1"/>
  <c r="H107" i="1"/>
  <c r="F104" i="1"/>
  <c r="G104" i="1"/>
  <c r="H104" i="1"/>
  <c r="F103" i="1"/>
  <c r="G103" i="1"/>
  <c r="H103" i="1"/>
  <c r="F102" i="1"/>
  <c r="G102" i="1"/>
  <c r="H102" i="1"/>
  <c r="F98" i="1"/>
  <c r="G98" i="1"/>
  <c r="H98" i="1"/>
  <c r="E112" i="1"/>
  <c r="E109" i="1"/>
  <c r="E108" i="1"/>
  <c r="E107" i="1"/>
  <c r="E103" i="1"/>
  <c r="E102" i="1"/>
  <c r="B14" i="2" l="1"/>
  <c r="B16" i="2" s="1"/>
  <c r="C15" i="2" s="1"/>
  <c r="B9" i="2"/>
  <c r="H27" i="1"/>
  <c r="D120" i="1"/>
  <c r="D122" i="1" s="1"/>
  <c r="E104" i="1"/>
  <c r="E105" i="1" s="1"/>
  <c r="E98" i="1"/>
  <c r="C14" i="2" l="1"/>
  <c r="G105" i="1"/>
  <c r="H105" i="1"/>
  <c r="F105" i="1"/>
  <c r="E119" i="1"/>
  <c r="J87" i="1" l="1"/>
  <c r="J85" i="1"/>
  <c r="J74" i="1"/>
  <c r="E31" i="1"/>
  <c r="F31" i="1"/>
  <c r="G31" i="1"/>
  <c r="H31" i="1"/>
  <c r="D31" i="1"/>
  <c r="E30" i="1"/>
  <c r="F30" i="1"/>
  <c r="G30" i="1"/>
  <c r="H30" i="1"/>
  <c r="D30" i="1"/>
  <c r="E29" i="1"/>
  <c r="F29" i="1"/>
  <c r="G29" i="1"/>
  <c r="H29" i="1"/>
  <c r="D29" i="1"/>
  <c r="E28" i="1"/>
  <c r="F28" i="1"/>
  <c r="G28" i="1"/>
  <c r="H28" i="1"/>
  <c r="D28" i="1"/>
  <c r="E27" i="1"/>
  <c r="F27" i="1"/>
  <c r="G27" i="1"/>
  <c r="D27" i="1"/>
  <c r="E26" i="1"/>
  <c r="F26" i="1"/>
  <c r="G26" i="1"/>
  <c r="H26" i="1"/>
  <c r="D26" i="1"/>
  <c r="J65" i="1"/>
  <c r="J64" i="1"/>
  <c r="J63" i="1"/>
  <c r="H20" i="1"/>
  <c r="E24" i="1"/>
  <c r="F24" i="1"/>
  <c r="G24" i="1"/>
  <c r="H24" i="1"/>
  <c r="D24" i="1"/>
  <c r="E23" i="1"/>
  <c r="F23" i="1"/>
  <c r="G23" i="1"/>
  <c r="H23" i="1"/>
  <c r="D23" i="1"/>
  <c r="E22" i="1"/>
  <c r="F22" i="1"/>
  <c r="G22" i="1"/>
  <c r="H22" i="1"/>
  <c r="D22" i="1"/>
  <c r="E21" i="1"/>
  <c r="F21" i="1"/>
  <c r="G21" i="1"/>
  <c r="H21" i="1"/>
  <c r="D21" i="1"/>
  <c r="E20" i="1"/>
  <c r="F20" i="1"/>
  <c r="G20" i="1"/>
  <c r="D20" i="1"/>
  <c r="E19" i="1"/>
  <c r="F19" i="1"/>
  <c r="G19" i="1"/>
  <c r="H19" i="1"/>
  <c r="D19" i="1"/>
  <c r="N30" i="1" l="1"/>
  <c r="K29" i="1"/>
  <c r="J31" i="1"/>
  <c r="K30" i="1"/>
  <c r="J30" i="1"/>
  <c r="M30" i="1"/>
  <c r="K31" i="1"/>
  <c r="L30" i="1"/>
  <c r="N31" i="1"/>
  <c r="N29" i="1"/>
  <c r="M31" i="1"/>
  <c r="M29" i="1"/>
  <c r="L31" i="1"/>
  <c r="L29" i="1"/>
  <c r="N28" i="1"/>
  <c r="K28" i="1"/>
  <c r="J29" i="1"/>
  <c r="N26" i="1"/>
  <c r="N27" i="1"/>
  <c r="J28" i="1"/>
  <c r="M28" i="1"/>
  <c r="L28" i="1"/>
  <c r="K24" i="1"/>
  <c r="J27" i="1"/>
  <c r="M27" i="1"/>
  <c r="L27" i="1"/>
  <c r="K27" i="1"/>
  <c r="L24" i="1"/>
  <c r="J26" i="1"/>
  <c r="M26" i="1"/>
  <c r="L26" i="1"/>
  <c r="K26" i="1"/>
  <c r="K23" i="1"/>
  <c r="M24" i="1"/>
  <c r="N24" i="1"/>
  <c r="J24" i="1"/>
  <c r="N22" i="1"/>
  <c r="J23" i="1"/>
  <c r="N23" i="1"/>
  <c r="L22" i="1"/>
  <c r="L23" i="1"/>
  <c r="M23" i="1"/>
  <c r="N19" i="1"/>
  <c r="N21" i="1"/>
  <c r="J22" i="1"/>
  <c r="M22" i="1"/>
  <c r="K22" i="1"/>
  <c r="J21" i="1"/>
  <c r="L21" i="1"/>
  <c r="M20" i="1"/>
  <c r="M21" i="1"/>
  <c r="K21" i="1"/>
  <c r="N20" i="1"/>
  <c r="J20" i="1"/>
  <c r="L20" i="1"/>
  <c r="K19" i="1"/>
  <c r="K20" i="1"/>
  <c r="M19" i="1"/>
  <c r="L19" i="1"/>
  <c r="J19" i="1"/>
  <c r="C3" i="1" l="1"/>
  <c r="F10" i="1"/>
  <c r="G10" i="1"/>
  <c r="H10" i="1"/>
  <c r="E10" i="1"/>
  <c r="E16" i="1"/>
  <c r="F16" i="1"/>
  <c r="G16" i="1"/>
  <c r="H16" i="1"/>
  <c r="D16" i="1"/>
  <c r="E15" i="1"/>
  <c r="F15" i="1"/>
  <c r="G15" i="1"/>
  <c r="H15" i="1"/>
  <c r="D15" i="1"/>
  <c r="E14" i="1"/>
  <c r="F14" i="1"/>
  <c r="G14" i="1"/>
  <c r="H14" i="1"/>
  <c r="D14" i="1"/>
  <c r="E11" i="1"/>
  <c r="F11" i="1"/>
  <c r="G11" i="1"/>
  <c r="H11" i="1"/>
  <c r="E12" i="1"/>
  <c r="F12" i="1"/>
  <c r="G12" i="1"/>
  <c r="H12" i="1"/>
  <c r="E13" i="1"/>
  <c r="F13" i="1"/>
  <c r="G13" i="1"/>
  <c r="H13" i="1"/>
  <c r="D13" i="1"/>
  <c r="D12" i="1"/>
  <c r="D11" i="1"/>
  <c r="F6" i="1"/>
  <c r="G6" i="1"/>
  <c r="H6" i="1"/>
  <c r="E6" i="1"/>
  <c r="J8" i="1" l="1"/>
  <c r="J7" i="1" s="1"/>
  <c r="K6" i="1" s="1"/>
  <c r="K8" i="1"/>
  <c r="K9" i="1" s="1"/>
  <c r="N8" i="1"/>
  <c r="N7" i="1" s="1"/>
  <c r="M8" i="1"/>
  <c r="M9" i="1" s="1"/>
  <c r="J15" i="1"/>
  <c r="L15" i="1"/>
  <c r="K15" i="1"/>
  <c r="M15" i="1"/>
  <c r="N15" i="1"/>
  <c r="J10" i="1"/>
  <c r="K10" i="1"/>
  <c r="L10" i="1"/>
  <c r="M10" i="1"/>
  <c r="N10" i="1"/>
  <c r="N14" i="1"/>
  <c r="M14" i="1"/>
  <c r="J14" i="1"/>
  <c r="K14" i="1"/>
  <c r="L14" i="1"/>
  <c r="J12" i="1"/>
  <c r="K12" i="1"/>
  <c r="N12" i="1"/>
  <c r="L12" i="1"/>
  <c r="M12" i="1"/>
  <c r="M16" i="1"/>
  <c r="K16" i="1"/>
  <c r="N16" i="1"/>
  <c r="J16" i="1"/>
  <c r="L16" i="1"/>
  <c r="L11" i="1"/>
  <c r="N11" i="1"/>
  <c r="M11" i="1"/>
  <c r="J11" i="1"/>
  <c r="K11" i="1"/>
  <c r="L13" i="1"/>
  <c r="M13" i="1"/>
  <c r="N13" i="1"/>
  <c r="K13" i="1"/>
  <c r="J13" i="1"/>
  <c r="L8" i="1"/>
  <c r="J6" i="1" l="1"/>
  <c r="J34" i="1" s="1"/>
  <c r="J73" i="1" s="1"/>
  <c r="J9" i="1"/>
  <c r="N6" i="1"/>
  <c r="L6" i="1"/>
  <c r="K7" i="1"/>
  <c r="M6" i="1"/>
  <c r="M7" i="1"/>
  <c r="N9" i="1"/>
  <c r="L9" i="1"/>
  <c r="L7" i="1"/>
  <c r="J75" i="1" l="1"/>
  <c r="J76" i="1" s="1"/>
  <c r="J81" i="1"/>
  <c r="J109" i="1" s="1"/>
  <c r="J78" i="1"/>
  <c r="J46" i="1"/>
  <c r="J112" i="1" s="1"/>
  <c r="J35" i="1"/>
  <c r="J79" i="1" s="1"/>
  <c r="J104" i="1" s="1"/>
  <c r="J61" i="1"/>
  <c r="J67" i="1"/>
  <c r="J40" i="1"/>
  <c r="J39" i="1"/>
  <c r="J58" i="1"/>
  <c r="J42" i="1"/>
  <c r="K34" i="1"/>
  <c r="L34" i="1" s="1"/>
  <c r="J44" i="1"/>
  <c r="J98" i="1" s="1"/>
  <c r="J66" i="1"/>
  <c r="J38" i="1"/>
  <c r="J80" i="1"/>
  <c r="J56" i="1"/>
  <c r="H88" i="1"/>
  <c r="G88" i="1"/>
  <c r="F88" i="1"/>
  <c r="E88" i="1"/>
  <c r="D88" i="1"/>
  <c r="H82" i="1"/>
  <c r="G82" i="1"/>
  <c r="F82" i="1"/>
  <c r="E82" i="1"/>
  <c r="D82" i="1"/>
  <c r="H76" i="1"/>
  <c r="G76" i="1"/>
  <c r="F76" i="1"/>
  <c r="E76" i="1"/>
  <c r="D76" i="1"/>
  <c r="H68" i="1"/>
  <c r="G68" i="1"/>
  <c r="F68" i="1"/>
  <c r="E68" i="1"/>
  <c r="D68" i="1"/>
  <c r="H59" i="1"/>
  <c r="G59" i="1"/>
  <c r="F59" i="1"/>
  <c r="E59" i="1"/>
  <c r="D59" i="1"/>
  <c r="H36" i="1"/>
  <c r="G36" i="1"/>
  <c r="G43" i="1" s="1"/>
  <c r="G45" i="1" s="1"/>
  <c r="F36" i="1"/>
  <c r="F43" i="1" s="1"/>
  <c r="F45" i="1" s="1"/>
  <c r="E36" i="1"/>
  <c r="E43" i="1" s="1"/>
  <c r="E45" i="1" s="1"/>
  <c r="D36" i="1"/>
  <c r="D43" i="1" s="1"/>
  <c r="D45" i="1" s="1"/>
  <c r="D47" i="1" s="1"/>
  <c r="J113" i="1" l="1"/>
  <c r="J36" i="1"/>
  <c r="J55" i="1"/>
  <c r="J102" i="1" s="1"/>
  <c r="J107" i="1"/>
  <c r="J114" i="1"/>
  <c r="J103" i="1"/>
  <c r="J108" i="1"/>
  <c r="L44" i="1"/>
  <c r="L98" i="1" s="1"/>
  <c r="L40" i="1"/>
  <c r="L67" i="1"/>
  <c r="L78" i="1"/>
  <c r="L73" i="1"/>
  <c r="L61" i="1"/>
  <c r="L81" i="1"/>
  <c r="M34" i="1"/>
  <c r="L38" i="1"/>
  <c r="L66" i="1"/>
  <c r="L80" i="1"/>
  <c r="L75" i="1"/>
  <c r="L42" i="1"/>
  <c r="L46" i="1"/>
  <c r="L112" i="1" s="1"/>
  <c r="L35" i="1"/>
  <c r="L58" i="1"/>
  <c r="L39" i="1"/>
  <c r="L56" i="1"/>
  <c r="J43" i="1"/>
  <c r="J45" i="1" s="1"/>
  <c r="J94" i="1" s="1"/>
  <c r="J68" i="1"/>
  <c r="J82" i="1"/>
  <c r="J83" i="1" s="1"/>
  <c r="K67" i="1"/>
  <c r="K46" i="1"/>
  <c r="K112" i="1" s="1"/>
  <c r="K35" i="1"/>
  <c r="K81" i="1"/>
  <c r="K109" i="1" s="1"/>
  <c r="K66" i="1"/>
  <c r="K38" i="1"/>
  <c r="K75" i="1"/>
  <c r="K58" i="1"/>
  <c r="K80" i="1"/>
  <c r="K42" i="1"/>
  <c r="K73" i="1"/>
  <c r="K39" i="1"/>
  <c r="K78" i="1"/>
  <c r="K61" i="1"/>
  <c r="K44" i="1"/>
  <c r="K98" i="1" s="1"/>
  <c r="K40" i="1"/>
  <c r="K56" i="1"/>
  <c r="F47" i="1"/>
  <c r="F94" i="1"/>
  <c r="G47" i="1"/>
  <c r="G94" i="1"/>
  <c r="D49" i="1"/>
  <c r="D17" i="1"/>
  <c r="E47" i="1"/>
  <c r="E94" i="1"/>
  <c r="H43" i="1"/>
  <c r="H83" i="1"/>
  <c r="H89" i="1" s="1"/>
  <c r="F69" i="1"/>
  <c r="D83" i="1"/>
  <c r="D89" i="1" s="1"/>
  <c r="D69" i="1"/>
  <c r="E69" i="1"/>
  <c r="G69" i="1"/>
  <c r="H69" i="1"/>
  <c r="F83" i="1"/>
  <c r="F89" i="1" s="1"/>
  <c r="E83" i="1"/>
  <c r="E89" i="1" s="1"/>
  <c r="G83" i="1"/>
  <c r="G89" i="1" s="1"/>
  <c r="K113" i="1" l="1"/>
  <c r="J105" i="1"/>
  <c r="H45" i="1"/>
  <c r="H47" i="1" s="1"/>
  <c r="N19" i="4"/>
  <c r="J47" i="1"/>
  <c r="L114" i="1"/>
  <c r="K114" i="1"/>
  <c r="L113" i="1"/>
  <c r="L109" i="1"/>
  <c r="L103" i="1"/>
  <c r="K108" i="1"/>
  <c r="L76" i="1"/>
  <c r="L108" i="1"/>
  <c r="L107" i="1"/>
  <c r="L68" i="1"/>
  <c r="K107" i="1"/>
  <c r="K103" i="1"/>
  <c r="M42" i="1"/>
  <c r="M73" i="1"/>
  <c r="M35" i="1"/>
  <c r="M40" i="1"/>
  <c r="M67" i="1"/>
  <c r="M39" i="1"/>
  <c r="M61" i="1"/>
  <c r="M81" i="1"/>
  <c r="M109" i="1" s="1"/>
  <c r="N34" i="1"/>
  <c r="M66" i="1"/>
  <c r="M80" i="1"/>
  <c r="M44" i="1"/>
  <c r="M98" i="1" s="1"/>
  <c r="M58" i="1"/>
  <c r="M46" i="1"/>
  <c r="M112" i="1" s="1"/>
  <c r="M78" i="1"/>
  <c r="M38" i="1"/>
  <c r="M75" i="1"/>
  <c r="M56" i="1"/>
  <c r="M103" i="1" s="1"/>
  <c r="L79" i="1"/>
  <c r="L82" i="1" s="1"/>
  <c r="L55" i="1"/>
  <c r="K76" i="1"/>
  <c r="L36" i="1"/>
  <c r="L43" i="1" s="1"/>
  <c r="L45" i="1" s="1"/>
  <c r="K79" i="1"/>
  <c r="K104" i="1" s="1"/>
  <c r="K55" i="1"/>
  <c r="K36" i="1"/>
  <c r="K43" i="1" s="1"/>
  <c r="K45" i="1" s="1"/>
  <c r="K68" i="1"/>
  <c r="H94" i="1"/>
  <c r="E49" i="1"/>
  <c r="E115" i="1" s="1"/>
  <c r="E17" i="1"/>
  <c r="E95" i="1" s="1"/>
  <c r="G49" i="1"/>
  <c r="G115" i="1" s="1"/>
  <c r="G17" i="1"/>
  <c r="G95" i="1" s="1"/>
  <c r="G116" i="1" s="1"/>
  <c r="F49" i="1"/>
  <c r="F115" i="1" s="1"/>
  <c r="F17" i="1"/>
  <c r="F95" i="1" s="1"/>
  <c r="F116" i="1" s="1"/>
  <c r="H91" i="1"/>
  <c r="D91" i="1"/>
  <c r="E91" i="1"/>
  <c r="F91" i="1"/>
  <c r="G91" i="1"/>
  <c r="M113" i="1" l="1"/>
  <c r="L83" i="1"/>
  <c r="M114" i="1"/>
  <c r="M68" i="1"/>
  <c r="M107" i="1"/>
  <c r="K47" i="1"/>
  <c r="K94" i="1"/>
  <c r="L104" i="1"/>
  <c r="M76" i="1"/>
  <c r="N42" i="1"/>
  <c r="N66" i="1"/>
  <c r="N40" i="1"/>
  <c r="N35" i="1"/>
  <c r="N75" i="1"/>
  <c r="N78" i="1"/>
  <c r="N61" i="1"/>
  <c r="N80" i="1"/>
  <c r="N73" i="1"/>
  <c r="N58" i="1"/>
  <c r="N44" i="1"/>
  <c r="N98" i="1" s="1"/>
  <c r="N39" i="1"/>
  <c r="N67" i="1"/>
  <c r="N81" i="1"/>
  <c r="N109" i="1" s="1"/>
  <c r="N46" i="1"/>
  <c r="N112" i="1" s="1"/>
  <c r="N38" i="1"/>
  <c r="N56" i="1"/>
  <c r="N103" i="1" s="1"/>
  <c r="L102" i="1"/>
  <c r="K102" i="1"/>
  <c r="K105" i="1" s="1"/>
  <c r="M36" i="1"/>
  <c r="M43" i="1" s="1"/>
  <c r="M45" i="1" s="1"/>
  <c r="M79" i="1"/>
  <c r="M104" i="1" s="1"/>
  <c r="M55" i="1"/>
  <c r="M102" i="1" s="1"/>
  <c r="K82" i="1"/>
  <c r="K83" i="1" s="1"/>
  <c r="L94" i="1"/>
  <c r="L47" i="1"/>
  <c r="M108" i="1"/>
  <c r="H49" i="1"/>
  <c r="H115" i="1" s="1"/>
  <c r="H17" i="1"/>
  <c r="G96" i="1"/>
  <c r="G99" i="1" s="1"/>
  <c r="G110" i="1" s="1"/>
  <c r="E116" i="1"/>
  <c r="F96" i="1"/>
  <c r="F99" i="1" s="1"/>
  <c r="F110" i="1" s="1"/>
  <c r="M105" i="1" l="1"/>
  <c r="N108" i="1"/>
  <c r="F117" i="1"/>
  <c r="F6" i="4"/>
  <c r="G117" i="1"/>
  <c r="G6" i="4"/>
  <c r="N17" i="1"/>
  <c r="B10" i="2"/>
  <c r="B11" i="2" s="1"/>
  <c r="B18" i="2" s="1"/>
  <c r="N114" i="1"/>
  <c r="N113" i="1"/>
  <c r="M82" i="1"/>
  <c r="M83" i="1" s="1"/>
  <c r="L105" i="1"/>
  <c r="N36" i="1"/>
  <c r="N43" i="1" s="1"/>
  <c r="N55" i="1"/>
  <c r="N102" i="1" s="1"/>
  <c r="N79" i="1"/>
  <c r="N104" i="1" s="1"/>
  <c r="N76" i="1"/>
  <c r="M94" i="1"/>
  <c r="M47" i="1"/>
  <c r="N68" i="1"/>
  <c r="N107" i="1"/>
  <c r="H95" i="1"/>
  <c r="H116" i="1" s="1"/>
  <c r="M17" i="1"/>
  <c r="E96" i="1"/>
  <c r="E99" i="1" s="1"/>
  <c r="E110" i="1" s="1"/>
  <c r="J17" i="1"/>
  <c r="K17" i="1"/>
  <c r="K48" i="1" s="1"/>
  <c r="L17" i="1"/>
  <c r="L95" i="1" s="1"/>
  <c r="L96" i="1" s="1"/>
  <c r="L99" i="1" s="1"/>
  <c r="E117" i="1" l="1"/>
  <c r="E120" i="1" s="1"/>
  <c r="E6" i="4"/>
  <c r="N45" i="1"/>
  <c r="N47" i="1" s="1"/>
  <c r="C15" i="4"/>
  <c r="C17" i="4" s="1"/>
  <c r="N14" i="4" s="1"/>
  <c r="L110" i="1"/>
  <c r="L6" i="4" s="1"/>
  <c r="K95" i="1"/>
  <c r="K96" i="1" s="1"/>
  <c r="K99" i="1" s="1"/>
  <c r="K110" i="1" s="1"/>
  <c r="K6" i="4" s="1"/>
  <c r="N105" i="1"/>
  <c r="M48" i="1"/>
  <c r="M49" i="1" s="1"/>
  <c r="K49" i="1"/>
  <c r="M95" i="1"/>
  <c r="M96" i="1" s="1"/>
  <c r="M99" i="1" s="1"/>
  <c r="M110" i="1" s="1"/>
  <c r="M6" i="4" s="1"/>
  <c r="L48" i="1"/>
  <c r="N94" i="1"/>
  <c r="N95" i="1" s="1"/>
  <c r="N96" i="1" s="1"/>
  <c r="N99" i="1" s="1"/>
  <c r="N82" i="1"/>
  <c r="N83" i="1" s="1"/>
  <c r="J95" i="1"/>
  <c r="J96" i="1" s="1"/>
  <c r="J99" i="1" s="1"/>
  <c r="J110" i="1" s="1"/>
  <c r="J6" i="4" s="1"/>
  <c r="J48" i="1"/>
  <c r="H96" i="1"/>
  <c r="H99" i="1" s="1"/>
  <c r="H110" i="1" s="1"/>
  <c r="F119" i="1" l="1"/>
  <c r="F120" i="1" s="1"/>
  <c r="E122" i="1"/>
  <c r="N110" i="1"/>
  <c r="N12" i="4" s="1"/>
  <c r="N15" i="4" s="1"/>
  <c r="L27" i="4" s="1"/>
  <c r="J116" i="1"/>
  <c r="K8" i="4"/>
  <c r="K9" i="4" s="1"/>
  <c r="L8" i="4"/>
  <c r="L9" i="4" s="1"/>
  <c r="N8" i="4"/>
  <c r="M8" i="4"/>
  <c r="M9" i="4" s="1"/>
  <c r="J8" i="4"/>
  <c r="J9" i="4" s="1"/>
  <c r="H117" i="1"/>
  <c r="H6" i="4"/>
  <c r="K116" i="1"/>
  <c r="M116" i="1"/>
  <c r="L116" i="1"/>
  <c r="L49" i="1"/>
  <c r="N48" i="1"/>
  <c r="N116" i="1" s="1"/>
  <c r="J49" i="1"/>
  <c r="J86" i="1" s="1"/>
  <c r="K86" i="1" s="1"/>
  <c r="K88" i="1" s="1"/>
  <c r="C18" i="4" l="1"/>
  <c r="C19" i="4" s="1"/>
  <c r="G119" i="1"/>
  <c r="G120" i="1" s="1"/>
  <c r="F122" i="1"/>
  <c r="N6" i="4"/>
  <c r="N9" i="4" s="1"/>
  <c r="C12" i="4" s="1"/>
  <c r="N49" i="1"/>
  <c r="K89" i="1"/>
  <c r="L86" i="1"/>
  <c r="J88" i="1"/>
  <c r="K115" i="1" s="1"/>
  <c r="K117" i="1" s="1"/>
  <c r="C22" i="4" l="1"/>
  <c r="N18" i="4" s="1"/>
  <c r="N20" i="4" s="1"/>
  <c r="H119" i="1"/>
  <c r="H120" i="1" s="1"/>
  <c r="H122" i="1" s="1"/>
  <c r="G122" i="1"/>
  <c r="L88" i="1"/>
  <c r="M86" i="1"/>
  <c r="J115" i="1"/>
  <c r="J117" i="1" s="1"/>
  <c r="J89" i="1"/>
  <c r="C20" i="4" l="1"/>
  <c r="C27" i="4"/>
  <c r="H12" i="4"/>
  <c r="M88" i="1"/>
  <c r="N86" i="1"/>
  <c r="N88" i="1" s="1"/>
  <c r="L115" i="1"/>
  <c r="L117" i="1" s="1"/>
  <c r="L89" i="1"/>
  <c r="J119" i="1"/>
  <c r="J120" i="1" s="1"/>
  <c r="J54" i="1" l="1"/>
  <c r="K119" i="1"/>
  <c r="K120" i="1" s="1"/>
  <c r="N115" i="1"/>
  <c r="N117" i="1" s="1"/>
  <c r="N89" i="1"/>
  <c r="M115" i="1"/>
  <c r="M117" i="1" s="1"/>
  <c r="M89" i="1"/>
  <c r="J59" i="1" l="1"/>
  <c r="J69" i="1" s="1"/>
  <c r="J91" i="1" s="1"/>
  <c r="J122" i="1"/>
  <c r="K54" i="1"/>
  <c r="L119" i="1"/>
  <c r="L120" i="1" s="1"/>
  <c r="K59" i="1" l="1"/>
  <c r="K69" i="1" s="1"/>
  <c r="K91" i="1" s="1"/>
  <c r="K122" i="1"/>
  <c r="M119" i="1"/>
  <c r="M120" i="1" s="1"/>
  <c r="L54" i="1"/>
  <c r="L59" i="1" l="1"/>
  <c r="L69" i="1" s="1"/>
  <c r="L91" i="1" s="1"/>
  <c r="L122" i="1"/>
  <c r="N119" i="1"/>
  <c r="N120" i="1" s="1"/>
  <c r="N54" i="1" s="1"/>
  <c r="N122" i="1" s="1"/>
  <c r="M54" i="1"/>
  <c r="M59" i="1" l="1"/>
  <c r="M69" i="1" s="1"/>
  <c r="M91" i="1" s="1"/>
  <c r="M122" i="1"/>
  <c r="N59" i="1"/>
  <c r="N69" i="1" s="1"/>
  <c r="N91" i="1" s="1"/>
  <c r="H17" i="4"/>
  <c r="H20" i="4" s="1"/>
  <c r="H22" i="4" l="1"/>
</calcChain>
</file>

<file path=xl/sharedStrings.xml><?xml version="1.0" encoding="utf-8"?>
<sst xmlns="http://schemas.openxmlformats.org/spreadsheetml/2006/main" count="175" uniqueCount="136">
  <si>
    <t>Revenue</t>
  </si>
  <si>
    <t>Cost of Generating Revenue</t>
  </si>
  <si>
    <t>Gross Profit</t>
  </si>
  <si>
    <t>Expenses</t>
  </si>
  <si>
    <t>Employee Benefit Expenses</t>
  </si>
  <si>
    <t>Purchase of stock-in-trade</t>
  </si>
  <si>
    <t>Other Expenses</t>
  </si>
  <si>
    <t>Incomes</t>
  </si>
  <si>
    <t>Other Incomes</t>
  </si>
  <si>
    <t>EBITDA</t>
  </si>
  <si>
    <t>Depreciation &amp; Amortization</t>
  </si>
  <si>
    <t>EBIT</t>
  </si>
  <si>
    <t>Interest</t>
  </si>
  <si>
    <t>Earnings Before Tax</t>
  </si>
  <si>
    <t>Taxes</t>
  </si>
  <si>
    <t>Net Earnings</t>
  </si>
  <si>
    <t>Assets</t>
  </si>
  <si>
    <t>Current Asset</t>
  </si>
  <si>
    <t>Cash and Cash Equivalents</t>
  </si>
  <si>
    <t>Inventories</t>
  </si>
  <si>
    <t>Accounts Receivables</t>
  </si>
  <si>
    <t>Financial Assets</t>
  </si>
  <si>
    <t>Other Assets</t>
  </si>
  <si>
    <t>Total Current Assets</t>
  </si>
  <si>
    <t>Non-Current Assets</t>
  </si>
  <si>
    <t>PP&amp;E</t>
  </si>
  <si>
    <t>Capital work-in-progress</t>
  </si>
  <si>
    <t>Goodwill</t>
  </si>
  <si>
    <t>Other Intangible Assets</t>
  </si>
  <si>
    <t>Tax Assets</t>
  </si>
  <si>
    <t>Total Non-Current Assets</t>
  </si>
  <si>
    <t>Total Assets</t>
  </si>
  <si>
    <t>Liabilities</t>
  </si>
  <si>
    <t>Non-current Liabilities</t>
  </si>
  <si>
    <t>Tax Liabilities</t>
  </si>
  <si>
    <t>Debt</t>
  </si>
  <si>
    <t>Total Non-Current Liabilities</t>
  </si>
  <si>
    <t>Current Liabilities</t>
  </si>
  <si>
    <t>Acc Payables</t>
  </si>
  <si>
    <t>Other Current Liabilities</t>
  </si>
  <si>
    <t>Total Current Liabilities</t>
  </si>
  <si>
    <t>Total Liabilities</t>
  </si>
  <si>
    <t>Shareholder's Equity</t>
  </si>
  <si>
    <t>Share capital</t>
  </si>
  <si>
    <t>Other equity</t>
  </si>
  <si>
    <t>Non-controlling interest</t>
  </si>
  <si>
    <t>Total Liabilities &amp; Shareholder's Equity</t>
  </si>
  <si>
    <t>Check</t>
  </si>
  <si>
    <t>Assumptions</t>
  </si>
  <si>
    <t>Revenue (% y-o-y)</t>
  </si>
  <si>
    <t>Employee Benefit Expenses (% revenue)</t>
  </si>
  <si>
    <t>Other expenses (% revenue)</t>
  </si>
  <si>
    <t>Bull Market</t>
  </si>
  <si>
    <t>Base Market</t>
  </si>
  <si>
    <t>Bear Market</t>
  </si>
  <si>
    <t>COGS (% revenue)</t>
  </si>
  <si>
    <t>Live Case</t>
  </si>
  <si>
    <t>Inventory Days</t>
  </si>
  <si>
    <t>Accounts receviable</t>
  </si>
  <si>
    <t>Other Assetes</t>
  </si>
  <si>
    <t>PPE</t>
  </si>
  <si>
    <t>Tax Asset</t>
  </si>
  <si>
    <t>Payable Days</t>
  </si>
  <si>
    <t>Other Liabilities</t>
  </si>
  <si>
    <t>NOPAT</t>
  </si>
  <si>
    <t>D&amp;A Addback</t>
  </si>
  <si>
    <t>Gross Cash Flow</t>
  </si>
  <si>
    <t>WC Change</t>
  </si>
  <si>
    <t>Inventory</t>
  </si>
  <si>
    <t>Accounts Payable</t>
  </si>
  <si>
    <t>Investment in WC</t>
  </si>
  <si>
    <t>Net Capex</t>
  </si>
  <si>
    <t>UFCF</t>
  </si>
  <si>
    <t>Net Cash Flow</t>
  </si>
  <si>
    <t>Opening CF</t>
  </si>
  <si>
    <t>Closing CF</t>
  </si>
  <si>
    <t>Other liabilities</t>
  </si>
  <si>
    <t>Delta Equity</t>
  </si>
  <si>
    <t>tax adjustment</t>
  </si>
  <si>
    <t>financial assets/liabilities</t>
  </si>
  <si>
    <t>Tax assets/liabilities</t>
  </si>
  <si>
    <t>Company</t>
  </si>
  <si>
    <t>SOLAR INDUSTRIES</t>
  </si>
  <si>
    <t>Total Interest</t>
  </si>
  <si>
    <t>SD</t>
  </si>
  <si>
    <t>LD</t>
  </si>
  <si>
    <t>Cost of Debt</t>
  </si>
  <si>
    <t>Tax Rate</t>
  </si>
  <si>
    <t>Cost of Equity</t>
  </si>
  <si>
    <t>Risk free rate</t>
  </si>
  <si>
    <t>Beta</t>
  </si>
  <si>
    <t>Market return</t>
  </si>
  <si>
    <t>Total Debt</t>
  </si>
  <si>
    <t>Market Capitalisation</t>
  </si>
  <si>
    <t>Total Capital</t>
  </si>
  <si>
    <t xml:space="preserve">WACC </t>
  </si>
  <si>
    <t>Exit Multiple</t>
  </si>
  <si>
    <t>Terminal Value</t>
  </si>
  <si>
    <t>Implied Perpetuity Growth Rate</t>
  </si>
  <si>
    <t>Terminal Year Free Cash Flow(2027E)</t>
  </si>
  <si>
    <t>WACC</t>
  </si>
  <si>
    <t>Implied PGR</t>
  </si>
  <si>
    <t>Terminal Year EBITDA(2027E)</t>
  </si>
  <si>
    <t>Present Value Calculation</t>
  </si>
  <si>
    <t>Discount Factor</t>
  </si>
  <si>
    <t>Present Value of FCF</t>
  </si>
  <si>
    <t>PV of FCF</t>
  </si>
  <si>
    <t>Discount factor</t>
  </si>
  <si>
    <t>PV of TV</t>
  </si>
  <si>
    <t>Enterprise Value</t>
  </si>
  <si>
    <t>% of Enterprise Value</t>
  </si>
  <si>
    <t>Less: Total Debt</t>
  </si>
  <si>
    <t>Less: Preferred Securities</t>
  </si>
  <si>
    <t>Less: Noncontrolling Interest</t>
  </si>
  <si>
    <t>Plus: Cash and Cash Equivalent</t>
  </si>
  <si>
    <t>Implied Equity Value</t>
  </si>
  <si>
    <t xml:space="preserve"> </t>
  </si>
  <si>
    <t>Implied EV/EBIDTA</t>
  </si>
  <si>
    <t>EBIDTA 2022</t>
  </si>
  <si>
    <t>Financial Statements</t>
  </si>
  <si>
    <t>Historical</t>
  </si>
  <si>
    <t>Forecast</t>
  </si>
  <si>
    <t>S/O</t>
  </si>
  <si>
    <t>Share Price</t>
  </si>
  <si>
    <t>Price/share</t>
  </si>
  <si>
    <t>Current Pice</t>
  </si>
  <si>
    <t>Implied Equity Value &amp; Share Price</t>
  </si>
  <si>
    <t>Chack</t>
  </si>
  <si>
    <t>Profit &amp; Loss Statement</t>
  </si>
  <si>
    <t>Balance Sheet</t>
  </si>
  <si>
    <t>Cash Flow Statement</t>
  </si>
  <si>
    <t>*Figures in crore</t>
  </si>
  <si>
    <t>Discounted Cashflow Statement</t>
  </si>
  <si>
    <t>Exit Multiple(x)</t>
  </si>
  <si>
    <t>Cost of Debt*(1-t)</t>
  </si>
  <si>
    <t>WACC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</si>
</sst>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* #,##0.00_-;\(#,##0.00\)_-;_-* &quot;-&quot;_-;_-@_-"/>
    <numFmt numFmtId="165" formatCode="_-* #,##0_-;\(#,##0\)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rgb="FF0070C0"/>
      <name val="Arial"/>
      <family val="2"/>
    </font>
    <font>
      <sz val="9"/>
      <color rgb="FF000000"/>
      <name val="Arial"/>
      <family val="2"/>
    </font>
    <font>
      <sz val="9"/>
      <color rgb="FF0070C0"/>
      <name val="Arial"/>
      <family val="2"/>
    </font>
    <font>
      <b/>
      <sz val="9"/>
      <name val="Arial"/>
      <family val="2"/>
    </font>
    <font>
      <b/>
      <sz val="9"/>
      <color rgb="FF0000FF"/>
      <name val="Arial"/>
      <family val="2"/>
    </font>
    <font>
      <sz val="9"/>
      <color rgb="FF0000FF"/>
      <name val="Arial"/>
      <family val="2"/>
    </font>
    <font>
      <i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4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30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rgb="FF000000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4">
    <xf numFmtId="0" fontId="0" fillId="0" borderId="0" xfId="0"/>
    <xf numFmtId="164" fontId="2" fillId="2" borderId="0" xfId="1" applyNumberFormat="1" applyFont="1" applyFill="1" applyBorder="1"/>
    <xf numFmtId="164" fontId="2" fillId="2" borderId="0" xfId="1" applyNumberFormat="1" applyFont="1" applyFill="1" applyBorder="1" applyAlignment="1">
      <alignment horizontal="center"/>
    </xf>
    <xf numFmtId="164" fontId="3" fillId="3" borderId="0" xfId="1" applyNumberFormat="1" applyFont="1" applyFill="1" applyBorder="1"/>
    <xf numFmtId="164" fontId="4" fillId="2" borderId="0" xfId="1" applyNumberFormat="1" applyFont="1" applyFill="1" applyBorder="1"/>
    <xf numFmtId="164" fontId="4" fillId="2" borderId="0" xfId="1" applyNumberFormat="1" applyFont="1" applyFill="1" applyBorder="1" applyAlignment="1">
      <alignment horizontal="center"/>
    </xf>
    <xf numFmtId="164" fontId="5" fillId="3" borderId="0" xfId="1" applyNumberFormat="1" applyFont="1" applyFill="1" applyBorder="1"/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164" fontId="6" fillId="3" borderId="1" xfId="1" applyNumberFormat="1" applyFont="1" applyFill="1" applyBorder="1"/>
    <xf numFmtId="164" fontId="7" fillId="3" borderId="0" xfId="1" applyNumberFormat="1" applyFont="1" applyFill="1" applyBorder="1"/>
    <xf numFmtId="164" fontId="4" fillId="2" borderId="2" xfId="1" applyNumberFormat="1" applyFont="1" applyFill="1" applyBorder="1"/>
    <xf numFmtId="164" fontId="4" fillId="2" borderId="2" xfId="1" applyNumberFormat="1" applyFont="1" applyFill="1" applyBorder="1" applyAlignment="1">
      <alignment horizontal="center"/>
    </xf>
    <xf numFmtId="164" fontId="5" fillId="3" borderId="2" xfId="1" applyNumberFormat="1" applyFont="1" applyFill="1" applyBorder="1"/>
    <xf numFmtId="164" fontId="4" fillId="2" borderId="1" xfId="1" applyNumberFormat="1" applyFont="1" applyFill="1" applyBorder="1"/>
    <xf numFmtId="164" fontId="4" fillId="2" borderId="1" xfId="1" applyNumberFormat="1" applyFont="1" applyFill="1" applyBorder="1" applyAlignment="1">
      <alignment horizontal="center"/>
    </xf>
    <xf numFmtId="164" fontId="2" fillId="2" borderId="3" xfId="1" applyNumberFormat="1" applyFont="1" applyFill="1" applyBorder="1"/>
    <xf numFmtId="164" fontId="2" fillId="2" borderId="3" xfId="1" applyNumberFormat="1" applyFont="1" applyFill="1" applyBorder="1" applyAlignment="1">
      <alignment horizontal="center"/>
    </xf>
    <xf numFmtId="164" fontId="6" fillId="3" borderId="3" xfId="1" applyNumberFormat="1" applyFont="1" applyFill="1" applyBorder="1"/>
    <xf numFmtId="164" fontId="2" fillId="3" borderId="0" xfId="1" applyNumberFormat="1" applyFont="1" applyFill="1" applyBorder="1"/>
    <xf numFmtId="164" fontId="4" fillId="3" borderId="0" xfId="1" applyNumberFormat="1" applyFont="1" applyFill="1" applyBorder="1"/>
    <xf numFmtId="164" fontId="4" fillId="3" borderId="0" xfId="1" applyNumberFormat="1" applyFont="1" applyFill="1" applyBorder="1" applyAlignment="1">
      <alignment horizontal="center"/>
    </xf>
    <xf numFmtId="164" fontId="8" fillId="3" borderId="0" xfId="1" applyNumberFormat="1" applyFont="1" applyFill="1" applyBorder="1"/>
    <xf numFmtId="164" fontId="0" fillId="3" borderId="0" xfId="0" applyNumberFormat="1" applyFill="1"/>
    <xf numFmtId="164" fontId="2" fillId="3" borderId="4" xfId="1" applyNumberFormat="1" applyFont="1" applyFill="1" applyBorder="1"/>
    <xf numFmtId="164" fontId="4" fillId="3" borderId="4" xfId="1" applyNumberFormat="1" applyFont="1" applyFill="1" applyBorder="1"/>
    <xf numFmtId="164" fontId="0" fillId="3" borderId="4" xfId="0" applyNumberFormat="1" applyFill="1" applyBorder="1"/>
    <xf numFmtId="164" fontId="6" fillId="3" borderId="4" xfId="1" applyNumberFormat="1" applyFont="1" applyFill="1" applyBorder="1"/>
    <xf numFmtId="164" fontId="2" fillId="3" borderId="3" xfId="1" applyNumberFormat="1" applyFont="1" applyFill="1" applyBorder="1"/>
    <xf numFmtId="164" fontId="2" fillId="3" borderId="3" xfId="1" applyNumberFormat="1" applyFont="1" applyFill="1" applyBorder="1" applyAlignment="1">
      <alignment horizontal="center"/>
    </xf>
    <xf numFmtId="164" fontId="2" fillId="3" borderId="0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4" fillId="3" borderId="1" xfId="1" applyNumberFormat="1" applyFont="1" applyFill="1" applyBorder="1"/>
    <xf numFmtId="164" fontId="0" fillId="3" borderId="1" xfId="0" applyNumberFormat="1" applyFill="1" applyBorder="1"/>
    <xf numFmtId="164" fontId="2" fillId="3" borderId="4" xfId="1" applyNumberFormat="1" applyFont="1" applyFill="1" applyBorder="1" applyAlignment="1">
      <alignment horizontal="center"/>
    </xf>
    <xf numFmtId="164" fontId="9" fillId="3" borderId="0" xfId="1" applyNumberFormat="1" applyFont="1" applyFill="1" applyBorder="1"/>
    <xf numFmtId="164" fontId="9" fillId="3" borderId="0" xfId="1" applyNumberFormat="1" applyFont="1" applyFill="1" applyBorder="1" applyAlignment="1">
      <alignment horizontal="center"/>
    </xf>
    <xf numFmtId="43" fontId="0" fillId="0" borderId="0" xfId="0" applyNumberFormat="1"/>
    <xf numFmtId="164" fontId="0" fillId="0" borderId="0" xfId="0" applyNumberFormat="1"/>
    <xf numFmtId="164" fontId="4" fillId="0" borderId="0" xfId="1" applyNumberFormat="1" applyFont="1" applyFill="1" applyBorder="1"/>
    <xf numFmtId="164" fontId="5" fillId="0" borderId="0" xfId="1" applyNumberFormat="1" applyFont="1" applyFill="1" applyBorder="1"/>
    <xf numFmtId="164" fontId="4" fillId="0" borderId="0" xfId="1" applyNumberFormat="1" applyFont="1" applyFill="1" applyBorder="1" applyAlignment="1">
      <alignment horizontal="center"/>
    </xf>
    <xf numFmtId="0" fontId="10" fillId="0" borderId="0" xfId="0" applyFont="1"/>
    <xf numFmtId="164" fontId="6" fillId="3" borderId="0" xfId="1" applyNumberFormat="1" applyFont="1" applyFill="1" applyBorder="1"/>
    <xf numFmtId="164" fontId="12" fillId="3" borderId="0" xfId="1" applyNumberFormat="1" applyFont="1" applyFill="1" applyBorder="1"/>
    <xf numFmtId="164" fontId="13" fillId="3" borderId="0" xfId="1" applyNumberFormat="1" applyFont="1" applyFill="1" applyBorder="1"/>
    <xf numFmtId="164" fontId="13" fillId="3" borderId="2" xfId="1" applyNumberFormat="1" applyFont="1" applyFill="1" applyBorder="1"/>
    <xf numFmtId="164" fontId="13" fillId="0" borderId="0" xfId="1" applyNumberFormat="1" applyFont="1" applyFill="1" applyBorder="1"/>
    <xf numFmtId="164" fontId="13" fillId="3" borderId="6" xfId="1" applyNumberFormat="1" applyFont="1" applyFill="1" applyBorder="1"/>
    <xf numFmtId="164" fontId="13" fillId="0" borderId="6" xfId="1" applyNumberFormat="1" applyFont="1" applyFill="1" applyBorder="1"/>
    <xf numFmtId="164" fontId="4" fillId="0" borderId="2" xfId="1" applyNumberFormat="1" applyFont="1" applyFill="1" applyBorder="1"/>
    <xf numFmtId="164" fontId="4" fillId="0" borderId="2" xfId="1" applyNumberFormat="1" applyFont="1" applyFill="1" applyBorder="1" applyAlignment="1">
      <alignment horizontal="center"/>
    </xf>
    <xf numFmtId="164" fontId="5" fillId="0" borderId="2" xfId="1" applyNumberFormat="1" applyFont="1" applyFill="1" applyBorder="1"/>
    <xf numFmtId="164" fontId="13" fillId="0" borderId="2" xfId="1" applyNumberFormat="1" applyFont="1" applyFill="1" applyBorder="1"/>
    <xf numFmtId="10" fontId="13" fillId="0" borderId="0" xfId="2" applyNumberFormat="1" applyFont="1" applyFill="1" applyBorder="1"/>
    <xf numFmtId="10" fontId="4" fillId="2" borderId="0" xfId="2" applyNumberFormat="1" applyFont="1" applyFill="1" applyBorder="1"/>
    <xf numFmtId="10" fontId="11" fillId="0" borderId="0" xfId="0" applyNumberFormat="1" applyFont="1"/>
    <xf numFmtId="43" fontId="11" fillId="0" borderId="0" xfId="0" applyNumberFormat="1" applyFont="1"/>
    <xf numFmtId="0" fontId="0" fillId="8" borderId="0" xfId="0" applyFill="1"/>
    <xf numFmtId="164" fontId="4" fillId="2" borderId="5" xfId="1" applyNumberFormat="1" applyFont="1" applyFill="1" applyBorder="1"/>
    <xf numFmtId="0" fontId="0" fillId="6" borderId="0" xfId="0" applyFill="1" applyAlignment="1">
      <alignment horizontal="center"/>
    </xf>
    <xf numFmtId="0" fontId="0" fillId="6" borderId="0" xfId="0" applyFill="1"/>
    <xf numFmtId="164" fontId="4" fillId="10" borderId="0" xfId="1" applyNumberFormat="1" applyFont="1" applyFill="1" applyBorder="1"/>
    <xf numFmtId="0" fontId="10" fillId="0" borderId="16" xfId="0" applyFont="1" applyBorder="1" applyAlignment="1">
      <alignment horizontal="center"/>
    </xf>
    <xf numFmtId="164" fontId="2" fillId="0" borderId="4" xfId="1" applyNumberFormat="1" applyFont="1" applyFill="1" applyBorder="1"/>
    <xf numFmtId="0" fontId="10" fillId="0" borderId="4" xfId="0" applyFont="1" applyBorder="1"/>
    <xf numFmtId="164" fontId="12" fillId="3" borderId="4" xfId="1" applyNumberFormat="1" applyFont="1" applyFill="1" applyBorder="1"/>
    <xf numFmtId="0" fontId="10" fillId="0" borderId="1" xfId="0" applyFont="1" applyBorder="1"/>
    <xf numFmtId="164" fontId="12" fillId="3" borderId="1" xfId="1" applyNumberFormat="1" applyFont="1" applyFill="1" applyBorder="1"/>
    <xf numFmtId="164" fontId="12" fillId="0" borderId="4" xfId="1" applyNumberFormat="1" applyFont="1" applyFill="1" applyBorder="1"/>
    <xf numFmtId="164" fontId="12" fillId="0" borderId="1" xfId="1" applyNumberFormat="1" applyFont="1" applyFill="1" applyBorder="1"/>
    <xf numFmtId="164" fontId="2" fillId="0" borderId="3" xfId="1" applyNumberFormat="1" applyFont="1" applyFill="1" applyBorder="1"/>
    <xf numFmtId="0" fontId="10" fillId="0" borderId="3" xfId="0" applyFont="1" applyBorder="1"/>
    <xf numFmtId="164" fontId="12" fillId="3" borderId="3" xfId="1" applyNumberFormat="1" applyFont="1" applyFill="1" applyBorder="1"/>
    <xf numFmtId="0" fontId="10" fillId="9" borderId="7" xfId="0" applyFont="1" applyFill="1" applyBorder="1"/>
    <xf numFmtId="0" fontId="0" fillId="6" borderId="6" xfId="0" applyFill="1" applyBorder="1"/>
    <xf numFmtId="164" fontId="4" fillId="5" borderId="16" xfId="1" applyNumberFormat="1" applyFont="1" applyFill="1" applyBorder="1" applyAlignment="1">
      <alignment horizontal="center" vertical="center"/>
    </xf>
    <xf numFmtId="164" fontId="12" fillId="0" borderId="3" xfId="1" applyNumberFormat="1" applyFont="1" applyFill="1" applyBorder="1"/>
    <xf numFmtId="164" fontId="12" fillId="0" borderId="0" xfId="1" applyNumberFormat="1" applyFont="1" applyFill="1" applyBorder="1"/>
    <xf numFmtId="0" fontId="0" fillId="0" borderId="5" xfId="0" applyBorder="1"/>
    <xf numFmtId="164" fontId="2" fillId="2" borderId="14" xfId="1" applyNumberFormat="1" applyFont="1" applyFill="1" applyBorder="1"/>
    <xf numFmtId="10" fontId="12" fillId="0" borderId="1" xfId="2" applyNumberFormat="1" applyFont="1" applyFill="1" applyBorder="1"/>
    <xf numFmtId="164" fontId="12" fillId="0" borderId="2" xfId="1" applyNumberFormat="1" applyFont="1" applyFill="1" applyBorder="1"/>
    <xf numFmtId="10" fontId="12" fillId="0" borderId="5" xfId="2" applyNumberFormat="1" applyFont="1" applyFill="1" applyBorder="1"/>
    <xf numFmtId="0" fontId="10" fillId="6" borderId="6" xfId="0" applyFont="1" applyFill="1" applyBorder="1" applyAlignment="1">
      <alignment horizontal="center" vertical="center"/>
    </xf>
    <xf numFmtId="0" fontId="15" fillId="0" borderId="0" xfId="0" applyFont="1"/>
    <xf numFmtId="0" fontId="15" fillId="0" borderId="2" xfId="0" applyFont="1" applyBorder="1"/>
    <xf numFmtId="164" fontId="4" fillId="3" borderId="0" xfId="1" applyNumberFormat="1" applyFont="1" applyFill="1" applyBorder="1"/>
    <xf numFmtId="164" fontId="4" fillId="2" borderId="0" xfId="1" applyNumberFormat="1" applyFont="1" applyFill="1" applyBorder="1"/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13" fillId="3" borderId="6" xfId="1" applyNumberFormat="1" applyFont="1" applyFill="1" applyBorder="1"/>
    <xf numFmtId="164" fontId="13" fillId="0" borderId="6" xfId="1" applyNumberFormat="1" applyFont="1" applyFill="1" applyBorder="1"/>
    <xf numFmtId="164" fontId="4" fillId="10" borderId="0" xfId="1" applyNumberFormat="1" applyFont="1" applyFill="1" applyBorder="1"/>
    <xf numFmtId="164" fontId="4" fillId="7" borderId="12" xfId="1" applyNumberFormat="1" applyFont="1" applyFill="1" applyBorder="1" applyAlignment="1">
      <alignment horizontal="center"/>
    </xf>
    <xf numFmtId="164" fontId="4" fillId="7" borderId="0" xfId="1" applyNumberFormat="1" applyFont="1" applyFill="1" applyBorder="1" applyAlignment="1">
      <alignment horizontal="center" vertical="center" textRotation="90"/>
    </xf>
    <xf numFmtId="0" fontId="10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164" fontId="4" fillId="2" borderId="0" xfId="1" applyNumberFormat="1" applyFont="1" applyFill="1" applyBorder="1" applyAlignment="1"/>
    <xf numFmtId="164" fontId="4" fillId="2" borderId="5" xfId="1" applyNumberFormat="1" applyFont="1" applyFill="1" applyBorder="1" applyAlignment="1"/>
    <xf numFmtId="164" fontId="2" fillId="2" borderId="0" xfId="1" applyNumberFormat="1" applyFont="1" applyFill="1" applyBorder="1" applyAlignment="1"/>
    <xf numFmtId="164" fontId="2" fillId="2" borderId="5" xfId="1" applyNumberFormat="1" applyFont="1" applyFill="1" applyBorder="1" applyAlignment="1"/>
    <xf numFmtId="164" fontId="4" fillId="2" borderId="2" xfId="1" applyNumberFormat="1" applyFont="1" applyFill="1" applyBorder="1" applyAlignment="1"/>
    <xf numFmtId="164" fontId="4" fillId="2" borderId="15" xfId="1" applyNumberFormat="1" applyFont="1" applyFill="1" applyBorder="1" applyAlignment="1"/>
    <xf numFmtId="0" fontId="0" fillId="0" borderId="1" xfId="0" applyBorder="1"/>
    <xf numFmtId="0" fontId="0" fillId="0" borderId="14" xfId="0" applyBorder="1"/>
    <xf numFmtId="164" fontId="2" fillId="2" borderId="1" xfId="1" applyNumberFormat="1" applyFont="1" applyFill="1" applyBorder="1" applyAlignment="1"/>
    <xf numFmtId="164" fontId="2" fillId="2" borderId="14" xfId="1" applyNumberFormat="1" applyFont="1" applyFill="1" applyBorder="1" applyAlignment="1"/>
    <xf numFmtId="164" fontId="2" fillId="2" borderId="1" xfId="1" applyNumberFormat="1" applyFont="1" applyFill="1" applyBorder="1"/>
    <xf numFmtId="164" fontId="2" fillId="2" borderId="14" xfId="1" applyNumberFormat="1" applyFont="1" applyFill="1" applyBorder="1"/>
    <xf numFmtId="164" fontId="4" fillId="2" borderId="12" xfId="1" applyNumberFormat="1" applyFont="1" applyFill="1" applyBorder="1"/>
    <xf numFmtId="164" fontId="4" fillId="2" borderId="13" xfId="1" applyNumberFormat="1" applyFont="1" applyFill="1" applyBorder="1"/>
    <xf numFmtId="164" fontId="4" fillId="2" borderId="5" xfId="1" applyNumberFormat="1" applyFont="1" applyFill="1" applyBorder="1"/>
    <xf numFmtId="164" fontId="2" fillId="5" borderId="9" xfId="1" applyNumberFormat="1" applyFont="1" applyFill="1" applyBorder="1" applyAlignment="1">
      <alignment horizontal="center"/>
    </xf>
    <xf numFmtId="164" fontId="2" fillId="5" borderId="10" xfId="1" applyNumberFormat="1" applyFont="1" applyFill="1" applyBorder="1" applyAlignment="1">
      <alignment horizontal="center"/>
    </xf>
    <xf numFmtId="164" fontId="2" fillId="5" borderId="11" xfId="1" applyNumberFormat="1" applyFont="1" applyFill="1" applyBorder="1" applyAlignment="1">
      <alignment horizontal="center"/>
    </xf>
    <xf numFmtId="164" fontId="2" fillId="2" borderId="3" xfId="1" applyNumberFormat="1" applyFont="1" applyFill="1" applyBorder="1"/>
    <xf numFmtId="164" fontId="4" fillId="2" borderId="12" xfId="1" applyNumberFormat="1" applyFont="1" applyFill="1" applyBorder="1" applyAlignment="1"/>
    <xf numFmtId="164" fontId="4" fillId="2" borderId="13" xfId="1" applyNumberFormat="1" applyFont="1" applyFill="1" applyBorder="1" applyAlignment="1"/>
    <xf numFmtId="0" fontId="14" fillId="4" borderId="4" xfId="0" applyFont="1" applyFill="1" applyBorder="1" applyAlignment="1">
      <alignment horizontal="left"/>
    </xf>
    <xf numFmtId="0" fontId="14" fillId="4" borderId="8" xfId="0" applyFont="1" applyFill="1" applyBorder="1" applyAlignment="1">
      <alignment horizontal="left"/>
    </xf>
    <xf numFmtId="0" fontId="16" fillId="4" borderId="7" xfId="0" applyFont="1" applyFill="1" applyBorder="1" applyAlignment="1">
      <alignment horizontal="left"/>
    </xf>
    <xf numFmtId="0" fontId="16" fillId="4" borderId="17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164" fontId="4" fillId="2" borderId="14" xfId="1" applyNumberFormat="1" applyFont="1" applyFill="1" applyBorder="1"/>
    <xf numFmtId="164" fontId="13" fillId="0" borderId="1" xfId="1" applyNumberFormat="1" applyFont="1" applyFill="1" applyBorder="1"/>
    <xf numFmtId="164" fontId="2" fillId="2" borderId="18" xfId="1" applyNumberFormat="1" applyFont="1" applyFill="1" applyBorder="1"/>
    <xf numFmtId="10" fontId="12" fillId="0" borderId="3" xfId="2" applyNumberFormat="1" applyFont="1" applyFill="1" applyBorder="1"/>
    <xf numFmtId="10" fontId="12" fillId="0" borderId="0" xfId="2" applyNumberFormat="1" applyFont="1" applyFill="1" applyBorder="1"/>
    <xf numFmtId="0" fontId="16" fillId="4" borderId="4" xfId="0" applyFont="1" applyFill="1" applyBorder="1" applyAlignment="1">
      <alignment horizontal="left"/>
    </xf>
    <xf numFmtId="165" fontId="17" fillId="0" borderId="0" xfId="1" applyNumberFormat="1" applyFont="1" applyFill="1" applyBorder="1"/>
    <xf numFmtId="164" fontId="2" fillId="2" borderId="8" xfId="1" applyNumberFormat="1" applyFont="1" applyFill="1" applyBorder="1"/>
    <xf numFmtId="10" fontId="12" fillId="0" borderId="4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3300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A9BF-C779-4626-98EF-A239F04C8F15}">
  <dimension ref="A1"/>
  <sheetViews>
    <sheetView tabSelected="1"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showGridLines="0" workbookViewId="0">
      <pane ySplit="3" topLeftCell="A4" activePane="bottomLeft" state="frozen"/>
      <selection pane="bottomLeft" activeCell="E127" sqref="E127"/>
    </sheetView>
  </sheetViews>
  <sheetFormatPr defaultColWidth="9.6328125" defaultRowHeight="14.5" outlineLevelRow="1" x14ac:dyDescent="0.35"/>
  <cols>
    <col min="2" max="2" width="10.36328125" customWidth="1"/>
    <col min="9" max="9" width="3.90625" customWidth="1"/>
  </cols>
  <sheetData>
    <row r="1" spans="1:14" x14ac:dyDescent="0.35">
      <c r="D1" s="89" t="s">
        <v>120</v>
      </c>
      <c r="E1" s="89"/>
      <c r="F1" s="89"/>
      <c r="G1" s="89"/>
      <c r="H1" s="89"/>
      <c r="I1" s="61"/>
      <c r="J1" s="90" t="s">
        <v>121</v>
      </c>
      <c r="K1" s="90"/>
      <c r="L1" s="90"/>
      <c r="M1" s="90"/>
      <c r="N1" s="90"/>
    </row>
    <row r="2" spans="1:14" ht="19" thickBot="1" x14ac:dyDescent="0.5">
      <c r="A2" s="123" t="s">
        <v>119</v>
      </c>
      <c r="B2" s="124"/>
      <c r="C2" s="124"/>
      <c r="D2" s="86">
        <v>2018</v>
      </c>
      <c r="E2" s="86">
        <v>2019</v>
      </c>
      <c r="F2" s="86">
        <v>2020</v>
      </c>
      <c r="G2" s="86">
        <v>2021</v>
      </c>
      <c r="H2" s="86">
        <v>2022</v>
      </c>
      <c r="I2" s="86"/>
      <c r="J2" s="86">
        <v>2023</v>
      </c>
      <c r="K2" s="86">
        <v>2024</v>
      </c>
      <c r="L2" s="86">
        <v>2025</v>
      </c>
      <c r="M2" s="86">
        <v>2026</v>
      </c>
      <c r="N2" s="86">
        <v>2027</v>
      </c>
    </row>
    <row r="3" spans="1:14" ht="15" thickBot="1" x14ac:dyDescent="0.4">
      <c r="A3" s="75" t="s">
        <v>56</v>
      </c>
      <c r="B3" s="74" t="s">
        <v>52</v>
      </c>
      <c r="C3" s="63" t="str">
        <f>IF(B3="Bull Market","A",IF(B3="Base Market","B","C"))</f>
        <v>A</v>
      </c>
    </row>
    <row r="4" spans="1:14" x14ac:dyDescent="0.35">
      <c r="A4" s="93" t="s">
        <v>131</v>
      </c>
      <c r="B4" s="93"/>
      <c r="C4" s="93"/>
    </row>
    <row r="5" spans="1:14" ht="18.5" x14ac:dyDescent="0.45">
      <c r="A5" s="122" t="s">
        <v>48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</row>
    <row r="6" spans="1:14" hidden="1" outlineLevel="1" x14ac:dyDescent="0.35">
      <c r="A6" s="88" t="s">
        <v>49</v>
      </c>
      <c r="B6" s="88"/>
      <c r="C6" s="88"/>
      <c r="D6" s="47"/>
      <c r="E6" s="47">
        <f>(E34-D34)/D34</f>
        <v>0.26139269371294466</v>
      </c>
      <c r="F6" s="47">
        <f t="shared" ref="F6:H6" si="0">(F34-E34)/E34</f>
        <v>-9.1108520172085275E-2</v>
      </c>
      <c r="G6" s="47">
        <f t="shared" si="0"/>
        <v>0.12440441603718765</v>
      </c>
      <c r="H6" s="47">
        <f t="shared" si="0"/>
        <v>0.56923315431919641</v>
      </c>
      <c r="I6" s="47"/>
      <c r="J6" s="47">
        <f>IF($C$3="A",$J$7,IF($C$3="B",$J$8,$J$9))</f>
        <v>0.25917652316917306</v>
      </c>
      <c r="K6" s="47">
        <f>IF($C$3="A",$J$7,IF($C$3="B",$J$8,$J$9))</f>
        <v>0.25917652316917306</v>
      </c>
      <c r="L6" s="47">
        <f>IF($C$3="A",$J$7,IF($C$3="B",$J$8,$J$9))</f>
        <v>0.25917652316917306</v>
      </c>
      <c r="M6" s="47">
        <f>IF($C$3="A",$J$7,IF($C$3="B",$J$8,$J$9))</f>
        <v>0.25917652316917306</v>
      </c>
      <c r="N6" s="47">
        <f>IF($C$3="A",$J$7,IF($C$3="B",$J$8,$J$9))</f>
        <v>0.25917652316917306</v>
      </c>
    </row>
    <row r="7" spans="1:14" hidden="1" outlineLevel="1" x14ac:dyDescent="0.35">
      <c r="A7" s="4"/>
      <c r="D7" s="47"/>
      <c r="E7" s="45"/>
      <c r="F7" s="45"/>
      <c r="G7" s="45"/>
      <c r="H7" s="91" t="s">
        <v>52</v>
      </c>
      <c r="I7" s="91"/>
      <c r="J7" s="48">
        <f>J8*1.2</f>
        <v>0.25917652316917306</v>
      </c>
      <c r="K7" s="48">
        <f t="shared" ref="K7:N7" si="1">K8*1.2</f>
        <v>0.25917652316917306</v>
      </c>
      <c r="L7" s="48">
        <f t="shared" si="1"/>
        <v>0.25917652316917306</v>
      </c>
      <c r="M7" s="48">
        <f t="shared" si="1"/>
        <v>0.25917652316917306</v>
      </c>
      <c r="N7" s="49">
        <f t="shared" si="1"/>
        <v>0.25917652316917306</v>
      </c>
    </row>
    <row r="8" spans="1:14" hidden="1" outlineLevel="1" x14ac:dyDescent="0.35">
      <c r="A8" s="4"/>
      <c r="D8" s="47"/>
      <c r="E8" s="45"/>
      <c r="F8" s="45"/>
      <c r="G8" s="45"/>
      <c r="H8" s="91" t="s">
        <v>53</v>
      </c>
      <c r="I8" s="91"/>
      <c r="J8" s="48">
        <f>AVERAGE($E$6:$H$6)</f>
        <v>0.21598043597431088</v>
      </c>
      <c r="K8" s="48">
        <f t="shared" ref="K8:N8" si="2">AVERAGE($E$6:$H$6)</f>
        <v>0.21598043597431088</v>
      </c>
      <c r="L8" s="48">
        <f t="shared" si="2"/>
        <v>0.21598043597431088</v>
      </c>
      <c r="M8" s="48">
        <f t="shared" si="2"/>
        <v>0.21598043597431088</v>
      </c>
      <c r="N8" s="49">
        <f t="shared" si="2"/>
        <v>0.21598043597431088</v>
      </c>
    </row>
    <row r="9" spans="1:14" hidden="1" outlineLevel="1" x14ac:dyDescent="0.35">
      <c r="A9" s="4"/>
      <c r="D9" s="47"/>
      <c r="E9" s="47"/>
      <c r="F9" s="47"/>
      <c r="G9" s="47"/>
      <c r="H9" s="92" t="s">
        <v>54</v>
      </c>
      <c r="I9" s="92"/>
      <c r="J9" s="49">
        <f>J8*0.8</f>
        <v>0.1727843487794487</v>
      </c>
      <c r="K9" s="49">
        <f t="shared" ref="K9:N9" si="3">K8*0.8</f>
        <v>0.1727843487794487</v>
      </c>
      <c r="L9" s="49">
        <f t="shared" si="3"/>
        <v>0.1727843487794487</v>
      </c>
      <c r="M9" s="49">
        <f t="shared" si="3"/>
        <v>0.1727843487794487</v>
      </c>
      <c r="N9" s="49">
        <f t="shared" si="3"/>
        <v>0.1727843487794487</v>
      </c>
    </row>
    <row r="10" spans="1:14" hidden="1" outlineLevel="1" x14ac:dyDescent="0.35">
      <c r="A10" s="88" t="s">
        <v>55</v>
      </c>
      <c r="B10" s="88"/>
      <c r="C10" s="88"/>
      <c r="D10" s="47"/>
      <c r="E10" s="45">
        <f>-D35/D34</f>
        <v>0.54348260542052906</v>
      </c>
      <c r="F10" s="45">
        <f t="shared" ref="F10:H10" si="4">-E35/E34</f>
        <v>0.50921160072636562</v>
      </c>
      <c r="G10" s="45">
        <f t="shared" si="4"/>
        <v>0.49335359585214317</v>
      </c>
      <c r="H10" s="45">
        <f t="shared" si="4"/>
        <v>0.47108676554183243</v>
      </c>
      <c r="I10" s="47"/>
      <c r="J10" s="45">
        <f>AVERAGE($E10:$H10)</f>
        <v>0.50428364188521757</v>
      </c>
      <c r="K10" s="45">
        <f t="shared" ref="K10:N10" si="5">AVERAGE($E10:$H10)</f>
        <v>0.50428364188521757</v>
      </c>
      <c r="L10" s="45">
        <f t="shared" si="5"/>
        <v>0.50428364188521757</v>
      </c>
      <c r="M10" s="45">
        <f t="shared" si="5"/>
        <v>0.50428364188521757</v>
      </c>
      <c r="N10" s="47">
        <f t="shared" si="5"/>
        <v>0.50428364188521757</v>
      </c>
    </row>
    <row r="11" spans="1:14" hidden="1" outlineLevel="1" x14ac:dyDescent="0.35">
      <c r="A11" s="88" t="s">
        <v>50</v>
      </c>
      <c r="B11" s="88"/>
      <c r="C11" s="88"/>
      <c r="D11" s="47">
        <f>-D38/D$34</f>
        <v>7.2950135026415994E-2</v>
      </c>
      <c r="E11" s="45">
        <f t="shared" ref="E11:H11" si="6">-E38/E$34</f>
        <v>7.4830291236893512E-2</v>
      </c>
      <c r="F11" s="45">
        <f t="shared" si="6"/>
        <v>9.2352389040361138E-2</v>
      </c>
      <c r="G11" s="45">
        <f t="shared" si="6"/>
        <v>9.1682799139778101E-2</v>
      </c>
      <c r="H11" s="45">
        <f t="shared" si="6"/>
        <v>7.336844318461043E-2</v>
      </c>
      <c r="I11" s="47"/>
      <c r="J11" s="45">
        <f>AVERAGE($D11:$H11)</f>
        <v>8.1036811525611846E-2</v>
      </c>
      <c r="K11" s="45">
        <f t="shared" ref="K11:N17" si="7">AVERAGE($D11:$H11)</f>
        <v>8.1036811525611846E-2</v>
      </c>
      <c r="L11" s="45">
        <f t="shared" si="7"/>
        <v>8.1036811525611846E-2</v>
      </c>
      <c r="M11" s="45">
        <f t="shared" si="7"/>
        <v>8.1036811525611846E-2</v>
      </c>
      <c r="N11" s="47">
        <f t="shared" si="7"/>
        <v>8.1036811525611846E-2</v>
      </c>
    </row>
    <row r="12" spans="1:14" hidden="1" outlineLevel="1" x14ac:dyDescent="0.35">
      <c r="A12" s="88" t="s">
        <v>5</v>
      </c>
      <c r="B12" s="88"/>
      <c r="C12" s="88"/>
      <c r="D12" s="47">
        <f>-D39/D$34</f>
        <v>2.0697217994639937E-2</v>
      </c>
      <c r="E12" s="47">
        <f t="shared" ref="E12:H12" si="8">-E39/E$34</f>
        <v>5.5793660143729405E-2</v>
      </c>
      <c r="F12" s="47">
        <f t="shared" si="8"/>
        <v>6.8546909220935953E-2</v>
      </c>
      <c r="G12" s="47">
        <f t="shared" si="8"/>
        <v>7.9252513286930115E-2</v>
      </c>
      <c r="H12" s="47">
        <f t="shared" si="8"/>
        <v>7.6463987070657949E-2</v>
      </c>
      <c r="I12" s="47"/>
      <c r="J12" s="47">
        <f t="shared" ref="J12:J17" si="9">AVERAGE($D12:$H12)</f>
        <v>6.0150857543378664E-2</v>
      </c>
      <c r="K12" s="47">
        <f t="shared" si="7"/>
        <v>6.0150857543378664E-2</v>
      </c>
      <c r="L12" s="47">
        <f t="shared" si="7"/>
        <v>6.0150857543378664E-2</v>
      </c>
      <c r="M12" s="47">
        <f t="shared" si="7"/>
        <v>6.0150857543378664E-2</v>
      </c>
      <c r="N12" s="47">
        <f t="shared" si="7"/>
        <v>6.0150857543378664E-2</v>
      </c>
    </row>
    <row r="13" spans="1:14" hidden="1" outlineLevel="1" x14ac:dyDescent="0.35">
      <c r="A13" s="88" t="s">
        <v>51</v>
      </c>
      <c r="B13" s="88"/>
      <c r="C13" s="88"/>
      <c r="D13" s="47">
        <f>-D40/D$34</f>
        <v>0.13386319031294358</v>
      </c>
      <c r="E13" s="45">
        <f t="shared" ref="E13:H13" si="10">-E40/E$34</f>
        <v>0.15871171650613225</v>
      </c>
      <c r="F13" s="45">
        <f t="shared" si="10"/>
        <v>0.15162025655924552</v>
      </c>
      <c r="G13" s="45">
        <f t="shared" si="10"/>
        <v>0.15341683792926622</v>
      </c>
      <c r="H13" s="45">
        <f t="shared" si="10"/>
        <v>0.13763770990548713</v>
      </c>
      <c r="I13" s="47"/>
      <c r="J13" s="45">
        <f t="shared" si="9"/>
        <v>0.14704994224261494</v>
      </c>
      <c r="K13" s="45">
        <f t="shared" si="7"/>
        <v>0.14704994224261494</v>
      </c>
      <c r="L13" s="45">
        <f t="shared" si="7"/>
        <v>0.14704994224261494</v>
      </c>
      <c r="M13" s="45">
        <f t="shared" si="7"/>
        <v>0.14704994224261494</v>
      </c>
      <c r="N13" s="47">
        <f t="shared" si="7"/>
        <v>0.14704994224261494</v>
      </c>
    </row>
    <row r="14" spans="1:14" hidden="1" outlineLevel="1" x14ac:dyDescent="0.35">
      <c r="A14" s="88" t="s">
        <v>8</v>
      </c>
      <c r="B14" s="88"/>
      <c r="C14" s="88"/>
      <c r="D14" s="47">
        <f>D42/D34</f>
        <v>6.2004540167156039E-3</v>
      </c>
      <c r="E14" s="45">
        <f t="shared" ref="E14:H14" si="11">E42/E34</f>
        <v>5.9799233822316654E-3</v>
      </c>
      <c r="F14" s="45">
        <f t="shared" si="11"/>
        <v>1.83480087605596E-2</v>
      </c>
      <c r="G14" s="45">
        <f t="shared" si="11"/>
        <v>8.5147656849377702E-3</v>
      </c>
      <c r="H14" s="45">
        <f t="shared" si="11"/>
        <v>4.9802285433464804E-3</v>
      </c>
      <c r="I14" s="47"/>
      <c r="J14" s="45">
        <f t="shared" si="9"/>
        <v>8.8046760775582246E-3</v>
      </c>
      <c r="K14" s="45">
        <f t="shared" si="7"/>
        <v>8.8046760775582246E-3</v>
      </c>
      <c r="L14" s="45">
        <f t="shared" si="7"/>
        <v>8.8046760775582246E-3</v>
      </c>
      <c r="M14" s="45">
        <f t="shared" si="7"/>
        <v>8.8046760775582246E-3</v>
      </c>
      <c r="N14" s="47">
        <f t="shared" si="7"/>
        <v>8.8046760775582246E-3</v>
      </c>
    </row>
    <row r="15" spans="1:14" hidden="1" outlineLevel="1" x14ac:dyDescent="0.35">
      <c r="A15" s="88" t="s">
        <v>10</v>
      </c>
      <c r="B15" s="88"/>
      <c r="C15" s="88"/>
      <c r="D15" s="47">
        <f>-D44/D34</f>
        <v>2.6282750951846557E-2</v>
      </c>
      <c r="E15" s="47">
        <f t="shared" ref="E15:H15" si="12">-E44/E34</f>
        <v>2.3923755976876546E-2</v>
      </c>
      <c r="F15" s="47">
        <f t="shared" si="12"/>
        <v>3.7782148124972062E-2</v>
      </c>
      <c r="G15" s="47">
        <f t="shared" si="12"/>
        <v>3.7179553431943485E-2</v>
      </c>
      <c r="H15" s="47">
        <f t="shared" si="12"/>
        <v>2.7674972958321616E-2</v>
      </c>
      <c r="I15" s="47"/>
      <c r="J15" s="47">
        <f t="shared" si="9"/>
        <v>3.0568636288792049E-2</v>
      </c>
      <c r="K15" s="47">
        <f t="shared" si="7"/>
        <v>3.0568636288792049E-2</v>
      </c>
      <c r="L15" s="47">
        <f t="shared" si="7"/>
        <v>3.0568636288792049E-2</v>
      </c>
      <c r="M15" s="47">
        <f t="shared" si="7"/>
        <v>3.0568636288792049E-2</v>
      </c>
      <c r="N15" s="47">
        <f t="shared" si="7"/>
        <v>3.0568636288792049E-2</v>
      </c>
    </row>
    <row r="16" spans="1:14" hidden="1" outlineLevel="1" x14ac:dyDescent="0.35">
      <c r="A16" s="88" t="s">
        <v>12</v>
      </c>
      <c r="B16" s="88"/>
      <c r="C16" s="88"/>
      <c r="D16" s="47">
        <f>-D46/D34</f>
        <v>1.6766847555945003E-2</v>
      </c>
      <c r="E16" s="45">
        <f t="shared" ref="E16:H16" si="13">-E46/E34</f>
        <v>2.0259427926079696E-2</v>
      </c>
      <c r="F16" s="45">
        <f t="shared" si="13"/>
        <v>2.4601081660930585E-2</v>
      </c>
      <c r="G16" s="45">
        <f t="shared" si="13"/>
        <v>1.8043193951415747E-2</v>
      </c>
      <c r="H16" s="45">
        <f t="shared" si="13"/>
        <v>1.2729220971676534E-2</v>
      </c>
      <c r="I16" s="47"/>
      <c r="J16" s="45">
        <f t="shared" si="9"/>
        <v>1.8479954413209512E-2</v>
      </c>
      <c r="K16" s="45">
        <f t="shared" si="7"/>
        <v>1.8479954413209512E-2</v>
      </c>
      <c r="L16" s="45">
        <f t="shared" si="7"/>
        <v>1.8479954413209512E-2</v>
      </c>
      <c r="M16" s="45">
        <f t="shared" si="7"/>
        <v>1.8479954413209512E-2</v>
      </c>
      <c r="N16" s="47">
        <f t="shared" si="7"/>
        <v>1.8479954413209512E-2</v>
      </c>
    </row>
    <row r="17" spans="1:14" hidden="1" outlineLevel="1" x14ac:dyDescent="0.35">
      <c r="A17" s="88" t="s">
        <v>14</v>
      </c>
      <c r="B17" s="88"/>
      <c r="C17" s="88"/>
      <c r="D17" s="47">
        <f>-D48/D47</f>
        <v>0.28280754153444082</v>
      </c>
      <c r="E17" s="45">
        <f t="shared" ref="E17:H17" si="14">-E48/E47</f>
        <v>0.31118576583302221</v>
      </c>
      <c r="F17" s="45">
        <f t="shared" si="14"/>
        <v>0.17013103037522329</v>
      </c>
      <c r="G17" s="45">
        <f t="shared" si="14"/>
        <v>0.27456560060438151</v>
      </c>
      <c r="H17" s="45">
        <f t="shared" si="14"/>
        <v>0.25015639919660204</v>
      </c>
      <c r="I17" s="47"/>
      <c r="J17" s="45">
        <f t="shared" si="9"/>
        <v>0.25776926750873397</v>
      </c>
      <c r="K17" s="45">
        <f t="shared" si="7"/>
        <v>0.25776926750873397</v>
      </c>
      <c r="L17" s="45">
        <f t="shared" si="7"/>
        <v>0.25776926750873397</v>
      </c>
      <c r="M17" s="45">
        <f t="shared" si="7"/>
        <v>0.25776926750873397</v>
      </c>
      <c r="N17" s="47">
        <f t="shared" si="7"/>
        <v>0.25776926750873397</v>
      </c>
    </row>
    <row r="18" spans="1:14" hidden="1" outlineLevel="1" x14ac:dyDescent="0.35">
      <c r="A18" s="88"/>
      <c r="B18" s="88"/>
      <c r="C18" s="88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hidden="1" outlineLevel="1" x14ac:dyDescent="0.35">
      <c r="A19" s="88" t="s">
        <v>57</v>
      </c>
      <c r="B19" s="88"/>
      <c r="C19" s="88"/>
      <c r="D19" s="47">
        <f>-D55/D35*360</f>
        <v>78.891183209345741</v>
      </c>
      <c r="E19" s="45">
        <f t="shared" ref="E19:H19" si="15">-E55/E35*360</f>
        <v>81.204346369249919</v>
      </c>
      <c r="F19" s="45">
        <f t="shared" si="15"/>
        <v>107.94977259961225</v>
      </c>
      <c r="G19" s="45">
        <f t="shared" si="15"/>
        <v>133.81071320079658</v>
      </c>
      <c r="H19" s="45">
        <f t="shared" si="15"/>
        <v>125.29142641355971</v>
      </c>
      <c r="I19" s="47"/>
      <c r="J19" s="45">
        <f t="shared" ref="J19:J24" si="16">AVERAGE($D19:$H19)</f>
        <v>105.42948835851284</v>
      </c>
      <c r="K19" s="45">
        <f t="shared" ref="K19:N24" si="17">AVERAGE($D19:$H19)</f>
        <v>105.42948835851284</v>
      </c>
      <c r="L19" s="45">
        <f t="shared" si="17"/>
        <v>105.42948835851284</v>
      </c>
      <c r="M19" s="45">
        <f t="shared" si="17"/>
        <v>105.42948835851284</v>
      </c>
      <c r="N19" s="47">
        <f t="shared" si="17"/>
        <v>105.42948835851284</v>
      </c>
    </row>
    <row r="20" spans="1:14" hidden="1" outlineLevel="1" x14ac:dyDescent="0.35">
      <c r="A20" s="88" t="s">
        <v>58</v>
      </c>
      <c r="B20" s="88"/>
      <c r="C20" s="88"/>
      <c r="D20" s="47">
        <f>D56/D34*360</f>
        <v>67.071899644883089</v>
      </c>
      <c r="E20" s="45">
        <f>E56/E34*360</f>
        <v>58.358852277205202</v>
      </c>
      <c r="F20" s="45">
        <f>F56/F34*360</f>
        <v>59.587538550931917</v>
      </c>
      <c r="G20" s="45">
        <f>G56/G34*360</f>
        <v>65.181604607990835</v>
      </c>
      <c r="H20" s="45">
        <f>H56/H34*360</f>
        <v>49.345300067635854</v>
      </c>
      <c r="I20" s="47"/>
      <c r="J20" s="45">
        <f t="shared" si="16"/>
        <v>59.909039029729378</v>
      </c>
      <c r="K20" s="45">
        <f t="shared" si="17"/>
        <v>59.909039029729378</v>
      </c>
      <c r="L20" s="45">
        <f t="shared" si="17"/>
        <v>59.909039029729378</v>
      </c>
      <c r="M20" s="45">
        <f t="shared" si="17"/>
        <v>59.909039029729378</v>
      </c>
      <c r="N20" s="47">
        <f t="shared" si="17"/>
        <v>59.909039029729378</v>
      </c>
    </row>
    <row r="21" spans="1:14" hidden="1" outlineLevel="1" x14ac:dyDescent="0.35">
      <c r="A21" s="88" t="s">
        <v>59</v>
      </c>
      <c r="B21" s="88"/>
      <c r="C21" s="88"/>
      <c r="D21" s="47">
        <f>D58/D34</f>
        <v>3.7233470153269069E-2</v>
      </c>
      <c r="E21" s="47">
        <f t="shared" ref="E21:H21" si="18">E58/E34</f>
        <v>2.3253452065145414E-2</v>
      </c>
      <c r="F21" s="47">
        <f t="shared" si="18"/>
        <v>3.118938005631788E-2</v>
      </c>
      <c r="G21" s="47">
        <f t="shared" si="18"/>
        <v>3.2536581293751463E-2</v>
      </c>
      <c r="H21" s="47">
        <f t="shared" si="18"/>
        <v>5.0881419390466635E-2</v>
      </c>
      <c r="I21" s="47"/>
      <c r="J21" s="47">
        <f t="shared" si="16"/>
        <v>3.5018860591790088E-2</v>
      </c>
      <c r="K21" s="47">
        <f t="shared" si="17"/>
        <v>3.5018860591790088E-2</v>
      </c>
      <c r="L21" s="47">
        <f t="shared" si="17"/>
        <v>3.5018860591790088E-2</v>
      </c>
      <c r="M21" s="47">
        <f t="shared" si="17"/>
        <v>3.5018860591790088E-2</v>
      </c>
      <c r="N21" s="47">
        <f t="shared" si="17"/>
        <v>3.5018860591790088E-2</v>
      </c>
    </row>
    <row r="22" spans="1:14" hidden="1" outlineLevel="1" x14ac:dyDescent="0.35">
      <c r="A22" s="88" t="s">
        <v>60</v>
      </c>
      <c r="B22" s="88"/>
      <c r="C22" s="88"/>
      <c r="D22" s="47">
        <f>D61/D34</f>
        <v>0.45794708604282924</v>
      </c>
      <c r="E22" s="45">
        <f t="shared" ref="E22:H22" si="19">E61/E34</f>
        <v>0.40805258432626329</v>
      </c>
      <c r="F22" s="45">
        <f t="shared" si="19"/>
        <v>0.51285478031555898</v>
      </c>
      <c r="G22" s="45">
        <f t="shared" si="19"/>
        <v>0.4835687283106021</v>
      </c>
      <c r="H22" s="45">
        <f t="shared" si="19"/>
        <v>0.35879937481159485</v>
      </c>
      <c r="I22" s="47"/>
      <c r="J22" s="45">
        <f t="shared" si="16"/>
        <v>0.44424451076136967</v>
      </c>
      <c r="K22" s="45">
        <f t="shared" si="17"/>
        <v>0.44424451076136967</v>
      </c>
      <c r="L22" s="45">
        <f t="shared" si="17"/>
        <v>0.44424451076136967</v>
      </c>
      <c r="M22" s="45">
        <f t="shared" si="17"/>
        <v>0.44424451076136967</v>
      </c>
      <c r="N22" s="47">
        <f t="shared" si="17"/>
        <v>0.44424451076136967</v>
      </c>
    </row>
    <row r="23" spans="1:14" hidden="1" outlineLevel="1" x14ac:dyDescent="0.35">
      <c r="A23" s="88" t="s">
        <v>61</v>
      </c>
      <c r="B23" s="88"/>
      <c r="C23" s="88"/>
      <c r="D23" s="47">
        <f>D66/D34</f>
        <v>5.6931441426206911E-3</v>
      </c>
      <c r="E23" s="45">
        <f t="shared" ref="E23:H23" si="20">E66/E34</f>
        <v>1.5802922525055146E-2</v>
      </c>
      <c r="F23" s="45">
        <f t="shared" si="20"/>
        <v>3.6454655164707458E-2</v>
      </c>
      <c r="G23" s="45">
        <f t="shared" si="20"/>
        <v>3.6555455293505006E-2</v>
      </c>
      <c r="H23" s="45">
        <f t="shared" si="20"/>
        <v>3.1748323669258109E-2</v>
      </c>
      <c r="I23" s="47"/>
      <c r="J23" s="45">
        <f t="shared" si="16"/>
        <v>2.5250900159029283E-2</v>
      </c>
      <c r="K23" s="45">
        <f t="shared" si="17"/>
        <v>2.5250900159029283E-2</v>
      </c>
      <c r="L23" s="45">
        <f t="shared" si="17"/>
        <v>2.5250900159029283E-2</v>
      </c>
      <c r="M23" s="45">
        <f t="shared" si="17"/>
        <v>2.5250900159029283E-2</v>
      </c>
      <c r="N23" s="47">
        <f t="shared" si="17"/>
        <v>2.5250900159029283E-2</v>
      </c>
    </row>
    <row r="24" spans="1:14" hidden="1" outlineLevel="1" x14ac:dyDescent="0.35">
      <c r="A24" s="88" t="s">
        <v>59</v>
      </c>
      <c r="B24" s="88"/>
      <c r="C24" s="88"/>
      <c r="D24" s="47">
        <f>D67/D34</f>
        <v>1.1186438940900961E-2</v>
      </c>
      <c r="E24" s="47">
        <f t="shared" ref="E24:H24" si="21">E67/E34</f>
        <v>1.4031695218905007E-2</v>
      </c>
      <c r="F24" s="47">
        <f t="shared" si="21"/>
        <v>2.8480758056586061E-2</v>
      </c>
      <c r="G24" s="47">
        <f t="shared" si="21"/>
        <v>1.9927413808866964E-2</v>
      </c>
      <c r="H24" s="47">
        <f t="shared" si="21"/>
        <v>1.816288843122801E-2</v>
      </c>
      <c r="I24" s="47"/>
      <c r="J24" s="47">
        <f t="shared" si="16"/>
        <v>1.8357838891297402E-2</v>
      </c>
      <c r="K24" s="47">
        <f t="shared" si="17"/>
        <v>1.8357838891297402E-2</v>
      </c>
      <c r="L24" s="47">
        <f t="shared" si="17"/>
        <v>1.8357838891297402E-2</v>
      </c>
      <c r="M24" s="47">
        <f t="shared" si="17"/>
        <v>1.8357838891297402E-2</v>
      </c>
      <c r="N24" s="47">
        <f t="shared" si="17"/>
        <v>1.8357838891297402E-2</v>
      </c>
    </row>
    <row r="25" spans="1:14" hidden="1" outlineLevel="1" x14ac:dyDescent="0.35">
      <c r="A25" s="88"/>
      <c r="B25" s="88"/>
      <c r="C25" s="88"/>
      <c r="D25" s="47"/>
      <c r="E25" s="45"/>
      <c r="F25" s="45"/>
      <c r="G25" s="45"/>
      <c r="H25" s="45"/>
      <c r="I25" s="47"/>
      <c r="J25" s="45"/>
      <c r="K25" s="45"/>
      <c r="L25" s="45"/>
      <c r="M25" s="45"/>
      <c r="N25" s="47"/>
    </row>
    <row r="26" spans="1:14" hidden="1" outlineLevel="1" x14ac:dyDescent="0.35">
      <c r="A26" s="88" t="s">
        <v>34</v>
      </c>
      <c r="B26" s="88"/>
      <c r="C26" s="88"/>
      <c r="D26" s="47">
        <f>D73/D34</f>
        <v>5.1883964396070653E-2</v>
      </c>
      <c r="E26" s="45">
        <f>E73/E34</f>
        <v>4.8595002376532047E-2</v>
      </c>
      <c r="F26" s="45">
        <f>F73/F34</f>
        <v>4.7727171143789389E-2</v>
      </c>
      <c r="G26" s="45">
        <f>G73/G34</f>
        <v>4.664040419298545E-2</v>
      </c>
      <c r="H26" s="45">
        <f>H73/H34</f>
        <v>3.4993325075172062E-2</v>
      </c>
      <c r="I26" s="47"/>
      <c r="J26" s="45">
        <f>AVERAGE($D26:$H26)</f>
        <v>4.596797343690992E-2</v>
      </c>
      <c r="K26" s="45">
        <f t="shared" ref="K26:N29" si="22">AVERAGE($D26:$H26)</f>
        <v>4.596797343690992E-2</v>
      </c>
      <c r="L26" s="45">
        <f t="shared" si="22"/>
        <v>4.596797343690992E-2</v>
      </c>
      <c r="M26" s="45">
        <f t="shared" si="22"/>
        <v>4.596797343690992E-2</v>
      </c>
      <c r="N26" s="47">
        <f t="shared" si="22"/>
        <v>4.596797343690992E-2</v>
      </c>
    </row>
    <row r="27" spans="1:14" hidden="1" outlineLevel="1" x14ac:dyDescent="0.35">
      <c r="A27" s="88" t="s">
        <v>35</v>
      </c>
      <c r="B27" s="88"/>
      <c r="C27" s="88"/>
      <c r="D27" s="47">
        <f>D75/D34</f>
        <v>0.10048834980809339</v>
      </c>
      <c r="E27" s="47">
        <f>E75/E34</f>
        <v>6.1570461128466786E-2</v>
      </c>
      <c r="F27" s="47">
        <f>F75/F34</f>
        <v>0.11299334018683234</v>
      </c>
      <c r="G27" s="47">
        <f>G75/G34</f>
        <v>0.17220735958785671</v>
      </c>
      <c r="H27" s="47">
        <f>H75/H34</f>
        <v>0.11041110950676485</v>
      </c>
      <c r="I27" s="47"/>
      <c r="J27" s="47">
        <f>AVERAGE($D27:$H27)</f>
        <v>0.11153412404360281</v>
      </c>
      <c r="K27" s="47">
        <f t="shared" si="22"/>
        <v>0.11153412404360281</v>
      </c>
      <c r="L27" s="47">
        <f t="shared" si="22"/>
        <v>0.11153412404360281</v>
      </c>
      <c r="M27" s="47">
        <f t="shared" si="22"/>
        <v>0.11153412404360281</v>
      </c>
      <c r="N27" s="47">
        <f t="shared" si="22"/>
        <v>0.11153412404360281</v>
      </c>
    </row>
    <row r="28" spans="1:14" hidden="1" outlineLevel="1" x14ac:dyDescent="0.35">
      <c r="A28" s="88" t="s">
        <v>35</v>
      </c>
      <c r="B28" s="88"/>
      <c r="C28" s="88"/>
      <c r="D28" s="47">
        <f>D78/D34</f>
        <v>0.18326697310232798</v>
      </c>
      <c r="E28" s="45">
        <f>E78/E34</f>
        <v>0.20408926010635486</v>
      </c>
      <c r="F28" s="45">
        <f>F78/F34</f>
        <v>0.22838689491798148</v>
      </c>
      <c r="G28" s="45">
        <f>G78/G34</f>
        <v>0.16336663181787464</v>
      </c>
      <c r="H28" s="45">
        <f>H78/H34</f>
        <v>0.12342657962666018</v>
      </c>
      <c r="I28" s="47"/>
      <c r="J28" s="45">
        <f>AVERAGE($D28:$H28)</f>
        <v>0.18050726791423982</v>
      </c>
      <c r="K28" s="45">
        <f t="shared" si="22"/>
        <v>0.18050726791423982</v>
      </c>
      <c r="L28" s="45">
        <f t="shared" si="22"/>
        <v>0.18050726791423982</v>
      </c>
      <c r="M28" s="45">
        <f t="shared" si="22"/>
        <v>0.18050726791423982</v>
      </c>
      <c r="N28" s="47">
        <f t="shared" si="22"/>
        <v>0.18050726791423982</v>
      </c>
    </row>
    <row r="29" spans="1:14" hidden="1" outlineLevel="1" x14ac:dyDescent="0.35">
      <c r="A29" s="88" t="s">
        <v>62</v>
      </c>
      <c r="B29" s="88"/>
      <c r="C29" s="88"/>
      <c r="D29" s="47">
        <f>-D79/D35*360</f>
        <v>48.651033858512719</v>
      </c>
      <c r="E29" s="45">
        <f>-E79/E35*360</f>
        <v>46.900579196783305</v>
      </c>
      <c r="F29" s="45">
        <f>-F79/F35*360</f>
        <v>50.367645726503476</v>
      </c>
      <c r="G29" s="45">
        <f>-G79/G35*360</f>
        <v>86.90451277550882</v>
      </c>
      <c r="H29" s="45">
        <f>-H79/H35*360</f>
        <v>81.034117151530111</v>
      </c>
      <c r="I29" s="47"/>
      <c r="J29" s="45">
        <f>AVERAGE($D29:$H29)</f>
        <v>62.771577741767679</v>
      </c>
      <c r="K29" s="45">
        <f t="shared" si="22"/>
        <v>62.771577741767679</v>
      </c>
      <c r="L29" s="45">
        <f t="shared" si="22"/>
        <v>62.771577741767679</v>
      </c>
      <c r="M29" s="45">
        <f t="shared" si="22"/>
        <v>62.771577741767679</v>
      </c>
      <c r="N29" s="47">
        <f t="shared" si="22"/>
        <v>62.771577741767679</v>
      </c>
    </row>
    <row r="30" spans="1:14" hidden="1" outlineLevel="1" x14ac:dyDescent="0.35">
      <c r="A30" s="88" t="s">
        <v>34</v>
      </c>
      <c r="B30" s="88"/>
      <c r="C30" s="88"/>
      <c r="D30" s="47">
        <f>D80/D34</f>
        <v>9.3724218153494535E-3</v>
      </c>
      <c r="E30" s="47">
        <f>E80/E34</f>
        <v>4.9968109783593397E-3</v>
      </c>
      <c r="F30" s="47">
        <f>F80/F34</f>
        <v>5.2652751083895758E-3</v>
      </c>
      <c r="G30" s="47">
        <f>G80/G34</f>
        <v>1.1396747534414839E-2</v>
      </c>
      <c r="H30" s="47">
        <f>H80/H34</f>
        <v>8.453215996514345E-3</v>
      </c>
      <c r="I30" s="47"/>
      <c r="J30" s="47">
        <f t="shared" ref="J30:N31" si="23">AVERAGE($D30:$H30)</f>
        <v>7.8968942866055099E-3</v>
      </c>
      <c r="K30" s="47">
        <f t="shared" si="23"/>
        <v>7.8968942866055099E-3</v>
      </c>
      <c r="L30" s="47">
        <f t="shared" si="23"/>
        <v>7.8968942866055099E-3</v>
      </c>
      <c r="M30" s="47">
        <f t="shared" si="23"/>
        <v>7.8968942866055099E-3</v>
      </c>
      <c r="N30" s="47">
        <f t="shared" si="23"/>
        <v>7.8968942866055099E-3</v>
      </c>
    </row>
    <row r="31" spans="1:14" hidden="1" outlineLevel="1" x14ac:dyDescent="0.35">
      <c r="A31" s="88" t="s">
        <v>63</v>
      </c>
      <c r="B31" s="88"/>
      <c r="C31" s="88"/>
      <c r="D31" s="47">
        <f>D81/D34</f>
        <v>2.3940926583549835E-2</v>
      </c>
      <c r="E31" s="45">
        <f>E81/E34</f>
        <v>1.8886320519018351E-2</v>
      </c>
      <c r="F31" s="45">
        <f>F81/F34</f>
        <v>2.4569793948062395E-2</v>
      </c>
      <c r="G31" s="45">
        <f>G81/G34</f>
        <v>3.7251106084758089E-2</v>
      </c>
      <c r="H31" s="45">
        <f>H81/H34</f>
        <v>3.3521548481232948E-2</v>
      </c>
      <c r="I31" s="47"/>
      <c r="J31" s="45">
        <f t="shared" si="23"/>
        <v>2.7633939123324326E-2</v>
      </c>
      <c r="K31" s="45">
        <f t="shared" si="23"/>
        <v>2.7633939123324326E-2</v>
      </c>
      <c r="L31" s="45">
        <f t="shared" si="23"/>
        <v>2.7633939123324326E-2</v>
      </c>
      <c r="M31" s="45">
        <f t="shared" si="23"/>
        <v>2.7633939123324326E-2</v>
      </c>
      <c r="N31" s="47">
        <f t="shared" si="23"/>
        <v>2.7633939123324326E-2</v>
      </c>
    </row>
    <row r="32" spans="1:14" collapsed="1" x14ac:dyDescent="0.35">
      <c r="A32" s="4"/>
      <c r="B32" s="4"/>
      <c r="C32" s="4"/>
      <c r="D32" s="47"/>
      <c r="E32" s="45"/>
      <c r="F32" s="45"/>
      <c r="G32" s="45"/>
      <c r="H32" s="45"/>
      <c r="I32" s="47"/>
      <c r="J32" s="45"/>
      <c r="K32" s="45"/>
      <c r="L32" s="45"/>
      <c r="M32" s="45"/>
      <c r="N32" s="47"/>
    </row>
    <row r="33" spans="1:14" ht="18.5" x14ac:dyDescent="0.45">
      <c r="A33" s="122" t="s">
        <v>128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</row>
    <row r="34" spans="1:14" hidden="1" outlineLevel="1" x14ac:dyDescent="0.35">
      <c r="A34" s="1" t="s">
        <v>0</v>
      </c>
      <c r="B34" s="1"/>
      <c r="C34" s="2"/>
      <c r="D34" s="3">
        <v>1951.47</v>
      </c>
      <c r="E34" s="3">
        <v>2461.5700000000002</v>
      </c>
      <c r="F34" s="3">
        <v>2237.3000000000002</v>
      </c>
      <c r="G34" s="3">
        <v>2515.63</v>
      </c>
      <c r="H34" s="3">
        <v>3947.61</v>
      </c>
      <c r="I34" s="3"/>
      <c r="J34" s="44">
        <f>H34*J6+H34</f>
        <v>4970.7378346278592</v>
      </c>
      <c r="K34" s="44">
        <f>J34*K6+J34</f>
        <v>6259.0363841921717</v>
      </c>
      <c r="L34" s="44">
        <f t="shared" ref="L34:N34" si="24">K34*L6+K34</f>
        <v>7881.2316726364515</v>
      </c>
      <c r="M34" s="44">
        <f t="shared" si="24"/>
        <v>9923.8618958411334</v>
      </c>
      <c r="N34" s="44">
        <f t="shared" si="24"/>
        <v>12495.893918416277</v>
      </c>
    </row>
    <row r="35" spans="1:14" hidden="1" outlineLevel="1" x14ac:dyDescent="0.35">
      <c r="A35" s="4" t="s">
        <v>1</v>
      </c>
      <c r="B35" s="4"/>
      <c r="C35" s="5"/>
      <c r="D35" s="6">
        <v>-1060.5899999999999</v>
      </c>
      <c r="E35" s="6">
        <v>-1253.46</v>
      </c>
      <c r="F35" s="6">
        <v>-1103.78</v>
      </c>
      <c r="G35" s="6">
        <v>-1185.08</v>
      </c>
      <c r="H35" s="6">
        <v>-2065.5300000000002</v>
      </c>
      <c r="I35" s="13"/>
      <c r="J35" s="45">
        <f>-J34*J10</f>
        <v>-2506.6617781027771</v>
      </c>
      <c r="K35" s="45">
        <f>-K34*K10</f>
        <v>-3156.3296625125122</v>
      </c>
      <c r="L35" s="45">
        <f t="shared" ref="L35:N35" si="25">-L34*L10</f>
        <v>-3974.3762104182347</v>
      </c>
      <c r="M35" s="45">
        <f t="shared" si="25"/>
        <v>-5004.441218400706</v>
      </c>
      <c r="N35" s="45">
        <f t="shared" si="25"/>
        <v>-6301.4748937903023</v>
      </c>
    </row>
    <row r="36" spans="1:14" hidden="1" outlineLevel="1" x14ac:dyDescent="0.35">
      <c r="A36" s="7" t="s">
        <v>2</v>
      </c>
      <c r="B36" s="7"/>
      <c r="C36" s="8"/>
      <c r="D36" s="9">
        <f>SUM(D34:D35)</f>
        <v>890.88000000000011</v>
      </c>
      <c r="E36" s="9">
        <f t="shared" ref="E36:H36" si="26">SUM(E34:E35)</f>
        <v>1208.1100000000001</v>
      </c>
      <c r="F36" s="9">
        <f t="shared" si="26"/>
        <v>1133.5200000000002</v>
      </c>
      <c r="G36" s="9">
        <f t="shared" si="26"/>
        <v>1330.5500000000002</v>
      </c>
      <c r="H36" s="9">
        <f t="shared" si="26"/>
        <v>1882.08</v>
      </c>
      <c r="I36" s="43"/>
      <c r="J36" s="9">
        <f>SUM(J34:J35)</f>
        <v>2464.0760565250821</v>
      </c>
      <c r="K36" s="9">
        <f>SUM(K34:K35)</f>
        <v>3102.7067216796595</v>
      </c>
      <c r="L36" s="9">
        <f t="shared" ref="L36:N36" si="27">SUM(L34:L35)</f>
        <v>3906.8554622182169</v>
      </c>
      <c r="M36" s="9">
        <f t="shared" si="27"/>
        <v>4919.4206774404274</v>
      </c>
      <c r="N36" s="9">
        <f t="shared" si="27"/>
        <v>6194.419024625975</v>
      </c>
    </row>
    <row r="37" spans="1:14" hidden="1" outlineLevel="1" x14ac:dyDescent="0.35">
      <c r="A37" s="1" t="s">
        <v>3</v>
      </c>
      <c r="B37" s="1"/>
      <c r="C37" s="2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idden="1" outlineLevel="1" x14ac:dyDescent="0.35">
      <c r="A38" s="4" t="s">
        <v>4</v>
      </c>
      <c r="B38" s="4"/>
      <c r="C38" s="4"/>
      <c r="D38" s="6">
        <v>-142.36000000000001</v>
      </c>
      <c r="E38" s="6">
        <v>-184.2</v>
      </c>
      <c r="F38" s="6">
        <v>-206.62</v>
      </c>
      <c r="G38" s="6">
        <v>-230.64</v>
      </c>
      <c r="H38" s="6">
        <v>-289.63</v>
      </c>
      <c r="I38" s="6"/>
      <c r="J38" s="45">
        <f t="shared" ref="J38:K40" si="28">-J$34*J11</f>
        <v>-402.81274504796579</v>
      </c>
      <c r="K38" s="45">
        <f t="shared" si="28"/>
        <v>-507.21235179772805</v>
      </c>
      <c r="L38" s="45">
        <f t="shared" ref="L38:N38" si="29">-L$34*L11</f>
        <v>-638.66988564512269</v>
      </c>
      <c r="M38" s="45">
        <f t="shared" si="29"/>
        <v>-804.19812605947902</v>
      </c>
      <c r="N38" s="45">
        <f t="shared" si="29"/>
        <v>-1012.6274003107392</v>
      </c>
    </row>
    <row r="39" spans="1:14" hidden="1" outlineLevel="1" x14ac:dyDescent="0.35">
      <c r="A39" s="4" t="s">
        <v>5</v>
      </c>
      <c r="B39" s="4"/>
      <c r="C39" s="5"/>
      <c r="D39" s="6">
        <v>-40.39</v>
      </c>
      <c r="E39" s="6">
        <v>-137.34</v>
      </c>
      <c r="F39" s="6">
        <v>-153.36000000000001</v>
      </c>
      <c r="G39" s="6">
        <v>-199.37</v>
      </c>
      <c r="H39" s="6">
        <v>-301.85000000000002</v>
      </c>
      <c r="I39" s="6"/>
      <c r="J39" s="45">
        <f t="shared" si="28"/>
        <v>-298.99414337618288</v>
      </c>
      <c r="K39" s="45">
        <f t="shared" si="28"/>
        <v>-376.48640590436719</v>
      </c>
      <c r="L39" s="45">
        <f t="shared" ref="L39:N39" si="30">-L$34*L12</f>
        <v>-474.06284360711913</v>
      </c>
      <c r="M39" s="45">
        <f t="shared" si="30"/>
        <v>-596.92880317690367</v>
      </c>
      <c r="N39" s="45">
        <f t="shared" si="30"/>
        <v>-751.63873496382928</v>
      </c>
    </row>
    <row r="40" spans="1:14" hidden="1" outlineLevel="1" x14ac:dyDescent="0.35">
      <c r="A40" s="11" t="s">
        <v>6</v>
      </c>
      <c r="B40" s="11"/>
      <c r="C40" s="12"/>
      <c r="D40" s="13">
        <v>-261.23</v>
      </c>
      <c r="E40" s="13">
        <v>-390.68</v>
      </c>
      <c r="F40" s="13">
        <v>-339.22</v>
      </c>
      <c r="G40" s="13">
        <v>-385.94</v>
      </c>
      <c r="H40" s="13">
        <v>-543.34</v>
      </c>
      <c r="I40" s="13"/>
      <c r="J40" s="46">
        <f t="shared" si="28"/>
        <v>-730.94671148520763</v>
      </c>
      <c r="K40" s="46">
        <f t="shared" si="28"/>
        <v>-920.39093878988433</v>
      </c>
      <c r="L40" s="46">
        <f t="shared" ref="L40:N40" si="31">-L$34*L13</f>
        <v>-1158.9346622618577</v>
      </c>
      <c r="M40" s="46">
        <f t="shared" si="31"/>
        <v>-1459.3033186071259</v>
      </c>
      <c r="N40" s="46">
        <f t="shared" si="31"/>
        <v>-1837.5204789729569</v>
      </c>
    </row>
    <row r="41" spans="1:14" hidden="1" outlineLevel="1" x14ac:dyDescent="0.35">
      <c r="A41" s="1" t="s">
        <v>7</v>
      </c>
      <c r="B41" s="1"/>
      <c r="C41" s="2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idden="1" outlineLevel="1" x14ac:dyDescent="0.35">
      <c r="A42" s="4" t="s">
        <v>8</v>
      </c>
      <c r="B42" s="4"/>
      <c r="C42" s="4"/>
      <c r="D42" s="6">
        <v>12.1</v>
      </c>
      <c r="E42" s="6">
        <v>14.72</v>
      </c>
      <c r="F42" s="6">
        <v>41.05</v>
      </c>
      <c r="G42" s="6">
        <v>21.42</v>
      </c>
      <c r="H42" s="6">
        <v>19.66</v>
      </c>
      <c r="I42" s="6"/>
      <c r="J42" s="45">
        <f>J34*J14</f>
        <v>43.765736500361484</v>
      </c>
      <c r="K42" s="45">
        <f>K34*K14</f>
        <v>55.108787920463342</v>
      </c>
      <c r="L42" s="45">
        <f t="shared" ref="L42:N42" si="32">L34*L14</f>
        <v>69.391691969756351</v>
      </c>
      <c r="M42" s="45">
        <f t="shared" si="32"/>
        <v>87.376389431304034</v>
      </c>
      <c r="N42" s="45">
        <f t="shared" si="32"/>
        <v>110.02229825118511</v>
      </c>
    </row>
    <row r="43" spans="1:14" hidden="1" outlineLevel="1" x14ac:dyDescent="0.35">
      <c r="A43" s="7" t="s">
        <v>9</v>
      </c>
      <c r="B43" s="14"/>
      <c r="C43" s="15"/>
      <c r="D43" s="9">
        <f>SUM(D36:D42)</f>
        <v>459.00000000000011</v>
      </c>
      <c r="E43" s="9">
        <f t="shared" ref="E43:G43" si="33">SUM(E36:E42)</f>
        <v>510.61000000000007</v>
      </c>
      <c r="F43" s="9">
        <f t="shared" si="33"/>
        <v>475.37000000000018</v>
      </c>
      <c r="G43" s="9">
        <f t="shared" si="33"/>
        <v>536.02000000000032</v>
      </c>
      <c r="H43" s="9">
        <f>SUM(H36:H42)</f>
        <v>766.91999999999985</v>
      </c>
      <c r="I43" s="9"/>
      <c r="J43" s="9">
        <f>SUM(J36:J42)</f>
        <v>1075.088193116087</v>
      </c>
      <c r="K43" s="9">
        <f>SUM(K36:K42)</f>
        <v>1353.7258131081435</v>
      </c>
      <c r="L43" s="9">
        <f t="shared" ref="L43:N43" si="34">SUM(L36:L42)</f>
        <v>1704.5797626738736</v>
      </c>
      <c r="M43" s="9">
        <f t="shared" si="34"/>
        <v>2146.3668190282224</v>
      </c>
      <c r="N43" s="9">
        <f t="shared" si="34"/>
        <v>2702.654708629635</v>
      </c>
    </row>
    <row r="44" spans="1:14" hidden="1" outlineLevel="1" x14ac:dyDescent="0.35">
      <c r="A44" s="39" t="s">
        <v>10</v>
      </c>
      <c r="B44" s="39"/>
      <c r="C44" s="39"/>
      <c r="D44" s="40">
        <v>-51.29</v>
      </c>
      <c r="E44" s="40">
        <v>-58.89</v>
      </c>
      <c r="F44" s="40">
        <v>-84.53</v>
      </c>
      <c r="G44" s="40">
        <v>-93.53</v>
      </c>
      <c r="H44" s="40">
        <v>-109.25</v>
      </c>
      <c r="I44" s="40"/>
      <c r="J44" s="47">
        <f>-J34*J15</f>
        <v>-151.9486769536768</v>
      </c>
      <c r="K44" s="47">
        <f>-K34*K15</f>
        <v>-191.3302067466866</v>
      </c>
      <c r="L44" s="47">
        <f t="shared" ref="L44:N44" si="35">-L34*L15</f>
        <v>-240.9185045085319</v>
      </c>
      <c r="M44" s="47">
        <f t="shared" si="35"/>
        <v>-303.35892487416993</v>
      </c>
      <c r="N44" s="47">
        <f t="shared" si="35"/>
        <v>-381.9824362953957</v>
      </c>
    </row>
    <row r="45" spans="1:14" hidden="1" outlineLevel="1" x14ac:dyDescent="0.35">
      <c r="A45" s="7" t="s">
        <v>11</v>
      </c>
      <c r="B45" s="14"/>
      <c r="C45" s="15"/>
      <c r="D45" s="9">
        <f>SUM(D43:D44)</f>
        <v>407.71000000000009</v>
      </c>
      <c r="E45" s="9">
        <f t="shared" ref="E45:K45" si="36">SUM(E43:E44)</f>
        <v>451.72000000000008</v>
      </c>
      <c r="F45" s="9">
        <f t="shared" si="36"/>
        <v>390.84000000000015</v>
      </c>
      <c r="G45" s="9">
        <f t="shared" si="36"/>
        <v>442.49000000000035</v>
      </c>
      <c r="H45" s="9">
        <f t="shared" si="36"/>
        <v>657.66999999999985</v>
      </c>
      <c r="I45" s="9"/>
      <c r="J45" s="9">
        <f t="shared" si="36"/>
        <v>923.13951616241025</v>
      </c>
      <c r="K45" s="9">
        <f t="shared" si="36"/>
        <v>1162.3956063614569</v>
      </c>
      <c r="L45" s="9">
        <f t="shared" ref="L45:N45" si="37">SUM(L43:L44)</f>
        <v>1463.6612581653417</v>
      </c>
      <c r="M45" s="9">
        <f t="shared" si="37"/>
        <v>1843.0078941540523</v>
      </c>
      <c r="N45" s="9">
        <f t="shared" si="37"/>
        <v>2320.6722723342391</v>
      </c>
    </row>
    <row r="46" spans="1:14" hidden="1" outlineLevel="1" x14ac:dyDescent="0.35">
      <c r="A46" s="50" t="s">
        <v>12</v>
      </c>
      <c r="B46" s="50"/>
      <c r="C46" s="51"/>
      <c r="D46" s="52">
        <v>-32.72</v>
      </c>
      <c r="E46" s="52">
        <v>-49.87</v>
      </c>
      <c r="F46" s="52">
        <v>-55.04</v>
      </c>
      <c r="G46" s="52">
        <v>-45.39</v>
      </c>
      <c r="H46" s="52">
        <v>-50.25</v>
      </c>
      <c r="I46" s="40"/>
      <c r="J46" s="53">
        <f>-J34*J16</f>
        <v>-91.859008583938603</v>
      </c>
      <c r="K46" s="53">
        <f>-K34*K16</f>
        <v>-115.66670705049103</v>
      </c>
      <c r="L46" s="53">
        <f t="shared" ref="L46:N46" si="38">-L34*L16</f>
        <v>-145.64480203026457</v>
      </c>
      <c r="M46" s="53">
        <f t="shared" si="38"/>
        <v>-183.39251543813106</v>
      </c>
      <c r="N46" s="53">
        <f t="shared" si="38"/>
        <v>-230.92354996463479</v>
      </c>
    </row>
    <row r="47" spans="1:14" hidden="1" outlineLevel="1" x14ac:dyDescent="0.35">
      <c r="A47" s="7" t="s">
        <v>13</v>
      </c>
      <c r="B47" s="7"/>
      <c r="C47" s="8"/>
      <c r="D47" s="9">
        <f>SUM(D45:D46)</f>
        <v>374.99000000000012</v>
      </c>
      <c r="E47" s="9">
        <f t="shared" ref="E47:K47" si="39">SUM(E45:E46)</f>
        <v>401.85000000000008</v>
      </c>
      <c r="F47" s="9">
        <f t="shared" si="39"/>
        <v>335.80000000000013</v>
      </c>
      <c r="G47" s="9">
        <f t="shared" si="39"/>
        <v>397.10000000000036</v>
      </c>
      <c r="H47" s="9">
        <f t="shared" si="39"/>
        <v>607.41999999999985</v>
      </c>
      <c r="I47" s="9"/>
      <c r="J47" s="9">
        <f t="shared" si="39"/>
        <v>831.28050757847166</v>
      </c>
      <c r="K47" s="9">
        <f t="shared" si="39"/>
        <v>1046.728899310966</v>
      </c>
      <c r="L47" s="9">
        <f t="shared" ref="L47:N47" si="40">SUM(L45:L46)</f>
        <v>1318.0164561350771</v>
      </c>
      <c r="M47" s="9">
        <f t="shared" si="40"/>
        <v>1659.6153787159212</v>
      </c>
      <c r="N47" s="9">
        <f t="shared" si="40"/>
        <v>2089.7487223696044</v>
      </c>
    </row>
    <row r="48" spans="1:14" hidden="1" outlineLevel="1" x14ac:dyDescent="0.35">
      <c r="A48" s="4" t="s">
        <v>14</v>
      </c>
      <c r="B48" s="4"/>
      <c r="C48" s="5"/>
      <c r="D48" s="6">
        <v>-106.05</v>
      </c>
      <c r="E48" s="6">
        <v>-125.05</v>
      </c>
      <c r="F48" s="6">
        <v>-57.13</v>
      </c>
      <c r="G48" s="6">
        <v>-109.03</v>
      </c>
      <c r="H48" s="6">
        <v>-151.94999999999999</v>
      </c>
      <c r="I48" s="6"/>
      <c r="J48" s="45">
        <f>-J47*J17</f>
        <v>-214.27856753279121</v>
      </c>
      <c r="K48" s="45">
        <f>-K47*K17</f>
        <v>-269.81454165561104</v>
      </c>
      <c r="L48" s="45">
        <f t="shared" ref="L48:N48" si="41">-L47*L17</f>
        <v>-339.74413646239623</v>
      </c>
      <c r="M48" s="45">
        <f t="shared" si="41"/>
        <v>-427.79784051783315</v>
      </c>
      <c r="N48" s="45">
        <f t="shared" si="41"/>
        <v>-538.67299744252557</v>
      </c>
    </row>
    <row r="49" spans="1:14" ht="15" hidden="1" outlineLevel="1" thickBot="1" x14ac:dyDescent="0.4">
      <c r="A49" s="16" t="s">
        <v>15</v>
      </c>
      <c r="B49" s="16"/>
      <c r="C49" s="17"/>
      <c r="D49" s="18">
        <f>SUM(D47:D48)</f>
        <v>268.94000000000011</v>
      </c>
      <c r="E49" s="18">
        <f t="shared" ref="E49:K49" si="42">SUM(E47:E48)</f>
        <v>276.80000000000007</v>
      </c>
      <c r="F49" s="18">
        <f t="shared" si="42"/>
        <v>278.67000000000013</v>
      </c>
      <c r="G49" s="18">
        <f t="shared" si="42"/>
        <v>288.07000000000039</v>
      </c>
      <c r="H49" s="18">
        <f t="shared" si="42"/>
        <v>455.46999999999986</v>
      </c>
      <c r="I49" s="18"/>
      <c r="J49" s="18">
        <f t="shared" si="42"/>
        <v>617.00194004568039</v>
      </c>
      <c r="K49" s="18">
        <f t="shared" si="42"/>
        <v>776.91435765535493</v>
      </c>
      <c r="L49" s="18">
        <f t="shared" ref="L49:N49" si="43">SUM(L47:L48)</f>
        <v>978.27231967268085</v>
      </c>
      <c r="M49" s="18">
        <f t="shared" si="43"/>
        <v>1231.8175381980882</v>
      </c>
      <c r="N49" s="18">
        <f t="shared" si="43"/>
        <v>1551.0757249270787</v>
      </c>
    </row>
    <row r="50" spans="1:14" collapsed="1" x14ac:dyDescent="0.35"/>
    <row r="51" spans="1:14" ht="18.5" x14ac:dyDescent="0.45">
      <c r="A51" s="122" t="s">
        <v>129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1"/>
    </row>
    <row r="52" spans="1:14" hidden="1" outlineLevel="1" x14ac:dyDescent="0.35">
      <c r="A52" s="19" t="s">
        <v>16</v>
      </c>
      <c r="B52" s="20"/>
      <c r="C52" s="21"/>
      <c r="D52" s="22"/>
      <c r="E52" s="22"/>
      <c r="F52" s="22"/>
      <c r="G52" s="22"/>
      <c r="H52" s="22"/>
      <c r="I52" s="22"/>
    </row>
    <row r="53" spans="1:14" hidden="1" outlineLevel="1" x14ac:dyDescent="0.35">
      <c r="A53" s="87" t="s">
        <v>17</v>
      </c>
      <c r="B53" s="87"/>
      <c r="C53" s="21"/>
      <c r="D53" s="22"/>
      <c r="E53" s="22"/>
      <c r="F53" s="22"/>
      <c r="G53" s="22"/>
      <c r="H53" s="22"/>
      <c r="I53" s="22"/>
    </row>
    <row r="54" spans="1:14" hidden="1" outlineLevel="1" x14ac:dyDescent="0.35">
      <c r="A54" s="39" t="s">
        <v>18</v>
      </c>
      <c r="B54" s="39"/>
      <c r="C54" s="38"/>
      <c r="D54" s="40">
        <v>69.459999999999994</v>
      </c>
      <c r="E54" s="40">
        <v>91.76</v>
      </c>
      <c r="F54" s="40">
        <v>92.56</v>
      </c>
      <c r="G54" s="40">
        <v>169.93</v>
      </c>
      <c r="H54" s="40">
        <v>84.67</v>
      </c>
      <c r="I54" s="40"/>
      <c r="J54" s="47">
        <f>J120</f>
        <v>217.536932094223</v>
      </c>
      <c r="K54" s="47">
        <f>K120</f>
        <v>510.6944195456374</v>
      </c>
      <c r="L54" s="47">
        <f t="shared" ref="L54:N54" si="44">L120</f>
        <v>879.83144533571976</v>
      </c>
      <c r="M54" s="47">
        <f t="shared" si="44"/>
        <v>1344.6401220430851</v>
      </c>
      <c r="N54" s="47">
        <f t="shared" si="44"/>
        <v>1929.9162955183299</v>
      </c>
    </row>
    <row r="55" spans="1:14" hidden="1" outlineLevel="1" x14ac:dyDescent="0.35">
      <c r="A55" s="39" t="s">
        <v>19</v>
      </c>
      <c r="B55" s="39"/>
      <c r="C55" s="38"/>
      <c r="D55" s="40">
        <v>232.42</v>
      </c>
      <c r="E55" s="6">
        <v>282.74</v>
      </c>
      <c r="F55" s="6">
        <v>330.98</v>
      </c>
      <c r="G55" s="6">
        <v>440.49</v>
      </c>
      <c r="H55" s="6">
        <v>718.87</v>
      </c>
      <c r="I55" s="6"/>
      <c r="J55" s="47">
        <f>-J19*J35/360</f>
        <v>734.10019098115504</v>
      </c>
      <c r="K55" s="45">
        <f>-K19*K35/360</f>
        <v>924.36172613747681</v>
      </c>
      <c r="L55" s="45">
        <f t="shared" ref="L55:N55" si="45">-L19*L35/360</f>
        <v>1163.9345844684435</v>
      </c>
      <c r="M55" s="45">
        <f t="shared" si="45"/>
        <v>1465.5991032673307</v>
      </c>
      <c r="N55" s="45">
        <f t="shared" si="45"/>
        <v>1845.4479832120155</v>
      </c>
    </row>
    <row r="56" spans="1:14" hidden="1" outlineLevel="1" x14ac:dyDescent="0.35">
      <c r="A56" s="39" t="s">
        <v>20</v>
      </c>
      <c r="B56" s="39"/>
      <c r="C56" s="38"/>
      <c r="D56" s="40">
        <v>363.58</v>
      </c>
      <c r="E56" s="6">
        <v>399.04</v>
      </c>
      <c r="F56" s="6">
        <v>370.32</v>
      </c>
      <c r="G56" s="6">
        <v>455.48</v>
      </c>
      <c r="H56" s="6">
        <v>541.1</v>
      </c>
      <c r="I56" s="6"/>
      <c r="J56" s="47">
        <f>J20*J34/360</f>
        <v>827.20035261464704</v>
      </c>
      <c r="K56" s="45">
        <f>K20*K34/360</f>
        <v>1041.5912639696251</v>
      </c>
      <c r="L56" s="45">
        <f t="shared" ref="L56:N56" si="46">L20*L34/360</f>
        <v>1311.5472663286571</v>
      </c>
      <c r="M56" s="45">
        <f t="shared" si="46"/>
        <v>1651.4695267877519</v>
      </c>
      <c r="N56" s="45">
        <f t="shared" si="46"/>
        <v>2079.4916568604408</v>
      </c>
    </row>
    <row r="57" spans="1:14" hidden="1" outlineLevel="1" x14ac:dyDescent="0.35">
      <c r="A57" s="20" t="s">
        <v>21</v>
      </c>
      <c r="B57" s="20"/>
      <c r="C57" s="23"/>
      <c r="D57" s="6">
        <v>78.959999999999994</v>
      </c>
      <c r="E57" s="6">
        <v>131.19</v>
      </c>
      <c r="F57" s="6">
        <v>119.86</v>
      </c>
      <c r="G57" s="6">
        <v>77.91</v>
      </c>
      <c r="H57" s="6">
        <v>115.45</v>
      </c>
      <c r="I57" s="6"/>
      <c r="J57" s="45">
        <f>$H$57</f>
        <v>115.45</v>
      </c>
      <c r="K57" s="45">
        <f>$H$57</f>
        <v>115.45</v>
      </c>
      <c r="L57" s="45">
        <f t="shared" ref="L57:N57" si="47">$H$57</f>
        <v>115.45</v>
      </c>
      <c r="M57" s="45">
        <f t="shared" si="47"/>
        <v>115.45</v>
      </c>
      <c r="N57" s="45">
        <f t="shared" si="47"/>
        <v>115.45</v>
      </c>
    </row>
    <row r="58" spans="1:14" hidden="1" outlineLevel="1" x14ac:dyDescent="0.35">
      <c r="A58" s="39" t="s">
        <v>22</v>
      </c>
      <c r="B58" s="39"/>
      <c r="C58" s="38"/>
      <c r="D58" s="40">
        <v>72.66</v>
      </c>
      <c r="E58" s="6">
        <v>57.24</v>
      </c>
      <c r="F58" s="6">
        <v>69.78</v>
      </c>
      <c r="G58" s="6">
        <v>81.849999999999994</v>
      </c>
      <c r="H58" s="6">
        <v>200.86</v>
      </c>
      <c r="I58" s="6"/>
      <c r="J58" s="47">
        <f>J34*J21</f>
        <v>174.06957526916955</v>
      </c>
      <c r="K58" s="45">
        <f>K34*K21</f>
        <v>219.18432257696756</v>
      </c>
      <c r="L58" s="45">
        <f t="shared" ref="L58:N58" si="48">L34*L21</f>
        <v>275.99175323565652</v>
      </c>
      <c r="M58" s="45">
        <f t="shared" si="48"/>
        <v>347.52233626263836</v>
      </c>
      <c r="N58" s="45">
        <f t="shared" si="48"/>
        <v>437.59196709881718</v>
      </c>
    </row>
    <row r="59" spans="1:14" hidden="1" outlineLevel="1" x14ac:dyDescent="0.35">
      <c r="A59" s="24" t="s">
        <v>23</v>
      </c>
      <c r="B59" s="25"/>
      <c r="C59" s="26"/>
      <c r="D59" s="27">
        <f>SUM(D54:D58)</f>
        <v>817.08</v>
      </c>
      <c r="E59" s="27">
        <f t="shared" ref="E59:K59" si="49">SUM(E54:E58)</f>
        <v>961.97</v>
      </c>
      <c r="F59" s="27">
        <f t="shared" si="49"/>
        <v>983.5</v>
      </c>
      <c r="G59" s="27">
        <f t="shared" si="49"/>
        <v>1225.6600000000001</v>
      </c>
      <c r="H59" s="27">
        <f t="shared" si="49"/>
        <v>1660.9499999999998</v>
      </c>
      <c r="I59" s="27"/>
      <c r="J59" s="27">
        <f t="shared" si="49"/>
        <v>2068.3570509591946</v>
      </c>
      <c r="K59" s="27">
        <f t="shared" si="49"/>
        <v>2811.2817322297064</v>
      </c>
      <c r="L59" s="27">
        <f t="shared" ref="L59:N59" si="50">SUM(L54:L58)</f>
        <v>3746.7550493684766</v>
      </c>
      <c r="M59" s="27">
        <f t="shared" si="50"/>
        <v>4924.6810883608059</v>
      </c>
      <c r="N59" s="27">
        <f t="shared" si="50"/>
        <v>6407.8979026896022</v>
      </c>
    </row>
    <row r="60" spans="1:14" hidden="1" outlineLevel="1" x14ac:dyDescent="0.35">
      <c r="A60" s="87" t="s">
        <v>24</v>
      </c>
      <c r="B60" s="87"/>
      <c r="C60" s="23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1:14" hidden="1" outlineLevel="1" x14ac:dyDescent="0.35">
      <c r="A61" s="39" t="s">
        <v>25</v>
      </c>
      <c r="B61" s="39"/>
      <c r="C61" s="38"/>
      <c r="D61" s="40">
        <v>893.67</v>
      </c>
      <c r="E61" s="6">
        <v>1004.45</v>
      </c>
      <c r="F61" s="6">
        <v>1147.4100000000001</v>
      </c>
      <c r="G61" s="6">
        <v>1216.48</v>
      </c>
      <c r="H61" s="6">
        <v>1416.4</v>
      </c>
      <c r="I61" s="6"/>
      <c r="J61" s="47">
        <f>J34*J22</f>
        <v>2208.2229974672832</v>
      </c>
      <c r="K61" s="45">
        <f>K34*K22</f>
        <v>2780.5425563330637</v>
      </c>
      <c r="L61" s="45">
        <f t="shared" ref="L61:N61" si="51">L34*L22</f>
        <v>3501.1939086073917</v>
      </c>
      <c r="M61" s="45">
        <f t="shared" si="51"/>
        <v>4408.6211727813425</v>
      </c>
      <c r="N61" s="45">
        <f t="shared" si="51"/>
        <v>5551.2322803128136</v>
      </c>
    </row>
    <row r="62" spans="1:14" hidden="1" outlineLevel="1" x14ac:dyDescent="0.35">
      <c r="A62" s="39" t="s">
        <v>26</v>
      </c>
      <c r="B62" s="39"/>
      <c r="C62" s="38"/>
      <c r="D62" s="40">
        <v>96.84</v>
      </c>
      <c r="E62" s="6">
        <v>165.56</v>
      </c>
      <c r="F62" s="6">
        <v>152.22999999999999</v>
      </c>
      <c r="G62" s="6">
        <v>282.37</v>
      </c>
      <c r="H62" s="6">
        <v>221.13</v>
      </c>
      <c r="I62" s="6"/>
      <c r="J62" s="47">
        <f>$H$62</f>
        <v>221.13</v>
      </c>
      <c r="K62" s="45">
        <f>$H$62</f>
        <v>221.13</v>
      </c>
      <c r="L62" s="45">
        <f t="shared" ref="L62:N62" si="52">$H$62</f>
        <v>221.13</v>
      </c>
      <c r="M62" s="45">
        <f t="shared" si="52"/>
        <v>221.13</v>
      </c>
      <c r="N62" s="45">
        <f t="shared" si="52"/>
        <v>221.13</v>
      </c>
    </row>
    <row r="63" spans="1:14" hidden="1" outlineLevel="1" x14ac:dyDescent="0.35">
      <c r="A63" s="39" t="s">
        <v>27</v>
      </c>
      <c r="B63" s="39"/>
      <c r="C63" s="38"/>
      <c r="D63" s="40">
        <v>8.14</v>
      </c>
      <c r="E63" s="6">
        <v>8.6300000000000008</v>
      </c>
      <c r="F63" s="6">
        <v>9.8699999999999992</v>
      </c>
      <c r="G63" s="6">
        <v>9.56</v>
      </c>
      <c r="H63" s="6">
        <v>9.89</v>
      </c>
      <c r="I63" s="6"/>
      <c r="J63" s="47">
        <f>$H$63</f>
        <v>9.89</v>
      </c>
      <c r="K63" s="45">
        <f>$H$63</f>
        <v>9.89</v>
      </c>
      <c r="L63" s="45">
        <f t="shared" ref="L63:N63" si="53">$H$63</f>
        <v>9.89</v>
      </c>
      <c r="M63" s="45">
        <f t="shared" si="53"/>
        <v>9.89</v>
      </c>
      <c r="N63" s="45">
        <f t="shared" si="53"/>
        <v>9.89</v>
      </c>
    </row>
    <row r="64" spans="1:14" hidden="1" outlineLevel="1" x14ac:dyDescent="0.35">
      <c r="A64" s="39" t="s">
        <v>28</v>
      </c>
      <c r="B64" s="39"/>
      <c r="C64" s="38"/>
      <c r="D64" s="40">
        <v>32.03</v>
      </c>
      <c r="E64" s="6">
        <v>41.51</v>
      </c>
      <c r="F64" s="6">
        <v>47.11</v>
      </c>
      <c r="G64" s="6">
        <v>47</v>
      </c>
      <c r="H64" s="6">
        <v>50.2</v>
      </c>
      <c r="I64" s="6"/>
      <c r="J64" s="47">
        <f>$H$64</f>
        <v>50.2</v>
      </c>
      <c r="K64" s="45">
        <f>$H$64</f>
        <v>50.2</v>
      </c>
      <c r="L64" s="45">
        <f t="shared" ref="L64:N64" si="54">$H$64</f>
        <v>50.2</v>
      </c>
      <c r="M64" s="45">
        <f t="shared" si="54"/>
        <v>50.2</v>
      </c>
      <c r="N64" s="45">
        <f t="shared" si="54"/>
        <v>50.2</v>
      </c>
    </row>
    <row r="65" spans="1:14" hidden="1" outlineLevel="1" x14ac:dyDescent="0.35">
      <c r="A65" s="20" t="s">
        <v>21</v>
      </c>
      <c r="B65" s="20"/>
      <c r="C65" s="23"/>
      <c r="D65" s="6">
        <v>114.41</v>
      </c>
      <c r="E65" s="6">
        <v>26.5</v>
      </c>
      <c r="F65" s="6">
        <v>46.92</v>
      </c>
      <c r="G65" s="6">
        <v>106.55</v>
      </c>
      <c r="H65" s="6">
        <v>168.7</v>
      </c>
      <c r="I65" s="6"/>
      <c r="J65" s="45">
        <f>$H$65</f>
        <v>168.7</v>
      </c>
      <c r="K65" s="45">
        <f>$H$65</f>
        <v>168.7</v>
      </c>
      <c r="L65" s="45">
        <f t="shared" ref="L65:N65" si="55">$H$65</f>
        <v>168.7</v>
      </c>
      <c r="M65" s="45">
        <f t="shared" si="55"/>
        <v>168.7</v>
      </c>
      <c r="N65" s="45">
        <f t="shared" si="55"/>
        <v>168.7</v>
      </c>
    </row>
    <row r="66" spans="1:14" hidden="1" outlineLevel="1" x14ac:dyDescent="0.35">
      <c r="A66" s="20" t="s">
        <v>29</v>
      </c>
      <c r="B66" s="20"/>
      <c r="C66" s="23"/>
      <c r="D66" s="6">
        <v>11.11</v>
      </c>
      <c r="E66" s="6">
        <v>38.9</v>
      </c>
      <c r="F66" s="6">
        <v>81.56</v>
      </c>
      <c r="G66" s="6">
        <v>91.96</v>
      </c>
      <c r="H66" s="6">
        <v>125.33</v>
      </c>
      <c r="I66" s="6"/>
      <c r="J66" s="45">
        <f>J34*J23</f>
        <v>125.51560477889748</v>
      </c>
      <c r="K66" s="45">
        <f>K34*K23</f>
        <v>158.04630282896818</v>
      </c>
      <c r="L66" s="45">
        <f t="shared" ref="L66:N66" si="56">L34*L23</f>
        <v>199.00819409592239</v>
      </c>
      <c r="M66" s="45">
        <f t="shared" si="56"/>
        <v>250.58644592387952</v>
      </c>
      <c r="N66" s="45">
        <f t="shared" si="56"/>
        <v>315.53256973175064</v>
      </c>
    </row>
    <row r="67" spans="1:14" hidden="1" outlineLevel="1" x14ac:dyDescent="0.35">
      <c r="A67" s="39" t="s">
        <v>22</v>
      </c>
      <c r="B67" s="39"/>
      <c r="C67" s="38"/>
      <c r="D67" s="40">
        <v>21.83</v>
      </c>
      <c r="E67" s="6">
        <v>34.54</v>
      </c>
      <c r="F67" s="6">
        <v>63.72</v>
      </c>
      <c r="G67" s="6">
        <v>50.13</v>
      </c>
      <c r="H67" s="6">
        <v>71.7</v>
      </c>
      <c r="I67" s="6"/>
      <c r="J67" s="47">
        <f>J34*J24</f>
        <v>91.252004338974743</v>
      </c>
      <c r="K67" s="45">
        <f>K34*K24</f>
        <v>114.90238155576851</v>
      </c>
      <c r="L67" s="45">
        <f t="shared" ref="L67:N67" si="57">L34*L24</f>
        <v>144.68238131125031</v>
      </c>
      <c r="M67" s="45">
        <f t="shared" si="57"/>
        <v>182.18065786333673</v>
      </c>
      <c r="N67" s="45">
        <f t="shared" si="57"/>
        <v>229.39760735702902</v>
      </c>
    </row>
    <row r="68" spans="1:14" hidden="1" outlineLevel="1" x14ac:dyDescent="0.35">
      <c r="A68" s="24" t="s">
        <v>30</v>
      </c>
      <c r="B68" s="25"/>
      <c r="C68" s="26"/>
      <c r="D68" s="24">
        <f>SUM(D61:D67)</f>
        <v>1178.03</v>
      </c>
      <c r="E68" s="24">
        <f t="shared" ref="E68:J68" si="58">SUM(E61:E67)</f>
        <v>1320.0900000000001</v>
      </c>
      <c r="F68" s="24">
        <f t="shared" si="58"/>
        <v>1548.82</v>
      </c>
      <c r="G68" s="24">
        <f t="shared" si="58"/>
        <v>1804.05</v>
      </c>
      <c r="H68" s="24">
        <f t="shared" si="58"/>
        <v>2063.3500000000004</v>
      </c>
      <c r="I68" s="24"/>
      <c r="J68" s="24">
        <f t="shared" si="58"/>
        <v>2874.9106065851547</v>
      </c>
      <c r="K68" s="24">
        <f t="shared" ref="K68:L68" si="59">SUM(K61:K67)</f>
        <v>3503.4112407178</v>
      </c>
      <c r="L68" s="24">
        <f t="shared" si="59"/>
        <v>4294.804484014564</v>
      </c>
      <c r="M68" s="24">
        <f t="shared" ref="M68:N68" si="60">SUM(M61:M67)</f>
        <v>5291.3082765685585</v>
      </c>
      <c r="N68" s="24">
        <f t="shared" si="60"/>
        <v>6546.0824574015933</v>
      </c>
    </row>
    <row r="69" spans="1:14" ht="15" hidden="1" outlineLevel="1" thickBot="1" x14ac:dyDescent="0.4">
      <c r="A69" s="28" t="s">
        <v>31</v>
      </c>
      <c r="B69" s="28"/>
      <c r="C69" s="29"/>
      <c r="D69" s="18">
        <f>D68+D59</f>
        <v>1995.1100000000001</v>
      </c>
      <c r="E69" s="18">
        <f t="shared" ref="E69:J69" si="61">E68+E59</f>
        <v>2282.0600000000004</v>
      </c>
      <c r="F69" s="18">
        <f t="shared" si="61"/>
        <v>2532.3199999999997</v>
      </c>
      <c r="G69" s="18">
        <f t="shared" si="61"/>
        <v>3029.71</v>
      </c>
      <c r="H69" s="18">
        <f t="shared" si="61"/>
        <v>3724.3</v>
      </c>
      <c r="I69" s="18"/>
      <c r="J69" s="18">
        <f t="shared" si="61"/>
        <v>4943.2676575443493</v>
      </c>
      <c r="K69" s="18">
        <f t="shared" ref="K69:L69" si="62">K68+K59</f>
        <v>6314.6929729475069</v>
      </c>
      <c r="L69" s="18">
        <f t="shared" si="62"/>
        <v>8041.5595333830406</v>
      </c>
      <c r="M69" s="18">
        <f t="shared" ref="M69:N69" si="63">M68+M59</f>
        <v>10215.989364929364</v>
      </c>
      <c r="N69" s="18">
        <f t="shared" si="63"/>
        <v>12953.980360091195</v>
      </c>
    </row>
    <row r="70" spans="1:14" ht="15" hidden="1" outlineLevel="1" thickTop="1" x14ac:dyDescent="0.35">
      <c r="A70" s="19"/>
      <c r="B70" s="19"/>
      <c r="C70" s="30"/>
      <c r="D70" s="10"/>
      <c r="E70" s="10"/>
      <c r="F70" s="10"/>
      <c r="G70" s="10"/>
      <c r="H70" s="10"/>
      <c r="I70" s="10"/>
    </row>
    <row r="71" spans="1:14" hidden="1" outlineLevel="1" x14ac:dyDescent="0.35">
      <c r="A71" s="19" t="s">
        <v>32</v>
      </c>
      <c r="B71" s="20"/>
      <c r="C71" s="23"/>
      <c r="D71" s="22"/>
      <c r="E71" s="22"/>
      <c r="F71" s="22"/>
      <c r="G71" s="22"/>
      <c r="H71" s="22"/>
      <c r="I71" s="22"/>
    </row>
    <row r="72" spans="1:14" hidden="1" outlineLevel="1" x14ac:dyDescent="0.35">
      <c r="A72" s="87" t="s">
        <v>33</v>
      </c>
      <c r="B72" s="87"/>
      <c r="C72" s="23"/>
      <c r="D72" s="22"/>
      <c r="E72" s="22"/>
      <c r="F72" s="22"/>
      <c r="G72" s="22"/>
      <c r="H72" s="22"/>
      <c r="I72" s="22"/>
    </row>
    <row r="73" spans="1:14" hidden="1" outlineLevel="1" x14ac:dyDescent="0.35">
      <c r="A73" s="20" t="s">
        <v>34</v>
      </c>
      <c r="B73" s="20"/>
      <c r="C73" s="23"/>
      <c r="D73" s="6">
        <v>101.25</v>
      </c>
      <c r="E73" s="6">
        <v>119.62</v>
      </c>
      <c r="F73" s="6">
        <v>106.78</v>
      </c>
      <c r="G73" s="6">
        <v>117.33</v>
      </c>
      <c r="H73" s="6">
        <v>138.13999999999999</v>
      </c>
      <c r="I73" s="6"/>
      <c r="J73" s="45">
        <f>J34*J26</f>
        <v>228.49474474401657</v>
      </c>
      <c r="K73" s="45">
        <f>K34*K26</f>
        <v>287.71521824919847</v>
      </c>
      <c r="L73" s="45">
        <f>L34*L26</f>
        <v>362.28424817788556</v>
      </c>
      <c r="M73" s="45">
        <f>M34*M26</f>
        <v>456.17982001958774</v>
      </c>
      <c r="N73" s="45">
        <f>N34*N26</f>
        <v>574.41091971220362</v>
      </c>
    </row>
    <row r="74" spans="1:14" hidden="1" outlineLevel="1" x14ac:dyDescent="0.35">
      <c r="A74" s="39" t="s">
        <v>76</v>
      </c>
      <c r="B74" s="39"/>
      <c r="C74" s="38"/>
      <c r="D74" s="40">
        <v>0.54</v>
      </c>
      <c r="E74" s="6">
        <v>0.53</v>
      </c>
      <c r="F74" s="6">
        <v>8.99</v>
      </c>
      <c r="G74" s="6">
        <v>17.64</v>
      </c>
      <c r="H74" s="6">
        <v>17.510000000000002</v>
      </c>
      <c r="I74" s="6"/>
      <c r="J74" s="47">
        <f>$H$74</f>
        <v>17.510000000000002</v>
      </c>
      <c r="K74" s="45">
        <f>$H$74</f>
        <v>17.510000000000002</v>
      </c>
      <c r="L74" s="45">
        <f t="shared" ref="L74:N74" si="64">$H$74</f>
        <v>17.510000000000002</v>
      </c>
      <c r="M74" s="45">
        <f t="shared" si="64"/>
        <v>17.510000000000002</v>
      </c>
      <c r="N74" s="45">
        <f t="shared" si="64"/>
        <v>17.510000000000002</v>
      </c>
    </row>
    <row r="75" spans="1:14" hidden="1" outlineLevel="1" x14ac:dyDescent="0.35">
      <c r="A75" s="39" t="s">
        <v>35</v>
      </c>
      <c r="B75" s="39"/>
      <c r="C75" s="38"/>
      <c r="D75" s="40">
        <v>196.1</v>
      </c>
      <c r="E75" s="6">
        <v>151.56</v>
      </c>
      <c r="F75" s="6">
        <v>252.8</v>
      </c>
      <c r="G75" s="6">
        <v>433.21</v>
      </c>
      <c r="H75" s="6">
        <v>435.86</v>
      </c>
      <c r="I75" s="6"/>
      <c r="J75" s="47">
        <f>J34*J27</f>
        <v>554.40689023561333</v>
      </c>
      <c r="K75" s="45">
        <f>K34*K27</f>
        <v>698.09614046791296</v>
      </c>
      <c r="L75" s="45">
        <f>L34*L27</f>
        <v>879.02627099220524</v>
      </c>
      <c r="M75" s="45">
        <f>M34*M27</f>
        <v>1106.8492436823283</v>
      </c>
      <c r="N75" s="45">
        <f>N34*N27</f>
        <v>1393.7185823323432</v>
      </c>
    </row>
    <row r="76" spans="1:14" hidden="1" outlineLevel="1" x14ac:dyDescent="0.35">
      <c r="A76" s="24" t="s">
        <v>36</v>
      </c>
      <c r="B76" s="25"/>
      <c r="C76" s="26"/>
      <c r="D76" s="27">
        <f t="shared" ref="D76:N76" si="65">SUM(D73:D75)</f>
        <v>297.89</v>
      </c>
      <c r="E76" s="27">
        <f t="shared" si="65"/>
        <v>271.71000000000004</v>
      </c>
      <c r="F76" s="27">
        <f t="shared" si="65"/>
        <v>368.57</v>
      </c>
      <c r="G76" s="27">
        <f t="shared" si="65"/>
        <v>568.17999999999995</v>
      </c>
      <c r="H76" s="27">
        <f t="shared" si="65"/>
        <v>591.51</v>
      </c>
      <c r="I76" s="27"/>
      <c r="J76" s="27">
        <f t="shared" si="65"/>
        <v>800.41163497962987</v>
      </c>
      <c r="K76" s="27">
        <f t="shared" si="65"/>
        <v>1003.3213587171115</v>
      </c>
      <c r="L76" s="27">
        <f t="shared" si="65"/>
        <v>1258.8205191700908</v>
      </c>
      <c r="M76" s="27">
        <f t="shared" si="65"/>
        <v>1580.5390637019159</v>
      </c>
      <c r="N76" s="27">
        <f t="shared" si="65"/>
        <v>1985.6395020445468</v>
      </c>
    </row>
    <row r="77" spans="1:14" hidden="1" outlineLevel="1" x14ac:dyDescent="0.35">
      <c r="A77" s="87" t="s">
        <v>37</v>
      </c>
      <c r="B77" s="87"/>
      <c r="C77" s="23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 spans="1:14" hidden="1" outlineLevel="1" x14ac:dyDescent="0.35">
      <c r="A78" s="39" t="s">
        <v>35</v>
      </c>
      <c r="B78" s="39"/>
      <c r="C78" s="38"/>
      <c r="D78" s="40">
        <v>357.64</v>
      </c>
      <c r="E78" s="6">
        <v>502.38</v>
      </c>
      <c r="F78" s="6">
        <v>510.97</v>
      </c>
      <c r="G78" s="6">
        <v>410.97</v>
      </c>
      <c r="H78" s="6">
        <v>487.24</v>
      </c>
      <c r="I78" s="6"/>
      <c r="J78" s="47">
        <f>J34*J28</f>
        <v>897.25430604661926</v>
      </c>
      <c r="K78" s="45">
        <f>K34*K28</f>
        <v>1129.8015574863512</v>
      </c>
      <c r="L78" s="45">
        <f>L34*L28</f>
        <v>1422.6195970267804</v>
      </c>
      <c r="M78" s="45">
        <f>M34*M28</f>
        <v>1791.3291979765113</v>
      </c>
      <c r="N78" s="45">
        <f>N34*N28</f>
        <v>2255.5996713594868</v>
      </c>
    </row>
    <row r="79" spans="1:14" hidden="1" outlineLevel="1" x14ac:dyDescent="0.35">
      <c r="A79" s="39" t="s">
        <v>38</v>
      </c>
      <c r="B79" s="39"/>
      <c r="C79" s="38"/>
      <c r="D79" s="40">
        <v>143.33000000000001</v>
      </c>
      <c r="E79" s="6">
        <v>163.30000000000001</v>
      </c>
      <c r="F79" s="6">
        <v>154.43</v>
      </c>
      <c r="G79" s="6">
        <v>286.08</v>
      </c>
      <c r="H79" s="6">
        <v>464.94</v>
      </c>
      <c r="I79" s="6"/>
      <c r="J79" s="47">
        <f>-J35*J29/360</f>
        <v>437.07531854582243</v>
      </c>
      <c r="K79" s="45">
        <f>-K35*K29/360</f>
        <v>550.35497996958759</v>
      </c>
      <c r="L79" s="45">
        <f>-L35*L29/360</f>
        <v>692.99407018694512</v>
      </c>
      <c r="M79" s="45">
        <f>-M35*M29/360</f>
        <v>872.60186387485135</v>
      </c>
      <c r="N79" s="45">
        <f>-N35*N29/360</f>
        <v>1098.7597810648756</v>
      </c>
    </row>
    <row r="80" spans="1:14" hidden="1" outlineLevel="1" x14ac:dyDescent="0.35">
      <c r="A80" s="20" t="s">
        <v>34</v>
      </c>
      <c r="B80" s="20"/>
      <c r="C80" s="23"/>
      <c r="D80" s="6">
        <v>18.29</v>
      </c>
      <c r="E80" s="6">
        <v>12.3</v>
      </c>
      <c r="F80" s="6">
        <v>11.78</v>
      </c>
      <c r="G80" s="6">
        <v>28.67</v>
      </c>
      <c r="H80" s="6">
        <v>33.369999999999997</v>
      </c>
      <c r="I80" s="6"/>
      <c r="J80" s="45">
        <f>J34*J30</f>
        <v>39.253391206486583</v>
      </c>
      <c r="K80" s="45">
        <f>K34*K30</f>
        <v>49.426948661983168</v>
      </c>
      <c r="L80" s="45">
        <f>L34*L30</f>
        <v>62.237253367057178</v>
      </c>
      <c r="M80" s="45">
        <f>M34*M30</f>
        <v>78.367688306329967</v>
      </c>
      <c r="N80" s="45">
        <f>N34*N30</f>
        <v>98.67875329037004</v>
      </c>
    </row>
    <row r="81" spans="1:14" hidden="1" outlineLevel="1" x14ac:dyDescent="0.35">
      <c r="A81" s="39" t="s">
        <v>39</v>
      </c>
      <c r="B81" s="39"/>
      <c r="C81" s="38"/>
      <c r="D81" s="40">
        <v>46.72</v>
      </c>
      <c r="E81" s="6">
        <v>46.49</v>
      </c>
      <c r="F81" s="6">
        <v>54.97</v>
      </c>
      <c r="G81" s="6">
        <v>93.71</v>
      </c>
      <c r="H81" s="6">
        <v>132.33000000000001</v>
      </c>
      <c r="I81" s="6"/>
      <c r="J81" s="47">
        <f>J34*J31</f>
        <v>137.36106672011124</v>
      </c>
      <c r="K81" s="45">
        <f>K34*K31</f>
        <v>172.96183041143848</v>
      </c>
      <c r="L81" s="45">
        <f>L34*L31</f>
        <v>217.78947625845126</v>
      </c>
      <c r="M81" s="45">
        <f>M34*M31</f>
        <v>274.2353954979518</v>
      </c>
      <c r="N81" s="45">
        <f>N34*N31</f>
        <v>345.3107718330341</v>
      </c>
    </row>
    <row r="82" spans="1:14" hidden="1" outlineLevel="1" x14ac:dyDescent="0.35">
      <c r="A82" s="31" t="s">
        <v>40</v>
      </c>
      <c r="B82" s="32"/>
      <c r="C82" s="33"/>
      <c r="D82" s="9">
        <f t="shared" ref="D82:N82" si="66">SUM(D78:D81)</f>
        <v>565.98</v>
      </c>
      <c r="E82" s="9">
        <f t="shared" si="66"/>
        <v>724.47</v>
      </c>
      <c r="F82" s="9">
        <f t="shared" si="66"/>
        <v>732.15000000000009</v>
      </c>
      <c r="G82" s="9">
        <f t="shared" si="66"/>
        <v>819.43</v>
      </c>
      <c r="H82" s="9">
        <f t="shared" si="66"/>
        <v>1117.8800000000001</v>
      </c>
      <c r="I82" s="9"/>
      <c r="J82" s="9">
        <f t="shared" si="66"/>
        <v>1510.9440825190395</v>
      </c>
      <c r="K82" s="9">
        <f t="shared" si="66"/>
        <v>1902.5453165293604</v>
      </c>
      <c r="L82" s="9">
        <f t="shared" si="66"/>
        <v>2395.6403968392342</v>
      </c>
      <c r="M82" s="9">
        <f t="shared" si="66"/>
        <v>3016.5341456556444</v>
      </c>
      <c r="N82" s="9">
        <f t="shared" si="66"/>
        <v>3798.3489775477665</v>
      </c>
    </row>
    <row r="83" spans="1:14" ht="15" hidden="1" outlineLevel="1" thickBot="1" x14ac:dyDescent="0.4">
      <c r="A83" s="28" t="s">
        <v>41</v>
      </c>
      <c r="B83" s="28"/>
      <c r="C83" s="29"/>
      <c r="D83" s="18">
        <f t="shared" ref="D83:N83" si="67">D82+D76</f>
        <v>863.87</v>
      </c>
      <c r="E83" s="18">
        <f t="shared" si="67"/>
        <v>996.18000000000006</v>
      </c>
      <c r="F83" s="18">
        <f t="shared" si="67"/>
        <v>1100.72</v>
      </c>
      <c r="G83" s="18">
        <f t="shared" si="67"/>
        <v>1387.61</v>
      </c>
      <c r="H83" s="18">
        <f t="shared" si="67"/>
        <v>1709.39</v>
      </c>
      <c r="I83" s="18"/>
      <c r="J83" s="18">
        <f t="shared" si="67"/>
        <v>2311.3557174986695</v>
      </c>
      <c r="K83" s="18">
        <f t="shared" si="67"/>
        <v>2905.8666752464719</v>
      </c>
      <c r="L83" s="18">
        <f t="shared" si="67"/>
        <v>3654.460916009325</v>
      </c>
      <c r="M83" s="18">
        <f t="shared" si="67"/>
        <v>4597.0732093575607</v>
      </c>
      <c r="N83" s="18">
        <f t="shared" si="67"/>
        <v>5783.9884795923135</v>
      </c>
    </row>
    <row r="84" spans="1:14" ht="15" hidden="1" outlineLevel="1" thickTop="1" x14ac:dyDescent="0.35">
      <c r="A84" s="19" t="s">
        <v>42</v>
      </c>
      <c r="B84" s="20"/>
      <c r="C84" s="21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 spans="1:14" hidden="1" outlineLevel="1" x14ac:dyDescent="0.35">
      <c r="A85" s="39" t="s">
        <v>43</v>
      </c>
      <c r="B85" s="39"/>
      <c r="C85" s="41"/>
      <c r="D85" s="40">
        <v>18.100000000000001</v>
      </c>
      <c r="E85" s="6">
        <v>18.100000000000001</v>
      </c>
      <c r="F85" s="6">
        <v>18.100000000000001</v>
      </c>
      <c r="G85" s="6">
        <v>18.100000000000001</v>
      </c>
      <c r="H85" s="6">
        <v>18.100000000000001</v>
      </c>
      <c r="I85" s="6"/>
      <c r="J85" s="47">
        <f>$H$85</f>
        <v>18.100000000000001</v>
      </c>
      <c r="K85" s="45">
        <f>$H$85</f>
        <v>18.100000000000001</v>
      </c>
      <c r="L85" s="45">
        <f t="shared" ref="L85:N85" si="68">$H$85</f>
        <v>18.100000000000001</v>
      </c>
      <c r="M85" s="45">
        <f t="shared" si="68"/>
        <v>18.100000000000001</v>
      </c>
      <c r="N85" s="45">
        <f t="shared" si="68"/>
        <v>18.100000000000001</v>
      </c>
    </row>
    <row r="86" spans="1:14" hidden="1" outlineLevel="1" x14ac:dyDescent="0.35">
      <c r="A86" s="39" t="s">
        <v>44</v>
      </c>
      <c r="B86" s="39"/>
      <c r="C86" s="41"/>
      <c r="D86" s="40">
        <v>1065.76</v>
      </c>
      <c r="E86" s="6">
        <v>1220.23</v>
      </c>
      <c r="F86" s="6">
        <v>1361.99</v>
      </c>
      <c r="G86" s="6">
        <v>1561.31</v>
      </c>
      <c r="H86" s="6">
        <v>1896.18</v>
      </c>
      <c r="I86" s="6"/>
      <c r="J86" s="47">
        <f>H86+J49</f>
        <v>2513.1819400456807</v>
      </c>
      <c r="K86" s="45">
        <f>J86+K49</f>
        <v>3290.0962977010358</v>
      </c>
      <c r="L86" s="45">
        <f>K86+L49</f>
        <v>4268.3686173737169</v>
      </c>
      <c r="M86" s="45">
        <f>L86+M49</f>
        <v>5500.1861555718051</v>
      </c>
      <c r="N86" s="45">
        <f>M86+N49</f>
        <v>7051.2618804988833</v>
      </c>
    </row>
    <row r="87" spans="1:14" hidden="1" outlineLevel="1" x14ac:dyDescent="0.35">
      <c r="A87" s="20" t="s">
        <v>45</v>
      </c>
      <c r="B87" s="20"/>
      <c r="C87" s="21"/>
      <c r="D87" s="6">
        <v>47.38</v>
      </c>
      <c r="E87" s="6">
        <v>47.55</v>
      </c>
      <c r="F87" s="6">
        <v>51.51</v>
      </c>
      <c r="G87" s="6">
        <v>62.69</v>
      </c>
      <c r="H87" s="6">
        <v>100.63</v>
      </c>
      <c r="I87" s="6"/>
      <c r="J87" s="45">
        <f>$H$87</f>
        <v>100.63</v>
      </c>
      <c r="K87" s="45">
        <f>$H$87</f>
        <v>100.63</v>
      </c>
      <c r="L87" s="45">
        <f t="shared" ref="L87:N87" si="69">$H$87</f>
        <v>100.63</v>
      </c>
      <c r="M87" s="45">
        <f t="shared" si="69"/>
        <v>100.63</v>
      </c>
      <c r="N87" s="45">
        <f t="shared" si="69"/>
        <v>100.63</v>
      </c>
    </row>
    <row r="88" spans="1:14" hidden="1" outlineLevel="1" x14ac:dyDescent="0.35">
      <c r="A88" s="24" t="s">
        <v>42</v>
      </c>
      <c r="B88" s="24"/>
      <c r="C88" s="34"/>
      <c r="D88" s="27">
        <f t="shared" ref="D88:E88" si="70">SUM(D85:D87)</f>
        <v>1131.24</v>
      </c>
      <c r="E88" s="27">
        <f t="shared" si="70"/>
        <v>1285.8799999999999</v>
      </c>
      <c r="F88" s="27">
        <f>SUM(F85:F87)</f>
        <v>1431.6</v>
      </c>
      <c r="G88" s="27">
        <f>SUM(G85:G87)</f>
        <v>1642.1</v>
      </c>
      <c r="H88" s="27">
        <f>SUM(H85:H87)</f>
        <v>2014.9099999999999</v>
      </c>
      <c r="I88" s="27"/>
      <c r="J88" s="27">
        <f t="shared" ref="J88:K88" si="71">SUM(J85:J87)</f>
        <v>2631.9119400456807</v>
      </c>
      <c r="K88" s="27">
        <f t="shared" si="71"/>
        <v>3408.8262977010359</v>
      </c>
      <c r="L88" s="27">
        <f t="shared" ref="L88:N88" si="72">SUM(L85:L87)</f>
        <v>4387.0986173737174</v>
      </c>
      <c r="M88" s="27">
        <f t="shared" si="72"/>
        <v>5618.9161555718056</v>
      </c>
      <c r="N88" s="27">
        <f t="shared" si="72"/>
        <v>7169.9918804988838</v>
      </c>
    </row>
    <row r="89" spans="1:14" ht="15" hidden="1" outlineLevel="1" thickBot="1" x14ac:dyDescent="0.4">
      <c r="A89" s="28" t="s">
        <v>46</v>
      </c>
      <c r="B89" s="28"/>
      <c r="C89" s="29"/>
      <c r="D89" s="18">
        <f>D83+D88</f>
        <v>1995.1100000000001</v>
      </c>
      <c r="E89" s="18">
        <f t="shared" ref="E89:H89" si="73">E83+E88</f>
        <v>2282.06</v>
      </c>
      <c r="F89" s="18">
        <f t="shared" si="73"/>
        <v>2532.3199999999997</v>
      </c>
      <c r="G89" s="18">
        <f t="shared" si="73"/>
        <v>3029.71</v>
      </c>
      <c r="H89" s="18">
        <f t="shared" si="73"/>
        <v>3724.3</v>
      </c>
      <c r="I89" s="18"/>
      <c r="J89" s="18">
        <f t="shared" ref="J89:K89" si="74">J83+J88</f>
        <v>4943.2676575443502</v>
      </c>
      <c r="K89" s="18">
        <f t="shared" si="74"/>
        <v>6314.6929729475078</v>
      </c>
      <c r="L89" s="18">
        <f t="shared" ref="L89:N89" si="75">L83+L88</f>
        <v>8041.5595333830424</v>
      </c>
      <c r="M89" s="18">
        <f t="shared" si="75"/>
        <v>10215.989364929366</v>
      </c>
      <c r="N89" s="18">
        <f t="shared" si="75"/>
        <v>12953.980360091198</v>
      </c>
    </row>
    <row r="90" spans="1:14" ht="15" hidden="1" outlineLevel="1" thickTop="1" x14ac:dyDescent="0.35">
      <c r="A90" s="20"/>
      <c r="B90" s="20"/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1:14" hidden="1" outlineLevel="1" x14ac:dyDescent="0.35">
      <c r="A91" s="35" t="s">
        <v>47</v>
      </c>
      <c r="B91" s="35"/>
      <c r="C91" s="36"/>
      <c r="D91" s="35">
        <f>D89-D69</f>
        <v>0</v>
      </c>
      <c r="E91" s="35">
        <f>E89-E69</f>
        <v>0</v>
      </c>
      <c r="F91" s="35">
        <f>F89-F69</f>
        <v>0</v>
      </c>
      <c r="G91" s="35">
        <f>G89-G69</f>
        <v>0</v>
      </c>
      <c r="H91" s="35">
        <f>H89-H69</f>
        <v>0</v>
      </c>
      <c r="I91" s="35"/>
      <c r="J91" s="35">
        <f t="shared" ref="J91:N91" si="76">J89-J69</f>
        <v>0</v>
      </c>
      <c r="K91" s="35">
        <f t="shared" si="76"/>
        <v>0</v>
      </c>
      <c r="L91" s="35">
        <f t="shared" si="76"/>
        <v>0</v>
      </c>
      <c r="M91" s="35">
        <f t="shared" si="76"/>
        <v>0</v>
      </c>
      <c r="N91" s="35">
        <f t="shared" si="76"/>
        <v>0</v>
      </c>
    </row>
    <row r="92" spans="1:14" collapsed="1" x14ac:dyDescent="0.35"/>
    <row r="93" spans="1:14" ht="18.5" x14ac:dyDescent="0.45">
      <c r="A93" s="122" t="s">
        <v>130</v>
      </c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1"/>
    </row>
    <row r="94" spans="1:14" hidden="1" outlineLevel="1" x14ac:dyDescent="0.35">
      <c r="A94" s="20" t="s">
        <v>11</v>
      </c>
      <c r="D94" s="47"/>
      <c r="E94" s="47">
        <f t="shared" ref="E94:N94" si="77">E45</f>
        <v>451.72000000000008</v>
      </c>
      <c r="F94" s="45">
        <f t="shared" si="77"/>
        <v>390.84000000000015</v>
      </c>
      <c r="G94" s="45">
        <f t="shared" si="77"/>
        <v>442.49000000000035</v>
      </c>
      <c r="H94" s="45">
        <f t="shared" si="77"/>
        <v>657.66999999999985</v>
      </c>
      <c r="I94" s="45"/>
      <c r="J94" s="47">
        <f t="shared" si="77"/>
        <v>923.13951616241025</v>
      </c>
      <c r="K94" s="45">
        <f t="shared" si="77"/>
        <v>1162.3956063614569</v>
      </c>
      <c r="L94" s="45">
        <f t="shared" si="77"/>
        <v>1463.6612581653417</v>
      </c>
      <c r="M94" s="45">
        <f t="shared" si="77"/>
        <v>1843.0078941540523</v>
      </c>
      <c r="N94" s="45">
        <f t="shared" si="77"/>
        <v>2320.6722723342391</v>
      </c>
    </row>
    <row r="95" spans="1:14" hidden="1" outlineLevel="1" x14ac:dyDescent="0.35">
      <c r="A95" s="39" t="s">
        <v>14</v>
      </c>
      <c r="D95" s="47"/>
      <c r="E95" s="47">
        <f t="shared" ref="E95:N95" si="78">-E94*E17</f>
        <v>-140.56883414209281</v>
      </c>
      <c r="F95" s="45">
        <f t="shared" si="78"/>
        <v>-66.494011911852297</v>
      </c>
      <c r="G95" s="45">
        <f t="shared" si="78"/>
        <v>-121.49253261143286</v>
      </c>
      <c r="H95" s="45">
        <f t="shared" si="78"/>
        <v>-164.52035905962921</v>
      </c>
      <c r="I95" s="45"/>
      <c r="J95" s="47">
        <f t="shared" si="78"/>
        <v>-237.95699688955156</v>
      </c>
      <c r="K95" s="45">
        <f t="shared" si="78"/>
        <v>-299.62986400716341</v>
      </c>
      <c r="L95" s="45">
        <f t="shared" si="78"/>
        <v>-377.2868903981921</v>
      </c>
      <c r="M95" s="45">
        <f t="shared" si="78"/>
        <v>-475.0707948889044</v>
      </c>
      <c r="N95" s="45">
        <f t="shared" si="78"/>
        <v>-598.19799176742606</v>
      </c>
    </row>
    <row r="96" spans="1:14" s="42" customFormat="1" hidden="1" outlineLevel="1" x14ac:dyDescent="0.35">
      <c r="A96" s="64" t="s">
        <v>64</v>
      </c>
      <c r="B96" s="65"/>
      <c r="C96" s="65"/>
      <c r="D96" s="66"/>
      <c r="E96" s="66">
        <f t="shared" ref="E96:J96" si="79">SUM(E94:E95)</f>
        <v>311.15116585790724</v>
      </c>
      <c r="F96" s="66">
        <f t="shared" si="79"/>
        <v>324.34598808814786</v>
      </c>
      <c r="G96" s="66">
        <f t="shared" si="79"/>
        <v>320.99746738856749</v>
      </c>
      <c r="H96" s="66">
        <f t="shared" si="79"/>
        <v>493.14964094037066</v>
      </c>
      <c r="I96" s="66"/>
      <c r="J96" s="66">
        <f t="shared" si="79"/>
        <v>685.18251927285871</v>
      </c>
      <c r="K96" s="66">
        <f t="shared" ref="K96:L96" si="80">SUM(K94:K95)</f>
        <v>862.76574235429348</v>
      </c>
      <c r="L96" s="66">
        <f t="shared" si="80"/>
        <v>1086.3743677671496</v>
      </c>
      <c r="M96" s="66">
        <f t="shared" ref="M96:N96" si="81">SUM(M94:M95)</f>
        <v>1367.9370992651479</v>
      </c>
      <c r="N96" s="66">
        <f t="shared" si="81"/>
        <v>1722.4742805668129</v>
      </c>
    </row>
    <row r="97" spans="1:14" hidden="1" outlineLevel="1" x14ac:dyDescent="0.35">
      <c r="A97" s="20"/>
      <c r="D97" s="47"/>
      <c r="E97" s="47"/>
      <c r="F97" s="45"/>
      <c r="G97" s="45"/>
      <c r="H97" s="45"/>
      <c r="I97" s="45"/>
      <c r="J97" s="47"/>
      <c r="K97" s="45"/>
      <c r="L97" s="45"/>
      <c r="M97" s="45"/>
      <c r="N97" s="45"/>
    </row>
    <row r="98" spans="1:14" hidden="1" outlineLevel="1" x14ac:dyDescent="0.35">
      <c r="A98" s="39" t="s">
        <v>65</v>
      </c>
      <c r="D98" s="47"/>
      <c r="E98" s="47">
        <f t="shared" ref="E98:N98" si="82">-E44</f>
        <v>58.89</v>
      </c>
      <c r="F98" s="45">
        <f t="shared" si="82"/>
        <v>84.53</v>
      </c>
      <c r="G98" s="45">
        <f t="shared" si="82"/>
        <v>93.53</v>
      </c>
      <c r="H98" s="45">
        <f t="shared" si="82"/>
        <v>109.25</v>
      </c>
      <c r="I98" s="45"/>
      <c r="J98" s="47">
        <f t="shared" si="82"/>
        <v>151.9486769536768</v>
      </c>
      <c r="K98" s="45">
        <f t="shared" si="82"/>
        <v>191.3302067466866</v>
      </c>
      <c r="L98" s="45">
        <f t="shared" si="82"/>
        <v>240.9185045085319</v>
      </c>
      <c r="M98" s="45">
        <f t="shared" si="82"/>
        <v>303.35892487416993</v>
      </c>
      <c r="N98" s="45">
        <f t="shared" si="82"/>
        <v>381.9824362953957</v>
      </c>
    </row>
    <row r="99" spans="1:14" s="42" customFormat="1" hidden="1" outlineLevel="1" x14ac:dyDescent="0.35">
      <c r="A99" s="24" t="s">
        <v>66</v>
      </c>
      <c r="B99" s="65"/>
      <c r="C99" s="65"/>
      <c r="D99" s="66"/>
      <c r="E99" s="66">
        <f t="shared" ref="E99:J99" si="83">SUM(E96:E98)</f>
        <v>370.04116585790723</v>
      </c>
      <c r="F99" s="66">
        <f t="shared" si="83"/>
        <v>408.87598808814789</v>
      </c>
      <c r="G99" s="66">
        <f t="shared" si="83"/>
        <v>414.52746738856752</v>
      </c>
      <c r="H99" s="66">
        <f t="shared" si="83"/>
        <v>602.39964094037066</v>
      </c>
      <c r="I99" s="66"/>
      <c r="J99" s="66">
        <f t="shared" si="83"/>
        <v>837.13119622653551</v>
      </c>
      <c r="K99" s="66">
        <f t="shared" ref="K99:L99" si="84">SUM(K96:K98)</f>
        <v>1054.0959491009801</v>
      </c>
      <c r="L99" s="66">
        <f t="shared" si="84"/>
        <v>1327.2928722756815</v>
      </c>
      <c r="M99" s="66">
        <f t="shared" ref="M99:N99" si="85">SUM(M96:M98)</f>
        <v>1671.296024139318</v>
      </c>
      <c r="N99" s="66">
        <f t="shared" si="85"/>
        <v>2104.4567168622089</v>
      </c>
    </row>
    <row r="100" spans="1:14" hidden="1" outlineLevel="1" x14ac:dyDescent="0.35">
      <c r="A100" s="39"/>
      <c r="D100" s="47"/>
      <c r="E100" s="47"/>
      <c r="F100" s="45"/>
      <c r="G100" s="45"/>
      <c r="H100" s="45"/>
      <c r="I100" s="45"/>
      <c r="J100" s="47"/>
      <c r="K100" s="45"/>
      <c r="L100" s="45"/>
      <c r="M100" s="45"/>
      <c r="N100" s="45"/>
    </row>
    <row r="101" spans="1:14" hidden="1" outlineLevel="1" x14ac:dyDescent="0.35">
      <c r="A101" s="39" t="s">
        <v>67</v>
      </c>
      <c r="D101" s="47"/>
      <c r="E101" s="47"/>
      <c r="F101" s="45"/>
      <c r="G101" s="45"/>
      <c r="H101" s="45"/>
      <c r="I101" s="45"/>
      <c r="J101" s="47"/>
      <c r="K101" s="45"/>
      <c r="L101" s="45"/>
      <c r="M101" s="45"/>
      <c r="N101" s="45"/>
    </row>
    <row r="102" spans="1:14" hidden="1" outlineLevel="1" x14ac:dyDescent="0.35">
      <c r="A102" s="20" t="s">
        <v>68</v>
      </c>
      <c r="D102" s="45"/>
      <c r="E102" s="45">
        <f t="shared" ref="E102:N102" si="86">D55-E55</f>
        <v>-50.320000000000022</v>
      </c>
      <c r="F102" s="45">
        <f t="shared" si="86"/>
        <v>-48.240000000000009</v>
      </c>
      <c r="G102" s="45">
        <f t="shared" si="86"/>
        <v>-109.50999999999999</v>
      </c>
      <c r="H102" s="45">
        <f t="shared" si="86"/>
        <v>-278.38</v>
      </c>
      <c r="I102" s="45"/>
      <c r="J102" s="45">
        <f>H55-J55</f>
        <v>-15.230190981155033</v>
      </c>
      <c r="K102" s="45">
        <f t="shared" si="86"/>
        <v>-190.26153515632177</v>
      </c>
      <c r="L102" s="45">
        <f t="shared" si="86"/>
        <v>-239.57285833096671</v>
      </c>
      <c r="M102" s="45">
        <f t="shared" si="86"/>
        <v>-301.66451879888723</v>
      </c>
      <c r="N102" s="45">
        <f t="shared" si="86"/>
        <v>-379.84887994468477</v>
      </c>
    </row>
    <row r="103" spans="1:14" hidden="1" outlineLevel="1" x14ac:dyDescent="0.35">
      <c r="A103" s="39" t="s">
        <v>20</v>
      </c>
      <c r="D103" s="47"/>
      <c r="E103" s="47">
        <f t="shared" ref="E103:N103" si="87">D56-E56</f>
        <v>-35.460000000000036</v>
      </c>
      <c r="F103" s="45">
        <f t="shared" si="87"/>
        <v>28.720000000000027</v>
      </c>
      <c r="G103" s="45">
        <f t="shared" si="87"/>
        <v>-85.160000000000025</v>
      </c>
      <c r="H103" s="45">
        <f t="shared" si="87"/>
        <v>-85.62</v>
      </c>
      <c r="I103" s="45"/>
      <c r="J103" s="47">
        <f>H56-J56</f>
        <v>-286.10035261464702</v>
      </c>
      <c r="K103" s="45">
        <f t="shared" si="87"/>
        <v>-214.39091135497802</v>
      </c>
      <c r="L103" s="45">
        <f t="shared" si="87"/>
        <v>-269.95600235903203</v>
      </c>
      <c r="M103" s="45">
        <f t="shared" si="87"/>
        <v>-339.92226045909479</v>
      </c>
      <c r="N103" s="45">
        <f t="shared" si="87"/>
        <v>-428.02213007268892</v>
      </c>
    </row>
    <row r="104" spans="1:14" hidden="1" outlineLevel="1" x14ac:dyDescent="0.35">
      <c r="A104" s="20" t="s">
        <v>69</v>
      </c>
      <c r="D104" s="47"/>
      <c r="E104" s="47">
        <f t="shared" ref="E104:N104" si="88">E79-D79</f>
        <v>19.97</v>
      </c>
      <c r="F104" s="45">
        <f t="shared" si="88"/>
        <v>-8.8700000000000045</v>
      </c>
      <c r="G104" s="45">
        <f t="shared" si="88"/>
        <v>131.64999999999998</v>
      </c>
      <c r="H104" s="45">
        <f t="shared" si="88"/>
        <v>178.86</v>
      </c>
      <c r="I104" s="45"/>
      <c r="J104" s="47">
        <f>J79-H79</f>
        <v>-27.864681454177571</v>
      </c>
      <c r="K104" s="45">
        <f t="shared" si="88"/>
        <v>113.27966142376516</v>
      </c>
      <c r="L104" s="45">
        <f t="shared" si="88"/>
        <v>142.63909021735753</v>
      </c>
      <c r="M104" s="45">
        <f t="shared" si="88"/>
        <v>179.60779368790622</v>
      </c>
      <c r="N104" s="45">
        <f t="shared" si="88"/>
        <v>226.15791719002425</v>
      </c>
    </row>
    <row r="105" spans="1:14" s="42" customFormat="1" hidden="1" outlineLevel="1" x14ac:dyDescent="0.35">
      <c r="A105" s="64" t="s">
        <v>70</v>
      </c>
      <c r="B105" s="65"/>
      <c r="C105" s="65"/>
      <c r="D105" s="66"/>
      <c r="E105" s="66">
        <f>SUM(E102:E104)</f>
        <v>-65.810000000000059</v>
      </c>
      <c r="F105" s="66">
        <f t="shared" ref="F105:H105" si="89">SUM(F102:F104)</f>
        <v>-28.389999999999986</v>
      </c>
      <c r="G105" s="66">
        <f t="shared" si="89"/>
        <v>-63.020000000000039</v>
      </c>
      <c r="H105" s="66">
        <f t="shared" si="89"/>
        <v>-185.14</v>
      </c>
      <c r="I105" s="66"/>
      <c r="J105" s="66">
        <f t="shared" ref="J105:K105" si="90">SUM(J102:J104)</f>
        <v>-329.19522504997963</v>
      </c>
      <c r="K105" s="66">
        <f t="shared" si="90"/>
        <v>-291.37278508753462</v>
      </c>
      <c r="L105" s="66">
        <f t="shared" ref="L105:N105" si="91">SUM(L102:L104)</f>
        <v>-366.8897704726412</v>
      </c>
      <c r="M105" s="66">
        <f t="shared" si="91"/>
        <v>-461.97898557007579</v>
      </c>
      <c r="N105" s="66">
        <f t="shared" si="91"/>
        <v>-581.71309282734944</v>
      </c>
    </row>
    <row r="106" spans="1:14" hidden="1" outlineLevel="1" x14ac:dyDescent="0.35">
      <c r="A106" s="39"/>
      <c r="D106" s="47"/>
      <c r="E106" s="47"/>
      <c r="F106" s="45"/>
      <c r="G106" s="45"/>
      <c r="H106" s="45"/>
      <c r="I106" s="45"/>
      <c r="J106" s="47"/>
      <c r="K106" s="45"/>
      <c r="L106" s="45"/>
      <c r="M106" s="45"/>
      <c r="N106" s="45"/>
    </row>
    <row r="107" spans="1:14" hidden="1" outlineLevel="1" x14ac:dyDescent="0.35">
      <c r="A107" s="20" t="s">
        <v>71</v>
      </c>
      <c r="D107" s="47"/>
      <c r="E107" s="47">
        <f t="shared" ref="E107:N107" si="92">-(SUM(E61:E64)-SUM(D61:D64))+E44</f>
        <v>-248.36</v>
      </c>
      <c r="F107" s="45">
        <f t="shared" si="92"/>
        <v>-220.9999999999998</v>
      </c>
      <c r="G107" s="45">
        <f t="shared" si="92"/>
        <v>-292.31999999999994</v>
      </c>
      <c r="H107" s="45">
        <f t="shared" si="92"/>
        <v>-251.46000000000049</v>
      </c>
      <c r="I107" s="45"/>
      <c r="J107" s="47">
        <f>-(SUM(J61:J64)-SUM(H61:H64))+J44</f>
        <v>-943.77167442095947</v>
      </c>
      <c r="K107" s="45">
        <f t="shared" si="92"/>
        <v>-763.64976561246704</v>
      </c>
      <c r="L107" s="45">
        <f t="shared" si="92"/>
        <v>-961.56985678285992</v>
      </c>
      <c r="M107" s="45">
        <f t="shared" si="92"/>
        <v>-1210.7861890481213</v>
      </c>
      <c r="N107" s="45">
        <f t="shared" si="92"/>
        <v>-1524.5935438268668</v>
      </c>
    </row>
    <row r="108" spans="1:14" hidden="1" outlineLevel="1" x14ac:dyDescent="0.35">
      <c r="A108" s="39" t="s">
        <v>22</v>
      </c>
      <c r="D108" s="45"/>
      <c r="E108" s="45">
        <f t="shared" ref="E108:N108" si="93">(D58+D67)-(E58+E67)</f>
        <v>2.7099999999999937</v>
      </c>
      <c r="F108" s="45">
        <f t="shared" si="93"/>
        <v>-41.72</v>
      </c>
      <c r="G108" s="45">
        <f t="shared" si="93"/>
        <v>1.5200000000000102</v>
      </c>
      <c r="H108" s="45">
        <f t="shared" si="93"/>
        <v>-140.58000000000001</v>
      </c>
      <c r="I108" s="45"/>
      <c r="J108" s="45">
        <f>(H58+H67)-(J58+J67)</f>
        <v>7.2384203918556977</v>
      </c>
      <c r="K108" s="45">
        <f t="shared" si="93"/>
        <v>-68.765124524591783</v>
      </c>
      <c r="L108" s="45">
        <f t="shared" si="93"/>
        <v>-86.58743041417074</v>
      </c>
      <c r="M108" s="45">
        <f t="shared" si="93"/>
        <v>-109.0288595790683</v>
      </c>
      <c r="N108" s="45">
        <f t="shared" si="93"/>
        <v>-137.28658032987107</v>
      </c>
    </row>
    <row r="109" spans="1:14" hidden="1" outlineLevel="1" x14ac:dyDescent="0.35">
      <c r="A109" s="20" t="s">
        <v>63</v>
      </c>
      <c r="D109" s="47"/>
      <c r="E109" s="47">
        <f>(E81+E74)-(D81+D74)</f>
        <v>-0.23999999999999488</v>
      </c>
      <c r="F109" s="45">
        <f>(F81+F74)-(E81+E74)</f>
        <v>16.939999999999998</v>
      </c>
      <c r="G109" s="45">
        <f>(G81+G74)-(F81+F74)</f>
        <v>47.389999999999993</v>
      </c>
      <c r="H109" s="45">
        <f>(H81+H74)-(G81+G74)</f>
        <v>38.490000000000009</v>
      </c>
      <c r="I109" s="45"/>
      <c r="J109" s="47">
        <f>J81-H81</f>
        <v>5.0310667201112267</v>
      </c>
      <c r="K109" s="45">
        <f>K81-J81</f>
        <v>35.600763691327245</v>
      </c>
      <c r="L109" s="45">
        <f t="shared" ref="L109:N109" si="94">L81-K81</f>
        <v>44.827645847012775</v>
      </c>
      <c r="M109" s="45">
        <f t="shared" si="94"/>
        <v>56.44591923950054</v>
      </c>
      <c r="N109" s="45">
        <f t="shared" si="94"/>
        <v>71.075376335082296</v>
      </c>
    </row>
    <row r="110" spans="1:14" s="42" customFormat="1" hidden="1" outlineLevel="1" x14ac:dyDescent="0.35">
      <c r="A110" s="64" t="s">
        <v>72</v>
      </c>
      <c r="B110" s="65"/>
      <c r="C110" s="65"/>
      <c r="D110" s="69"/>
      <c r="E110" s="69">
        <f>E99+E105+E107+E108+E109</f>
        <v>58.341165857907157</v>
      </c>
      <c r="F110" s="66">
        <f t="shared" ref="F110:H110" si="95">F99+F105+F107+F108+F109</f>
        <v>134.7059880881481</v>
      </c>
      <c r="G110" s="66">
        <f t="shared" si="95"/>
        <v>108.09746738856754</v>
      </c>
      <c r="H110" s="66">
        <f t="shared" si="95"/>
        <v>63.709640940370178</v>
      </c>
      <c r="I110" s="66"/>
      <c r="J110" s="69">
        <f>J99+J105+J107+J108+J109</f>
        <v>-423.56621613243669</v>
      </c>
      <c r="K110" s="66">
        <f>K99+K105+K107+K108+K109</f>
        <v>-34.090962432286062</v>
      </c>
      <c r="L110" s="66">
        <f t="shared" ref="L110:N110" si="96">L99+L105+L107+L108+L109</f>
        <v>-42.926539546977608</v>
      </c>
      <c r="M110" s="66">
        <f t="shared" si="96"/>
        <v>-54.052090818446857</v>
      </c>
      <c r="N110" s="66">
        <f t="shared" si="96"/>
        <v>-68.061123786796315</v>
      </c>
    </row>
    <row r="111" spans="1:14" hidden="1" outlineLevel="1" x14ac:dyDescent="0.35">
      <c r="A111" s="39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</row>
    <row r="112" spans="1:14" hidden="1" outlineLevel="1" x14ac:dyDescent="0.35">
      <c r="A112" s="20" t="s">
        <v>12</v>
      </c>
      <c r="D112" s="47"/>
      <c r="E112" s="47">
        <f t="shared" ref="E112:N112" si="97">E46</f>
        <v>-49.87</v>
      </c>
      <c r="F112" s="45">
        <f t="shared" si="97"/>
        <v>-55.04</v>
      </c>
      <c r="G112" s="45">
        <f t="shared" si="97"/>
        <v>-45.39</v>
      </c>
      <c r="H112" s="45">
        <f t="shared" si="97"/>
        <v>-50.25</v>
      </c>
      <c r="I112" s="45"/>
      <c r="J112" s="47">
        <f t="shared" si="97"/>
        <v>-91.859008583938603</v>
      </c>
      <c r="K112" s="45">
        <f t="shared" si="97"/>
        <v>-115.66670705049103</v>
      </c>
      <c r="L112" s="45">
        <f t="shared" si="97"/>
        <v>-145.64480203026457</v>
      </c>
      <c r="M112" s="45">
        <f t="shared" si="97"/>
        <v>-183.39251543813106</v>
      </c>
      <c r="N112" s="45">
        <f t="shared" si="97"/>
        <v>-230.92354996463479</v>
      </c>
    </row>
    <row r="113" spans="1:14" hidden="1" outlineLevel="1" x14ac:dyDescent="0.35">
      <c r="A113" s="39" t="s">
        <v>79</v>
      </c>
      <c r="D113" s="47"/>
      <c r="E113" s="47">
        <f t="shared" ref="E113:N113" si="98">(E75+E78)-(D75+D78)+(D57+D65)-(E57+E65)</f>
        <v>135.88000000000005</v>
      </c>
      <c r="F113" s="45">
        <f t="shared" si="98"/>
        <v>100.73999999999992</v>
      </c>
      <c r="G113" s="45">
        <f t="shared" si="98"/>
        <v>62.730000000000103</v>
      </c>
      <c r="H113" s="45">
        <f t="shared" si="98"/>
        <v>-20.770000000000039</v>
      </c>
      <c r="I113" s="45"/>
      <c r="J113" s="47">
        <f>(J75+J78)-(H75+H78)+(H57+H65)-(J57+J65)</f>
        <v>528.56119628223257</v>
      </c>
      <c r="K113" s="45">
        <f t="shared" si="98"/>
        <v>376.23650167203141</v>
      </c>
      <c r="L113" s="45">
        <f t="shared" si="98"/>
        <v>473.74817006472176</v>
      </c>
      <c r="M113" s="45">
        <f t="shared" si="98"/>
        <v>596.53257363985404</v>
      </c>
      <c r="N113" s="45">
        <f t="shared" si="98"/>
        <v>751.13981203299056</v>
      </c>
    </row>
    <row r="114" spans="1:14" hidden="1" outlineLevel="1" x14ac:dyDescent="0.35">
      <c r="A114" s="20" t="s">
        <v>80</v>
      </c>
      <c r="D114" s="45"/>
      <c r="E114" s="45">
        <f t="shared" ref="E114:N114" si="99">D66-E66+(E73+E80)-(D73+D80)</f>
        <v>-15.409999999999968</v>
      </c>
      <c r="F114" s="45">
        <f t="shared" si="99"/>
        <v>-56.02000000000001</v>
      </c>
      <c r="G114" s="45">
        <f t="shared" si="99"/>
        <v>17.04000000000002</v>
      </c>
      <c r="H114" s="45">
        <f t="shared" si="99"/>
        <v>-7.8600000000000136</v>
      </c>
      <c r="I114" s="45"/>
      <c r="J114" s="45">
        <f>H66-J66+(J73+J80)-(H73+H80)</f>
        <v>96.052531171605722</v>
      </c>
      <c r="K114" s="45">
        <f t="shared" si="99"/>
        <v>36.86333291060771</v>
      </c>
      <c r="L114" s="45">
        <f t="shared" si="99"/>
        <v>46.417443366806936</v>
      </c>
      <c r="M114" s="45">
        <f t="shared" si="99"/>
        <v>58.447754953017863</v>
      </c>
      <c r="N114" s="45">
        <f t="shared" si="99"/>
        <v>73.596040868784826</v>
      </c>
    </row>
    <row r="115" spans="1:14" hidden="1" outlineLevel="1" x14ac:dyDescent="0.35">
      <c r="A115" s="39" t="s">
        <v>77</v>
      </c>
      <c r="D115" s="47"/>
      <c r="E115" s="47">
        <f t="shared" ref="E115:N115" si="100">E88-D88-E49</f>
        <v>-122.1600000000002</v>
      </c>
      <c r="F115" s="45">
        <f t="shared" si="100"/>
        <v>-132.9500000000001</v>
      </c>
      <c r="G115" s="45">
        <f t="shared" si="100"/>
        <v>-77.570000000000391</v>
      </c>
      <c r="H115" s="45">
        <f t="shared" si="100"/>
        <v>-82.659999999999911</v>
      </c>
      <c r="I115" s="45"/>
      <c r="J115" s="47">
        <f>J88-H88-J49</f>
        <v>0</v>
      </c>
      <c r="K115" s="45">
        <f t="shared" si="100"/>
        <v>0</v>
      </c>
      <c r="L115" s="45">
        <f t="shared" si="100"/>
        <v>0</v>
      </c>
      <c r="M115" s="45">
        <f t="shared" si="100"/>
        <v>0</v>
      </c>
      <c r="N115" s="45">
        <f t="shared" si="100"/>
        <v>0</v>
      </c>
    </row>
    <row r="116" spans="1:14" hidden="1" outlineLevel="1" x14ac:dyDescent="0.35">
      <c r="A116" s="39" t="s">
        <v>78</v>
      </c>
      <c r="D116" s="47"/>
      <c r="E116" s="47">
        <f t="shared" ref="E116:N116" si="101">E48-E95</f>
        <v>15.518834142092814</v>
      </c>
      <c r="F116" s="45">
        <f t="shared" si="101"/>
        <v>9.3640119118522946</v>
      </c>
      <c r="G116" s="45">
        <f t="shared" si="101"/>
        <v>12.462532611432863</v>
      </c>
      <c r="H116" s="45">
        <f t="shared" si="101"/>
        <v>12.570359059629226</v>
      </c>
      <c r="I116" s="45"/>
      <c r="J116" s="47">
        <f t="shared" si="101"/>
        <v>23.678429356760347</v>
      </c>
      <c r="K116" s="45">
        <f t="shared" si="101"/>
        <v>29.815322351552368</v>
      </c>
      <c r="L116" s="45">
        <f t="shared" si="101"/>
        <v>37.542753935795872</v>
      </c>
      <c r="M116" s="45">
        <f t="shared" si="101"/>
        <v>47.272954371071251</v>
      </c>
      <c r="N116" s="45">
        <f t="shared" si="101"/>
        <v>59.52499432490049</v>
      </c>
    </row>
    <row r="117" spans="1:14" s="42" customFormat="1" hidden="1" outlineLevel="1" x14ac:dyDescent="0.35">
      <c r="A117" s="64" t="s">
        <v>73</v>
      </c>
      <c r="B117" s="65"/>
      <c r="C117" s="65"/>
      <c r="D117" s="69"/>
      <c r="E117" s="69">
        <f>SUM(E110:E116)</f>
        <v>22.299999999999855</v>
      </c>
      <c r="F117" s="66">
        <f>SUM(F110:F116)</f>
        <v>0.80000000000021743</v>
      </c>
      <c r="G117" s="66">
        <f>SUM(G110:G116)</f>
        <v>77.370000000000147</v>
      </c>
      <c r="H117" s="66">
        <f>SUM(H110:H116)</f>
        <v>-85.260000000000559</v>
      </c>
      <c r="I117" s="66"/>
      <c r="J117" s="69">
        <f>SUM(J110:J116)</f>
        <v>132.86693209422336</v>
      </c>
      <c r="K117" s="66">
        <f>SUM(K110:K116)</f>
        <v>293.1574874514144</v>
      </c>
      <c r="L117" s="66">
        <f>SUM(L110:L116)</f>
        <v>369.13702579008242</v>
      </c>
      <c r="M117" s="66">
        <f>SUM(M110:M116)</f>
        <v>464.80867670736524</v>
      </c>
      <c r="N117" s="66">
        <f>SUM(N110:N116)</f>
        <v>585.27617347524483</v>
      </c>
    </row>
    <row r="118" spans="1:14" hidden="1" outlineLevel="1" x14ac:dyDescent="0.35">
      <c r="A118" s="39"/>
      <c r="D118" s="47"/>
      <c r="E118" s="47"/>
      <c r="F118" s="45"/>
      <c r="G118" s="45"/>
      <c r="H118" s="45"/>
      <c r="I118" s="45"/>
      <c r="J118" s="47"/>
      <c r="K118" s="45"/>
      <c r="L118" s="45"/>
      <c r="M118" s="45"/>
      <c r="N118" s="45"/>
    </row>
    <row r="119" spans="1:14" s="42" customFormat="1" hidden="1" outlineLevel="1" x14ac:dyDescent="0.35">
      <c r="A119" s="31" t="s">
        <v>74</v>
      </c>
      <c r="B119" s="67"/>
      <c r="C119" s="67"/>
      <c r="D119" s="70"/>
      <c r="E119" s="70">
        <f>D120</f>
        <v>69.459999999999994</v>
      </c>
      <c r="F119" s="68">
        <f t="shared" ref="F119:H119" si="102">E120</f>
        <v>91.759999999999849</v>
      </c>
      <c r="G119" s="68">
        <f t="shared" si="102"/>
        <v>92.560000000000059</v>
      </c>
      <c r="H119" s="68">
        <f t="shared" si="102"/>
        <v>169.93000000000021</v>
      </c>
      <c r="I119" s="68"/>
      <c r="J119" s="70">
        <f>H120</f>
        <v>84.669999999999646</v>
      </c>
      <c r="K119" s="68">
        <f>J120</f>
        <v>217.536932094223</v>
      </c>
      <c r="L119" s="68">
        <f t="shared" ref="L119:N119" si="103">K120</f>
        <v>510.6944195456374</v>
      </c>
      <c r="M119" s="68">
        <f t="shared" si="103"/>
        <v>879.83144533571976</v>
      </c>
      <c r="N119" s="68">
        <f t="shared" si="103"/>
        <v>1344.6401220430851</v>
      </c>
    </row>
    <row r="120" spans="1:14" s="42" customFormat="1" ht="15" hidden="1" outlineLevel="1" thickBot="1" x14ac:dyDescent="0.4">
      <c r="A120" s="71" t="s">
        <v>75</v>
      </c>
      <c r="B120" s="72"/>
      <c r="C120" s="72"/>
      <c r="D120" s="73">
        <f>D54</f>
        <v>69.459999999999994</v>
      </c>
      <c r="E120" s="73">
        <f>E119+E117</f>
        <v>91.759999999999849</v>
      </c>
      <c r="F120" s="73">
        <f t="shared" ref="F120:H120" si="104">F119+F117</f>
        <v>92.560000000000059</v>
      </c>
      <c r="G120" s="73">
        <f t="shared" si="104"/>
        <v>169.93000000000021</v>
      </c>
      <c r="H120" s="73">
        <f t="shared" si="104"/>
        <v>84.669999999999646</v>
      </c>
      <c r="I120" s="73"/>
      <c r="J120" s="73">
        <f>J119+J117</f>
        <v>217.536932094223</v>
      </c>
      <c r="K120" s="73">
        <f>K119+K117</f>
        <v>510.6944195456374</v>
      </c>
      <c r="L120" s="73">
        <f t="shared" ref="L120:N120" si="105">L119+L117</f>
        <v>879.83144533571976</v>
      </c>
      <c r="M120" s="73">
        <f t="shared" si="105"/>
        <v>1344.6401220430851</v>
      </c>
      <c r="N120" s="73">
        <f t="shared" si="105"/>
        <v>1929.9162955183299</v>
      </c>
    </row>
    <row r="121" spans="1:14" ht="15" hidden="1" outlineLevel="1" thickTop="1" x14ac:dyDescent="0.35">
      <c r="D121" s="47"/>
      <c r="E121" s="47"/>
      <c r="F121" s="45"/>
      <c r="G121" s="45"/>
      <c r="H121" s="45"/>
      <c r="I121" s="45"/>
      <c r="J121" s="47"/>
      <c r="K121" s="45"/>
      <c r="L121" s="45"/>
      <c r="M121" s="45"/>
      <c r="N121" s="45"/>
    </row>
    <row r="122" spans="1:14" hidden="1" outlineLevel="1" x14ac:dyDescent="0.35">
      <c r="A122" s="39" t="s">
        <v>127</v>
      </c>
      <c r="D122" s="37">
        <f>D54-D120</f>
        <v>0</v>
      </c>
      <c r="E122" s="37">
        <f t="shared" ref="E122:N122" si="106">E54-E120</f>
        <v>1.5631940186722204E-13</v>
      </c>
      <c r="F122" s="37">
        <f t="shared" si="106"/>
        <v>0</v>
      </c>
      <c r="G122" s="37">
        <f t="shared" si="106"/>
        <v>0</v>
      </c>
      <c r="H122" s="37">
        <f t="shared" si="106"/>
        <v>3.5527136788005009E-13</v>
      </c>
      <c r="I122" s="37"/>
      <c r="J122" s="37">
        <f t="shared" si="106"/>
        <v>0</v>
      </c>
      <c r="K122" s="37">
        <f t="shared" si="106"/>
        <v>0</v>
      </c>
      <c r="L122" s="37">
        <f t="shared" si="106"/>
        <v>0</v>
      </c>
      <c r="M122" s="37">
        <f t="shared" si="106"/>
        <v>0</v>
      </c>
      <c r="N122" s="37">
        <f t="shared" si="106"/>
        <v>0</v>
      </c>
    </row>
    <row r="123" spans="1:14" collapsed="1" x14ac:dyDescent="0.35">
      <c r="D123" s="37"/>
      <c r="E123" s="37"/>
    </row>
  </sheetData>
  <mergeCells count="38">
    <mergeCell ref="A31:C31"/>
    <mergeCell ref="A5:N5"/>
    <mergeCell ref="A26:C26"/>
    <mergeCell ref="A27:C27"/>
    <mergeCell ref="A28:C28"/>
    <mergeCell ref="A29:C29"/>
    <mergeCell ref="A30:C30"/>
    <mergeCell ref="A21:C21"/>
    <mergeCell ref="A22:C22"/>
    <mergeCell ref="A23:C23"/>
    <mergeCell ref="A24:C24"/>
    <mergeCell ref="A25:C25"/>
    <mergeCell ref="A19:C19"/>
    <mergeCell ref="A20:C20"/>
    <mergeCell ref="A14:C14"/>
    <mergeCell ref="A15:C15"/>
    <mergeCell ref="J1:N1"/>
    <mergeCell ref="A6:C6"/>
    <mergeCell ref="H7:I7"/>
    <mergeCell ref="H8:I8"/>
    <mergeCell ref="H9:I9"/>
    <mergeCell ref="A4:C4"/>
    <mergeCell ref="A2:C2"/>
    <mergeCell ref="A16:C16"/>
    <mergeCell ref="A17:C17"/>
    <mergeCell ref="A18:C18"/>
    <mergeCell ref="D1:H1"/>
    <mergeCell ref="A10:C10"/>
    <mergeCell ref="A11:C11"/>
    <mergeCell ref="A12:C12"/>
    <mergeCell ref="A13:C13"/>
    <mergeCell ref="A33:N33"/>
    <mergeCell ref="A51:N51"/>
    <mergeCell ref="A93:N93"/>
    <mergeCell ref="A53:B53"/>
    <mergeCell ref="A60:B60"/>
    <mergeCell ref="A72:B72"/>
    <mergeCell ref="A77:B77"/>
  </mergeCells>
  <dataValidations count="1">
    <dataValidation type="list" allowBlank="1" showInputMessage="1" showErrorMessage="1" sqref="B3:B4" xr:uid="{D567D834-F934-4BC0-A6BA-C002515815F2}">
      <formula1>H7:H9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8440-5791-43AB-8B8A-3C391D369EF5}">
  <dimension ref="A1:E19"/>
  <sheetViews>
    <sheetView showGridLines="0" workbookViewId="0">
      <selection activeCell="B16" sqref="B16"/>
    </sheetView>
  </sheetViews>
  <sheetFormatPr defaultRowHeight="14.5" x14ac:dyDescent="0.35"/>
  <cols>
    <col min="1" max="1" width="15.7265625" customWidth="1"/>
    <col min="2" max="2" width="20" bestFit="1" customWidth="1"/>
    <col min="4" max="4" width="12.6328125" customWidth="1"/>
    <col min="5" max="5" width="9.81640625" bestFit="1" customWidth="1"/>
  </cols>
  <sheetData>
    <row r="1" spans="1:5" ht="18.5" x14ac:dyDescent="0.45">
      <c r="A1" s="122" t="s">
        <v>135</v>
      </c>
      <c r="B1" s="120"/>
      <c r="C1" s="120"/>
      <c r="D1" s="120"/>
      <c r="E1" s="120"/>
    </row>
    <row r="2" spans="1:5" ht="15" thickBot="1" x14ac:dyDescent="0.4">
      <c r="A2" s="4"/>
    </row>
    <row r="3" spans="1:5" ht="15" thickBot="1" x14ac:dyDescent="0.4">
      <c r="A3" s="62" t="s">
        <v>81</v>
      </c>
      <c r="B3" s="76" t="s">
        <v>82</v>
      </c>
    </row>
    <row r="4" spans="1:5" x14ac:dyDescent="0.35">
      <c r="A4" s="1" t="s">
        <v>123</v>
      </c>
      <c r="B4" s="78">
        <v>3153</v>
      </c>
    </row>
    <row r="5" spans="1:5" s="42" customFormat="1" x14ac:dyDescent="0.35">
      <c r="A5" s="80" t="s">
        <v>86</v>
      </c>
      <c r="B5" s="126"/>
      <c r="D5" s="80" t="s">
        <v>88</v>
      </c>
      <c r="E5" s="67"/>
    </row>
    <row r="6" spans="1:5" x14ac:dyDescent="0.35">
      <c r="A6" s="59" t="s">
        <v>83</v>
      </c>
      <c r="B6" s="47">
        <f>'Financial Forecast'!H46</f>
        <v>-50.25</v>
      </c>
      <c r="D6" s="59" t="s">
        <v>89</v>
      </c>
      <c r="E6" s="54">
        <v>7.4999999999999997E-2</v>
      </c>
    </row>
    <row r="7" spans="1:5" x14ac:dyDescent="0.35">
      <c r="A7" s="59" t="s">
        <v>84</v>
      </c>
      <c r="B7" s="47">
        <f>'Financial Forecast'!H78</f>
        <v>487.24</v>
      </c>
      <c r="D7" s="59" t="s">
        <v>90</v>
      </c>
      <c r="E7" s="47">
        <v>0.13</v>
      </c>
    </row>
    <row r="8" spans="1:5" x14ac:dyDescent="0.35">
      <c r="A8" s="59" t="s">
        <v>85</v>
      </c>
      <c r="B8" s="47">
        <f>'Financial Forecast'!H75</f>
        <v>435.86</v>
      </c>
      <c r="D8" s="59" t="s">
        <v>91</v>
      </c>
      <c r="E8" s="54">
        <v>8.5099999999999995E-2</v>
      </c>
    </row>
    <row r="9" spans="1:5" x14ac:dyDescent="0.35">
      <c r="A9" s="59" t="s">
        <v>86</v>
      </c>
      <c r="B9" s="47">
        <f>-B6/(SUM(B7:B8))</f>
        <v>5.4436139096522583E-2</v>
      </c>
      <c r="D9" s="132" t="s">
        <v>88</v>
      </c>
      <c r="E9" s="133">
        <f>E6+(E7*E8)</f>
        <v>8.6063000000000001E-2</v>
      </c>
    </row>
    <row r="10" spans="1:5" x14ac:dyDescent="0.35">
      <c r="A10" s="59" t="s">
        <v>87</v>
      </c>
      <c r="B10" s="47">
        <f>'Financial Forecast'!H17</f>
        <v>0.25015639919660204</v>
      </c>
    </row>
    <row r="11" spans="1:5" x14ac:dyDescent="0.35">
      <c r="A11" s="132" t="s">
        <v>134</v>
      </c>
      <c r="B11" s="69">
        <f>B9*(1-B10)</f>
        <v>4.0818590553971121E-2</v>
      </c>
    </row>
    <row r="12" spans="1:5" x14ac:dyDescent="0.35">
      <c r="B12" s="47"/>
    </row>
    <row r="13" spans="1:5" x14ac:dyDescent="0.35">
      <c r="B13" s="47"/>
    </row>
    <row r="14" spans="1:5" x14ac:dyDescent="0.35">
      <c r="A14" s="125" t="s">
        <v>92</v>
      </c>
      <c r="B14" s="126">
        <f>SUM(B7:B8)</f>
        <v>923.1</v>
      </c>
      <c r="C14" s="129">
        <f>B14/B16</f>
        <v>3.3021989618696367E-2</v>
      </c>
    </row>
    <row r="15" spans="1:5" x14ac:dyDescent="0.35">
      <c r="A15" s="59" t="s">
        <v>93</v>
      </c>
      <c r="B15" s="47">
        <v>27031</v>
      </c>
      <c r="C15" s="129">
        <f>B15/B16</f>
        <v>0.96697801038130371</v>
      </c>
    </row>
    <row r="16" spans="1:5" x14ac:dyDescent="0.35">
      <c r="A16" s="59" t="s">
        <v>94</v>
      </c>
      <c r="B16" s="47">
        <f>SUM(B14:B15)</f>
        <v>27954.1</v>
      </c>
    </row>
    <row r="17" spans="1:2" x14ac:dyDescent="0.35">
      <c r="A17" s="59"/>
      <c r="B17" s="47"/>
    </row>
    <row r="18" spans="1:2" s="42" customFormat="1" ht="15" thickBot="1" x14ac:dyDescent="0.4">
      <c r="A18" s="127" t="s">
        <v>95</v>
      </c>
      <c r="B18" s="128">
        <f>(C14*B11)+(C15*E9)</f>
        <v>8.4568939580969199E-2</v>
      </c>
    </row>
    <row r="19" spans="1:2" ht="15" thickTop="1" x14ac:dyDescent="0.35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C9BA-2657-458E-B9E2-FE6C34050E00}">
  <dimension ref="A1:Q40"/>
  <sheetViews>
    <sheetView showGridLines="0" workbookViewId="0">
      <selection activeCell="K23" sqref="K23"/>
    </sheetView>
  </sheetViews>
  <sheetFormatPr defaultRowHeight="14.5" x14ac:dyDescent="0.35"/>
  <cols>
    <col min="3" max="3" width="9.7265625" bestFit="1" customWidth="1"/>
    <col min="4" max="4" width="10.26953125" customWidth="1"/>
    <col min="5" max="5" width="9.90625" customWidth="1"/>
    <col min="6" max="6" width="9.36328125" customWidth="1"/>
    <col min="7" max="8" width="9.7265625" bestFit="1" customWidth="1"/>
    <col min="9" max="9" width="4" customWidth="1"/>
    <col min="14" max="14" width="9.7265625" bestFit="1" customWidth="1"/>
  </cols>
  <sheetData>
    <row r="1" spans="1:15" x14ac:dyDescent="0.35">
      <c r="D1" s="89" t="s">
        <v>120</v>
      </c>
      <c r="E1" s="89"/>
      <c r="F1" s="89"/>
      <c r="G1" s="89"/>
      <c r="H1" s="89"/>
      <c r="I1" s="60"/>
      <c r="J1" s="90" t="s">
        <v>121</v>
      </c>
      <c r="K1" s="90"/>
      <c r="L1" s="90"/>
      <c r="M1" s="90"/>
      <c r="N1" s="90"/>
    </row>
    <row r="2" spans="1:15" x14ac:dyDescent="0.35">
      <c r="D2" s="85">
        <v>2018</v>
      </c>
      <c r="E2" s="85">
        <v>2019</v>
      </c>
      <c r="F2" s="85">
        <v>2020</v>
      </c>
      <c r="G2" s="85">
        <v>2021</v>
      </c>
      <c r="H2" s="85">
        <v>2022</v>
      </c>
      <c r="J2" s="85">
        <v>2023</v>
      </c>
      <c r="K2" s="85">
        <v>2024</v>
      </c>
      <c r="L2" s="85">
        <v>2025</v>
      </c>
      <c r="M2" s="85">
        <v>2026</v>
      </c>
      <c r="N2" s="85">
        <v>2027</v>
      </c>
    </row>
    <row r="3" spans="1:15" ht="18.5" x14ac:dyDescent="0.45">
      <c r="A3" s="122" t="s">
        <v>132</v>
      </c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</row>
    <row r="4" spans="1:15" x14ac:dyDescent="0.35">
      <c r="A4" s="4" t="s">
        <v>103</v>
      </c>
    </row>
    <row r="5" spans="1:15" x14ac:dyDescent="0.35">
      <c r="J5" s="131">
        <v>1</v>
      </c>
      <c r="K5" s="131">
        <v>2</v>
      </c>
      <c r="L5" s="131">
        <v>3</v>
      </c>
      <c r="M5" s="131">
        <v>4</v>
      </c>
      <c r="N5" s="131">
        <v>5</v>
      </c>
    </row>
    <row r="6" spans="1:15" x14ac:dyDescent="0.35">
      <c r="A6" s="4" t="s">
        <v>72</v>
      </c>
      <c r="D6" s="37">
        <f>'Financial Forecast'!D110</f>
        <v>0</v>
      </c>
      <c r="E6" s="47">
        <f>'Financial Forecast'!E110</f>
        <v>58.341165857907157</v>
      </c>
      <c r="F6" s="47">
        <f>'Financial Forecast'!F110</f>
        <v>134.7059880881481</v>
      </c>
      <c r="G6" s="47">
        <f>'Financial Forecast'!G110</f>
        <v>108.09746738856754</v>
      </c>
      <c r="H6" s="47">
        <f>'Financial Forecast'!H110</f>
        <v>63.709640940370178</v>
      </c>
      <c r="I6" s="47"/>
      <c r="J6" s="47">
        <f>'Financial Forecast'!J110</f>
        <v>-423.56621613243669</v>
      </c>
      <c r="K6" s="47">
        <f>'Financial Forecast'!K110</f>
        <v>-34.090962432286062</v>
      </c>
      <c r="L6" s="47">
        <f>'Financial Forecast'!L110</f>
        <v>-42.926539546977608</v>
      </c>
      <c r="M6" s="47">
        <f>'Financial Forecast'!M110</f>
        <v>-54.052090818446857</v>
      </c>
      <c r="N6" s="47">
        <f>'Financial Forecast'!N110</f>
        <v>-68.061123786796315</v>
      </c>
      <c r="O6" s="37"/>
    </row>
    <row r="7" spans="1:15" x14ac:dyDescent="0.35">
      <c r="A7" s="1" t="s">
        <v>100</v>
      </c>
      <c r="B7" s="129">
        <f>WACC!B18</f>
        <v>8.4568939580969199E-2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5" x14ac:dyDescent="0.35">
      <c r="A8" s="88" t="s">
        <v>104</v>
      </c>
      <c r="B8" s="88"/>
      <c r="C8" s="47"/>
      <c r="D8" s="47"/>
      <c r="E8" s="47"/>
      <c r="F8" s="47"/>
      <c r="G8" s="47"/>
      <c r="H8" s="47"/>
      <c r="I8" s="47"/>
      <c r="J8" s="47">
        <f>1/(1+$B$7)^J5</f>
        <v>0.92202529825937751</v>
      </c>
      <c r="K8" s="47">
        <f t="shared" ref="K8:N8" si="0">1/(1+$B$7)^K5</f>
        <v>0.85013065063029414</v>
      </c>
      <c r="L8" s="47">
        <f t="shared" si="0"/>
        <v>0.7838419667068357</v>
      </c>
      <c r="M8" s="47">
        <f t="shared" si="0"/>
        <v>0.7227221231410873</v>
      </c>
      <c r="N8" s="47">
        <f t="shared" si="0"/>
        <v>0.66636808114781165</v>
      </c>
    </row>
    <row r="9" spans="1:15" s="42" customFormat="1" ht="15" thickBot="1" x14ac:dyDescent="0.4">
      <c r="A9" s="117" t="s">
        <v>105</v>
      </c>
      <c r="B9" s="117"/>
      <c r="C9" s="77"/>
      <c r="D9" s="77"/>
      <c r="E9" s="77"/>
      <c r="F9" s="77"/>
      <c r="G9" s="77"/>
      <c r="H9" s="77"/>
      <c r="I9" s="77"/>
      <c r="J9" s="77">
        <f>J6*J8</f>
        <v>-390.53876676210592</v>
      </c>
      <c r="K9" s="77">
        <f t="shared" ref="K9:N9" si="1">K6*K8</f>
        <v>-28.981772073172266</v>
      </c>
      <c r="L9" s="77">
        <f t="shared" si="1"/>
        <v>-33.64762318242169</v>
      </c>
      <c r="M9" s="77">
        <f t="shared" si="1"/>
        <v>-39.064641836522782</v>
      </c>
      <c r="N9" s="77">
        <f t="shared" si="1"/>
        <v>-45.353760458571138</v>
      </c>
    </row>
    <row r="10" spans="1:15" ht="15.5" thickTop="1" thickBot="1" x14ac:dyDescent="0.4"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5" ht="15" thickBot="1" x14ac:dyDescent="0.4">
      <c r="A11" s="114" t="s">
        <v>109</v>
      </c>
      <c r="B11" s="115"/>
      <c r="C11" s="116"/>
      <c r="F11" s="114" t="s">
        <v>126</v>
      </c>
      <c r="G11" s="115"/>
      <c r="H11" s="116"/>
      <c r="K11" s="114" t="s">
        <v>98</v>
      </c>
      <c r="L11" s="115"/>
      <c r="M11" s="115"/>
      <c r="N11" s="116"/>
    </row>
    <row r="12" spans="1:15" x14ac:dyDescent="0.35">
      <c r="A12" s="88" t="s">
        <v>106</v>
      </c>
      <c r="B12" s="113"/>
      <c r="C12" s="47">
        <f>SUM(J9:N9)</f>
        <v>-537.58656431279383</v>
      </c>
      <c r="F12" s="118" t="s">
        <v>109</v>
      </c>
      <c r="G12" s="119"/>
      <c r="H12" s="47">
        <f>C22</f>
        <v>12069.153261049601</v>
      </c>
      <c r="K12" s="111" t="s">
        <v>99</v>
      </c>
      <c r="L12" s="111"/>
      <c r="M12" s="112"/>
      <c r="N12" s="47">
        <f>'Financial Forecast'!N110</f>
        <v>-68.061123786796315</v>
      </c>
    </row>
    <row r="13" spans="1:15" x14ac:dyDescent="0.35">
      <c r="A13" s="88"/>
      <c r="B13" s="113"/>
      <c r="C13" s="47"/>
      <c r="F13" s="99" t="s">
        <v>111</v>
      </c>
      <c r="G13" s="100"/>
      <c r="H13" s="47">
        <f>'Financial Forecast'!H75+'Financial Forecast'!H78</f>
        <v>923.1</v>
      </c>
      <c r="K13" s="88" t="s">
        <v>100</v>
      </c>
      <c r="L13" s="88"/>
      <c r="M13" s="113"/>
      <c r="N13" s="54">
        <f>WACC!B18</f>
        <v>8.4568939580969199E-2</v>
      </c>
    </row>
    <row r="14" spans="1:15" x14ac:dyDescent="0.35">
      <c r="A14" s="88" t="s">
        <v>97</v>
      </c>
      <c r="B14" s="113"/>
      <c r="C14" s="47"/>
      <c r="F14" s="99" t="s">
        <v>112</v>
      </c>
      <c r="G14" s="100"/>
      <c r="H14" s="47"/>
      <c r="K14" s="88" t="s">
        <v>97</v>
      </c>
      <c r="L14" s="88"/>
      <c r="M14" s="113"/>
      <c r="N14" s="47">
        <f>C17</f>
        <v>18918.582960407446</v>
      </c>
    </row>
    <row r="15" spans="1:15" x14ac:dyDescent="0.35">
      <c r="A15" s="88" t="s">
        <v>102</v>
      </c>
      <c r="B15" s="113"/>
      <c r="C15" s="47">
        <f>'Financial Forecast'!N43</f>
        <v>2702.654708629635</v>
      </c>
      <c r="F15" s="99" t="s">
        <v>113</v>
      </c>
      <c r="G15" s="100"/>
      <c r="H15" s="47">
        <f>'Financial Forecast'!H87</f>
        <v>100.63</v>
      </c>
      <c r="K15" s="109" t="s">
        <v>101</v>
      </c>
      <c r="L15" s="109"/>
      <c r="M15" s="110"/>
      <c r="N15" s="81">
        <f>((N14*N13)-N12)/(N14+N12)</f>
        <v>8.8484851378632615E-2</v>
      </c>
    </row>
    <row r="16" spans="1:15" x14ac:dyDescent="0.35">
      <c r="A16" s="88" t="s">
        <v>133</v>
      </c>
      <c r="B16" s="113"/>
      <c r="C16" s="47">
        <v>7</v>
      </c>
      <c r="F16" s="99" t="s">
        <v>114</v>
      </c>
      <c r="G16" s="100"/>
      <c r="H16" s="47">
        <f>'Financial Forecast'!H54</f>
        <v>84.67</v>
      </c>
      <c r="K16" s="88"/>
      <c r="L16" s="88"/>
      <c r="M16" s="113"/>
      <c r="N16" s="47"/>
    </row>
    <row r="17" spans="1:17" x14ac:dyDescent="0.35">
      <c r="A17" s="88" t="s">
        <v>97</v>
      </c>
      <c r="B17" s="113"/>
      <c r="C17" s="47">
        <f>C15*C16</f>
        <v>18918.582960407446</v>
      </c>
      <c r="F17" s="107" t="s">
        <v>115</v>
      </c>
      <c r="G17" s="108"/>
      <c r="H17" s="70">
        <f>C22-SUM(H13:H15)+H16</f>
        <v>11130.093261049602</v>
      </c>
      <c r="K17" s="88" t="s">
        <v>117</v>
      </c>
      <c r="L17" s="88"/>
      <c r="M17" s="113"/>
      <c r="N17" s="47"/>
    </row>
    <row r="18" spans="1:17" x14ac:dyDescent="0.35">
      <c r="A18" s="88" t="s">
        <v>107</v>
      </c>
      <c r="B18" s="113"/>
      <c r="C18" s="47">
        <f>N8</f>
        <v>0.66636808114781165</v>
      </c>
      <c r="G18" s="79"/>
      <c r="K18" s="88" t="s">
        <v>109</v>
      </c>
      <c r="L18" s="88"/>
      <c r="M18" s="113"/>
      <c r="N18" s="47">
        <f>C22</f>
        <v>12069.153261049601</v>
      </c>
    </row>
    <row r="19" spans="1:17" x14ac:dyDescent="0.35">
      <c r="A19" s="88" t="s">
        <v>108</v>
      </c>
      <c r="B19" s="113"/>
      <c r="C19" s="47">
        <f>C17*C18</f>
        <v>12606.739825362396</v>
      </c>
      <c r="F19" s="99" t="s">
        <v>122</v>
      </c>
      <c r="G19" s="100"/>
      <c r="H19" s="47">
        <v>8.5731000000000002</v>
      </c>
      <c r="K19" s="88" t="s">
        <v>118</v>
      </c>
      <c r="L19" s="88"/>
      <c r="M19" s="113"/>
      <c r="N19" s="47">
        <f>'Financial Forecast'!H43</f>
        <v>766.91999999999985</v>
      </c>
    </row>
    <row r="20" spans="1:17" x14ac:dyDescent="0.35">
      <c r="A20" s="88" t="s">
        <v>110</v>
      </c>
      <c r="B20" s="113"/>
      <c r="C20" s="47">
        <f>C19/C22</f>
        <v>1.0445421938627402</v>
      </c>
      <c r="F20" s="101" t="s">
        <v>124</v>
      </c>
      <c r="G20" s="102"/>
      <c r="H20" s="78">
        <f>H17/H19</f>
        <v>1298.2577202003479</v>
      </c>
      <c r="K20" s="109" t="s">
        <v>117</v>
      </c>
      <c r="L20" s="109"/>
      <c r="M20" s="110"/>
      <c r="N20" s="70">
        <f>N18/N19</f>
        <v>15.737173709186882</v>
      </c>
    </row>
    <row r="21" spans="1:17" x14ac:dyDescent="0.35">
      <c r="A21" s="88"/>
      <c r="B21" s="113"/>
      <c r="C21" s="47"/>
      <c r="F21" s="103" t="s">
        <v>125</v>
      </c>
      <c r="G21" s="104"/>
      <c r="H21" s="47">
        <f>WACC!B4</f>
        <v>3153</v>
      </c>
      <c r="I21" s="37"/>
    </row>
    <row r="22" spans="1:17" x14ac:dyDescent="0.35">
      <c r="A22" s="109" t="s">
        <v>109</v>
      </c>
      <c r="B22" s="110"/>
      <c r="C22" s="70">
        <f>C12+C19</f>
        <v>12069.153261049601</v>
      </c>
      <c r="F22" s="105"/>
      <c r="G22" s="106"/>
      <c r="H22" s="84" t="str">
        <f>IF(H20&gt;H21, "BUY", "SELL")</f>
        <v>SELL</v>
      </c>
    </row>
    <row r="24" spans="1:17" ht="15" thickBot="1" x14ac:dyDescent="0.4"/>
    <row r="25" spans="1:17" ht="15" thickBot="1" x14ac:dyDescent="0.4">
      <c r="C25" s="96" t="s">
        <v>109</v>
      </c>
      <c r="D25" s="97"/>
      <c r="E25" s="97"/>
      <c r="F25" s="97"/>
      <c r="G25" s="97"/>
      <c r="H25" s="98"/>
      <c r="L25" s="96" t="s">
        <v>98</v>
      </c>
      <c r="M25" s="97"/>
      <c r="N25" s="97"/>
      <c r="O25" s="97"/>
      <c r="P25" s="97"/>
      <c r="Q25" s="98"/>
    </row>
    <row r="26" spans="1:17" x14ac:dyDescent="0.35">
      <c r="C26" s="58"/>
      <c r="D26" s="94" t="s">
        <v>96</v>
      </c>
      <c r="E26" s="94"/>
      <c r="F26" s="94"/>
      <c r="G26" s="94"/>
      <c r="H26" s="94"/>
      <c r="L26" s="58"/>
      <c r="M26" s="94" t="s">
        <v>96</v>
      </c>
      <c r="N26" s="94"/>
      <c r="O26" s="94"/>
      <c r="P26" s="94"/>
      <c r="Q26" s="94"/>
    </row>
    <row r="27" spans="1:17" ht="14.5" customHeight="1" x14ac:dyDescent="0.35">
      <c r="B27" s="58"/>
      <c r="C27" s="57">
        <f>C22</f>
        <v>12069.153261049601</v>
      </c>
      <c r="D27" s="82">
        <v>6</v>
      </c>
      <c r="E27" s="82">
        <v>6.5</v>
      </c>
      <c r="F27" s="82">
        <v>7</v>
      </c>
      <c r="G27" s="82">
        <v>7.5</v>
      </c>
      <c r="H27" s="82">
        <v>8</v>
      </c>
      <c r="I27" s="47"/>
      <c r="K27" s="58"/>
      <c r="L27" s="56">
        <f>N15</f>
        <v>8.8484851378632615E-2</v>
      </c>
      <c r="M27" s="82">
        <v>6</v>
      </c>
      <c r="N27" s="82">
        <v>6.5</v>
      </c>
      <c r="O27" s="82">
        <v>7</v>
      </c>
      <c r="P27" s="82">
        <v>7.5</v>
      </c>
      <c r="Q27" s="82">
        <v>8</v>
      </c>
    </row>
    <row r="28" spans="1:17" x14ac:dyDescent="0.35">
      <c r="B28" s="95" t="s">
        <v>100</v>
      </c>
      <c r="C28" s="83">
        <v>7.4999999999999997E-2</v>
      </c>
      <c r="D28" s="47">
        <f t="dataTable" ref="D28:H32" dt2D="1" dtr="1" r1="C16" r2="B7"/>
        <v>10749.392729734553</v>
      </c>
      <c r="E28" s="47">
        <v>11690.671463513383</v>
      </c>
      <c r="F28" s="47">
        <v>12631.950197292213</v>
      </c>
      <c r="G28" s="47">
        <v>13573.228931071044</v>
      </c>
      <c r="H28" s="47">
        <v>14514.507664849873</v>
      </c>
      <c r="I28" s="47"/>
      <c r="K28" s="95" t="s">
        <v>100</v>
      </c>
      <c r="L28" s="83">
        <v>7.4999999999999997E-2</v>
      </c>
      <c r="M28" s="55">
        <f t="dataTable" ref="M28:Q32" dt2D="1" dtr="1" r1="C16" r2="N13" ca="1"/>
        <v>7.9530982791156321E-2</v>
      </c>
      <c r="N28" s="55">
        <v>7.9181090057875908E-2</v>
      </c>
      <c r="O28" s="55">
        <v>7.8881362473937885E-2</v>
      </c>
      <c r="P28" s="55">
        <v>7.8621733207652852E-2</v>
      </c>
      <c r="Q28" s="55">
        <v>7.8394660082572828E-2</v>
      </c>
    </row>
    <row r="29" spans="1:17" x14ac:dyDescent="0.35">
      <c r="B29" s="95"/>
      <c r="C29" s="83">
        <v>0.08</v>
      </c>
      <c r="D29" s="47">
        <v>10494.742217420915</v>
      </c>
      <c r="E29" s="47">
        <v>11414.432908459657</v>
      </c>
      <c r="F29" s="47">
        <v>12334.123599498398</v>
      </c>
      <c r="G29" s="47">
        <v>13253.814290537141</v>
      </c>
      <c r="H29" s="47">
        <v>14173.504981575881</v>
      </c>
      <c r="I29" s="47"/>
      <c r="K29" s="95"/>
      <c r="L29" s="83">
        <v>0.08</v>
      </c>
      <c r="M29" s="55">
        <v>8.4552057129719832E-2</v>
      </c>
      <c r="N29" s="55">
        <v>8.4200536988377664E-2</v>
      </c>
      <c r="O29" s="55">
        <v>8.3899415322653867E-2</v>
      </c>
      <c r="P29" s="55">
        <v>8.3638578478386127E-2</v>
      </c>
      <c r="Q29" s="55">
        <v>8.3410449199235959E-2</v>
      </c>
    </row>
    <row r="30" spans="1:17" ht="14.5" customHeight="1" x14ac:dyDescent="0.35">
      <c r="B30" s="95"/>
      <c r="C30" s="83">
        <v>8.4599999999999995E-2</v>
      </c>
      <c r="D30" s="47">
        <v>10266.669959159512</v>
      </c>
      <c r="E30" s="47">
        <v>11167.022444184513</v>
      </c>
      <c r="F30" s="47">
        <v>12067.374929209513</v>
      </c>
      <c r="G30" s="47">
        <v>12967.727414234512</v>
      </c>
      <c r="H30" s="47">
        <v>13868.079899259512</v>
      </c>
      <c r="I30" s="47"/>
      <c r="K30" s="95"/>
      <c r="L30" s="83">
        <v>8.4599999999999995E-2</v>
      </c>
      <c r="M30" s="55">
        <v>8.9171445521198267E-2</v>
      </c>
      <c r="N30" s="55">
        <v>8.8818428164439273E-2</v>
      </c>
      <c r="O30" s="55">
        <v>8.8516023943472577E-2</v>
      </c>
      <c r="P30" s="55">
        <v>8.8254076127460723E-2</v>
      </c>
      <c r="Q30" s="55">
        <v>8.8024975186566018E-2</v>
      </c>
    </row>
    <row r="31" spans="1:17" x14ac:dyDescent="0.35">
      <c r="B31" s="95"/>
      <c r="C31" s="83">
        <v>0.09</v>
      </c>
      <c r="D31" s="47">
        <v>10006.280099848185</v>
      </c>
      <c r="E31" s="47">
        <v>10884.550160580891</v>
      </c>
      <c r="F31" s="47">
        <v>11762.820221313596</v>
      </c>
      <c r="G31" s="47">
        <v>12641.090282046298</v>
      </c>
      <c r="H31" s="47">
        <v>13519.360342779002</v>
      </c>
      <c r="I31" s="47"/>
      <c r="K31" s="95"/>
      <c r="L31" s="83">
        <v>0.09</v>
      </c>
      <c r="M31" s="55">
        <v>9.4594205806846854E-2</v>
      </c>
      <c r="N31" s="55">
        <v>9.4239430849381162E-2</v>
      </c>
      <c r="O31" s="55">
        <v>9.3935521020085844E-2</v>
      </c>
      <c r="P31" s="55">
        <v>9.3672269019852664E-2</v>
      </c>
      <c r="Q31" s="55">
        <v>9.3442027432562219E-2</v>
      </c>
    </row>
    <row r="32" spans="1:17" x14ac:dyDescent="0.35">
      <c r="B32" s="95"/>
      <c r="C32" s="83">
        <v>9.5000000000000001E-2</v>
      </c>
      <c r="D32" s="47">
        <v>9772.0288271675436</v>
      </c>
      <c r="E32" s="47">
        <v>10630.42934748046</v>
      </c>
      <c r="F32" s="47">
        <v>11488.829867793376</v>
      </c>
      <c r="G32" s="47">
        <v>12347.230388106293</v>
      </c>
      <c r="H32" s="47">
        <v>13205.630908419209</v>
      </c>
      <c r="I32" s="47"/>
      <c r="K32" s="95"/>
      <c r="L32" s="83">
        <v>9.5000000000000001E-2</v>
      </c>
      <c r="M32" s="55">
        <v>9.9615280145410393E-2</v>
      </c>
      <c r="N32" s="55">
        <v>9.9258877779882917E-2</v>
      </c>
      <c r="O32" s="55">
        <v>9.8953573868801853E-2</v>
      </c>
      <c r="P32" s="55">
        <v>9.8689114290585939E-2</v>
      </c>
      <c r="Q32" s="55">
        <v>9.8457816549225322E-2</v>
      </c>
    </row>
    <row r="40" spans="3:3" x14ac:dyDescent="0.35">
      <c r="C40" t="s">
        <v>116</v>
      </c>
    </row>
  </sheetData>
  <mergeCells count="44">
    <mergeCell ref="F12:G12"/>
    <mergeCell ref="A21:B21"/>
    <mergeCell ref="A22:B22"/>
    <mergeCell ref="A17:B17"/>
    <mergeCell ref="D1:H1"/>
    <mergeCell ref="J1:N1"/>
    <mergeCell ref="K11:N11"/>
    <mergeCell ref="A11:C11"/>
    <mergeCell ref="A8:B8"/>
    <mergeCell ref="A9:B9"/>
    <mergeCell ref="F11:H11"/>
    <mergeCell ref="A3:N3"/>
    <mergeCell ref="A12:B12"/>
    <mergeCell ref="A13:B13"/>
    <mergeCell ref="A14:B14"/>
    <mergeCell ref="A15:B15"/>
    <mergeCell ref="A16:B16"/>
    <mergeCell ref="K17:M17"/>
    <mergeCell ref="K18:M18"/>
    <mergeCell ref="K19:M19"/>
    <mergeCell ref="A18:B18"/>
    <mergeCell ref="A19:B19"/>
    <mergeCell ref="A20:B20"/>
    <mergeCell ref="K12:M12"/>
    <mergeCell ref="K13:M13"/>
    <mergeCell ref="K14:M14"/>
    <mergeCell ref="K15:M15"/>
    <mergeCell ref="K16:M16"/>
    <mergeCell ref="F13:G13"/>
    <mergeCell ref="F14:G14"/>
    <mergeCell ref="F15:G15"/>
    <mergeCell ref="F16:G16"/>
    <mergeCell ref="F17:G17"/>
    <mergeCell ref="F19:G19"/>
    <mergeCell ref="F20:G20"/>
    <mergeCell ref="F21:G21"/>
    <mergeCell ref="F22:G22"/>
    <mergeCell ref="L25:Q25"/>
    <mergeCell ref="K20:M20"/>
    <mergeCell ref="D26:H26"/>
    <mergeCell ref="M26:Q26"/>
    <mergeCell ref="B28:B32"/>
    <mergeCell ref="K28:K32"/>
    <mergeCell ref="C25:H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Financial Forecast</vt:lpstr>
      <vt:lpstr>WACC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2tin</cp:lastModifiedBy>
  <dcterms:created xsi:type="dcterms:W3CDTF">2015-06-05T18:17:20Z</dcterms:created>
  <dcterms:modified xsi:type="dcterms:W3CDTF">2022-08-10T16:08:55Z</dcterms:modified>
</cp:coreProperties>
</file>