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2tin\Desktop\"/>
    </mc:Choice>
  </mc:AlternateContent>
  <xr:revisionPtr revIDLastSave="0" documentId="13_ncr:1_{7D6792AD-3336-4D7F-881A-F25B2A4F9A4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ver Page" sheetId="17" r:id="rId1"/>
    <sheet name="Income Statement" sheetId="10" r:id="rId2"/>
    <sheet name="Inputs" sheetId="2" r:id="rId3"/>
    <sheet name="Cash-flow Statement" sheetId="7" r:id="rId4"/>
    <sheet name="Depreciation Schedule" sheetId="8" r:id="rId5"/>
    <sheet name="Working Capital Schedule" sheetId="11" r:id="rId6"/>
    <sheet name="Balance Sheet" sheetId="12" r:id="rId7"/>
    <sheet name="DCF Analysis" sheetId="15" r:id="rId8"/>
    <sheet name="WACC" sheetId="16" r:id="rId9"/>
  </sheets>
  <definedNames>
    <definedName name="_xlnm._FilterDatabase" localSheetId="1" hidden="1">'Income Statement'!$A$3:$E$9</definedName>
    <definedName name="_xlnm._FilterDatabase" localSheetId="2" hidden="1">Inputs!$A$2:$A$2</definedName>
    <definedName name="Case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2" l="1"/>
  <c r="J46" i="12"/>
  <c r="K46" i="12"/>
  <c r="L46" i="12"/>
  <c r="H46" i="12"/>
  <c r="I18" i="11"/>
  <c r="J18" i="11"/>
  <c r="K18" i="11"/>
  <c r="L18" i="11"/>
  <c r="H18" i="11"/>
  <c r="I19" i="11"/>
  <c r="J19" i="11"/>
  <c r="K19" i="11"/>
  <c r="L19" i="11"/>
  <c r="H19" i="11"/>
  <c r="E19" i="11"/>
  <c r="F19" i="11"/>
  <c r="D19" i="11"/>
  <c r="E18" i="11"/>
  <c r="F18" i="11"/>
  <c r="D18" i="11"/>
  <c r="E27" i="7"/>
  <c r="F27" i="7"/>
  <c r="D27" i="7"/>
  <c r="D35" i="2"/>
  <c r="E35" i="2"/>
  <c r="C35" i="2"/>
  <c r="D30" i="2"/>
  <c r="E30" i="2"/>
  <c r="C30" i="2"/>
  <c r="D15" i="2"/>
  <c r="E15" i="2"/>
  <c r="C15" i="2"/>
  <c r="E10" i="2"/>
  <c r="F10" i="10" s="1"/>
  <c r="D10" i="2"/>
  <c r="E10" i="10" s="1"/>
  <c r="E5" i="2"/>
  <c r="D5" i="2"/>
  <c r="I11" i="15"/>
  <c r="J11" i="15"/>
  <c r="K11" i="15"/>
  <c r="L11" i="15"/>
  <c r="H11" i="15"/>
  <c r="B4" i="16"/>
  <c r="E14" i="10"/>
  <c r="F14" i="10"/>
  <c r="D14" i="10"/>
  <c r="D20" i="2"/>
  <c r="E19" i="10" s="1"/>
  <c r="E20" i="2"/>
  <c r="F19" i="10" s="1"/>
  <c r="C20" i="2"/>
  <c r="D19" i="10" s="1"/>
  <c r="D16" i="11"/>
  <c r="D14" i="11"/>
  <c r="D15" i="11" s="1"/>
  <c r="D8" i="11"/>
  <c r="D9" i="11" s="1"/>
  <c r="D6" i="11"/>
  <c r="D7" i="11" s="1"/>
  <c r="B3" i="12"/>
  <c r="B3" i="7"/>
  <c r="B2" i="2"/>
  <c r="D11" i="10"/>
  <c r="E25" i="2"/>
  <c r="F22" i="10" s="1"/>
  <c r="D25" i="2"/>
  <c r="E22" i="10" s="1"/>
  <c r="D20" i="11" l="1"/>
  <c r="D12" i="11"/>
  <c r="H13" i="7"/>
  <c r="I38" i="7"/>
  <c r="J38" i="7"/>
  <c r="K38" i="7"/>
  <c r="L38" i="7"/>
  <c r="H38" i="7"/>
  <c r="H37" i="7"/>
  <c r="I37" i="7" s="1"/>
  <c r="J37" i="7" s="1"/>
  <c r="K37" i="7" s="1"/>
  <c r="L37" i="7" s="1"/>
  <c r="H30" i="7"/>
  <c r="I30" i="7" s="1"/>
  <c r="J30" i="7" s="1"/>
  <c r="K30" i="7" s="1"/>
  <c r="L30" i="7" s="1"/>
  <c r="I13" i="7"/>
  <c r="J13" i="7"/>
  <c r="K13" i="7"/>
  <c r="L13" i="7"/>
  <c r="I12" i="7"/>
  <c r="J12" i="7"/>
  <c r="K12" i="7"/>
  <c r="L12" i="7"/>
  <c r="H12" i="7"/>
  <c r="I11" i="7"/>
  <c r="J11" i="7"/>
  <c r="K11" i="7"/>
  <c r="L11" i="7"/>
  <c r="H11" i="7"/>
  <c r="F7" i="16"/>
  <c r="B8" i="16" s="1"/>
  <c r="B7" i="16"/>
  <c r="B3" i="16"/>
  <c r="B11" i="16" s="1"/>
  <c r="D47" i="12"/>
  <c r="D40" i="12"/>
  <c r="D33" i="12"/>
  <c r="D26" i="12"/>
  <c r="D18" i="12"/>
  <c r="D39" i="7"/>
  <c r="D31" i="7"/>
  <c r="E31" i="7"/>
  <c r="D14" i="7"/>
  <c r="D16" i="7" s="1"/>
  <c r="D21" i="7" s="1"/>
  <c r="D23" i="7" s="1"/>
  <c r="D11" i="11"/>
  <c r="E11" i="11"/>
  <c r="F11" i="11"/>
  <c r="H39" i="12"/>
  <c r="I39" i="12" s="1"/>
  <c r="J39" i="12" s="1"/>
  <c r="K39" i="12" s="1"/>
  <c r="L39" i="12" s="1"/>
  <c r="I34" i="7"/>
  <c r="J34" i="7" s="1"/>
  <c r="K34" i="7" s="1"/>
  <c r="L34" i="7" s="1"/>
  <c r="H38" i="12"/>
  <c r="I38" i="12" s="1"/>
  <c r="F43" i="12"/>
  <c r="F47" i="12" s="1"/>
  <c r="H21" i="12"/>
  <c r="I21" i="12" s="1"/>
  <c r="J21" i="12" s="1"/>
  <c r="K21" i="12" s="1"/>
  <c r="L21" i="12" s="1"/>
  <c r="E43" i="12"/>
  <c r="E47" i="12" s="1"/>
  <c r="F40" i="12"/>
  <c r="E40" i="12"/>
  <c r="L33" i="12"/>
  <c r="K33" i="12"/>
  <c r="J33" i="12"/>
  <c r="I33" i="12"/>
  <c r="H33" i="12"/>
  <c r="F33" i="12"/>
  <c r="E33" i="12"/>
  <c r="F26" i="12"/>
  <c r="E26" i="12"/>
  <c r="F18" i="12"/>
  <c r="E18" i="12"/>
  <c r="E16" i="11"/>
  <c r="F16" i="11"/>
  <c r="E14" i="11"/>
  <c r="F14" i="11"/>
  <c r="E8" i="11"/>
  <c r="E9" i="11" s="1"/>
  <c r="F8" i="11"/>
  <c r="E6" i="11"/>
  <c r="F6" i="11"/>
  <c r="D13" i="8"/>
  <c r="F31" i="10"/>
  <c r="E31" i="10"/>
  <c r="D31" i="10"/>
  <c r="D17" i="11" s="1"/>
  <c r="D15" i="10"/>
  <c r="D20" i="10" s="1"/>
  <c r="E13" i="8"/>
  <c r="F13" i="8"/>
  <c r="G13" i="8"/>
  <c r="H13" i="8"/>
  <c r="F31" i="7"/>
  <c r="F14" i="7"/>
  <c r="F16" i="7" s="1"/>
  <c r="F21" i="7" s="1"/>
  <c r="F23" i="7" s="1"/>
  <c r="E14" i="7"/>
  <c r="E16" i="7" s="1"/>
  <c r="E21" i="7" s="1"/>
  <c r="E23" i="7" s="1"/>
  <c r="F39" i="7"/>
  <c r="E39" i="7"/>
  <c r="D22" i="11" l="1"/>
  <c r="D27" i="12"/>
  <c r="F12" i="11"/>
  <c r="E27" i="12"/>
  <c r="F20" i="11"/>
  <c r="E12" i="11"/>
  <c r="E7" i="11"/>
  <c r="E15" i="11"/>
  <c r="E20" i="11"/>
  <c r="D49" i="12"/>
  <c r="H27" i="7"/>
  <c r="F17" i="11"/>
  <c r="E17" i="11"/>
  <c r="F49" i="12"/>
  <c r="J38" i="12"/>
  <c r="I40" i="12"/>
  <c r="H40" i="12"/>
  <c r="E49" i="12"/>
  <c r="F27" i="12"/>
  <c r="D41" i="7"/>
  <c r="F9" i="11"/>
  <c r="H9" i="11" s="1"/>
  <c r="I9" i="11" s="1"/>
  <c r="F15" i="11"/>
  <c r="F7" i="11"/>
  <c r="H7" i="11" s="1"/>
  <c r="I7" i="11" s="1"/>
  <c r="B12" i="16"/>
  <c r="B14" i="16" s="1"/>
  <c r="E41" i="7"/>
  <c r="D23" i="10"/>
  <c r="K39" i="7"/>
  <c r="F41" i="7"/>
  <c r="H39" i="7"/>
  <c r="I39" i="7"/>
  <c r="J39" i="7"/>
  <c r="L39" i="7"/>
  <c r="D27" i="10" l="1"/>
  <c r="D24" i="10"/>
  <c r="F22" i="11"/>
  <c r="E22" i="11"/>
  <c r="H15" i="11"/>
  <c r="I15" i="11" s="1"/>
  <c r="J15" i="11" s="1"/>
  <c r="H17" i="11"/>
  <c r="I17" i="11" s="1"/>
  <c r="J17" i="11" s="1"/>
  <c r="D33" i="10"/>
  <c r="K38" i="12"/>
  <c r="J40" i="12"/>
  <c r="B15" i="16"/>
  <c r="B17" i="16" s="1"/>
  <c r="J9" i="11"/>
  <c r="J7" i="11"/>
  <c r="I27" i="7"/>
  <c r="K27" i="7" s="1"/>
  <c r="J27" i="7"/>
  <c r="L38" i="12" l="1"/>
  <c r="L40" i="12" s="1"/>
  <c r="K40" i="12"/>
  <c r="H18" i="15"/>
  <c r="I18" i="15" s="1"/>
  <c r="J18" i="15" s="1"/>
  <c r="K18" i="15" s="1"/>
  <c r="L18" i="15" s="1"/>
  <c r="D27" i="15"/>
  <c r="K17" i="11"/>
  <c r="K15" i="11"/>
  <c r="K9" i="11"/>
  <c r="K7" i="11"/>
  <c r="L27" i="7"/>
  <c r="G27" i="2"/>
  <c r="G12" i="2"/>
  <c r="L17" i="11" l="1"/>
  <c r="L15" i="11"/>
  <c r="L9" i="11"/>
  <c r="L7" i="11"/>
  <c r="H27" i="2"/>
  <c r="G28" i="2"/>
  <c r="G26" i="2"/>
  <c r="G25" i="2" s="1"/>
  <c r="G13" i="2"/>
  <c r="G11" i="2"/>
  <c r="H12" i="2"/>
  <c r="H10" i="10" l="1"/>
  <c r="H9" i="10" s="1"/>
  <c r="G10" i="2"/>
  <c r="H22" i="10"/>
  <c r="H28" i="2"/>
  <c r="H26" i="2"/>
  <c r="H25" i="2" s="1"/>
  <c r="I27" i="2"/>
  <c r="H13" i="2"/>
  <c r="I12" i="2"/>
  <c r="H11" i="2"/>
  <c r="I10" i="10" l="1"/>
  <c r="I9" i="10" s="1"/>
  <c r="H10" i="2"/>
  <c r="I22" i="10"/>
  <c r="I28" i="2"/>
  <c r="J27" i="2"/>
  <c r="I26" i="2"/>
  <c r="I25" i="2" s="1"/>
  <c r="I13" i="2"/>
  <c r="I11" i="2"/>
  <c r="J12" i="2"/>
  <c r="J10" i="10" l="1"/>
  <c r="J9" i="10" s="1"/>
  <c r="I10" i="2"/>
  <c r="J22" i="10"/>
  <c r="J26" i="2"/>
  <c r="J25" i="2" s="1"/>
  <c r="K27" i="2"/>
  <c r="J28" i="2"/>
  <c r="J11" i="2"/>
  <c r="J13" i="2"/>
  <c r="K12" i="2"/>
  <c r="K10" i="10" l="1"/>
  <c r="K9" i="10" s="1"/>
  <c r="J10" i="2"/>
  <c r="K22" i="10"/>
  <c r="K28" i="2"/>
  <c r="K26" i="2"/>
  <c r="K25" i="2" s="1"/>
  <c r="K13" i="2"/>
  <c r="K11" i="2"/>
  <c r="L10" i="10" l="1"/>
  <c r="L9" i="10" s="1"/>
  <c r="K10" i="2"/>
  <c r="L22" i="10"/>
  <c r="E8" i="10" l="1"/>
  <c r="E11" i="10" s="1"/>
  <c r="F8" i="10"/>
  <c r="E15" i="10" l="1"/>
  <c r="E20" i="10" s="1"/>
  <c r="E23" i="10" s="1"/>
  <c r="F11" i="10"/>
  <c r="G7" i="2"/>
  <c r="E27" i="10" l="1"/>
  <c r="E33" i="10" s="1"/>
  <c r="E24" i="10"/>
  <c r="D32" i="10"/>
  <c r="G8" i="2"/>
  <c r="F15" i="10"/>
  <c r="F20" i="10" s="1"/>
  <c r="F23" i="10" s="1"/>
  <c r="F24" i="10" s="1"/>
  <c r="H7" i="2"/>
  <c r="G6" i="2"/>
  <c r="G17" i="2"/>
  <c r="H8" i="10" l="1"/>
  <c r="H7" i="10" s="1"/>
  <c r="H10" i="11" s="1"/>
  <c r="G5" i="2"/>
  <c r="F27" i="10"/>
  <c r="F33" i="10" s="1"/>
  <c r="H6" i="2"/>
  <c r="G22" i="2"/>
  <c r="H8" i="2"/>
  <c r="I7" i="2"/>
  <c r="G32" i="2"/>
  <c r="H17" i="2"/>
  <c r="G18" i="2"/>
  <c r="G16" i="2"/>
  <c r="I6" i="2"/>
  <c r="H26" i="7" l="1"/>
  <c r="H16" i="15" s="1"/>
  <c r="H11" i="10"/>
  <c r="H25" i="12"/>
  <c r="H6" i="11"/>
  <c r="H17" i="7" s="1"/>
  <c r="H5" i="2"/>
  <c r="I8" i="10"/>
  <c r="I7" i="10" s="1"/>
  <c r="I10" i="11" s="1"/>
  <c r="H14" i="10"/>
  <c r="H13" i="10" s="1"/>
  <c r="G15" i="2"/>
  <c r="J8" i="10"/>
  <c r="I5" i="2"/>
  <c r="J7" i="2"/>
  <c r="I8" i="2"/>
  <c r="F32" i="10"/>
  <c r="H22" i="2"/>
  <c r="G21" i="2"/>
  <c r="G20" i="2" s="1"/>
  <c r="G23" i="2"/>
  <c r="H32" i="2"/>
  <c r="G33" i="2"/>
  <c r="G31" i="2"/>
  <c r="G30" i="2" s="1"/>
  <c r="H18" i="2"/>
  <c r="H16" i="2"/>
  <c r="I17" i="2"/>
  <c r="K7" i="2"/>
  <c r="J6" i="2"/>
  <c r="J8" i="2"/>
  <c r="H31" i="7" l="1"/>
  <c r="H23" i="12"/>
  <c r="D6" i="8"/>
  <c r="H14" i="8" s="1"/>
  <c r="H14" i="11"/>
  <c r="H15" i="10"/>
  <c r="H8" i="11"/>
  <c r="I11" i="10"/>
  <c r="I26" i="7"/>
  <c r="I25" i="12"/>
  <c r="I6" i="11"/>
  <c r="J7" i="10"/>
  <c r="J10" i="11" s="1"/>
  <c r="I14" i="10"/>
  <c r="I13" i="10" s="1"/>
  <c r="H15" i="2"/>
  <c r="K8" i="10"/>
  <c r="J5" i="2"/>
  <c r="H19" i="10"/>
  <c r="H18" i="10" s="1"/>
  <c r="H23" i="2"/>
  <c r="I22" i="2"/>
  <c r="H21" i="2"/>
  <c r="H20" i="2" s="1"/>
  <c r="E32" i="10"/>
  <c r="G37" i="2"/>
  <c r="H33" i="2"/>
  <c r="I32" i="2"/>
  <c r="H31" i="2"/>
  <c r="H30" i="2" s="1"/>
  <c r="I18" i="2"/>
  <c r="I16" i="2"/>
  <c r="J17" i="2"/>
  <c r="K6" i="2"/>
  <c r="K8" i="2"/>
  <c r="D14" i="8" l="1"/>
  <c r="D19" i="8" s="1"/>
  <c r="H9" i="7" s="1"/>
  <c r="H13" i="15" s="1"/>
  <c r="H19" i="7"/>
  <c r="H20" i="12"/>
  <c r="H12" i="11"/>
  <c r="H8" i="12"/>
  <c r="H18" i="12" s="1"/>
  <c r="H21" i="10"/>
  <c r="H23" i="10" s="1"/>
  <c r="G14" i="8"/>
  <c r="D20" i="8"/>
  <c r="F14" i="8"/>
  <c r="E14" i="8"/>
  <c r="H20" i="10"/>
  <c r="H18" i="7"/>
  <c r="I14" i="11"/>
  <c r="I8" i="11"/>
  <c r="I20" i="12" s="1"/>
  <c r="I15" i="10"/>
  <c r="J25" i="12"/>
  <c r="J6" i="11"/>
  <c r="J17" i="7" s="1"/>
  <c r="J11" i="10"/>
  <c r="J26" i="7"/>
  <c r="J14" i="10"/>
  <c r="J13" i="10" s="1"/>
  <c r="I15" i="2"/>
  <c r="I17" i="7"/>
  <c r="I23" i="12"/>
  <c r="I16" i="15"/>
  <c r="E6" i="8"/>
  <c r="I31" i="7"/>
  <c r="L8" i="10"/>
  <c r="K5" i="2"/>
  <c r="K7" i="10"/>
  <c r="K11" i="10" s="1"/>
  <c r="I19" i="10"/>
  <c r="I18" i="10" s="1"/>
  <c r="J22" i="2"/>
  <c r="I23" i="2"/>
  <c r="I21" i="2"/>
  <c r="I20" i="2" s="1"/>
  <c r="G36" i="2"/>
  <c r="G38" i="2"/>
  <c r="H14" i="7"/>
  <c r="H37" i="2"/>
  <c r="I31" i="2"/>
  <c r="I30" i="2" s="1"/>
  <c r="I33" i="2"/>
  <c r="J32" i="2"/>
  <c r="J18" i="2"/>
  <c r="J16" i="2"/>
  <c r="K17" i="2"/>
  <c r="L7" i="10" l="1"/>
  <c r="L11" i="10" s="1"/>
  <c r="K25" i="12"/>
  <c r="K10" i="11"/>
  <c r="H24" i="10"/>
  <c r="I19" i="7"/>
  <c r="H43" i="12"/>
  <c r="H47" i="12" s="1"/>
  <c r="H49" i="12" s="1"/>
  <c r="I18" i="7"/>
  <c r="I12" i="11"/>
  <c r="J8" i="11"/>
  <c r="J20" i="12" s="1"/>
  <c r="J14" i="11"/>
  <c r="J15" i="10"/>
  <c r="I20" i="10"/>
  <c r="K14" i="10"/>
  <c r="K13" i="10" s="1"/>
  <c r="J15" i="2"/>
  <c r="J16" i="15"/>
  <c r="F6" i="8"/>
  <c r="J31" i="7"/>
  <c r="G15" i="8"/>
  <c r="H15" i="8"/>
  <c r="E15" i="8"/>
  <c r="E19" i="8" s="1"/>
  <c r="F15" i="8"/>
  <c r="H32" i="10"/>
  <c r="G35" i="2"/>
  <c r="J23" i="12"/>
  <c r="L25" i="12"/>
  <c r="L26" i="7"/>
  <c r="L31" i="7" s="1"/>
  <c r="K6" i="11"/>
  <c r="K17" i="7" s="1"/>
  <c r="K26" i="7"/>
  <c r="K16" i="15" s="1"/>
  <c r="J19" i="10"/>
  <c r="J18" i="10" s="1"/>
  <c r="H27" i="10"/>
  <c r="H10" i="15"/>
  <c r="H12" i="15" s="1"/>
  <c r="K22" i="2"/>
  <c r="J21" i="2"/>
  <c r="J20" i="2" s="1"/>
  <c r="J23" i="2"/>
  <c r="H36" i="2"/>
  <c r="H38" i="2"/>
  <c r="I37" i="2"/>
  <c r="J33" i="2"/>
  <c r="J31" i="2"/>
  <c r="J30" i="2" s="1"/>
  <c r="K32" i="2"/>
  <c r="K18" i="2"/>
  <c r="K16" i="2"/>
  <c r="J20" i="10" l="1"/>
  <c r="L6" i="11"/>
  <c r="L17" i="7" s="1"/>
  <c r="L10" i="11"/>
  <c r="J19" i="7"/>
  <c r="I43" i="12"/>
  <c r="I47" i="12" s="1"/>
  <c r="I49" i="12" s="1"/>
  <c r="J18" i="7"/>
  <c r="J12" i="11"/>
  <c r="K23" i="12"/>
  <c r="G6" i="8"/>
  <c r="G17" i="8" s="1"/>
  <c r="K31" i="7"/>
  <c r="L16" i="15"/>
  <c r="H6" i="8"/>
  <c r="H18" i="8" s="1"/>
  <c r="K8" i="11"/>
  <c r="K15" i="10"/>
  <c r="K14" i="11"/>
  <c r="I32" i="10"/>
  <c r="H35" i="2"/>
  <c r="L14" i="10"/>
  <c r="L13" i="10" s="1"/>
  <c r="K15" i="2"/>
  <c r="G16" i="8"/>
  <c r="H16" i="8"/>
  <c r="F16" i="8"/>
  <c r="F19" i="8" s="1"/>
  <c r="I9" i="7"/>
  <c r="I21" i="10"/>
  <c r="I23" i="10" s="1"/>
  <c r="E20" i="8"/>
  <c r="H31" i="10"/>
  <c r="H16" i="11" s="1"/>
  <c r="K19" i="10"/>
  <c r="K18" i="10" s="1"/>
  <c r="I38" i="2"/>
  <c r="I36" i="2"/>
  <c r="K23" i="2"/>
  <c r="K21" i="2"/>
  <c r="K20" i="2" s="1"/>
  <c r="J37" i="2"/>
  <c r="K33" i="2"/>
  <c r="K31" i="2"/>
  <c r="K30" i="2" s="1"/>
  <c r="L23" i="12" l="1"/>
  <c r="I27" i="10"/>
  <c r="I31" i="10" s="1"/>
  <c r="I16" i="11" s="1"/>
  <c r="I22" i="7" s="1"/>
  <c r="I24" i="10"/>
  <c r="J43" i="12"/>
  <c r="J47" i="12" s="1"/>
  <c r="J49" i="12" s="1"/>
  <c r="I20" i="11"/>
  <c r="I22" i="11" s="1"/>
  <c r="H22" i="7"/>
  <c r="H20" i="11"/>
  <c r="H22" i="11" s="1"/>
  <c r="K19" i="7"/>
  <c r="K18" i="7"/>
  <c r="K12" i="11"/>
  <c r="G19" i="8"/>
  <c r="G20" i="8" s="1"/>
  <c r="H17" i="8"/>
  <c r="H19" i="8"/>
  <c r="L9" i="7" s="1"/>
  <c r="L13" i="15" s="1"/>
  <c r="K20" i="10"/>
  <c r="K20" i="12"/>
  <c r="L8" i="11"/>
  <c r="L15" i="10"/>
  <c r="L14" i="11"/>
  <c r="J32" i="10"/>
  <c r="I35" i="2"/>
  <c r="I13" i="15"/>
  <c r="I8" i="12"/>
  <c r="I14" i="7"/>
  <c r="F20" i="8"/>
  <c r="J21" i="10"/>
  <c r="J23" i="10" s="1"/>
  <c r="J24" i="10" s="1"/>
  <c r="J9" i="7"/>
  <c r="I10" i="15"/>
  <c r="I12" i="15" s="1"/>
  <c r="H33" i="10"/>
  <c r="H7" i="7" s="1"/>
  <c r="L19" i="10"/>
  <c r="L18" i="10" s="1"/>
  <c r="J36" i="2"/>
  <c r="J38" i="2"/>
  <c r="I33" i="10"/>
  <c r="I7" i="7" s="1"/>
  <c r="K37" i="2"/>
  <c r="K9" i="7" l="1"/>
  <c r="K13" i="15" s="1"/>
  <c r="K43" i="12"/>
  <c r="K47" i="12" s="1"/>
  <c r="K49" i="12" s="1"/>
  <c r="L19" i="7"/>
  <c r="L18" i="7"/>
  <c r="L12" i="11"/>
  <c r="K21" i="10"/>
  <c r="K23" i="10" s="1"/>
  <c r="L21" i="10"/>
  <c r="H20" i="8"/>
  <c r="L14" i="7"/>
  <c r="L20" i="10"/>
  <c r="K14" i="7"/>
  <c r="L20" i="12"/>
  <c r="J13" i="15"/>
  <c r="J14" i="7"/>
  <c r="J27" i="10"/>
  <c r="J31" i="10" s="1"/>
  <c r="J16" i="11" s="1"/>
  <c r="J10" i="15"/>
  <c r="J12" i="15" s="1"/>
  <c r="I18" i="12"/>
  <c r="J8" i="12"/>
  <c r="K32" i="10"/>
  <c r="J35" i="2"/>
  <c r="K38" i="2"/>
  <c r="K36" i="2"/>
  <c r="H16" i="7"/>
  <c r="I16" i="7"/>
  <c r="L43" i="12" l="1"/>
  <c r="L47" i="12" s="1"/>
  <c r="L49" i="12" s="1"/>
  <c r="K10" i="15"/>
  <c r="K12" i="15" s="1"/>
  <c r="K24" i="10"/>
  <c r="L23" i="10"/>
  <c r="L24" i="10" s="1"/>
  <c r="K27" i="10"/>
  <c r="K31" i="10" s="1"/>
  <c r="K16" i="11" s="1"/>
  <c r="J22" i="7"/>
  <c r="J20" i="11"/>
  <c r="J22" i="11" s="1"/>
  <c r="J33" i="10"/>
  <c r="J7" i="7" s="1"/>
  <c r="J16" i="7" s="1"/>
  <c r="J21" i="7" s="1"/>
  <c r="L32" i="10"/>
  <c r="K35" i="2"/>
  <c r="J18" i="12"/>
  <c r="K8" i="12"/>
  <c r="I21" i="7"/>
  <c r="I23" i="7" s="1"/>
  <c r="I41" i="7" s="1"/>
  <c r="I15" i="15"/>
  <c r="I17" i="15" s="1"/>
  <c r="I19" i="15" s="1"/>
  <c r="H21" i="7"/>
  <c r="H23" i="7" s="1"/>
  <c r="H41" i="7" s="1"/>
  <c r="H22" i="12" s="1"/>
  <c r="H15" i="15"/>
  <c r="H17" i="15" l="1"/>
  <c r="H19" i="15" s="1"/>
  <c r="L27" i="10"/>
  <c r="L10" i="15"/>
  <c r="L12" i="15" s="1"/>
  <c r="J23" i="7"/>
  <c r="J41" i="7" s="1"/>
  <c r="L31" i="10"/>
  <c r="L33" i="10" s="1"/>
  <c r="L7" i="7" s="1"/>
  <c r="L16" i="7" s="1"/>
  <c r="K33" i="10"/>
  <c r="K7" i="7" s="1"/>
  <c r="K16" i="7" s="1"/>
  <c r="K15" i="15" s="1"/>
  <c r="K17" i="15" s="1"/>
  <c r="K19" i="15" s="1"/>
  <c r="K22" i="7"/>
  <c r="K20" i="11"/>
  <c r="K22" i="11" s="1"/>
  <c r="K18" i="12"/>
  <c r="L8" i="12"/>
  <c r="L18" i="12" s="1"/>
  <c r="J15" i="15"/>
  <c r="J17" i="15" s="1"/>
  <c r="J19" i="15" s="1"/>
  <c r="I22" i="12"/>
  <c r="I26" i="12" s="1"/>
  <c r="I27" i="12" s="1"/>
  <c r="H26" i="12"/>
  <c r="H27" i="12" s="1"/>
  <c r="K21" i="7" l="1"/>
  <c r="K23" i="7" s="1"/>
  <c r="K41" i="7" s="1"/>
  <c r="L16" i="11"/>
  <c r="L22" i="7" s="1"/>
  <c r="J22" i="12"/>
  <c r="L21" i="7"/>
  <c r="L15" i="15"/>
  <c r="L17" i="15" s="1"/>
  <c r="L19" i="15" s="1"/>
  <c r="D28" i="15" s="1"/>
  <c r="D29" i="15" s="1"/>
  <c r="D30" i="15" s="1"/>
  <c r="L20" i="11" l="1"/>
  <c r="L22" i="11" s="1"/>
  <c r="L23" i="7"/>
  <c r="L41" i="7" s="1"/>
  <c r="K22" i="12"/>
  <c r="J26" i="12"/>
  <c r="J27" i="12" s="1"/>
  <c r="C21" i="15"/>
  <c r="L22" i="12"/>
  <c r="L26" i="12" s="1"/>
  <c r="L27" i="12" s="1"/>
  <c r="K26" i="12"/>
  <c r="K27" i="12" s="1"/>
</calcChain>
</file>

<file path=xl/sharedStrings.xml><?xml version="1.0" encoding="utf-8"?>
<sst xmlns="http://schemas.openxmlformats.org/spreadsheetml/2006/main" count="249" uniqueCount="185">
  <si>
    <t>Other Income</t>
  </si>
  <si>
    <t>COGS</t>
  </si>
  <si>
    <t>Gross Profit</t>
  </si>
  <si>
    <t>SG&amp;A</t>
  </si>
  <si>
    <t>EBITDA</t>
  </si>
  <si>
    <t>Depericiation and amortisation</t>
  </si>
  <si>
    <t>EBIT</t>
  </si>
  <si>
    <t>PBT</t>
  </si>
  <si>
    <t>Tax</t>
  </si>
  <si>
    <t>PAT</t>
  </si>
  <si>
    <t>Bull Market</t>
  </si>
  <si>
    <t>Base Market</t>
  </si>
  <si>
    <t>Bear Market</t>
  </si>
  <si>
    <t>% y-o-y growth</t>
  </si>
  <si>
    <t>% of revenue</t>
  </si>
  <si>
    <t>% of COGS</t>
  </si>
  <si>
    <t>Financing Cost</t>
  </si>
  <si>
    <t>% of PBT</t>
  </si>
  <si>
    <t>Assets</t>
  </si>
  <si>
    <t>Non-Current assets</t>
  </si>
  <si>
    <t>Total Assets</t>
  </si>
  <si>
    <t>Equity and Liabilities</t>
  </si>
  <si>
    <t xml:space="preserve">Equity  </t>
  </si>
  <si>
    <t>Equity share capital</t>
  </si>
  <si>
    <t>Other equity</t>
  </si>
  <si>
    <t>Liabilities</t>
  </si>
  <si>
    <t>Current Liabilities</t>
  </si>
  <si>
    <t>Total Equity and Liabilities</t>
  </si>
  <si>
    <t>Cash flow from operating activities</t>
  </si>
  <si>
    <t>Cash flows from operating activities before changes in following assets and liabilities</t>
  </si>
  <si>
    <t>Net cash from/(used in) operating activities</t>
  </si>
  <si>
    <t>Cash flow from investing activities</t>
  </si>
  <si>
    <t>Capital expenditure</t>
  </si>
  <si>
    <t>Net cash used in investing activities</t>
  </si>
  <si>
    <t>Cash flows from financing activities</t>
  </si>
  <si>
    <t>Net cash from/(used in) financing activities</t>
  </si>
  <si>
    <t>Net increase in cash and cash equivalents</t>
  </si>
  <si>
    <t>Total</t>
  </si>
  <si>
    <t>Depriciation Schedule</t>
  </si>
  <si>
    <t>PP&amp;E</t>
  </si>
  <si>
    <t>Useful life</t>
  </si>
  <si>
    <t>CAPEX</t>
  </si>
  <si>
    <t>Depreciation</t>
  </si>
  <si>
    <t>Existing PP&amp;E</t>
  </si>
  <si>
    <t>2022 CAPEX</t>
  </si>
  <si>
    <t>2023 CAPEX</t>
  </si>
  <si>
    <t>2024 CAPEX</t>
  </si>
  <si>
    <t>2025 CAPEX</t>
  </si>
  <si>
    <t>2026 CAPEX</t>
  </si>
  <si>
    <t>Total book depreciation</t>
  </si>
  <si>
    <t>Total Revenue</t>
  </si>
  <si>
    <t>Current assets</t>
  </si>
  <si>
    <t>Current liabilities</t>
  </si>
  <si>
    <t>Period</t>
  </si>
  <si>
    <t>Tax rate</t>
  </si>
  <si>
    <t>EBIAT</t>
  </si>
  <si>
    <t>Depreciation and Amortisation</t>
  </si>
  <si>
    <t>UCFC</t>
  </si>
  <si>
    <t>WACC</t>
  </si>
  <si>
    <t>PV of UCFC</t>
  </si>
  <si>
    <t>Terminal Value</t>
  </si>
  <si>
    <t>Growth in perpetuity method</t>
  </si>
  <si>
    <t>Long term growth rate</t>
  </si>
  <si>
    <t>Free cash flow(t+1)</t>
  </si>
  <si>
    <t>PV of terminal value</t>
  </si>
  <si>
    <t>Sum of PV of UCFC</t>
  </si>
  <si>
    <t>Changes in Working Capital</t>
  </si>
  <si>
    <t xml:space="preserve">Other Non-cash items (if any) </t>
  </si>
  <si>
    <t>Rf</t>
  </si>
  <si>
    <t>Beta</t>
  </si>
  <si>
    <t>MRP</t>
  </si>
  <si>
    <t>Cost of Equity</t>
  </si>
  <si>
    <t>Cost of Debt</t>
  </si>
  <si>
    <t>Shares Outstanding</t>
  </si>
  <si>
    <t>Valuation Date</t>
  </si>
  <si>
    <t>Share Price on Valuation Date</t>
  </si>
  <si>
    <t>Diluted Shares Outstanding</t>
  </si>
  <si>
    <t>Share Price</t>
  </si>
  <si>
    <t>Tax Rate</t>
  </si>
  <si>
    <t>After tax cost of debt</t>
  </si>
  <si>
    <t>Total Debt</t>
  </si>
  <si>
    <t>Total Equity</t>
  </si>
  <si>
    <t>Total Capital</t>
  </si>
  <si>
    <t>Debt Weighting</t>
  </si>
  <si>
    <t>Equity Weighting</t>
  </si>
  <si>
    <t>A</t>
  </si>
  <si>
    <t>B</t>
  </si>
  <si>
    <t>C</t>
  </si>
  <si>
    <t>Historical Figures</t>
  </si>
  <si>
    <t>Forecast Period</t>
  </si>
  <si>
    <t>*Figures in crore</t>
  </si>
  <si>
    <t>Cash-flow Statement</t>
  </si>
  <si>
    <t>Balance Sheet</t>
  </si>
  <si>
    <t>Live Case</t>
  </si>
  <si>
    <t>Total Current Asset</t>
  </si>
  <si>
    <t>Total Current Liabilities</t>
  </si>
  <si>
    <t>Beta* MRP</t>
  </si>
  <si>
    <t>Operating Working Capital Schedule</t>
  </si>
  <si>
    <t xml:space="preserve">Total Operating Working Capital </t>
  </si>
  <si>
    <t>% y-o-y change</t>
  </si>
  <si>
    <t xml:space="preserve">  Profit/(loss) for the year</t>
  </si>
  <si>
    <t xml:space="preserve">  Adjustments for:</t>
  </si>
  <si>
    <t xml:space="preserve">  Depreciation and amortisation expense</t>
  </si>
  <si>
    <t xml:space="preserve">  Tax expenses(net)</t>
  </si>
  <si>
    <t xml:space="preserve">  Other Adjustments</t>
  </si>
  <si>
    <t xml:space="preserve">  Finance cost</t>
  </si>
  <si>
    <t xml:space="preserve">  Other income</t>
  </si>
  <si>
    <t xml:space="preserve">  Trade receivables</t>
  </si>
  <si>
    <t xml:space="preserve">  Inventories</t>
  </si>
  <si>
    <t xml:space="preserve">  Trade payables and acceptances</t>
  </si>
  <si>
    <t xml:space="preserve">  Other assets and liabilities</t>
  </si>
  <si>
    <t xml:space="preserve">  Income taxes paid (net)</t>
  </si>
  <si>
    <t xml:space="preserve">  Capital expenditure</t>
  </si>
  <si>
    <t xml:space="preserve">  Sale of PP&amp;E</t>
  </si>
  <si>
    <t xml:space="preserve">  Investments</t>
  </si>
  <si>
    <t xml:space="preserve">  Others</t>
  </si>
  <si>
    <t xml:space="preserve">  Long term debt</t>
  </si>
  <si>
    <t xml:space="preserve">  Short term debt</t>
  </si>
  <si>
    <t xml:space="preserve">  Repayment of lease</t>
  </si>
  <si>
    <t xml:space="preserve">  Common Equity</t>
  </si>
  <si>
    <t xml:space="preserve"> Interest and Dividend Paid</t>
  </si>
  <si>
    <t>Revenue</t>
  </si>
  <si>
    <t xml:space="preserve">  Revenue from operations</t>
  </si>
  <si>
    <t xml:space="preserve">  Other Income</t>
  </si>
  <si>
    <t xml:space="preserve">    % y-o-y change</t>
  </si>
  <si>
    <t xml:space="preserve">     % y-o-y change</t>
  </si>
  <si>
    <t xml:space="preserve">  % of revenue</t>
  </si>
  <si>
    <t>Operating expenses</t>
  </si>
  <si>
    <t xml:space="preserve">  SG&amp;A</t>
  </si>
  <si>
    <t xml:space="preserve">    % of revenue</t>
  </si>
  <si>
    <t xml:space="preserve">  % y-o-y change</t>
  </si>
  <si>
    <t xml:space="preserve">  EBIT margin (%)</t>
  </si>
  <si>
    <t xml:space="preserve">  Current tax</t>
  </si>
  <si>
    <t xml:space="preserve">  Deferred tax</t>
  </si>
  <si>
    <t xml:space="preserve">  Depericiation and amortisation</t>
  </si>
  <si>
    <t xml:space="preserve">  Finance Cost</t>
  </si>
  <si>
    <t xml:space="preserve">  Exceptional items</t>
  </si>
  <si>
    <t xml:space="preserve">  % of PBT</t>
  </si>
  <si>
    <t xml:space="preserve">  Property, plant and equipment</t>
  </si>
  <si>
    <t xml:space="preserve">  Capital work-in-progress</t>
  </si>
  <si>
    <t xml:space="preserve">  Right of use assets</t>
  </si>
  <si>
    <t xml:space="preserve">  Goodwill</t>
  </si>
  <si>
    <t xml:space="preserve">  Other intangible assets</t>
  </si>
  <si>
    <t xml:space="preserve">  Intangible assets under development</t>
  </si>
  <si>
    <t xml:space="preserve">  Investments in subsidiaries, joint ventures and associates</t>
  </si>
  <si>
    <t xml:space="preserve">  Financial assets</t>
  </si>
  <si>
    <t xml:space="preserve">  Non-current tax assets (net)</t>
  </si>
  <si>
    <t xml:space="preserve">  Other non-current assets</t>
  </si>
  <si>
    <t xml:space="preserve">  Cash &amp; cash equivalents</t>
  </si>
  <si>
    <t xml:space="preserve">  Trade Receivables</t>
  </si>
  <si>
    <t xml:space="preserve">  Assets classified as held for sale</t>
  </si>
  <si>
    <t xml:space="preserve">  Other current assets</t>
  </si>
  <si>
    <t>Total current assets</t>
  </si>
  <si>
    <t>Total non-current assets</t>
  </si>
  <si>
    <t xml:space="preserve">  Non-Current liabilities</t>
  </si>
  <si>
    <t xml:space="preserve">  Provisions</t>
  </si>
  <si>
    <t xml:space="preserve">  Deffered tax liabilities(net)</t>
  </si>
  <si>
    <t xml:space="preserve">  Other non-current liabilities</t>
  </si>
  <si>
    <t>Total non-current liabilities</t>
  </si>
  <si>
    <t xml:space="preserve">  Financial liabilities</t>
  </si>
  <si>
    <t xml:space="preserve">  Trade Payables &amp; Acceptances</t>
  </si>
  <si>
    <t xml:space="preserve">  Current tax liabilities (net)</t>
  </si>
  <si>
    <t xml:space="preserve">  Other current liabilities</t>
  </si>
  <si>
    <t>Total current liabilities</t>
  </si>
  <si>
    <t>Financial Model of TATA MOTORS</t>
  </si>
  <si>
    <t>Table of content</t>
  </si>
  <si>
    <t>Income Statement</t>
  </si>
  <si>
    <t>Working Capital Schedule</t>
  </si>
  <si>
    <t>DCF Analysis</t>
  </si>
  <si>
    <t>Depreciation Schedule</t>
  </si>
  <si>
    <t xml:space="preserve">Income Statement </t>
  </si>
  <si>
    <t>Discounted Cash-flow Statement</t>
  </si>
  <si>
    <t xml:space="preserve">    Days receivable</t>
  </si>
  <si>
    <t xml:space="preserve">  Other Current assets</t>
  </si>
  <si>
    <t xml:space="preserve">    % of revenues</t>
  </si>
  <si>
    <t xml:space="preserve">  Trade Payables</t>
  </si>
  <si>
    <t xml:space="preserve">    Days Payable</t>
  </si>
  <si>
    <t xml:space="preserve">  Current tax </t>
  </si>
  <si>
    <t xml:space="preserve">Revenue </t>
  </si>
  <si>
    <t xml:space="preserve"> % y-o-y growth</t>
  </si>
  <si>
    <t xml:space="preserve">  Other Current liabilities</t>
  </si>
  <si>
    <r>
      <t>Period ending January 31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</t>
    </r>
  </si>
  <si>
    <t>PP&amp;E (beg. of year)</t>
  </si>
  <si>
    <t>Note:</t>
  </si>
  <si>
    <t xml:space="preserve">This financial model is for educational purpose only and should not be use for any other reason.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</si>
</sst>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8"/>
      <color theme="0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6AA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 applyAlignment="1"/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1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0" fillId="4" borderId="0" xfId="0" applyNumberFormat="1" applyFill="1"/>
    <xf numFmtId="2" fontId="3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5" fillId="0" borderId="0" xfId="0" applyNumberFormat="1" applyFont="1"/>
    <xf numFmtId="10" fontId="5" fillId="0" borderId="0" xfId="0" applyNumberFormat="1" applyFont="1"/>
    <xf numFmtId="10" fontId="5" fillId="0" borderId="0" xfId="1" applyNumberFormat="1" applyFont="1"/>
    <xf numFmtId="10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0" fontId="0" fillId="0" borderId="0" xfId="0" applyNumberFormat="1" applyFont="1" applyBorder="1" applyAlignment="1"/>
    <xf numFmtId="2" fontId="5" fillId="0" borderId="0" xfId="0" applyNumberFormat="1" applyFont="1" applyFill="1"/>
    <xf numFmtId="14" fontId="5" fillId="0" borderId="0" xfId="0" applyNumberFormat="1" applyFont="1"/>
    <xf numFmtId="0" fontId="0" fillId="0" borderId="0" xfId="0" applyBorder="1"/>
    <xf numFmtId="1" fontId="5" fillId="0" borderId="0" xfId="0" applyNumberFormat="1" applyFont="1"/>
    <xf numFmtId="1" fontId="0" fillId="4" borderId="0" xfId="0" applyNumberFormat="1" applyFill="1"/>
    <xf numFmtId="10" fontId="0" fillId="4" borderId="0" xfId="1" applyNumberFormat="1" applyFont="1" applyFill="1"/>
    <xf numFmtId="0" fontId="0" fillId="0" borderId="0" xfId="0" applyFill="1" applyBorder="1" applyAlignment="1"/>
    <xf numFmtId="2" fontId="6" fillId="0" borderId="0" xfId="0" applyNumberFormat="1" applyFont="1"/>
    <xf numFmtId="2" fontId="6" fillId="0" borderId="0" xfId="0" applyNumberFormat="1" applyFont="1" applyBorder="1"/>
    <xf numFmtId="2" fontId="10" fillId="0" borderId="0" xfId="0" applyNumberFormat="1" applyFont="1"/>
    <xf numFmtId="2" fontId="6" fillId="4" borderId="0" xfId="0" applyNumberFormat="1" applyFont="1" applyFill="1"/>
    <xf numFmtId="10" fontId="6" fillId="0" borderId="0" xfId="0" applyNumberFormat="1" applyFont="1"/>
    <xf numFmtId="10" fontId="6" fillId="0" borderId="0" xfId="1" applyNumberFormat="1" applyFont="1"/>
    <xf numFmtId="10" fontId="6" fillId="3" borderId="0" xfId="1" applyNumberFormat="1" applyFont="1" applyFill="1" applyAlignment="1">
      <alignment horizontal="right"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8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center"/>
    </xf>
    <xf numFmtId="2" fontId="7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12" fillId="0" borderId="0" xfId="2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86AA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20434</xdr:colOff>
      <xdr:row>2</xdr:row>
      <xdr:rowOff>1</xdr:rowOff>
    </xdr:from>
    <xdr:to>
      <xdr:col>4</xdr:col>
      <xdr:colOff>427936</xdr:colOff>
      <xdr:row>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231297-E621-48C3-AA8C-1DFEB4CB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34" y="1289051"/>
          <a:ext cx="2236302" cy="142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</xdr:colOff>
      <xdr:row>13</xdr:row>
      <xdr:rowOff>152400</xdr:rowOff>
    </xdr:from>
    <xdr:to>
      <xdr:col>17</xdr:col>
      <xdr:colOff>482600</xdr:colOff>
      <xdr:row>22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B44E9-6F8A-492E-8D6C-98EB160B6A85}"/>
            </a:ext>
          </a:extLst>
        </xdr:cNvPr>
        <xdr:cNvSpPr txBox="1"/>
      </xdr:nvSpPr>
      <xdr:spPr>
        <a:xfrm>
          <a:off x="6762750" y="2647950"/>
          <a:ext cx="4083050" cy="1816100"/>
        </a:xfrm>
        <a:prstGeom prst="rect">
          <a:avLst/>
        </a:prstGeom>
        <a:solidFill>
          <a:srgbClr val="486AA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bg1"/>
              </a:solidFill>
            </a:rPr>
            <a:t>Tata Motors Limited (TML) is one of India’s biggest automobile manufacturing companies with an extensive range of integrated, smart and e-mobility solutions in its portfolio. The Tata Motors Group, part of the multi-national conglomerate</a:t>
          </a:r>
          <a:r>
            <a:rPr lang="en-IN" sz="1200" baseline="0">
              <a:solidFill>
                <a:schemeClr val="bg1"/>
              </a:solidFill>
            </a:rPr>
            <a:t> </a:t>
          </a:r>
          <a:r>
            <a:rPr lang="en-IN" sz="1200">
              <a:solidFill>
                <a:schemeClr val="bg1"/>
              </a:solidFill>
            </a:rPr>
            <a:t>the Tata Group, have operations in India, the UK, South Korea, South Africa, China, Brazil, Austria and Slovakia through a strong global network of subsidiaries, associate companies and Joint Ventures (JVs), including Jaguar Land Rover in the UK and Tata Daewoo in South Korea.</a:t>
          </a:r>
        </a:p>
      </xdr:txBody>
    </xdr:sp>
    <xdr:clientData/>
  </xdr:twoCellAnchor>
  <xdr:twoCellAnchor editAs="oneCell">
    <xdr:from>
      <xdr:col>11</xdr:col>
      <xdr:colOff>0</xdr:colOff>
      <xdr:row>7</xdr:row>
      <xdr:rowOff>44450</xdr:rowOff>
    </xdr:from>
    <xdr:to>
      <xdr:col>14</xdr:col>
      <xdr:colOff>358317</xdr:colOff>
      <xdr:row>13</xdr:row>
      <xdr:rowOff>95250</xdr:rowOff>
    </xdr:to>
    <xdr:pic>
      <xdr:nvPicPr>
        <xdr:cNvPr id="4" name="Picture 3" descr="Tata Nexon EV Right Front Three Quarter">
          <a:extLst>
            <a:ext uri="{FF2B5EF4-FFF2-40B4-BE49-F238E27FC236}">
              <a16:creationId xmlns:a16="http://schemas.microsoft.com/office/drawing/2014/main" id="{6271570E-B8CD-41D2-896F-33D282FB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3500"/>
          <a:ext cx="2187117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B149-3171-4DC9-899E-005F6B5A2BC5}">
  <dimension ref="B13:I25"/>
  <sheetViews>
    <sheetView showGridLines="0" tabSelected="1" workbookViewId="0">
      <selection activeCell="K16" sqref="K16"/>
    </sheetView>
  </sheetViews>
  <sheetFormatPr defaultRowHeight="14.5" x14ac:dyDescent="0.35"/>
  <cols>
    <col min="1" max="16384" width="8.7265625" style="26"/>
  </cols>
  <sheetData>
    <row r="13" spans="2:7" s="30" customFormat="1" ht="22.5" x14ac:dyDescent="0.45">
      <c r="B13" s="42" t="s">
        <v>164</v>
      </c>
      <c r="C13" s="42"/>
      <c r="D13" s="42"/>
      <c r="E13" s="42"/>
      <c r="F13" s="42"/>
      <c r="G13" s="42"/>
    </row>
    <row r="15" spans="2:7" ht="18.5" x14ac:dyDescent="0.45">
      <c r="B15" s="41" t="s">
        <v>165</v>
      </c>
      <c r="C15" s="41"/>
      <c r="D15" s="41"/>
      <c r="E15" s="41"/>
    </row>
    <row r="16" spans="2:7" ht="15.5" x14ac:dyDescent="0.35">
      <c r="B16" s="26">
        <v>1</v>
      </c>
      <c r="C16" s="62" t="s">
        <v>166</v>
      </c>
    </row>
    <row r="17" spans="2:9" ht="15.5" x14ac:dyDescent="0.35">
      <c r="B17" s="26">
        <v>2</v>
      </c>
      <c r="C17" s="62" t="s">
        <v>91</v>
      </c>
    </row>
    <row r="18" spans="2:9" ht="15.5" x14ac:dyDescent="0.35">
      <c r="B18" s="26">
        <v>3</v>
      </c>
      <c r="C18" s="62" t="s">
        <v>38</v>
      </c>
      <c r="I18"/>
    </row>
    <row r="19" spans="2:9" ht="15.5" x14ac:dyDescent="0.35">
      <c r="B19" s="26">
        <v>4</v>
      </c>
      <c r="C19" s="62" t="s">
        <v>167</v>
      </c>
    </row>
    <row r="20" spans="2:9" ht="15.5" x14ac:dyDescent="0.35">
      <c r="B20" s="26">
        <v>5</v>
      </c>
      <c r="C20" s="62" t="s">
        <v>92</v>
      </c>
    </row>
    <row r="21" spans="2:9" ht="15.5" x14ac:dyDescent="0.35">
      <c r="B21" s="26">
        <v>6</v>
      </c>
      <c r="C21" s="62" t="s">
        <v>168</v>
      </c>
    </row>
    <row r="22" spans="2:9" ht="15.5" x14ac:dyDescent="0.35">
      <c r="B22" s="26">
        <v>7</v>
      </c>
      <c r="C22" s="62" t="s">
        <v>58</v>
      </c>
    </row>
    <row r="24" spans="2:9" x14ac:dyDescent="0.35">
      <c r="C24" s="26" t="s">
        <v>183</v>
      </c>
    </row>
    <row r="25" spans="2:9" x14ac:dyDescent="0.35">
      <c r="C25" s="26" t="s">
        <v>184</v>
      </c>
    </row>
  </sheetData>
  <mergeCells count="2">
    <mergeCell ref="B15:E15"/>
    <mergeCell ref="B13:G13"/>
  </mergeCells>
  <hyperlinks>
    <hyperlink ref="C16" location="'Income Statement'!A1" display="Income Statement" xr:uid="{A7D0F5B0-D517-44BE-8B9A-D9FDE578C8CB}"/>
    <hyperlink ref="C17" location="'Cash-flow Statement'!A1" display="Cash-flow Statement" xr:uid="{EB470E3F-7EA2-4A26-9E0C-83DCD45C12B7}"/>
    <hyperlink ref="C18" location="'Depriciation Schedule'!A1" display="Depriciation Schedule" xr:uid="{E4D2A75C-1F95-406E-8158-A0D88EFED915}"/>
    <hyperlink ref="C19" location="'Working Capital Schedule'!A1" display="Working Capital Schedule" xr:uid="{51533EDD-90DD-4E8F-83D9-7385B7497F97}"/>
    <hyperlink ref="C20" location="'Balance Sheet'!A1" display="Balance Sheet" xr:uid="{EEE2083F-E024-48BD-B195-88B156AD71DC}"/>
    <hyperlink ref="C21" location="'DCF Analysis'!A1" display="DCF Analysis" xr:uid="{1BFE9065-FA25-4461-8427-0C1A608CEB5F}"/>
    <hyperlink ref="C22" location="WACC!A1" display="WACC" xr:uid="{34B7E4BA-075F-4833-8DB7-EDFC8353D0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CBF5-A69B-4730-A3FC-092A17260944}">
  <dimension ref="A1:N33"/>
  <sheetViews>
    <sheetView showGridLines="0" workbookViewId="0">
      <pane ySplit="5" topLeftCell="A6" activePane="bottomLeft" state="frozen"/>
      <selection pane="bottomLeft" activeCell="C10" sqref="C10"/>
    </sheetView>
  </sheetViews>
  <sheetFormatPr defaultColWidth="12.6328125" defaultRowHeight="14.5" x14ac:dyDescent="0.35"/>
  <cols>
    <col min="7" max="7" width="5.1796875" customWidth="1"/>
  </cols>
  <sheetData>
    <row r="1" spans="1:14" ht="22.5" x14ac:dyDescent="0.45">
      <c r="A1" s="44" t="s">
        <v>170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4" x14ac:dyDescent="0.35">
      <c r="M2" s="39" t="s">
        <v>85</v>
      </c>
      <c r="N2" s="40" t="s">
        <v>10</v>
      </c>
    </row>
    <row r="3" spans="1:14" x14ac:dyDescent="0.35">
      <c r="A3" s="10" t="s">
        <v>93</v>
      </c>
      <c r="B3" s="16" t="s">
        <v>85</v>
      </c>
      <c r="M3" s="39" t="s">
        <v>86</v>
      </c>
      <c r="N3" s="40" t="s">
        <v>11</v>
      </c>
    </row>
    <row r="4" spans="1:14" x14ac:dyDescent="0.35">
      <c r="A4" s="45" t="s">
        <v>90</v>
      </c>
      <c r="B4" s="45"/>
      <c r="C4" s="45"/>
      <c r="D4" s="46" t="s">
        <v>88</v>
      </c>
      <c r="E4" s="47"/>
      <c r="F4" s="47"/>
      <c r="G4" s="48"/>
      <c r="H4" s="43" t="s">
        <v>89</v>
      </c>
      <c r="I4" s="43"/>
      <c r="J4" s="43"/>
      <c r="K4" s="43"/>
      <c r="L4" s="43"/>
      <c r="M4" s="39" t="s">
        <v>87</v>
      </c>
      <c r="N4" s="40" t="s">
        <v>12</v>
      </c>
    </row>
    <row r="5" spans="1:14" x14ac:dyDescent="0.35">
      <c r="D5">
        <v>2019</v>
      </c>
      <c r="E5">
        <v>2020</v>
      </c>
      <c r="F5">
        <v>2021</v>
      </c>
      <c r="H5">
        <v>2022</v>
      </c>
      <c r="I5">
        <v>2023</v>
      </c>
      <c r="J5">
        <v>2024</v>
      </c>
      <c r="K5">
        <v>2025</v>
      </c>
      <c r="L5">
        <v>2026</v>
      </c>
    </row>
    <row r="6" spans="1:14" s="38" customFormat="1" x14ac:dyDescent="0.35">
      <c r="A6" s="38" t="s">
        <v>121</v>
      </c>
    </row>
    <row r="7" spans="1:14" x14ac:dyDescent="0.35">
      <c r="A7" t="s">
        <v>122</v>
      </c>
      <c r="D7" s="17">
        <v>69202.759999999995</v>
      </c>
      <c r="E7" s="17">
        <v>43928.17</v>
      </c>
      <c r="F7" s="17">
        <v>47031.47</v>
      </c>
      <c r="G7" s="3"/>
      <c r="H7" s="3">
        <f>F7*(1+H8)</f>
        <v>51018.508682039348</v>
      </c>
      <c r="I7" s="3">
        <f>H7*(1+I8)</f>
        <v>55343.543974690227</v>
      </c>
      <c r="J7" s="3">
        <f>I7*(1+J8)</f>
        <v>60035.229151195141</v>
      </c>
      <c r="K7" s="3">
        <f t="shared" ref="K7:L7" si="0">J7*(1+K8)</f>
        <v>65124.646533022904</v>
      </c>
      <c r="L7" s="3">
        <f t="shared" si="0"/>
        <v>70645.513409633437</v>
      </c>
    </row>
    <row r="8" spans="1:14" s="2" customFormat="1" x14ac:dyDescent="0.35">
      <c r="A8" s="2" t="s">
        <v>125</v>
      </c>
      <c r="D8" s="18"/>
      <c r="E8" s="20">
        <f>Inputs!D5</f>
        <v>-0.36522517310003239</v>
      </c>
      <c r="F8" s="20">
        <f>Inputs!E5</f>
        <v>7.0644873210060952E-2</v>
      </c>
      <c r="H8" s="2">
        <f>IF($B$3="A",Inputs!G6,IF($B$3="B",Inputs!G7,Inputs!G8))</f>
        <v>8.4773847852073134E-2</v>
      </c>
      <c r="I8" s="2">
        <f>IF($B$3="A",Inputs!H6,IF($B$3="B",Inputs!H7,Inputs!H8))</f>
        <v>8.4773847852073134E-2</v>
      </c>
      <c r="J8" s="2">
        <f>IF($B$3="A",Inputs!I6,IF($B$3="B",Inputs!I7,Inputs!I8))</f>
        <v>8.4773847852073134E-2</v>
      </c>
      <c r="K8" s="2">
        <f>IF($B$3="A",Inputs!J6,IF($B$3="B",Inputs!J7,Inputs!J8))</f>
        <v>8.4773847852073134E-2</v>
      </c>
      <c r="L8" s="2">
        <f>IF($B$3="A",Inputs!K6,IF($B$3="B",Inputs!K7,Inputs!K8))</f>
        <v>8.4773847852073134E-2</v>
      </c>
    </row>
    <row r="9" spans="1:14" x14ac:dyDescent="0.35">
      <c r="A9" t="s">
        <v>123</v>
      </c>
      <c r="D9" s="17">
        <v>2554.66</v>
      </c>
      <c r="E9" s="17">
        <v>1383.05</v>
      </c>
      <c r="F9" s="17">
        <v>842.96</v>
      </c>
      <c r="G9" s="3"/>
      <c r="H9" s="3">
        <f>F9*(1+H10)</f>
        <v>579.614919836593</v>
      </c>
      <c r="I9" s="3">
        <f>H9*(1+I10)</f>
        <v>398.54020985240123</v>
      </c>
      <c r="J9" s="3">
        <f>I9*(1+J10)</f>
        <v>274.03417930300191</v>
      </c>
      <c r="K9" s="3">
        <f t="shared" ref="K9:L9" si="1">J9*(1+K10)</f>
        <v>188.42447906092343</v>
      </c>
      <c r="L9" s="3">
        <f t="shared" si="1"/>
        <v>129.55969361078692</v>
      </c>
    </row>
    <row r="10" spans="1:14" s="20" customFormat="1" x14ac:dyDescent="0.35">
      <c r="A10" s="20" t="s">
        <v>124</v>
      </c>
      <c r="E10" s="20">
        <f>Inputs!D10</f>
        <v>-0.45861680223591395</v>
      </c>
      <c r="F10" s="20">
        <f>Inputs!E10</f>
        <v>-0.39050648928093701</v>
      </c>
      <c r="H10" s="20">
        <f>IF($B$3="A",Inputs!G11,IF($B$3="B",Inputs!G12,Inputs!G13))</f>
        <v>-0.31240519142474965</v>
      </c>
      <c r="I10" s="20">
        <f>IF($B$3="A",Inputs!H11,IF($B$3="B",Inputs!H12,Inputs!H13))</f>
        <v>-0.31240519142474965</v>
      </c>
      <c r="J10" s="20">
        <f>IF($B$3="A",Inputs!I11,IF($B$3="B",Inputs!I12,Inputs!I13))</f>
        <v>-0.31240519142474965</v>
      </c>
      <c r="K10" s="20">
        <f>IF($B$3="A",Inputs!J11,IF($B$3="B",Inputs!J12,Inputs!J13))</f>
        <v>-0.31240519142474965</v>
      </c>
      <c r="L10" s="20">
        <f>IF($B$3="A",Inputs!K11,IF($B$3="B",Inputs!K12,Inputs!K13))</f>
        <v>-0.31240519142474965</v>
      </c>
    </row>
    <row r="11" spans="1:14" s="38" customFormat="1" x14ac:dyDescent="0.35">
      <c r="A11" s="38" t="s">
        <v>50</v>
      </c>
      <c r="D11" s="31">
        <f>SUM(D7:D9)</f>
        <v>71757.42</v>
      </c>
      <c r="E11" s="31">
        <f>SUM(E7:E9)</f>
        <v>45310.854774826905</v>
      </c>
      <c r="F11" s="31">
        <f>SUM(F7:F9)</f>
        <v>47874.500644873209</v>
      </c>
      <c r="G11" s="31"/>
      <c r="H11" s="31">
        <f t="shared" ref="H11:L11" si="2">SUM(H7:H9)</f>
        <v>51598.2083757238</v>
      </c>
      <c r="I11" s="31">
        <f t="shared" si="2"/>
        <v>55742.168958390481</v>
      </c>
      <c r="J11" s="31">
        <f t="shared" si="2"/>
        <v>60309.348104345998</v>
      </c>
      <c r="K11" s="31">
        <f t="shared" si="2"/>
        <v>65313.155785931682</v>
      </c>
      <c r="L11" s="31">
        <f t="shared" si="2"/>
        <v>70775.157877092075</v>
      </c>
    </row>
    <row r="12" spans="1:14" x14ac:dyDescent="0.35">
      <c r="D12" s="17"/>
      <c r="E12" s="17"/>
      <c r="F12" s="17"/>
      <c r="G12" s="3"/>
      <c r="H12" s="3"/>
      <c r="I12" s="3"/>
      <c r="J12" s="3"/>
      <c r="K12" s="3"/>
      <c r="L12" s="3"/>
    </row>
    <row r="13" spans="1:14" x14ac:dyDescent="0.35">
      <c r="A13" t="s">
        <v>1</v>
      </c>
      <c r="D13" s="17">
        <v>50615.78</v>
      </c>
      <c r="E13" s="17">
        <v>32574.51</v>
      </c>
      <c r="F13" s="17">
        <v>35432.26</v>
      </c>
      <c r="G13" s="3"/>
      <c r="H13" s="3">
        <f>H7*H14</f>
        <v>30748.791214636083</v>
      </c>
      <c r="I13" s="3">
        <f>I7*I14</f>
        <v>33355.484562700804</v>
      </c>
      <c r="J13" s="3">
        <f>J7*J14</f>
        <v>36183.157336051379</v>
      </c>
      <c r="K13" s="3">
        <f>K7*K14</f>
        <v>39250.542810865423</v>
      </c>
      <c r="L13" s="3">
        <f>L7*L14</f>
        <v>42577.96235522502</v>
      </c>
    </row>
    <row r="14" spans="1:14" s="20" customFormat="1" x14ac:dyDescent="0.35">
      <c r="A14" s="20" t="s">
        <v>126</v>
      </c>
      <c r="D14" s="1">
        <f>Inputs!C15</f>
        <v>0.73141273556141406</v>
      </c>
      <c r="E14" s="1">
        <f>Inputs!D15</f>
        <v>0.74154033732796065</v>
      </c>
      <c r="F14" s="1">
        <f>Inputs!E15</f>
        <v>0.75337343272493928</v>
      </c>
      <c r="G14" s="1"/>
      <c r="H14" s="1">
        <f>IF($B$3="A",Inputs!G16,IF($B$3="B",Inputs!G17,Inputs!G18))</f>
        <v>0.60269874617995145</v>
      </c>
      <c r="I14" s="1">
        <f>IF($B$3="A",Inputs!H16,IF($B$3="B",Inputs!H17,Inputs!H18))</f>
        <v>0.60269874617995145</v>
      </c>
      <c r="J14" s="1">
        <f>IF($B$3="A",Inputs!I16,IF($B$3="B",Inputs!I17,Inputs!I18))</f>
        <v>0.60269874617995145</v>
      </c>
      <c r="K14" s="1">
        <f>IF($B$3="A",Inputs!J16,IF($B$3="B",Inputs!J17,Inputs!J18))</f>
        <v>0.60269874617995145</v>
      </c>
      <c r="L14" s="1">
        <f>IF($B$3="A",Inputs!K16,IF($B$3="B",Inputs!K17,Inputs!K18))</f>
        <v>0.60269874617995145</v>
      </c>
    </row>
    <row r="15" spans="1:14" s="38" customFormat="1" x14ac:dyDescent="0.35">
      <c r="A15" s="38" t="s">
        <v>2</v>
      </c>
      <c r="D15" s="31">
        <f>D11-D13</f>
        <v>21141.64</v>
      </c>
      <c r="E15" s="31">
        <f>E11-E13</f>
        <v>12736.344774826906</v>
      </c>
      <c r="F15" s="31">
        <f>F11-F13</f>
        <v>12442.240644873207</v>
      </c>
      <c r="G15" s="31"/>
      <c r="H15" s="31">
        <f>H11-H13</f>
        <v>20849.417161087717</v>
      </c>
      <c r="I15" s="31">
        <f>I11-I13</f>
        <v>22386.684395689677</v>
      </c>
      <c r="J15" s="31">
        <f>J11-J13</f>
        <v>24126.190768294618</v>
      </c>
      <c r="K15" s="31">
        <f>K11-K13</f>
        <v>26062.612975066259</v>
      </c>
      <c r="L15" s="31">
        <f>L11-L13</f>
        <v>28197.195521867056</v>
      </c>
    </row>
    <row r="16" spans="1:14" x14ac:dyDescent="0.35">
      <c r="D16" s="17"/>
      <c r="E16" s="17"/>
      <c r="F16" s="17"/>
      <c r="G16" s="3"/>
      <c r="H16" s="3"/>
      <c r="I16" s="3"/>
      <c r="J16" s="3"/>
      <c r="K16" s="3"/>
      <c r="L16" s="3"/>
    </row>
    <row r="17" spans="1:12" s="38" customFormat="1" x14ac:dyDescent="0.35">
      <c r="A17" s="38" t="s">
        <v>127</v>
      </c>
      <c r="D17" s="33"/>
      <c r="E17" s="33"/>
      <c r="F17" s="33"/>
      <c r="G17" s="31"/>
      <c r="H17" s="31"/>
      <c r="I17" s="31"/>
      <c r="J17" s="31"/>
      <c r="K17" s="31"/>
      <c r="L17" s="31"/>
    </row>
    <row r="18" spans="1:12" x14ac:dyDescent="0.35">
      <c r="A18" t="s">
        <v>128</v>
      </c>
      <c r="D18" s="17">
        <v>13647.43</v>
      </c>
      <c r="E18" s="17">
        <v>12004.84</v>
      </c>
      <c r="F18" s="17">
        <v>10106.67</v>
      </c>
      <c r="G18" s="3"/>
      <c r="H18" s="3">
        <f>H11*H19</f>
        <v>8870.419140965425</v>
      </c>
      <c r="I18" s="3">
        <f t="shared" ref="I18:L18" si="3">I11*I19</f>
        <v>9582.8211492721166</v>
      </c>
      <c r="J18" s="3">
        <f t="shared" si="3"/>
        <v>10367.980064510008</v>
      </c>
      <c r="K18" s="3">
        <f t="shared" si="3"/>
        <v>11228.201239502012</v>
      </c>
      <c r="L18" s="3">
        <f t="shared" si="3"/>
        <v>12167.192135166861</v>
      </c>
    </row>
    <row r="19" spans="1:12" s="20" customFormat="1" x14ac:dyDescent="0.35">
      <c r="A19" s="20" t="s">
        <v>129</v>
      </c>
      <c r="D19" s="1">
        <f>Inputs!C20</f>
        <v>0.19720933095732021</v>
      </c>
      <c r="E19" s="1">
        <f>Inputs!D20</f>
        <v>0.27328340789065425</v>
      </c>
      <c r="F19" s="1">
        <f>Inputs!E20</f>
        <v>0.21489164595535712</v>
      </c>
      <c r="H19" s="20">
        <f>IF($B$3="A",Inputs!G21,IF($B$3="B",Inputs!G22,Inputs!G23))</f>
        <v>0.1719133167642857</v>
      </c>
      <c r="I19" s="20">
        <f>IF($B$3="A",Inputs!H21,IF($B$3="B",Inputs!H22,Inputs!H23))</f>
        <v>0.1719133167642857</v>
      </c>
      <c r="J19" s="20">
        <f>IF($B$3="A",Inputs!I21,IF($B$3="B",Inputs!I22,Inputs!I23))</f>
        <v>0.1719133167642857</v>
      </c>
      <c r="K19" s="20">
        <f>IF($B$3="A",Inputs!J21,IF($B$3="B",Inputs!J22,Inputs!J23))</f>
        <v>0.1719133167642857</v>
      </c>
      <c r="L19" s="20">
        <f>IF($B$3="A",Inputs!K21,IF($B$3="B",Inputs!K22,Inputs!K23))</f>
        <v>0.1719133167642857</v>
      </c>
    </row>
    <row r="20" spans="1:12" x14ac:dyDescent="0.35">
      <c r="A20" t="s">
        <v>4</v>
      </c>
      <c r="D20" s="17">
        <f>SUM(D15-D18)</f>
        <v>7494.2099999999991</v>
      </c>
      <c r="E20" s="17">
        <f>SUM(E15-E18)</f>
        <v>731.50477482690621</v>
      </c>
      <c r="F20" s="17">
        <f>(F15-F18)</f>
        <v>2335.5706448732071</v>
      </c>
      <c r="G20" s="3"/>
      <c r="H20" s="3">
        <f>SUM(H15-H18)</f>
        <v>11978.998020122292</v>
      </c>
      <c r="I20" s="3">
        <f>SUM(I15-I18)</f>
        <v>12803.863246417561</v>
      </c>
      <c r="J20" s="3">
        <f>SUM(J15-J18)</f>
        <v>13758.210703784611</v>
      </c>
      <c r="K20" s="3">
        <f>SUM(K15-K18)</f>
        <v>14834.411735564247</v>
      </c>
      <c r="L20" s="3">
        <f>SUM(L15-L18)</f>
        <v>16030.003386700195</v>
      </c>
    </row>
    <row r="21" spans="1:12" x14ac:dyDescent="0.35">
      <c r="A21" t="s">
        <v>134</v>
      </c>
      <c r="D21" s="17">
        <v>3098.64</v>
      </c>
      <c r="E21" s="17">
        <v>3375.29</v>
      </c>
      <c r="F21" s="17">
        <v>3681.61</v>
      </c>
      <c r="G21" s="3"/>
      <c r="H21" s="3">
        <f>'Depreciation Schedule'!D19</f>
        <v>4151.273462715576</v>
      </c>
      <c r="I21" s="3">
        <f>'Depreciation Schedule'!E19</f>
        <v>4739.4513051555396</v>
      </c>
      <c r="J21" s="3">
        <f>'Depreciation Schedule'!F19</f>
        <v>5377.4912465204688</v>
      </c>
      <c r="K21" s="3">
        <f>'Depreciation Schedule'!G19</f>
        <v>6069.6202887982145</v>
      </c>
      <c r="L21" s="3">
        <f>'Depreciation Schedule'!H19</f>
        <v>6820.4237732000147</v>
      </c>
    </row>
    <row r="22" spans="1:12" s="20" customFormat="1" x14ac:dyDescent="0.35">
      <c r="A22" s="20" t="s">
        <v>130</v>
      </c>
      <c r="E22" s="1">
        <f>Inputs!D25</f>
        <v>8.9281103968192443E-2</v>
      </c>
      <c r="F22" s="1">
        <f>Inputs!E25</f>
        <v>9.0753683387205353E-2</v>
      </c>
      <c r="H22" s="1">
        <f>IF($B$3="A",Inputs!G26,IF($B$3="B",Inputs!G27,Inputs!G28))</f>
        <v>7.2602946709764291E-2</v>
      </c>
      <c r="I22" s="1">
        <f>IF($B$3="A",Inputs!H26,IF($B$3="B",Inputs!H27,Inputs!H28))</f>
        <v>7.2602946709764291E-2</v>
      </c>
      <c r="J22" s="1">
        <f>IF($B$3="A",Inputs!I26,IF($B$3="B",Inputs!I27,Inputs!I28))</f>
        <v>7.2602946709764291E-2</v>
      </c>
      <c r="K22" s="1">
        <f>IF($B$3="A",Inputs!J26,IF($B$3="B",Inputs!J27,Inputs!J28))</f>
        <v>7.2602946709764291E-2</v>
      </c>
      <c r="L22" s="1">
        <f>IF($B$3="A",Inputs!K26,IF($B$3="B",Inputs!K27,Inputs!K28))</f>
        <v>7.2602946709764291E-2</v>
      </c>
    </row>
    <row r="23" spans="1:12" s="38" customFormat="1" x14ac:dyDescent="0.35">
      <c r="A23" s="38" t="s">
        <v>6</v>
      </c>
      <c r="D23" s="31">
        <f>D20-D21</f>
        <v>4395.57</v>
      </c>
      <c r="E23" s="31">
        <f>E20-E21</f>
        <v>-2643.7852251730937</v>
      </c>
      <c r="F23" s="31">
        <f>F20-F21</f>
        <v>-1346.039355126793</v>
      </c>
      <c r="G23" s="31"/>
      <c r="H23" s="31">
        <f>H20-H21</f>
        <v>7827.7245574067156</v>
      </c>
      <c r="I23" s="31">
        <f>I20-I21</f>
        <v>8064.4119412620212</v>
      </c>
      <c r="J23" s="31">
        <f>J20-J21</f>
        <v>8380.719457264142</v>
      </c>
      <c r="K23" s="31">
        <f>K20-K21</f>
        <v>8764.7914467660321</v>
      </c>
      <c r="L23" s="31">
        <f>L20-L21</f>
        <v>9209.5796135001801</v>
      </c>
    </row>
    <row r="24" spans="1:12" s="20" customFormat="1" x14ac:dyDescent="0.35">
      <c r="A24" s="20" t="s">
        <v>131</v>
      </c>
      <c r="D24" s="1">
        <f>D23/D7</f>
        <v>6.3517264340323995E-2</v>
      </c>
      <c r="E24" s="1">
        <f t="shared" ref="E24:L24" si="4">E23/E7</f>
        <v>-6.0184278679787796E-2</v>
      </c>
      <c r="F24" s="1">
        <f t="shared" si="4"/>
        <v>-2.8619972012926514E-2</v>
      </c>
      <c r="G24" s="1"/>
      <c r="H24" s="1">
        <f t="shared" si="4"/>
        <v>0.15342911346529425</v>
      </c>
      <c r="I24" s="1">
        <f t="shared" si="4"/>
        <v>0.14571549564932176</v>
      </c>
      <c r="J24" s="1">
        <f t="shared" si="4"/>
        <v>0.13959669307096007</v>
      </c>
      <c r="K24" s="1">
        <f t="shared" si="4"/>
        <v>0.1345848601622989</v>
      </c>
      <c r="L24" s="1">
        <f t="shared" si="4"/>
        <v>0.13036326256274802</v>
      </c>
    </row>
    <row r="25" spans="1:12" x14ac:dyDescent="0.35">
      <c r="A25" t="s">
        <v>135</v>
      </c>
      <c r="D25" s="17">
        <v>1793.57</v>
      </c>
      <c r="E25" s="17">
        <v>1973</v>
      </c>
      <c r="F25" s="17">
        <v>2358.54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 s="4" customFormat="1" x14ac:dyDescent="0.35">
      <c r="A26" s="4" t="s">
        <v>136</v>
      </c>
      <c r="D26" s="17">
        <v>203.07</v>
      </c>
      <c r="E26" s="17">
        <v>2510.92</v>
      </c>
      <c r="F26" s="17">
        <v>-1392.08</v>
      </c>
      <c r="G26" s="3"/>
      <c r="H26" s="3"/>
      <c r="I26" s="3"/>
      <c r="J26" s="3"/>
      <c r="K26" s="3"/>
      <c r="L26" s="3"/>
    </row>
    <row r="27" spans="1:12" s="38" customFormat="1" x14ac:dyDescent="0.35">
      <c r="A27" s="38" t="s">
        <v>7</v>
      </c>
      <c r="D27" s="31">
        <f>D23-SUM(D25:D26)</f>
        <v>2398.9299999999998</v>
      </c>
      <c r="E27" s="31">
        <f>E23-SUM(E25:E26)</f>
        <v>-7127.7052251730938</v>
      </c>
      <c r="F27" s="31">
        <f>F23-SUM(F25:F26)</f>
        <v>-2312.499355126793</v>
      </c>
      <c r="G27" s="31"/>
      <c r="H27" s="31">
        <f>H23-H25</f>
        <v>7827.7245574067156</v>
      </c>
      <c r="I27" s="31">
        <f>I23-I25</f>
        <v>8064.4119412620212</v>
      </c>
      <c r="J27" s="31">
        <f>J23-J25</f>
        <v>8380.719457264142</v>
      </c>
      <c r="K27" s="31">
        <f>K23-K25</f>
        <v>8764.7914467660321</v>
      </c>
      <c r="L27" s="31">
        <f>L23-L25</f>
        <v>9209.5796135001801</v>
      </c>
    </row>
    <row r="28" spans="1:12" x14ac:dyDescent="0.35">
      <c r="D28" s="17"/>
      <c r="E28" s="17"/>
      <c r="F28" s="17"/>
      <c r="G28" s="3"/>
      <c r="H28" s="3"/>
      <c r="I28" s="3"/>
      <c r="J28" s="3"/>
      <c r="K28" s="3"/>
      <c r="L28" s="3"/>
    </row>
    <row r="29" spans="1:12" x14ac:dyDescent="0.35">
      <c r="A29" t="s">
        <v>132</v>
      </c>
      <c r="D29" s="17">
        <v>294.66000000000003</v>
      </c>
      <c r="E29" s="17">
        <v>33.049999999999997</v>
      </c>
      <c r="F29" s="17">
        <v>82.31</v>
      </c>
      <c r="G29" s="3"/>
      <c r="H29" s="3"/>
      <c r="I29" s="3"/>
      <c r="J29" s="3"/>
      <c r="K29" s="3"/>
      <c r="L29" s="3"/>
    </row>
    <row r="30" spans="1:12" x14ac:dyDescent="0.35">
      <c r="A30" t="s">
        <v>133</v>
      </c>
      <c r="D30" s="17">
        <v>83.67</v>
      </c>
      <c r="E30" s="17">
        <v>129.24</v>
      </c>
      <c r="F30" s="17">
        <v>0.56000000000000005</v>
      </c>
      <c r="G30" s="3"/>
      <c r="H30" s="3"/>
      <c r="I30" s="3"/>
      <c r="J30" s="3"/>
      <c r="K30" s="3"/>
      <c r="L30" s="3"/>
    </row>
    <row r="31" spans="1:12" s="21" customFormat="1" ht="13.5" customHeight="1" x14ac:dyDescent="0.35">
      <c r="A31" s="21" t="s">
        <v>8</v>
      </c>
      <c r="D31" s="22">
        <f>SUM(D29:D30)</f>
        <v>378.33000000000004</v>
      </c>
      <c r="E31" s="22">
        <f t="shared" ref="E31" si="5">SUM(E29:E30)</f>
        <v>162.29000000000002</v>
      </c>
      <c r="F31" s="22">
        <f>SUM(F29:F30)</f>
        <v>82.87</v>
      </c>
      <c r="G31" s="22"/>
      <c r="H31" s="22">
        <f>H27*H32</f>
        <v>-336.61425209092573</v>
      </c>
      <c r="I31" s="22">
        <f t="shared" ref="I31:L31" si="6">I27*I32</f>
        <v>-346.79247771850277</v>
      </c>
      <c r="J31" s="22">
        <f t="shared" si="6"/>
        <v>-360.3945937803212</v>
      </c>
      <c r="K31" s="22">
        <f t="shared" si="6"/>
        <v>-376.91077348837212</v>
      </c>
      <c r="L31" s="22">
        <f t="shared" si="6"/>
        <v>-396.03792020720243</v>
      </c>
    </row>
    <row r="32" spans="1:12" s="20" customFormat="1" x14ac:dyDescent="0.35">
      <c r="A32" s="20" t="s">
        <v>137</v>
      </c>
      <c r="D32" s="20">
        <f>Inputs!C35</f>
        <v>0.15770781139924886</v>
      </c>
      <c r="E32" s="20">
        <f>Inputs!D35</f>
        <v>-2.2768898947565393E-2</v>
      </c>
      <c r="F32" s="20">
        <f>Inputs!E35</f>
        <v>-3.5835685668961531E-2</v>
      </c>
      <c r="H32" s="20">
        <f>IF($B$3="A",Inputs!G36,IF($B$3="B",Inputs!G37,Inputs!G38))</f>
        <v>-4.3002822802753839E-2</v>
      </c>
      <c r="I32" s="20">
        <f>IF($B$3="A",Inputs!H36,IF($B$3="B",Inputs!H37,Inputs!H38))</f>
        <v>-4.3002822802753839E-2</v>
      </c>
      <c r="J32" s="20">
        <f>IF($B$3="A",Inputs!I36,IF($B$3="B",Inputs!I37,Inputs!I38))</f>
        <v>-4.3002822802753839E-2</v>
      </c>
      <c r="K32" s="20">
        <f>IF($B$3="A",Inputs!J36,IF($B$3="B",Inputs!J37,Inputs!J38))</f>
        <v>-4.3002822802753839E-2</v>
      </c>
      <c r="L32" s="20">
        <f>IF($B$3="A",Inputs!K36,IF($B$3="B",Inputs!K37,Inputs!K38))</f>
        <v>-4.3002822802753839E-2</v>
      </c>
    </row>
    <row r="33" spans="1:12" s="38" customFormat="1" x14ac:dyDescent="0.35">
      <c r="A33" s="38" t="s">
        <v>9</v>
      </c>
      <c r="D33" s="31">
        <f t="shared" ref="D33" si="7">D27-D31</f>
        <v>2020.6</v>
      </c>
      <c r="E33" s="31">
        <f>E27-E31</f>
        <v>-7289.9952251730938</v>
      </c>
      <c r="F33" s="31">
        <f>F27-F31</f>
        <v>-2395.3693551267929</v>
      </c>
      <c r="G33" s="31"/>
      <c r="H33" s="31">
        <f>H27-H31</f>
        <v>8164.3388094976417</v>
      </c>
      <c r="I33" s="31">
        <f t="shared" ref="I33:L33" si="8">I27-I31</f>
        <v>8411.2044189805238</v>
      </c>
      <c r="J33" s="31">
        <f t="shared" si="8"/>
        <v>8741.1140510444638</v>
      </c>
      <c r="K33" s="31">
        <f t="shared" si="8"/>
        <v>9141.7022202544049</v>
      </c>
      <c r="L33" s="31">
        <f t="shared" si="8"/>
        <v>9605.6175337073819</v>
      </c>
    </row>
  </sheetData>
  <mergeCells count="4">
    <mergeCell ref="H4:L4"/>
    <mergeCell ref="A1:L1"/>
    <mergeCell ref="A4:C4"/>
    <mergeCell ref="D4:G4"/>
  </mergeCells>
  <dataValidations count="1">
    <dataValidation type="list" allowBlank="1" showInputMessage="1" showErrorMessage="1" sqref="B3" xr:uid="{13B276B7-BAE6-493B-94F8-A9F9E137B836}">
      <formula1>$M$2:$M$4</formula1>
    </dataValidation>
  </dataValidations>
  <pageMargins left="0.7" right="0.7" top="0.75" bottom="0.75" header="0.3" footer="0.3"/>
  <ignoredErrors>
    <ignoredError sqref="H8:L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F3F-4DCF-4C1F-8823-6C9F3AA28D8D}">
  <dimension ref="A1:O38"/>
  <sheetViews>
    <sheetView showGridLines="0" workbookViewId="0">
      <pane ySplit="2" topLeftCell="A19" activePane="bottomLeft" state="frozen"/>
      <selection pane="bottomLeft" activeCell="E35" sqref="E35"/>
    </sheetView>
  </sheetViews>
  <sheetFormatPr defaultColWidth="12.6328125" defaultRowHeight="14.5" x14ac:dyDescent="0.35"/>
  <cols>
    <col min="1" max="16384" width="12.6328125" style="2"/>
  </cols>
  <sheetData>
    <row r="1" spans="1:15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5" x14ac:dyDescent="0.35">
      <c r="A2" s="11" t="s">
        <v>93</v>
      </c>
      <c r="B2" s="12" t="str">
        <f>'Income Statement'!B3</f>
        <v>A</v>
      </c>
    </row>
    <row r="4" spans="1:15" s="35" customFormat="1" x14ac:dyDescent="0.35">
      <c r="A4" s="35" t="s">
        <v>178</v>
      </c>
      <c r="O4" s="35">
        <v>1</v>
      </c>
    </row>
    <row r="5" spans="1:15" s="35" customFormat="1" x14ac:dyDescent="0.35">
      <c r="A5" s="35" t="s">
        <v>179</v>
      </c>
      <c r="C5" s="36"/>
      <c r="D5" s="36">
        <f>('Income Statement'!E7-'Income Statement'!D7)/'Income Statement'!D7</f>
        <v>-0.36522517310003239</v>
      </c>
      <c r="E5" s="36">
        <f>('Income Statement'!F7-'Income Statement'!E7)/'Income Statement'!E7</f>
        <v>7.0644873210060952E-2</v>
      </c>
      <c r="G5" s="37">
        <f>IF(Case="A",G6,IF(Case="B",G7,G8))</f>
        <v>8.4773847852073134E-2</v>
      </c>
      <c r="H5" s="37">
        <f>IF(Case="A",H6,IF(Case="B",H7,H8))</f>
        <v>8.4773847852073134E-2</v>
      </c>
      <c r="I5" s="37">
        <f>IF(Case="A",I6,IF(Case="B",I7,I8))</f>
        <v>8.4773847852073134E-2</v>
      </c>
      <c r="J5" s="37">
        <f>IF(Case="A",J6,IF(Case="B",J7,J8))</f>
        <v>8.4773847852073134E-2</v>
      </c>
      <c r="K5" s="37">
        <f>IF(Case="A",K6,IF(Case="B",K7,K8))</f>
        <v>8.4773847852073134E-2</v>
      </c>
      <c r="O5" s="35">
        <v>2</v>
      </c>
    </row>
    <row r="6" spans="1:15" x14ac:dyDescent="0.35">
      <c r="F6" s="2" t="s">
        <v>10</v>
      </c>
      <c r="G6" s="1">
        <f>G7*1.2</f>
        <v>8.4773847852073134E-2</v>
      </c>
      <c r="H6" s="1">
        <f t="shared" ref="H6:K6" si="0">H7*1.2</f>
        <v>8.4773847852073134E-2</v>
      </c>
      <c r="I6" s="1">
        <f t="shared" si="0"/>
        <v>8.4773847852073134E-2</v>
      </c>
      <c r="J6" s="1">
        <f t="shared" si="0"/>
        <v>8.4773847852073134E-2</v>
      </c>
      <c r="K6" s="1">
        <f t="shared" si="0"/>
        <v>8.4773847852073134E-2</v>
      </c>
      <c r="O6" s="2">
        <v>3</v>
      </c>
    </row>
    <row r="7" spans="1:15" x14ac:dyDescent="0.35">
      <c r="F7" s="2" t="s">
        <v>11</v>
      </c>
      <c r="G7" s="1">
        <f>E5</f>
        <v>7.0644873210060952E-2</v>
      </c>
      <c r="H7" s="1">
        <f>G7</f>
        <v>7.0644873210060952E-2</v>
      </c>
      <c r="I7" s="1">
        <f>H7</f>
        <v>7.0644873210060952E-2</v>
      </c>
      <c r="J7" s="1">
        <f t="shared" ref="J7:K7" si="1">I7</f>
        <v>7.0644873210060952E-2</v>
      </c>
      <c r="K7" s="1">
        <f t="shared" si="1"/>
        <v>7.0644873210060952E-2</v>
      </c>
    </row>
    <row r="8" spans="1:15" x14ac:dyDescent="0.35">
      <c r="F8" s="2" t="s">
        <v>12</v>
      </c>
      <c r="G8" s="1">
        <f>G7*0.8</f>
        <v>5.6515898568048763E-2</v>
      </c>
      <c r="H8" s="1">
        <f t="shared" ref="H8:K8" si="2">H7*0.8</f>
        <v>5.6515898568048763E-2</v>
      </c>
      <c r="I8" s="1">
        <f t="shared" si="2"/>
        <v>5.6515898568048763E-2</v>
      </c>
      <c r="J8" s="1">
        <f t="shared" si="2"/>
        <v>5.6515898568048763E-2</v>
      </c>
      <c r="K8" s="1">
        <f t="shared" si="2"/>
        <v>5.6515898568048763E-2</v>
      </c>
    </row>
    <row r="9" spans="1:15" s="35" customFormat="1" x14ac:dyDescent="0.35">
      <c r="A9" s="35" t="s">
        <v>0</v>
      </c>
    </row>
    <row r="10" spans="1:15" s="35" customFormat="1" x14ac:dyDescent="0.35">
      <c r="A10" s="35" t="s">
        <v>13</v>
      </c>
      <c r="D10" s="35">
        <f>('Income Statement'!E9-'Income Statement'!D9)/'Income Statement'!D9</f>
        <v>-0.45861680223591395</v>
      </c>
      <c r="E10" s="35">
        <f>('Income Statement'!F9-'Income Statement'!E9)/'Income Statement'!E9</f>
        <v>-0.39050648928093701</v>
      </c>
      <c r="G10" s="37">
        <f>IF(Case="A",G11,IF(Case="B",G12,G13))</f>
        <v>-0.31240519142474965</v>
      </c>
      <c r="H10" s="37">
        <f>IF(Case="A",H11,IF(Case="B",H12,H13))</f>
        <v>-0.31240519142474965</v>
      </c>
      <c r="I10" s="37">
        <f>IF(Case="A",I11,IF(Case="B",I12,I13))</f>
        <v>-0.31240519142474965</v>
      </c>
      <c r="J10" s="37">
        <f>IF(Case="A",J11,IF(Case="B",J12,J13))</f>
        <v>-0.31240519142474965</v>
      </c>
      <c r="K10" s="37">
        <f>IF(Case="A",K11,IF(Case="B",K12,K13))</f>
        <v>-0.31240519142474965</v>
      </c>
    </row>
    <row r="11" spans="1:15" x14ac:dyDescent="0.35">
      <c r="F11" s="2" t="s">
        <v>10</v>
      </c>
      <c r="G11" s="1">
        <f>G12*0.8</f>
        <v>-0.31240519142474965</v>
      </c>
      <c r="H11" s="1">
        <f t="shared" ref="H11:K11" si="3">H12*0.8</f>
        <v>-0.31240519142474965</v>
      </c>
      <c r="I11" s="1">
        <f t="shared" si="3"/>
        <v>-0.31240519142474965</v>
      </c>
      <c r="J11" s="1">
        <f t="shared" si="3"/>
        <v>-0.31240519142474965</v>
      </c>
      <c r="K11" s="1">
        <f t="shared" si="3"/>
        <v>-0.31240519142474965</v>
      </c>
    </row>
    <row r="12" spans="1:15" x14ac:dyDescent="0.35">
      <c r="F12" s="2" t="s">
        <v>11</v>
      </c>
      <c r="G12" s="1">
        <f>E10</f>
        <v>-0.39050648928093701</v>
      </c>
      <c r="H12" s="1">
        <f>G12</f>
        <v>-0.39050648928093701</v>
      </c>
      <c r="I12" s="1">
        <f>H12</f>
        <v>-0.39050648928093701</v>
      </c>
      <c r="J12" s="1">
        <f t="shared" ref="J12:K12" si="4">I12</f>
        <v>-0.39050648928093701</v>
      </c>
      <c r="K12" s="1">
        <f t="shared" si="4"/>
        <v>-0.39050648928093701</v>
      </c>
    </row>
    <row r="13" spans="1:15" x14ac:dyDescent="0.35">
      <c r="F13" s="2" t="s">
        <v>12</v>
      </c>
      <c r="G13" s="1">
        <f>G12*1.2</f>
        <v>-0.46860778713712437</v>
      </c>
      <c r="H13" s="1">
        <f t="shared" ref="H13:K13" si="5">H12*1.2</f>
        <v>-0.46860778713712437</v>
      </c>
      <c r="I13" s="1">
        <f t="shared" si="5"/>
        <v>-0.46860778713712437</v>
      </c>
      <c r="J13" s="1">
        <f t="shared" si="5"/>
        <v>-0.46860778713712437</v>
      </c>
      <c r="K13" s="1">
        <f t="shared" si="5"/>
        <v>-0.46860778713712437</v>
      </c>
    </row>
    <row r="14" spans="1:15" s="35" customFormat="1" x14ac:dyDescent="0.35">
      <c r="A14" s="35" t="s">
        <v>1</v>
      </c>
    </row>
    <row r="15" spans="1:15" s="35" customFormat="1" x14ac:dyDescent="0.35">
      <c r="A15" s="35" t="s">
        <v>14</v>
      </c>
      <c r="C15" s="36">
        <f>'Income Statement'!D13/'Income Statement'!D7</f>
        <v>0.73141273556141406</v>
      </c>
      <c r="D15" s="36">
        <f>'Income Statement'!E13/'Income Statement'!E7</f>
        <v>0.74154033732796065</v>
      </c>
      <c r="E15" s="36">
        <f>'Income Statement'!F13/'Income Statement'!F7</f>
        <v>0.75337343272493928</v>
      </c>
      <c r="G15" s="37">
        <f>IF(Case="A",G16,IF(Case="B",G17,G18))</f>
        <v>0.60269874617995145</v>
      </c>
      <c r="H15" s="37">
        <f>IF(Case="A",H16,IF(Case="B",H17,H18))</f>
        <v>0.60269874617995145</v>
      </c>
      <c r="I15" s="37">
        <f>IF(Case="A",I16,IF(Case="B",I17,I18))</f>
        <v>0.60269874617995145</v>
      </c>
      <c r="J15" s="37">
        <f>IF(Case="A",J16,IF(Case="B",J17,J18))</f>
        <v>0.60269874617995145</v>
      </c>
      <c r="K15" s="37">
        <f>IF(Case="A",K16,IF(Case="B",K17,K18))</f>
        <v>0.60269874617995145</v>
      </c>
    </row>
    <row r="16" spans="1:15" x14ac:dyDescent="0.35">
      <c r="F16" s="2" t="s">
        <v>10</v>
      </c>
      <c r="G16" s="1">
        <f>G17*0.8</f>
        <v>0.60269874617995145</v>
      </c>
      <c r="H16" s="1">
        <f t="shared" ref="H16" si="6">H17*0.8</f>
        <v>0.60269874617995145</v>
      </c>
      <c r="I16" s="1">
        <f t="shared" ref="I16" si="7">I17*0.8</f>
        <v>0.60269874617995145</v>
      </c>
      <c r="J16" s="1">
        <f t="shared" ref="J16" si="8">J17*0.8</f>
        <v>0.60269874617995145</v>
      </c>
      <c r="K16" s="1">
        <f t="shared" ref="K16" si="9">K17*0.8</f>
        <v>0.60269874617995145</v>
      </c>
    </row>
    <row r="17" spans="1:11" x14ac:dyDescent="0.35">
      <c r="F17" s="2" t="s">
        <v>11</v>
      </c>
      <c r="G17" s="1">
        <f>E15</f>
        <v>0.75337343272493928</v>
      </c>
      <c r="H17" s="1">
        <f>G17</f>
        <v>0.75337343272493928</v>
      </c>
      <c r="I17" s="1">
        <f>H17</f>
        <v>0.75337343272493928</v>
      </c>
      <c r="J17" s="1">
        <f t="shared" ref="J17:K17" si="10">I17</f>
        <v>0.75337343272493928</v>
      </c>
      <c r="K17" s="1">
        <f t="shared" si="10"/>
        <v>0.75337343272493928</v>
      </c>
    </row>
    <row r="18" spans="1:11" x14ac:dyDescent="0.35">
      <c r="F18" s="2" t="s">
        <v>12</v>
      </c>
      <c r="G18" s="1">
        <f>G17*1.2</f>
        <v>0.90404811926992712</v>
      </c>
      <c r="H18" s="1">
        <f t="shared" ref="H18" si="11">H17*1.2</f>
        <v>0.90404811926992712</v>
      </c>
      <c r="I18" s="1">
        <f t="shared" ref="I18" si="12">I17*1.2</f>
        <v>0.90404811926992712</v>
      </c>
      <c r="J18" s="1">
        <f t="shared" ref="J18" si="13">J17*1.2</f>
        <v>0.90404811926992712</v>
      </c>
      <c r="K18" s="1">
        <f t="shared" ref="K18" si="14">K17*1.2</f>
        <v>0.90404811926992712</v>
      </c>
    </row>
    <row r="19" spans="1:11" s="35" customFormat="1" x14ac:dyDescent="0.35">
      <c r="A19" s="35" t="s">
        <v>3</v>
      </c>
    </row>
    <row r="20" spans="1:11" s="35" customFormat="1" x14ac:dyDescent="0.35">
      <c r="A20" s="35" t="s">
        <v>14</v>
      </c>
      <c r="C20" s="36">
        <f>'Income Statement'!D18/'Income Statement'!D7</f>
        <v>0.19720933095732021</v>
      </c>
      <c r="D20" s="36">
        <f>'Income Statement'!E18/'Income Statement'!E7</f>
        <v>0.27328340789065425</v>
      </c>
      <c r="E20" s="36">
        <f>'Income Statement'!F18/'Income Statement'!F7</f>
        <v>0.21489164595535712</v>
      </c>
      <c r="G20" s="37">
        <f>IF(Case="A",G21,IF(Case="B",G22,G23))</f>
        <v>0.1719133167642857</v>
      </c>
      <c r="H20" s="37">
        <f>IF(Case="A",H21,IF(Case="B",H22,H23))</f>
        <v>0.1719133167642857</v>
      </c>
      <c r="I20" s="37">
        <f>IF(Case="A",I21,IF(Case="B",I22,I23))</f>
        <v>0.1719133167642857</v>
      </c>
      <c r="J20" s="37">
        <f>IF(Case="A",J21,IF(Case="B",J22,J23))</f>
        <v>0.1719133167642857</v>
      </c>
      <c r="K20" s="37">
        <f>IF(Case="A",K21,IF(Case="B",K22,K23))</f>
        <v>0.1719133167642857</v>
      </c>
    </row>
    <row r="21" spans="1:11" x14ac:dyDescent="0.35">
      <c r="F21" s="2" t="s">
        <v>10</v>
      </c>
      <c r="G21" s="1">
        <f>G22*0.8</f>
        <v>0.1719133167642857</v>
      </c>
      <c r="H21" s="1">
        <f t="shared" ref="H21" si="15">H22*0.8</f>
        <v>0.1719133167642857</v>
      </c>
      <c r="I21" s="1">
        <f t="shared" ref="I21" si="16">I22*0.8</f>
        <v>0.1719133167642857</v>
      </c>
      <c r="J21" s="1">
        <f t="shared" ref="J21" si="17">J22*0.8</f>
        <v>0.1719133167642857</v>
      </c>
      <c r="K21" s="1">
        <f t="shared" ref="K21" si="18">K22*0.8</f>
        <v>0.1719133167642857</v>
      </c>
    </row>
    <row r="22" spans="1:11" x14ac:dyDescent="0.35">
      <c r="F22" s="2" t="s">
        <v>11</v>
      </c>
      <c r="G22" s="1">
        <f>E20</f>
        <v>0.21489164595535712</v>
      </c>
      <c r="H22" s="1">
        <f>G22</f>
        <v>0.21489164595535712</v>
      </c>
      <c r="I22" s="1">
        <f>H22</f>
        <v>0.21489164595535712</v>
      </c>
      <c r="J22" s="1">
        <f t="shared" ref="J22:K22" si="19">I22</f>
        <v>0.21489164595535712</v>
      </c>
      <c r="K22" s="1">
        <f t="shared" si="19"/>
        <v>0.21489164595535712</v>
      </c>
    </row>
    <row r="23" spans="1:11" x14ac:dyDescent="0.35">
      <c r="F23" s="2" t="s">
        <v>12</v>
      </c>
      <c r="G23" s="1">
        <f>G22*1.2</f>
        <v>0.25786997514642851</v>
      </c>
      <c r="H23" s="1">
        <f t="shared" ref="H23" si="20">H22*1.2</f>
        <v>0.25786997514642851</v>
      </c>
      <c r="I23" s="1">
        <f t="shared" ref="I23" si="21">I22*1.2</f>
        <v>0.25786997514642851</v>
      </c>
      <c r="J23" s="1">
        <f t="shared" ref="J23" si="22">J22*1.2</f>
        <v>0.25786997514642851</v>
      </c>
      <c r="K23" s="1">
        <f t="shared" ref="K23" si="23">K22*1.2</f>
        <v>0.25786997514642851</v>
      </c>
    </row>
    <row r="24" spans="1:11" s="35" customFormat="1" x14ac:dyDescent="0.35">
      <c r="A24" s="35" t="s">
        <v>5</v>
      </c>
    </row>
    <row r="25" spans="1:11" s="35" customFormat="1" x14ac:dyDescent="0.35">
      <c r="A25" s="35" t="s">
        <v>14</v>
      </c>
      <c r="C25" s="36"/>
      <c r="D25" s="36">
        <f>('Income Statement'!E21/'Income Statement'!D21)-1</f>
        <v>8.9281103968192443E-2</v>
      </c>
      <c r="E25" s="36">
        <f>('Income Statement'!F21/'Income Statement'!E21)-1</f>
        <v>9.0753683387205353E-2</v>
      </c>
      <c r="G25" s="37">
        <f>IF(Case="A",G26,IF(Case="B",G27,G28))</f>
        <v>7.2602946709764291E-2</v>
      </c>
      <c r="H25" s="37">
        <f>IF(Case="A",H26,IF(Case="B",H27,H28))</f>
        <v>7.2602946709764291E-2</v>
      </c>
      <c r="I25" s="37">
        <f>IF(Case="A",I26,IF(Case="B",I27,I28))</f>
        <v>7.2602946709764291E-2</v>
      </c>
      <c r="J25" s="37">
        <f>IF(Case="A",J26,IF(Case="B",J27,J28))</f>
        <v>7.2602946709764291E-2</v>
      </c>
      <c r="K25" s="37">
        <f>IF(Case="A",K26,IF(Case="B",K27,K28))</f>
        <v>7.2602946709764291E-2</v>
      </c>
    </row>
    <row r="26" spans="1:11" x14ac:dyDescent="0.35">
      <c r="F26" s="2" t="s">
        <v>10</v>
      </c>
      <c r="G26" s="1">
        <f>G27*0.8</f>
        <v>7.2602946709764291E-2</v>
      </c>
      <c r="H26" s="1">
        <f t="shared" ref="H26" si="24">H27*0.8</f>
        <v>7.2602946709764291E-2</v>
      </c>
      <c r="I26" s="1">
        <f t="shared" ref="I26" si="25">I27*0.8</f>
        <v>7.2602946709764291E-2</v>
      </c>
      <c r="J26" s="1">
        <f t="shared" ref="J26" si="26">J27*0.8</f>
        <v>7.2602946709764291E-2</v>
      </c>
      <c r="K26" s="1">
        <f t="shared" ref="K26" si="27">K27*0.8</f>
        <v>7.2602946709764291E-2</v>
      </c>
    </row>
    <row r="27" spans="1:11" x14ac:dyDescent="0.35">
      <c r="F27" s="2" t="s">
        <v>11</v>
      </c>
      <c r="G27" s="1">
        <f>E25</f>
        <v>9.0753683387205353E-2</v>
      </c>
      <c r="H27" s="1">
        <f>G27</f>
        <v>9.0753683387205353E-2</v>
      </c>
      <c r="I27" s="1">
        <f>H27</f>
        <v>9.0753683387205353E-2</v>
      </c>
      <c r="J27" s="1">
        <f t="shared" ref="J27:K27" si="28">I27</f>
        <v>9.0753683387205353E-2</v>
      </c>
      <c r="K27" s="1">
        <f t="shared" si="28"/>
        <v>9.0753683387205353E-2</v>
      </c>
    </row>
    <row r="28" spans="1:11" x14ac:dyDescent="0.35">
      <c r="F28" s="2" t="s">
        <v>12</v>
      </c>
      <c r="G28" s="1">
        <f>G27*1.2</f>
        <v>0.10890442006464642</v>
      </c>
      <c r="H28" s="1">
        <f t="shared" ref="H28" si="29">H27*1.2</f>
        <v>0.10890442006464642</v>
      </c>
      <c r="I28" s="1">
        <f t="shared" ref="I28" si="30">I27*1.2</f>
        <v>0.10890442006464642</v>
      </c>
      <c r="J28" s="1">
        <f t="shared" ref="J28" si="31">J27*1.2</f>
        <v>0.10890442006464642</v>
      </c>
      <c r="K28" s="1">
        <f t="shared" ref="K28" si="32">K27*1.2</f>
        <v>0.10890442006464642</v>
      </c>
    </row>
    <row r="29" spans="1:11" s="35" customFormat="1" x14ac:dyDescent="0.35">
      <c r="A29" s="35" t="s">
        <v>16</v>
      </c>
    </row>
    <row r="30" spans="1:11" s="35" customFormat="1" x14ac:dyDescent="0.35">
      <c r="A30" s="35" t="s">
        <v>15</v>
      </c>
      <c r="C30" s="36">
        <f>'Income Statement'!D25/'Income Statement'!D13</f>
        <v>3.5434996753976725E-2</v>
      </c>
      <c r="D30" s="36">
        <f>'Income Statement'!E25/'Income Statement'!E13</f>
        <v>6.0568831273287001E-2</v>
      </c>
      <c r="E30" s="36">
        <f>'Income Statement'!F25/'Income Statement'!F13</f>
        <v>6.6564763297627644E-2</v>
      </c>
      <c r="G30" s="37">
        <f>IF(Case="A",G31,IF(Case="B",G32,G33))</f>
        <v>5.3251810638102116E-2</v>
      </c>
      <c r="H30" s="37">
        <f>IF(Case="A",H31,IF(Case="B",H32,H33))</f>
        <v>5.3251810638102116E-2</v>
      </c>
      <c r="I30" s="37">
        <f>IF(Case="A",I31,IF(Case="B",I32,I33))</f>
        <v>5.3251810638102116E-2</v>
      </c>
      <c r="J30" s="37">
        <f>IF(Case="A",J31,IF(Case="B",J32,J33))</f>
        <v>5.3251810638102116E-2</v>
      </c>
      <c r="K30" s="37">
        <f>IF(Case="A",K31,IF(Case="B",K32,K33))</f>
        <v>5.3251810638102116E-2</v>
      </c>
    </row>
    <row r="31" spans="1:11" x14ac:dyDescent="0.35">
      <c r="F31" s="2" t="s">
        <v>10</v>
      </c>
      <c r="G31" s="1">
        <f>G32*0.8</f>
        <v>5.3251810638102116E-2</v>
      </c>
      <c r="H31" s="1">
        <f t="shared" ref="H31" si="33">H32*0.8</f>
        <v>5.3251810638102116E-2</v>
      </c>
      <c r="I31" s="1">
        <f t="shared" ref="I31" si="34">I32*0.8</f>
        <v>5.3251810638102116E-2</v>
      </c>
      <c r="J31" s="1">
        <f t="shared" ref="J31" si="35">J32*0.8</f>
        <v>5.3251810638102116E-2</v>
      </c>
      <c r="K31" s="1">
        <f t="shared" ref="K31" si="36">K32*0.8</f>
        <v>5.3251810638102116E-2</v>
      </c>
    </row>
    <row r="32" spans="1:11" x14ac:dyDescent="0.35">
      <c r="F32" s="2" t="s">
        <v>11</v>
      </c>
      <c r="G32" s="1">
        <f>E30</f>
        <v>6.6564763297627644E-2</v>
      </c>
      <c r="H32" s="1">
        <f>G32</f>
        <v>6.6564763297627644E-2</v>
      </c>
      <c r="I32" s="1">
        <f>H32</f>
        <v>6.6564763297627644E-2</v>
      </c>
      <c r="J32" s="1">
        <f t="shared" ref="J32:K32" si="37">I32</f>
        <v>6.6564763297627644E-2</v>
      </c>
      <c r="K32" s="1">
        <f t="shared" si="37"/>
        <v>6.6564763297627644E-2</v>
      </c>
    </row>
    <row r="33" spans="1:11" x14ac:dyDescent="0.35">
      <c r="F33" s="2" t="s">
        <v>12</v>
      </c>
      <c r="G33" s="1">
        <f>G32*1.2</f>
        <v>7.9877715957153164E-2</v>
      </c>
      <c r="H33" s="1">
        <f t="shared" ref="H33" si="38">H32*1.2</f>
        <v>7.9877715957153164E-2</v>
      </c>
      <c r="I33" s="1">
        <f t="shared" ref="I33" si="39">I32*1.2</f>
        <v>7.9877715957153164E-2</v>
      </c>
      <c r="J33" s="1">
        <f t="shared" ref="J33" si="40">J32*1.2</f>
        <v>7.9877715957153164E-2</v>
      </c>
      <c r="K33" s="1">
        <f t="shared" ref="K33" si="41">K32*1.2</f>
        <v>7.9877715957153164E-2</v>
      </c>
    </row>
    <row r="34" spans="1:11" s="35" customFormat="1" x14ac:dyDescent="0.35">
      <c r="A34" s="35" t="s">
        <v>8</v>
      </c>
    </row>
    <row r="35" spans="1:11" s="35" customFormat="1" x14ac:dyDescent="0.35">
      <c r="A35" s="35" t="s">
        <v>17</v>
      </c>
      <c r="C35" s="36">
        <f>'Income Statement'!D31/'Income Statement'!D27</f>
        <v>0.15770781139924886</v>
      </c>
      <c r="D35" s="36">
        <f>'Income Statement'!E31/'Income Statement'!E27</f>
        <v>-2.2768898947565393E-2</v>
      </c>
      <c r="E35" s="36">
        <f>'Income Statement'!F31/'Income Statement'!F27</f>
        <v>-3.5835685668961531E-2</v>
      </c>
      <c r="G35" s="37">
        <f>IF(Case="A",G36,IF(Case="B",G37,G38))</f>
        <v>-4.3002822802753839E-2</v>
      </c>
      <c r="H35" s="37">
        <f>IF(Case="A",H36,IF(Case="B",H37,H38))</f>
        <v>-4.3002822802753839E-2</v>
      </c>
      <c r="I35" s="37">
        <f>IF(Case="A",I36,IF(Case="B",I37,I38))</f>
        <v>-4.3002822802753839E-2</v>
      </c>
      <c r="J35" s="37">
        <f>IF(Case="A",J36,IF(Case="B",J37,J38))</f>
        <v>-4.3002822802753839E-2</v>
      </c>
      <c r="K35" s="37">
        <f>IF(Case="A",K36,IF(Case="B",K37,K38))</f>
        <v>-4.3002822802753839E-2</v>
      </c>
    </row>
    <row r="36" spans="1:11" x14ac:dyDescent="0.35">
      <c r="F36" s="2" t="s">
        <v>10</v>
      </c>
      <c r="G36" s="1">
        <f>G37*1.2</f>
        <v>-4.3002822802753839E-2</v>
      </c>
      <c r="H36" s="1">
        <f t="shared" ref="H36:K36" si="42">H37*1.2</f>
        <v>-4.3002822802753839E-2</v>
      </c>
      <c r="I36" s="1">
        <f t="shared" si="42"/>
        <v>-4.3002822802753839E-2</v>
      </c>
      <c r="J36" s="1">
        <f t="shared" si="42"/>
        <v>-4.3002822802753839E-2</v>
      </c>
      <c r="K36" s="1">
        <f t="shared" si="42"/>
        <v>-4.3002822802753839E-2</v>
      </c>
    </row>
    <row r="37" spans="1:11" x14ac:dyDescent="0.35">
      <c r="F37" s="2" t="s">
        <v>11</v>
      </c>
      <c r="G37" s="1">
        <f>E35</f>
        <v>-3.5835685668961531E-2</v>
      </c>
      <c r="H37" s="1">
        <f>G37</f>
        <v>-3.5835685668961531E-2</v>
      </c>
      <c r="I37" s="1">
        <f>H37</f>
        <v>-3.5835685668961531E-2</v>
      </c>
      <c r="J37" s="1">
        <f t="shared" ref="J37:K37" si="43">I37</f>
        <v>-3.5835685668961531E-2</v>
      </c>
      <c r="K37" s="1">
        <f t="shared" si="43"/>
        <v>-3.5835685668961531E-2</v>
      </c>
    </row>
    <row r="38" spans="1:11" x14ac:dyDescent="0.35">
      <c r="F38" s="2" t="s">
        <v>12</v>
      </c>
      <c r="G38" s="1">
        <f>G37*0.8</f>
        <v>-2.8668548535169227E-2</v>
      </c>
      <c r="H38" s="1">
        <f t="shared" ref="H38:K38" si="44">H37*0.8</f>
        <v>-2.8668548535169227E-2</v>
      </c>
      <c r="I38" s="1">
        <f t="shared" si="44"/>
        <v>-2.8668548535169227E-2</v>
      </c>
      <c r="J38" s="1">
        <f t="shared" si="44"/>
        <v>-2.8668548535169227E-2</v>
      </c>
      <c r="K38" s="1">
        <f t="shared" si="44"/>
        <v>-2.8668548535169227E-2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7AEE-9050-4554-B0F0-9AACF2F39A85}">
  <dimension ref="A1:N44"/>
  <sheetViews>
    <sheetView showGridLines="0" workbookViewId="0">
      <pane ySplit="5" topLeftCell="A6" activePane="bottomLeft" state="frozen"/>
      <selection pane="bottomLeft" activeCell="D45" sqref="D45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1" t="s">
        <v>91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1:12" x14ac:dyDescent="0.35">
      <c r="A3" s="14" t="s">
        <v>93</v>
      </c>
      <c r="B3" s="13" t="str">
        <f>'Income Statement'!B3</f>
        <v>A</v>
      </c>
    </row>
    <row r="4" spans="1:12" x14ac:dyDescent="0.35">
      <c r="A4" s="52" t="s">
        <v>90</v>
      </c>
      <c r="B4" s="52"/>
      <c r="C4" s="52"/>
      <c r="D4" s="53" t="s">
        <v>88</v>
      </c>
      <c r="E4" s="54"/>
      <c r="F4" s="54"/>
      <c r="G4" s="55"/>
      <c r="H4" s="50" t="s">
        <v>89</v>
      </c>
      <c r="I4" s="50"/>
      <c r="J4" s="50"/>
      <c r="K4" s="50"/>
      <c r="L4" s="50"/>
    </row>
    <row r="5" spans="1:12" s="9" customFormat="1" x14ac:dyDescent="0.35">
      <c r="D5" s="9">
        <v>2019</v>
      </c>
      <c r="E5" s="9">
        <v>2020</v>
      </c>
      <c r="F5" s="9">
        <v>2021</v>
      </c>
      <c r="H5" s="9">
        <v>2022</v>
      </c>
      <c r="I5" s="9">
        <v>2023</v>
      </c>
      <c r="J5" s="9">
        <v>2024</v>
      </c>
      <c r="K5" s="9">
        <v>2025</v>
      </c>
      <c r="L5" s="9">
        <v>2026</v>
      </c>
    </row>
    <row r="6" spans="1:12" s="31" customFormat="1" x14ac:dyDescent="0.35">
      <c r="A6" s="31" t="s">
        <v>28</v>
      </c>
    </row>
    <row r="7" spans="1:12" x14ac:dyDescent="0.35">
      <c r="A7" s="3" t="s">
        <v>100</v>
      </c>
      <c r="D7" s="17">
        <v>2020.6</v>
      </c>
      <c r="E7" s="17">
        <v>-7289.63</v>
      </c>
      <c r="F7" s="17">
        <v>-2395.44</v>
      </c>
      <c r="H7" s="3">
        <f>'Income Statement'!H33</f>
        <v>8164.3388094976417</v>
      </c>
      <c r="I7" s="3">
        <f>'Income Statement'!I33</f>
        <v>8411.2044189805238</v>
      </c>
      <c r="J7" s="3">
        <f>'Income Statement'!J33</f>
        <v>8741.1140510444638</v>
      </c>
      <c r="K7" s="3">
        <f>'Income Statement'!K33</f>
        <v>9141.7022202544049</v>
      </c>
      <c r="L7" s="3">
        <f>'Income Statement'!L33</f>
        <v>9605.6175337073819</v>
      </c>
    </row>
    <row r="8" spans="1:12" x14ac:dyDescent="0.35">
      <c r="A8" s="3" t="s">
        <v>101</v>
      </c>
      <c r="D8" s="17"/>
      <c r="E8" s="17"/>
      <c r="F8" s="17"/>
    </row>
    <row r="9" spans="1:12" x14ac:dyDescent="0.35">
      <c r="A9" s="3" t="s">
        <v>102</v>
      </c>
      <c r="D9" s="17">
        <v>3098.64</v>
      </c>
      <c r="E9" s="17">
        <v>3375.29</v>
      </c>
      <c r="F9" s="17">
        <v>3681.61</v>
      </c>
      <c r="H9" s="3">
        <f>'Depreciation Schedule'!D19</f>
        <v>4151.273462715576</v>
      </c>
      <c r="I9" s="3">
        <f>'Depreciation Schedule'!E19</f>
        <v>4739.4513051555396</v>
      </c>
      <c r="J9" s="3">
        <f>'Depreciation Schedule'!F19</f>
        <v>5377.4912465204688</v>
      </c>
      <c r="K9" s="3">
        <f>'Depreciation Schedule'!G19</f>
        <v>6069.6202887982145</v>
      </c>
      <c r="L9" s="3">
        <f>'Depreciation Schedule'!H19</f>
        <v>6820.4237732000147</v>
      </c>
    </row>
    <row r="10" spans="1:12" x14ac:dyDescent="0.35">
      <c r="A10" s="3" t="s">
        <v>103</v>
      </c>
      <c r="D10" s="17">
        <v>378.33</v>
      </c>
      <c r="E10" s="17">
        <v>162.29</v>
      </c>
      <c r="F10" s="17">
        <v>82.87</v>
      </c>
    </row>
    <row r="11" spans="1:12" x14ac:dyDescent="0.35">
      <c r="A11" s="3" t="s">
        <v>104</v>
      </c>
      <c r="D11" s="17">
        <v>559.71</v>
      </c>
      <c r="E11" s="17">
        <v>2761.09</v>
      </c>
      <c r="F11" s="17">
        <v>-1466.63</v>
      </c>
      <c r="H11" s="3">
        <f>IF($B$3="A",MAX($D$11:$F$11),IF($B$3="B",$F$11,MIN($D$11:$F$11)))</f>
        <v>2761.09</v>
      </c>
      <c r="I11" s="3">
        <f>IF($B$3="A",MAX($D$11:$F$11),IF($B$3="B",$F$11,MIN($D$11:$F$11)))</f>
        <v>2761.09</v>
      </c>
      <c r="J11" s="3">
        <f>IF($B$3="A",MAX($D$11:$F$11),IF($B$3="B",$F$11,MIN($D$11:$F$11)))</f>
        <v>2761.09</v>
      </c>
      <c r="K11" s="3">
        <f>IF($B$3="A",MAX($D$11:$F$11),IF($B$3="B",$F$11,MIN($D$11:$F$11)))</f>
        <v>2761.09</v>
      </c>
      <c r="L11" s="3">
        <f>IF($B$3="A",MAX($D$11:$F$11),IF($B$3="B",$F$11,MIN($D$11:$F$11)))</f>
        <v>2761.09</v>
      </c>
    </row>
    <row r="12" spans="1:12" x14ac:dyDescent="0.35">
      <c r="A12" s="3" t="s">
        <v>105</v>
      </c>
      <c r="D12" s="17">
        <v>1793.57</v>
      </c>
      <c r="E12" s="17">
        <v>1973</v>
      </c>
      <c r="F12" s="17">
        <v>2358.54</v>
      </c>
      <c r="H12" s="3">
        <f>IF($B$3="A",MAX($D$12:$F$12),IF($B$3="B",$F$12,MIN($D$12:$F$12)))</f>
        <v>2358.54</v>
      </c>
      <c r="I12" s="3">
        <f>IF($B$3="A",MAX($D$12:$F$12),IF($B$3="B",$F$12,MIN($D$12:$F$12)))</f>
        <v>2358.54</v>
      </c>
      <c r="J12" s="3">
        <f>IF($B$3="A",MAX($D$12:$F$12),IF($B$3="B",$F$12,MIN($D$12:$F$12)))</f>
        <v>2358.54</v>
      </c>
      <c r="K12" s="3">
        <f>IF($B$3="A",MAX($D$12:$F$12),IF($B$3="B",$F$12,MIN($D$12:$F$12)))</f>
        <v>2358.54</v>
      </c>
      <c r="L12" s="3">
        <f>IF($B$3="A",MAX($D$12:$F$12),IF($B$3="B",$F$12,MIN($D$12:$F$12)))</f>
        <v>2358.54</v>
      </c>
    </row>
    <row r="13" spans="1:12" x14ac:dyDescent="0.35">
      <c r="A13" s="3" t="s">
        <v>106</v>
      </c>
      <c r="D13" s="17">
        <v>-1683.86</v>
      </c>
      <c r="E13" s="17">
        <v>-542.62</v>
      </c>
      <c r="F13" s="17">
        <v>-300.13</v>
      </c>
      <c r="H13" s="3">
        <f>IF($B$3="A",MAX($D$13:$F$13),IF($B$3="B",$F$13,MIN($D$13:$F$13)))</f>
        <v>-300.13</v>
      </c>
      <c r="I13" s="3">
        <f>IF($B$3="A",MAX($D$13:$F$13),IF($B$3="B",$F$13,MIN($D$13:$F$13)))</f>
        <v>-300.13</v>
      </c>
      <c r="J13" s="3">
        <f>IF($B$3="A",MAX($D$13:$F$13),IF($B$3="B",$F$13,MIN($D$13:$F$13)))</f>
        <v>-300.13</v>
      </c>
      <c r="K13" s="3">
        <f>IF($B$3="A",MAX($D$13:$F$13),IF($B$3="B",$F$13,MIN($D$13:$F$13)))</f>
        <v>-300.13</v>
      </c>
      <c r="L13" s="3">
        <f>IF($B$3="A",MAX($D$13:$F$13),IF($B$3="B",$F$13,MIN($D$13:$F$13)))</f>
        <v>-300.13</v>
      </c>
    </row>
    <row r="14" spans="1:12" s="31" customFormat="1" x14ac:dyDescent="0.35">
      <c r="A14" s="31" t="s">
        <v>37</v>
      </c>
      <c r="D14" s="31">
        <f>SUM(D9:D13)</f>
        <v>4146.3900000000003</v>
      </c>
      <c r="E14" s="31">
        <f>SUM(E9:E13)</f>
        <v>7729.05</v>
      </c>
      <c r="F14" s="31">
        <f>SUM(F9:F13)</f>
        <v>4356.2599999999993</v>
      </c>
      <c r="H14" s="31">
        <f t="shared" ref="H14:K14" si="0">SUM(H9:H13)</f>
        <v>8970.7734627155769</v>
      </c>
      <c r="I14" s="31">
        <f t="shared" si="0"/>
        <v>9558.9513051555405</v>
      </c>
      <c r="J14" s="31">
        <f t="shared" si="0"/>
        <v>10196.991246520471</v>
      </c>
      <c r="K14" s="31">
        <f t="shared" si="0"/>
        <v>10889.120288798216</v>
      </c>
      <c r="L14" s="31">
        <f>SUM(L9:L13)</f>
        <v>11639.923773200017</v>
      </c>
    </row>
    <row r="15" spans="1:12" x14ac:dyDescent="0.35">
      <c r="D15" s="17"/>
      <c r="E15" s="17"/>
      <c r="F15" s="17"/>
    </row>
    <row r="16" spans="1:12" s="22" customFormat="1" x14ac:dyDescent="0.35">
      <c r="A16" s="22" t="s">
        <v>29</v>
      </c>
      <c r="D16" s="22">
        <f>SUM(D7,D14)</f>
        <v>6166.99</v>
      </c>
      <c r="E16" s="22">
        <f>SUM(E14,E7)</f>
        <v>439.42000000000007</v>
      </c>
      <c r="F16" s="22">
        <f>SUM(F14,F7)</f>
        <v>1960.8199999999993</v>
      </c>
      <c r="H16" s="22">
        <f>SUM(H14,H7)</f>
        <v>17135.11227221322</v>
      </c>
      <c r="I16" s="22">
        <f t="shared" ref="I16:L16" si="1">SUM(I14,I7)</f>
        <v>17970.155724136064</v>
      </c>
      <c r="J16" s="22">
        <f t="shared" si="1"/>
        <v>18938.105297564936</v>
      </c>
      <c r="K16" s="22">
        <f t="shared" si="1"/>
        <v>20030.822509052621</v>
      </c>
      <c r="L16" s="22">
        <f t="shared" si="1"/>
        <v>21245.541306907398</v>
      </c>
    </row>
    <row r="17" spans="1:14" x14ac:dyDescent="0.35">
      <c r="A17" s="3" t="s">
        <v>107</v>
      </c>
      <c r="D17" s="17">
        <v>164.5</v>
      </c>
      <c r="E17" s="17">
        <v>1168.02</v>
      </c>
      <c r="F17" s="17">
        <v>-141.51</v>
      </c>
      <c r="H17" s="3">
        <f>'Working Capital Schedule'!H6</f>
        <v>556.76560127931589</v>
      </c>
      <c r="I17" s="3">
        <f>'Working Capital Schedule'!I6</f>
        <v>603.96476365143667</v>
      </c>
      <c r="J17" s="3">
        <f>'Working Capital Schedule'!J6</f>
        <v>655.1651806332369</v>
      </c>
      <c r="K17" s="3">
        <f>'Working Capital Schedule'!K6</f>
        <v>710.70605397421491</v>
      </c>
      <c r="L17" s="3">
        <f>'Working Capital Schedule'!L6</f>
        <v>770.95534086137241</v>
      </c>
    </row>
    <row r="18" spans="1:14" x14ac:dyDescent="0.35">
      <c r="A18" s="3" t="s">
        <v>108</v>
      </c>
      <c r="D18" s="17">
        <v>966</v>
      </c>
      <c r="E18" s="17">
        <v>730.01</v>
      </c>
      <c r="F18" s="17">
        <v>-765.37</v>
      </c>
      <c r="H18" s="3">
        <f>'Working Capital Schedule'!H8</f>
        <v>392.56671307686997</v>
      </c>
      <c r="I18" s="3">
        <f>'Working Capital Schedule'!I8</f>
        <v>425.84610388303696</v>
      </c>
      <c r="J18" s="3">
        <f>'Working Capital Schedule'!J8</f>
        <v>461.94671670201575</v>
      </c>
      <c r="K18" s="3">
        <f>'Working Capital Schedule'!K8</f>
        <v>501.10771737947715</v>
      </c>
      <c r="L18" s="3">
        <f>'Working Capital Schedule'!L8</f>
        <v>543.5885467701047</v>
      </c>
    </row>
    <row r="19" spans="1:14" x14ac:dyDescent="0.35">
      <c r="A19" s="3" t="s">
        <v>109</v>
      </c>
      <c r="D19" s="17">
        <v>-725.29</v>
      </c>
      <c r="E19" s="17">
        <v>-2688.95</v>
      </c>
      <c r="F19" s="17">
        <v>4964.54</v>
      </c>
      <c r="H19" s="3">
        <f>'Working Capital Schedule'!H14</f>
        <v>312.02001968994227</v>
      </c>
      <c r="I19" s="3">
        <f>'Working Capital Schedule'!I14</f>
        <v>338.47115736593827</v>
      </c>
      <c r="J19" s="3">
        <f>'Working Capital Schedule'!J14</f>
        <v>367.16465976279346</v>
      </c>
      <c r="K19" s="3">
        <f>'Working Capital Schedule'!K14</f>
        <v>398.29062076618277</v>
      </c>
      <c r="L19" s="3">
        <f>'Working Capital Schedule'!L14</f>
        <v>432.05524925192293</v>
      </c>
    </row>
    <row r="20" spans="1:14" x14ac:dyDescent="0.35">
      <c r="A20" s="3" t="s">
        <v>110</v>
      </c>
      <c r="D20" s="17">
        <v>-97.35</v>
      </c>
      <c r="E20" s="17">
        <v>-1010.55</v>
      </c>
      <c r="F20" s="17">
        <v>725.09</v>
      </c>
    </row>
    <row r="21" spans="1:14" s="31" customFormat="1" x14ac:dyDescent="0.35">
      <c r="A21" s="31" t="s">
        <v>37</v>
      </c>
      <c r="D21" s="31">
        <f>SUM(D16:D20)</f>
        <v>6474.8499999999995</v>
      </c>
      <c r="E21" s="31">
        <f>SUM(E16:E20)</f>
        <v>-1362.05</v>
      </c>
      <c r="F21" s="31">
        <f>SUM(F16:F20)</f>
        <v>6743.57</v>
      </c>
      <c r="H21" s="31">
        <f>SUM(H16:H20)</f>
        <v>18396.464606259349</v>
      </c>
      <c r="I21" s="31">
        <f t="shared" ref="I21:L21" si="2">SUM(I16:I20)</f>
        <v>19338.437749036475</v>
      </c>
      <c r="J21" s="31">
        <f t="shared" si="2"/>
        <v>20422.381854662985</v>
      </c>
      <c r="K21" s="31">
        <f t="shared" si="2"/>
        <v>21640.926901172497</v>
      </c>
      <c r="L21" s="31">
        <f t="shared" si="2"/>
        <v>22992.140443790799</v>
      </c>
    </row>
    <row r="22" spans="1:14" x14ac:dyDescent="0.35">
      <c r="A22" s="3" t="s">
        <v>111</v>
      </c>
      <c r="D22" s="17">
        <v>-182.22</v>
      </c>
      <c r="E22" s="17">
        <v>-92.54</v>
      </c>
      <c r="F22" s="17">
        <v>-63.25</v>
      </c>
      <c r="H22" s="3">
        <f>'Working Capital Schedule'!H16</f>
        <v>-300.67656511324151</v>
      </c>
      <c r="I22" s="3">
        <f>'Working Capital Schedule'!I16</f>
        <v>-309.76814071242552</v>
      </c>
      <c r="J22" s="3">
        <f>'Working Capital Schedule'!J16</f>
        <v>-321.91806458027907</v>
      </c>
      <c r="K22" s="3">
        <f>'Working Capital Schedule'!K16</f>
        <v>-336.67094017173906</v>
      </c>
      <c r="L22" s="3">
        <f>'Working Capital Schedule'!L16</f>
        <v>-353.75603012295545</v>
      </c>
    </row>
    <row r="23" spans="1:14" s="31" customFormat="1" x14ac:dyDescent="0.35">
      <c r="A23" s="31" t="s">
        <v>30</v>
      </c>
      <c r="D23" s="31">
        <f>SUM(D21:D22)</f>
        <v>6292.6299999999992</v>
      </c>
      <c r="E23" s="31">
        <f>SUM(E21:E22)</f>
        <v>-1454.59</v>
      </c>
      <c r="F23" s="31">
        <f>SUM(F21:F22)</f>
        <v>6680.32</v>
      </c>
      <c r="H23" s="31">
        <f>SUM(H21:H22)</f>
        <v>18095.788041146108</v>
      </c>
      <c r="I23" s="31">
        <f t="shared" ref="I23:L23" si="3">SUM(I21:I22)</f>
        <v>19028.669608324049</v>
      </c>
      <c r="J23" s="31">
        <f t="shared" si="3"/>
        <v>20100.463790082704</v>
      </c>
      <c r="K23" s="31">
        <f t="shared" si="3"/>
        <v>21304.255961000759</v>
      </c>
      <c r="L23" s="31">
        <f t="shared" si="3"/>
        <v>22638.384413667842</v>
      </c>
      <c r="N23" s="32"/>
    </row>
    <row r="24" spans="1:14" x14ac:dyDescent="0.35">
      <c r="D24" s="17"/>
      <c r="E24" s="17"/>
      <c r="F24" s="17"/>
    </row>
    <row r="25" spans="1:14" s="31" customFormat="1" x14ac:dyDescent="0.35">
      <c r="A25" s="31" t="s">
        <v>31</v>
      </c>
      <c r="D25" s="33"/>
      <c r="E25" s="33"/>
      <c r="F25" s="33"/>
      <c r="H25" s="32"/>
    </row>
    <row r="26" spans="1:14" x14ac:dyDescent="0.35">
      <c r="A26" s="3" t="s">
        <v>112</v>
      </c>
      <c r="D26" s="17">
        <v>-4783.4799999999996</v>
      </c>
      <c r="E26" s="17">
        <v>-4668.58</v>
      </c>
      <c r="F26" s="17">
        <v>-1856.3</v>
      </c>
      <c r="H26" s="5">
        <f>-'Income Statement'!H7*'Cash-flow Statement'!H27</f>
        <v>-5422.1241008399684</v>
      </c>
      <c r="I26" s="5">
        <f>-'Income Statement'!I7*'Cash-flow Statement'!I27</f>
        <v>-5881.7784243996348</v>
      </c>
      <c r="J26" s="5">
        <f>-'Income Statement'!J7*'Cash-flow Statement'!J27</f>
        <v>-6380.3994136492965</v>
      </c>
      <c r="K26" s="5">
        <f>-'Income Statement'!K7*'Cash-flow Statement'!K27</f>
        <v>-6921.2904227774579</v>
      </c>
      <c r="L26" s="5">
        <f>-'Income Statement'!L7*'Cash-flow Statement'!L27</f>
        <v>-7508.034844018006</v>
      </c>
    </row>
    <row r="27" spans="1:14" s="20" customFormat="1" x14ac:dyDescent="0.35">
      <c r="A27" s="20" t="s">
        <v>129</v>
      </c>
      <c r="D27" s="1">
        <f>-D26/'Income Statement'!D7</f>
        <v>6.9122676610008038E-2</v>
      </c>
      <c r="E27" s="1">
        <f>-E26/'Income Statement'!E7</f>
        <v>0.10627758907325299</v>
      </c>
      <c r="F27" s="1">
        <f>-F26/'Income Statement'!F7</f>
        <v>3.9469317033892413E-2</v>
      </c>
      <c r="H27" s="23">
        <f>IF($B$3="A",MAX($D$27:$F$27),IF($B$3="B",$F$27,MIN($D$27:$F$27)))</f>
        <v>0.10627758907325299</v>
      </c>
      <c r="I27" s="23">
        <f>H27</f>
        <v>0.10627758907325299</v>
      </c>
      <c r="J27" s="23">
        <f t="shared" ref="J27:L27" si="4">AVERAGE(G27:H27)</f>
        <v>0.10627758907325299</v>
      </c>
      <c r="K27" s="23">
        <f t="shared" si="4"/>
        <v>0.10627758907325299</v>
      </c>
      <c r="L27" s="23">
        <f t="shared" si="4"/>
        <v>0.10627758907325299</v>
      </c>
    </row>
    <row r="28" spans="1:14" x14ac:dyDescent="0.35">
      <c r="A28" s="3" t="s">
        <v>113</v>
      </c>
      <c r="D28" s="17">
        <v>30.25</v>
      </c>
      <c r="E28" s="17">
        <v>155.16</v>
      </c>
      <c r="F28" s="17">
        <v>178.36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4" x14ac:dyDescent="0.35">
      <c r="A29" s="3" t="s">
        <v>114</v>
      </c>
      <c r="D29" s="17">
        <v>-424.24</v>
      </c>
      <c r="E29" s="17">
        <v>-90.1</v>
      </c>
      <c r="F29" s="17">
        <v>-714.5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4" x14ac:dyDescent="0.35">
      <c r="A30" s="3" t="s">
        <v>115</v>
      </c>
      <c r="D30" s="17">
        <v>1356.92</v>
      </c>
      <c r="E30" s="17">
        <v>-115.36</v>
      </c>
      <c r="F30" s="17">
        <v>-598.88</v>
      </c>
      <c r="H30" s="5">
        <f>IF($B$3="A",MAX($D$30:$F$30),IF($B$3="B",$F$30,MIN($D$30:$F$30)))</f>
        <v>1356.92</v>
      </c>
      <c r="I30" s="5">
        <f>H30</f>
        <v>1356.92</v>
      </c>
      <c r="J30" s="5">
        <f t="shared" ref="J30:L30" si="5">I30</f>
        <v>1356.92</v>
      </c>
      <c r="K30" s="5">
        <f t="shared" si="5"/>
        <v>1356.92</v>
      </c>
      <c r="L30" s="5">
        <f t="shared" si="5"/>
        <v>1356.92</v>
      </c>
    </row>
    <row r="31" spans="1:14" s="31" customFormat="1" x14ac:dyDescent="0.35">
      <c r="A31" s="31" t="s">
        <v>33</v>
      </c>
      <c r="D31" s="31">
        <f>SUM(D26:D30)</f>
        <v>-3820.480877323389</v>
      </c>
      <c r="E31" s="31">
        <f>SUM(E26:E30)</f>
        <v>-4718.7737224109269</v>
      </c>
      <c r="F31" s="31">
        <f>SUM(F26:F30)</f>
        <v>-2991.2805306829659</v>
      </c>
      <c r="H31" s="31">
        <f>SUM(H26:H30)</f>
        <v>-4065.0978232508951</v>
      </c>
      <c r="I31" s="31">
        <f t="shared" ref="I31:L31" si="6">SUM(I26:I30)</f>
        <v>-4524.7521468105615</v>
      </c>
      <c r="J31" s="31">
        <f t="shared" si="6"/>
        <v>-5023.3731360602233</v>
      </c>
      <c r="K31" s="31">
        <f t="shared" si="6"/>
        <v>-5564.2641451883846</v>
      </c>
      <c r="L31" s="31">
        <f t="shared" si="6"/>
        <v>-6151.0085664289327</v>
      </c>
    </row>
    <row r="32" spans="1:14" x14ac:dyDescent="0.35">
      <c r="D32" s="17"/>
      <c r="E32" s="17"/>
      <c r="F32" s="17"/>
    </row>
    <row r="33" spans="1:12" s="31" customFormat="1" x14ac:dyDescent="0.35">
      <c r="A33" s="31" t="s">
        <v>34</v>
      </c>
      <c r="D33" s="33"/>
      <c r="E33" s="33"/>
      <c r="F33" s="33"/>
    </row>
    <row r="34" spans="1:12" x14ac:dyDescent="0.35">
      <c r="A34" s="3" t="s">
        <v>116</v>
      </c>
      <c r="D34" s="17">
        <v>-703.98</v>
      </c>
      <c r="E34" s="17">
        <v>3840.77</v>
      </c>
      <c r="F34" s="17">
        <v>139.27000000000001</v>
      </c>
      <c r="H34" s="6">
        <v>0</v>
      </c>
      <c r="I34" s="6">
        <f>H34</f>
        <v>0</v>
      </c>
      <c r="J34" s="6">
        <f t="shared" ref="J34:L34" si="7">I34</f>
        <v>0</v>
      </c>
      <c r="K34" s="6">
        <f t="shared" si="7"/>
        <v>0</v>
      </c>
      <c r="L34" s="6">
        <f t="shared" si="7"/>
        <v>0</v>
      </c>
    </row>
    <row r="35" spans="1:12" x14ac:dyDescent="0.35">
      <c r="A35" s="3" t="s">
        <v>117</v>
      </c>
      <c r="D35" s="17">
        <v>531.61</v>
      </c>
      <c r="E35" s="17">
        <v>2486.46</v>
      </c>
      <c r="F35" s="17">
        <v>-3592.46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</row>
    <row r="36" spans="1:12" x14ac:dyDescent="0.35">
      <c r="A36" s="3" t="s">
        <v>118</v>
      </c>
      <c r="D36" s="17">
        <v>0</v>
      </c>
      <c r="E36" s="17">
        <v>-193.63</v>
      </c>
      <c r="F36" s="17">
        <v>-192.32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</row>
    <row r="37" spans="1:12" x14ac:dyDescent="0.35">
      <c r="A37" s="3" t="s">
        <v>119</v>
      </c>
      <c r="D37" s="17">
        <v>0</v>
      </c>
      <c r="E37" s="17">
        <v>3888.79</v>
      </c>
      <c r="F37" s="17">
        <v>2602.5100000000002</v>
      </c>
      <c r="H37" s="3">
        <f>IF($B$3="A",MAX($D$37:$F$37),IF($B$3="B",$F$37,MIN($D$37:$F$37)))</f>
        <v>3888.79</v>
      </c>
      <c r="I37" s="3">
        <f>H37</f>
        <v>3888.79</v>
      </c>
      <c r="J37" s="3">
        <f t="shared" ref="J37:L37" si="8">I37</f>
        <v>3888.79</v>
      </c>
      <c r="K37" s="3">
        <f t="shared" si="8"/>
        <v>3888.79</v>
      </c>
      <c r="L37" s="3">
        <f t="shared" si="8"/>
        <v>3888.79</v>
      </c>
    </row>
    <row r="38" spans="1:12" x14ac:dyDescent="0.35">
      <c r="A38" s="3" t="s">
        <v>120</v>
      </c>
      <c r="D38" s="17">
        <v>-2357.33</v>
      </c>
      <c r="E38" s="17">
        <v>-2273.1799999999998</v>
      </c>
      <c r="F38" s="17">
        <v>-2428.91</v>
      </c>
      <c r="H38" s="3">
        <f>IF($B$3="A",MAX($D$38:$F$38),IF($B$3="B",$F$38,MIN($D$38:$F$38)))</f>
        <v>-2273.1799999999998</v>
      </c>
      <c r="I38" s="3">
        <f>IF($B$3="A",MAX($D$38:$F$38),IF($B$3="B",$F$38,MIN($D$38:$F$38)))</f>
        <v>-2273.1799999999998</v>
      </c>
      <c r="J38" s="3">
        <f>IF($B$3="A",MAX($D$38:$F$38),IF($B$3="B",$F$38,MIN($D$38:$F$38)))</f>
        <v>-2273.1799999999998</v>
      </c>
      <c r="K38" s="3">
        <f>IF($B$3="A",MAX($D$38:$F$38),IF($B$3="B",$F$38,MIN($D$38:$F$38)))</f>
        <v>-2273.1799999999998</v>
      </c>
      <c r="L38" s="3">
        <f>IF($B$3="A",MAX($D$38:$F$38),IF($B$3="B",$F$38,MIN($D$38:$F$38)))</f>
        <v>-2273.1799999999998</v>
      </c>
    </row>
    <row r="39" spans="1:12" s="31" customFormat="1" x14ac:dyDescent="0.35">
      <c r="A39" s="31" t="s">
        <v>35</v>
      </c>
      <c r="D39" s="31">
        <f>SUM(D34:D38)</f>
        <v>-2529.6999999999998</v>
      </c>
      <c r="E39" s="31">
        <f>SUM(E34:E38)</f>
        <v>7749.2099999999991</v>
      </c>
      <c r="F39" s="31">
        <f>SUM(F34:F38)</f>
        <v>-3471.91</v>
      </c>
      <c r="H39" s="31">
        <f>SUM(H34:H38)</f>
        <v>1615.6100000000001</v>
      </c>
      <c r="I39" s="31">
        <f t="shared" ref="I39:L39" si="9">SUM(I34:I38)</f>
        <v>1615.6100000000001</v>
      </c>
      <c r="J39" s="31">
        <f t="shared" si="9"/>
        <v>1615.6100000000001</v>
      </c>
      <c r="K39" s="31">
        <f t="shared" si="9"/>
        <v>1615.6100000000001</v>
      </c>
      <c r="L39" s="31">
        <f t="shared" si="9"/>
        <v>1615.6100000000001</v>
      </c>
    </row>
    <row r="40" spans="1:12" x14ac:dyDescent="0.35">
      <c r="D40" s="17"/>
      <c r="E40" s="17"/>
      <c r="F40" s="17"/>
    </row>
    <row r="41" spans="1:12" s="31" customFormat="1" x14ac:dyDescent="0.35">
      <c r="A41" s="31" t="s">
        <v>36</v>
      </c>
      <c r="D41" s="31">
        <f>SUM(D39,D31,D23)</f>
        <v>-57.550877323389614</v>
      </c>
      <c r="E41" s="31">
        <f>SUM(E39,E31,E23)</f>
        <v>1575.8462775890723</v>
      </c>
      <c r="F41" s="31">
        <f>SUM(F39,F31,F23)</f>
        <v>217.12946931703391</v>
      </c>
      <c r="H41" s="31">
        <f>SUM(H39,H31,H23)</f>
        <v>15646.300217895214</v>
      </c>
      <c r="I41" s="31">
        <f t="shared" ref="I41:L41" si="10">SUM(I39,I31,I23)</f>
        <v>16119.527461513488</v>
      </c>
      <c r="J41" s="31">
        <f t="shared" si="10"/>
        <v>16692.700654022479</v>
      </c>
      <c r="K41" s="31">
        <f t="shared" si="10"/>
        <v>17355.601815812373</v>
      </c>
      <c r="L41" s="31">
        <f t="shared" si="10"/>
        <v>18102.98584723891</v>
      </c>
    </row>
    <row r="42" spans="1:12" x14ac:dyDescent="0.35">
      <c r="D42" s="17"/>
      <c r="E42" s="17"/>
      <c r="F42" s="17"/>
    </row>
    <row r="43" spans="1:12" x14ac:dyDescent="0.35">
      <c r="D43" s="17"/>
      <c r="E43" s="17"/>
      <c r="F43" s="17"/>
    </row>
    <row r="44" spans="1:12" s="22" customFormat="1" x14ac:dyDescent="0.35"/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A325-69DD-4569-BD05-F657A13BE0AE}">
  <dimension ref="A1:H20"/>
  <sheetViews>
    <sheetView showGridLines="0" workbookViewId="0">
      <pane ySplit="4" topLeftCell="A5" activePane="bottomLeft" state="frozen"/>
      <selection pane="bottomLeft" activeCell="C15" sqref="C15"/>
    </sheetView>
  </sheetViews>
  <sheetFormatPr defaultColWidth="12.6328125" defaultRowHeight="14.5" x14ac:dyDescent="0.35"/>
  <cols>
    <col min="1" max="16384" width="12.6328125" style="3"/>
  </cols>
  <sheetData>
    <row r="1" spans="1:8" ht="22.5" x14ac:dyDescent="0.45">
      <c r="A1" s="51" t="s">
        <v>169</v>
      </c>
      <c r="B1" s="51"/>
      <c r="C1" s="51"/>
      <c r="D1" s="51"/>
      <c r="E1" s="51"/>
      <c r="F1" s="51"/>
      <c r="G1" s="51"/>
      <c r="H1" s="51"/>
    </row>
    <row r="2" spans="1:8" x14ac:dyDescent="0.35">
      <c r="A2" s="7"/>
      <c r="B2" s="7"/>
      <c r="C2" s="7"/>
      <c r="D2" s="7"/>
    </row>
    <row r="3" spans="1:8" x14ac:dyDescent="0.35">
      <c r="A3" s="56" t="s">
        <v>90</v>
      </c>
      <c r="B3" s="57"/>
      <c r="C3" s="58"/>
      <c r="D3" s="50" t="s">
        <v>89</v>
      </c>
      <c r="E3" s="50"/>
      <c r="F3" s="50"/>
      <c r="G3" s="50"/>
      <c r="H3" s="50"/>
    </row>
    <row r="4" spans="1:8" s="9" customFormat="1" ht="16.5" x14ac:dyDescent="0.35">
      <c r="A4" s="9" t="s">
        <v>181</v>
      </c>
      <c r="D4" s="9">
        <v>2022</v>
      </c>
      <c r="E4" s="9">
        <v>2023</v>
      </c>
      <c r="F4" s="9">
        <v>2024</v>
      </c>
      <c r="G4" s="9">
        <v>2025</v>
      </c>
      <c r="H4" s="9">
        <v>2026</v>
      </c>
    </row>
    <row r="5" spans="1:8" x14ac:dyDescent="0.35">
      <c r="A5" s="3" t="s">
        <v>182</v>
      </c>
      <c r="D5" s="17">
        <v>17143.04</v>
      </c>
    </row>
    <row r="6" spans="1:8" x14ac:dyDescent="0.35">
      <c r="A6" s="3" t="s">
        <v>32</v>
      </c>
      <c r="D6" s="3">
        <f>-'Cash-flow Statement'!H26</f>
        <v>5422.1241008399684</v>
      </c>
      <c r="E6" s="3">
        <f>-'Cash-flow Statement'!I26</f>
        <v>5881.7784243996348</v>
      </c>
      <c r="F6" s="3">
        <f>-'Cash-flow Statement'!J26</f>
        <v>6380.3994136492965</v>
      </c>
      <c r="G6" s="3">
        <f>-'Cash-flow Statement'!K26</f>
        <v>6921.2904227774579</v>
      </c>
      <c r="H6" s="3">
        <f>-'Cash-flow Statement'!L26</f>
        <v>7508.034844018006</v>
      </c>
    </row>
    <row r="8" spans="1:8" s="31" customFormat="1" x14ac:dyDescent="0.35">
      <c r="A8" s="31" t="s">
        <v>40</v>
      </c>
    </row>
    <row r="9" spans="1:8" x14ac:dyDescent="0.35">
      <c r="A9" s="3" t="s">
        <v>39</v>
      </c>
      <c r="D9" s="17">
        <v>4.75</v>
      </c>
    </row>
    <row r="10" spans="1:8" x14ac:dyDescent="0.35">
      <c r="A10" s="3" t="s">
        <v>41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</row>
    <row r="12" spans="1:8" s="31" customFormat="1" x14ac:dyDescent="0.35">
      <c r="A12" s="31" t="s">
        <v>42</v>
      </c>
    </row>
    <row r="13" spans="1:8" x14ac:dyDescent="0.35">
      <c r="A13" s="3" t="s">
        <v>43</v>
      </c>
      <c r="D13" s="3">
        <f>$D$5/$D$9</f>
        <v>3609.0610526315791</v>
      </c>
      <c r="E13" s="3">
        <f>$D$5/$D$9</f>
        <v>3609.0610526315791</v>
      </c>
      <c r="F13" s="3">
        <f>$D$5/$D$9</f>
        <v>3609.0610526315791</v>
      </c>
      <c r="G13" s="3">
        <f>$D$5/$D$9</f>
        <v>3609.0610526315791</v>
      </c>
      <c r="H13" s="3">
        <f>$D$5/$D$9</f>
        <v>3609.0610526315791</v>
      </c>
    </row>
    <row r="14" spans="1:8" x14ac:dyDescent="0.35">
      <c r="A14" s="3" t="s">
        <v>44</v>
      </c>
      <c r="D14" s="3">
        <f>$D$6/$D$10</f>
        <v>542.21241008399682</v>
      </c>
      <c r="E14" s="3">
        <f>$D$6/$D$10</f>
        <v>542.21241008399682</v>
      </c>
      <c r="F14" s="3">
        <f>$D$6/$D$10</f>
        <v>542.21241008399682</v>
      </c>
      <c r="G14" s="3">
        <f>$D$6/$D$10</f>
        <v>542.21241008399682</v>
      </c>
      <c r="H14" s="3">
        <f>$D$6/$D$10</f>
        <v>542.21241008399682</v>
      </c>
    </row>
    <row r="15" spans="1:8" x14ac:dyDescent="0.35">
      <c r="A15" s="3" t="s">
        <v>45</v>
      </c>
      <c r="E15" s="3">
        <f>$E$6/$E$10</f>
        <v>588.17784243996346</v>
      </c>
      <c r="F15" s="3">
        <f>$E$6/$E$10</f>
        <v>588.17784243996346</v>
      </c>
      <c r="G15" s="3">
        <f>$E$6/$E$10</f>
        <v>588.17784243996346</v>
      </c>
      <c r="H15" s="3">
        <f>$E$6/$E$10</f>
        <v>588.17784243996346</v>
      </c>
    </row>
    <row r="16" spans="1:8" x14ac:dyDescent="0.35">
      <c r="A16" s="3" t="s">
        <v>46</v>
      </c>
      <c r="F16" s="3">
        <f>$F$6/$F$10</f>
        <v>638.03994136492963</v>
      </c>
      <c r="G16" s="3">
        <f>$F$6/$F$10</f>
        <v>638.03994136492963</v>
      </c>
      <c r="H16" s="3">
        <f>$F$6/$F$10</f>
        <v>638.03994136492963</v>
      </c>
    </row>
    <row r="17" spans="1:8" x14ac:dyDescent="0.35">
      <c r="A17" s="3" t="s">
        <v>47</v>
      </c>
      <c r="G17" s="3">
        <f>$G$6/$G$10</f>
        <v>692.12904227774584</v>
      </c>
      <c r="H17" s="3">
        <f>$G$6/$G$10</f>
        <v>692.12904227774584</v>
      </c>
    </row>
    <row r="18" spans="1:8" x14ac:dyDescent="0.35">
      <c r="A18" s="3" t="s">
        <v>48</v>
      </c>
      <c r="H18" s="3">
        <f>$H$6/$H$10</f>
        <v>750.80348440180057</v>
      </c>
    </row>
    <row r="19" spans="1:8" s="31" customFormat="1" x14ac:dyDescent="0.35">
      <c r="A19" s="31" t="s">
        <v>49</v>
      </c>
      <c r="D19" s="31">
        <f>SUM(D13:D18)</f>
        <v>4151.273462715576</v>
      </c>
      <c r="E19" s="31">
        <f t="shared" ref="E19:H19" si="0">SUM(E13:E18)</f>
        <v>4739.4513051555396</v>
      </c>
      <c r="F19" s="31">
        <f t="shared" si="0"/>
        <v>5377.4912465204688</v>
      </c>
      <c r="G19" s="31">
        <f t="shared" si="0"/>
        <v>6069.6202887982145</v>
      </c>
      <c r="H19" s="31">
        <f t="shared" si="0"/>
        <v>6820.4237732000147</v>
      </c>
    </row>
    <row r="20" spans="1:8" s="2" customFormat="1" x14ac:dyDescent="0.35">
      <c r="A20" s="2" t="s">
        <v>99</v>
      </c>
      <c r="D20" s="1">
        <f>(D19/'Income Statement'!F21)-1</f>
        <v>0.12757012902387155</v>
      </c>
      <c r="E20" s="1">
        <f>(E19/D19)-1</f>
        <v>0.14168612299879757</v>
      </c>
      <c r="F20" s="1">
        <f t="shared" ref="F20:H20" si="1">(F19/E19)-1</f>
        <v>0.13462316632958626</v>
      </c>
      <c r="G20" s="1">
        <f t="shared" si="1"/>
        <v>0.12870853908420421</v>
      </c>
      <c r="H20" s="1">
        <f t="shared" si="1"/>
        <v>0.12369859211579426</v>
      </c>
    </row>
  </sheetData>
  <mergeCells count="3">
    <mergeCell ref="D3:H3"/>
    <mergeCell ref="A1:H1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263-6069-4EA8-BEAB-AE9DE540EE53}">
  <dimension ref="A1:L22"/>
  <sheetViews>
    <sheetView showGridLines="0" workbookViewId="0">
      <pane ySplit="4" topLeftCell="A5" activePane="bottomLeft" state="frozen"/>
      <selection pane="bottomLeft" activeCell="B7" sqref="B7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1" t="s">
        <v>97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1:12" x14ac:dyDescent="0.35">
      <c r="A3" s="52" t="s">
        <v>90</v>
      </c>
      <c r="B3" s="52"/>
      <c r="C3" s="52"/>
      <c r="D3" s="53" t="s">
        <v>88</v>
      </c>
      <c r="E3" s="54"/>
      <c r="F3" s="54"/>
      <c r="G3" s="55"/>
      <c r="H3" s="50" t="s">
        <v>89</v>
      </c>
      <c r="I3" s="50"/>
      <c r="J3" s="50"/>
      <c r="K3" s="50"/>
      <c r="L3" s="50"/>
    </row>
    <row r="4" spans="1:12" s="9" customFormat="1" x14ac:dyDescent="0.35">
      <c r="D4" s="9">
        <v>2019</v>
      </c>
      <c r="E4" s="9">
        <v>2020</v>
      </c>
      <c r="F4" s="9">
        <v>2021</v>
      </c>
      <c r="H4" s="9">
        <v>2022</v>
      </c>
      <c r="I4" s="9">
        <v>2023</v>
      </c>
      <c r="J4" s="9">
        <v>2024</v>
      </c>
      <c r="K4" s="9">
        <v>2025</v>
      </c>
      <c r="L4" s="9">
        <v>2026</v>
      </c>
    </row>
    <row r="5" spans="1:12" s="31" customFormat="1" x14ac:dyDescent="0.35">
      <c r="A5" s="31" t="s">
        <v>51</v>
      </c>
    </row>
    <row r="6" spans="1:12" x14ac:dyDescent="0.35">
      <c r="A6" s="3" t="s">
        <v>149</v>
      </c>
      <c r="D6" s="3">
        <f>'Cash-flow Statement'!D17</f>
        <v>164.5</v>
      </c>
      <c r="E6" s="3">
        <f>'Cash-flow Statement'!E17</f>
        <v>1168.02</v>
      </c>
      <c r="F6" s="3">
        <f>'Cash-flow Statement'!F17</f>
        <v>-141.51</v>
      </c>
      <c r="H6" s="3">
        <f>H7/360 *'Income Statement'!H7</f>
        <v>556.76560127931589</v>
      </c>
      <c r="I6" s="3">
        <f>I7/360 *'Income Statement'!I7</f>
        <v>603.96476365143667</v>
      </c>
      <c r="J6" s="3">
        <f>J7/360 *'Income Statement'!J7</f>
        <v>655.1651806332369</v>
      </c>
      <c r="K6" s="3">
        <f>K7/360 *'Income Statement'!K7</f>
        <v>710.70605397421491</v>
      </c>
      <c r="L6" s="3">
        <f>L7/360 *'Income Statement'!L7</f>
        <v>770.95534086137241</v>
      </c>
    </row>
    <row r="7" spans="1:12" x14ac:dyDescent="0.35">
      <c r="A7" s="3" t="s">
        <v>172</v>
      </c>
      <c r="D7" s="3">
        <f>AVERAGE(D6,B6)/'Income Statement'!D7 * 360</f>
        <v>0.85574621590237154</v>
      </c>
      <c r="E7" s="3">
        <f>AVERAGE(E6,D6)/'Income Statement'!E7 * 360</f>
        <v>5.4601318470585047</v>
      </c>
      <c r="F7" s="3">
        <f>AVERAGE(F6,E6)/'Income Statement'!F7 * 360</f>
        <v>3.9286843468851815</v>
      </c>
      <c r="H7" s="3">
        <f>F7</f>
        <v>3.9286843468851815</v>
      </c>
      <c r="I7" s="3">
        <f>H7</f>
        <v>3.9286843468851815</v>
      </c>
      <c r="J7" s="3">
        <f t="shared" ref="J7:L9" si="0">I7</f>
        <v>3.9286843468851815</v>
      </c>
      <c r="K7" s="3">
        <f t="shared" si="0"/>
        <v>3.9286843468851815</v>
      </c>
      <c r="L7" s="3">
        <f t="shared" si="0"/>
        <v>3.9286843468851815</v>
      </c>
    </row>
    <row r="8" spans="1:12" x14ac:dyDescent="0.35">
      <c r="A8" s="3" t="s">
        <v>108</v>
      </c>
      <c r="D8" s="3">
        <f>'Cash-flow Statement'!D18</f>
        <v>966</v>
      </c>
      <c r="E8" s="3">
        <f>'Cash-flow Statement'!E18</f>
        <v>730.01</v>
      </c>
      <c r="F8" s="3">
        <f>'Cash-flow Statement'!F18</f>
        <v>-765.37</v>
      </c>
      <c r="H8" s="3">
        <f>H9/360 *'Income Statement'!H13</f>
        <v>392.56671307686997</v>
      </c>
      <c r="I8" s="3">
        <f>I9/360 *'Income Statement'!I13</f>
        <v>425.84610388303696</v>
      </c>
      <c r="J8" s="3">
        <f>J9/360 *'Income Statement'!J13</f>
        <v>461.94671670201575</v>
      </c>
      <c r="K8" s="3">
        <f>K9/360 *'Income Statement'!K13</f>
        <v>501.10771737947715</v>
      </c>
      <c r="L8" s="3">
        <f>L9/360 *'Income Statement'!L13</f>
        <v>543.5885467701047</v>
      </c>
    </row>
    <row r="9" spans="1:12" x14ac:dyDescent="0.35">
      <c r="A9" s="3" t="s">
        <v>172</v>
      </c>
      <c r="D9" s="3">
        <f>AVERAGE(D8,B8)/'Income Statement'!D13 * 360</f>
        <v>6.870584627955945</v>
      </c>
      <c r="E9" s="3">
        <f>AVERAGE(E8,D8)/'Income Statement'!E13 * 360</f>
        <v>9.3718002204791411</v>
      </c>
      <c r="F9" s="3">
        <f>AVERAGE(F8,E8)/'Income Statement'!F13 * 360</f>
        <v>-0.17963291079936766</v>
      </c>
      <c r="H9" s="3">
        <f>AVERAGE(E9,F9)</f>
        <v>4.5960836548398865</v>
      </c>
      <c r="I9" s="3">
        <f>H9</f>
        <v>4.5960836548398865</v>
      </c>
      <c r="J9" s="3">
        <f t="shared" si="0"/>
        <v>4.5960836548398865</v>
      </c>
      <c r="K9" s="3">
        <f t="shared" si="0"/>
        <v>4.5960836548398865</v>
      </c>
      <c r="L9" s="3">
        <f t="shared" si="0"/>
        <v>4.5960836548398865</v>
      </c>
    </row>
    <row r="10" spans="1:12" x14ac:dyDescent="0.35">
      <c r="A10" s="3" t="s">
        <v>173</v>
      </c>
      <c r="D10" s="3">
        <v>934.87</v>
      </c>
      <c r="E10" s="3">
        <v>1371.51</v>
      </c>
      <c r="F10" s="3">
        <v>1166.8900000000001</v>
      </c>
      <c r="H10" s="3">
        <f>H11*'Income Statement'!H7</f>
        <v>1265.2590153145759</v>
      </c>
      <c r="I10" s="3">
        <f>I11*'Income Statement'!I7</f>
        <v>1372.5198905723175</v>
      </c>
      <c r="J10" s="3">
        <f>J11*'Income Statement'!J7</f>
        <v>1488.8736829496395</v>
      </c>
      <c r="K10" s="3">
        <f>K11*'Income Statement'!K7</f>
        <v>1615.091234018968</v>
      </c>
      <c r="L10" s="3">
        <f>L11*'Income Statement'!L7</f>
        <v>1752.0087325589091</v>
      </c>
    </row>
    <row r="11" spans="1:12" s="2" customFormat="1" x14ac:dyDescent="0.35">
      <c r="A11" s="2" t="s">
        <v>174</v>
      </c>
      <c r="D11" s="1">
        <f>D10/'Income Statement'!D7</f>
        <v>1.3509143276944446E-2</v>
      </c>
      <c r="E11" s="1">
        <f>E10/'Income Statement'!E7</f>
        <v>3.1221651163706569E-2</v>
      </c>
      <c r="F11" s="1">
        <f>F10/'Income Statement'!F7</f>
        <v>2.4810834107460388E-2</v>
      </c>
      <c r="H11" s="1">
        <v>2.4799999999999999E-2</v>
      </c>
      <c r="I11" s="1">
        <v>2.4799999999999999E-2</v>
      </c>
      <c r="J11" s="1">
        <v>2.4799999999999999E-2</v>
      </c>
      <c r="K11" s="1">
        <v>2.4799999999999999E-2</v>
      </c>
      <c r="L11" s="1">
        <v>2.4799999999999999E-2</v>
      </c>
    </row>
    <row r="12" spans="1:12" s="31" customFormat="1" x14ac:dyDescent="0.35">
      <c r="A12" s="31" t="s">
        <v>94</v>
      </c>
      <c r="D12" s="31">
        <f>SUM(D6,D8,D10)</f>
        <v>2065.37</v>
      </c>
      <c r="E12" s="31">
        <f t="shared" ref="E12:L12" si="1">SUM(E6,E8,E10)</f>
        <v>3269.54</v>
      </c>
      <c r="F12" s="31">
        <f t="shared" si="1"/>
        <v>260.0100000000001</v>
      </c>
      <c r="H12" s="31">
        <f t="shared" si="1"/>
        <v>2214.5913296707618</v>
      </c>
      <c r="I12" s="31">
        <f t="shared" si="1"/>
        <v>2402.3307581067911</v>
      </c>
      <c r="J12" s="31">
        <f t="shared" si="1"/>
        <v>2605.9855802848924</v>
      </c>
      <c r="K12" s="31">
        <f t="shared" si="1"/>
        <v>2826.9050053726601</v>
      </c>
      <c r="L12" s="31">
        <f t="shared" si="1"/>
        <v>3066.5526201903858</v>
      </c>
    </row>
    <row r="13" spans="1:12" s="31" customFormat="1" x14ac:dyDescent="0.35">
      <c r="A13" s="31" t="s">
        <v>52</v>
      </c>
    </row>
    <row r="14" spans="1:12" x14ac:dyDescent="0.35">
      <c r="A14" s="3" t="s">
        <v>175</v>
      </c>
      <c r="D14" s="3">
        <f>'Cash-flow Statement'!D19</f>
        <v>-725.29</v>
      </c>
      <c r="E14" s="3">
        <f>'Cash-flow Statement'!E19</f>
        <v>-2688.95</v>
      </c>
      <c r="F14" s="3">
        <f>'Cash-flow Statement'!F19</f>
        <v>4964.54</v>
      </c>
      <c r="H14" s="3">
        <f>H15/360 *'Income Statement'!H13</f>
        <v>312.02001968994227</v>
      </c>
      <c r="I14" s="3">
        <f>I15/360 *'Income Statement'!I13</f>
        <v>338.47115736593827</v>
      </c>
      <c r="J14" s="3">
        <f>J15/360 *'Income Statement'!J13</f>
        <v>367.16465976279346</v>
      </c>
      <c r="K14" s="3">
        <f>K15/360 *'Income Statement'!K13</f>
        <v>398.29062076618277</v>
      </c>
      <c r="L14" s="3">
        <f>L15/360 *'Income Statement'!L13</f>
        <v>432.05524925192293</v>
      </c>
    </row>
    <row r="15" spans="1:12" x14ac:dyDescent="0.35">
      <c r="A15" s="3" t="s">
        <v>176</v>
      </c>
      <c r="D15" s="3">
        <f>-AVERAGE(D14,B14)/'Income Statement'!D13 * 360</f>
        <v>5.1585572720602153</v>
      </c>
      <c r="E15" s="3">
        <f>-AVERAGE(E14,D14)/'Income Statement'!E13 * 360</f>
        <v>18.866383561870922</v>
      </c>
      <c r="F15" s="3">
        <f>-AVERAGE(F14,E14)/'Income Statement'!F13 * 360</f>
        <v>-11.560261750167786</v>
      </c>
      <c r="H15" s="3">
        <f>AVERAGE(F15,E15)</f>
        <v>3.653060905851568</v>
      </c>
      <c r="I15" s="3">
        <f>H15</f>
        <v>3.653060905851568</v>
      </c>
      <c r="J15" s="3">
        <f t="shared" ref="J15:L15" si="2">I15</f>
        <v>3.653060905851568</v>
      </c>
      <c r="K15" s="3">
        <f t="shared" si="2"/>
        <v>3.653060905851568</v>
      </c>
      <c r="L15" s="3">
        <f t="shared" si="2"/>
        <v>3.653060905851568</v>
      </c>
    </row>
    <row r="16" spans="1:12" x14ac:dyDescent="0.35">
      <c r="A16" s="3" t="s">
        <v>177</v>
      </c>
      <c r="D16" s="3">
        <f>'Cash-flow Statement'!D22</f>
        <v>-182.22</v>
      </c>
      <c r="E16" s="3">
        <f>'Cash-flow Statement'!E22</f>
        <v>-92.54</v>
      </c>
      <c r="F16" s="3">
        <f>'Cash-flow Statement'!F22</f>
        <v>-63.25</v>
      </c>
      <c r="H16" s="3">
        <f>H17/360 *'Income Statement'!H31</f>
        <v>-300.67656511324151</v>
      </c>
      <c r="I16" s="3">
        <f>I17/360 *'Income Statement'!I31</f>
        <v>-309.76814071242552</v>
      </c>
      <c r="J16" s="3">
        <f>J17/360 *'Income Statement'!J31</f>
        <v>-321.91806458027907</v>
      </c>
      <c r="K16" s="3">
        <f>K17/360 *'Income Statement'!K31</f>
        <v>-336.67094017173906</v>
      </c>
      <c r="L16" s="3">
        <f>L17/360 *'Income Statement'!L31</f>
        <v>-353.75603012295545</v>
      </c>
    </row>
    <row r="17" spans="1:12" x14ac:dyDescent="0.35">
      <c r="A17" s="3" t="s">
        <v>176</v>
      </c>
      <c r="D17" s="3">
        <f>-AVERAGE(D16,B16)/'Income Statement'!D31*360</f>
        <v>173.39148362540638</v>
      </c>
      <c r="E17" s="3">
        <f>-AVERAGE(E16,D16)/'Income Statement'!E31*360</f>
        <v>304.74336065068701</v>
      </c>
      <c r="F17" s="3">
        <f>-AVERAGE(F16,E16)/'Income Statement'!F31*360</f>
        <v>338.38783637021845</v>
      </c>
      <c r="H17" s="3">
        <f>AVERAGE(F17,E17)</f>
        <v>321.56559851045273</v>
      </c>
      <c r="I17" s="3">
        <f>H17</f>
        <v>321.56559851045273</v>
      </c>
      <c r="J17" s="3">
        <f t="shared" ref="J17:L17" si="3">I17</f>
        <v>321.56559851045273</v>
      </c>
      <c r="K17" s="3">
        <f t="shared" si="3"/>
        <v>321.56559851045273</v>
      </c>
      <c r="L17" s="3">
        <f t="shared" si="3"/>
        <v>321.56559851045273</v>
      </c>
    </row>
    <row r="18" spans="1:12" x14ac:dyDescent="0.35">
      <c r="A18" s="3" t="s">
        <v>180</v>
      </c>
      <c r="D18" s="3">
        <f>'Balance Sheet'!D46</f>
        <v>2356.0100000000002</v>
      </c>
      <c r="E18" s="3">
        <f>'Balance Sheet'!E46</f>
        <v>1347.63</v>
      </c>
      <c r="F18" s="3">
        <f>'Balance Sheet'!F46</f>
        <v>2287.5</v>
      </c>
      <c r="H18" s="3">
        <f>H19*'Income Statement'!H7</f>
        <v>2481.4201769616175</v>
      </c>
      <c r="I18" s="3">
        <f>I19*'Income Statement'!I7</f>
        <v>2691.7797135004262</v>
      </c>
      <c r="J18" s="3">
        <f>J19*'Income Statement'!J7</f>
        <v>2919.9722373840086</v>
      </c>
      <c r="K18" s="3">
        <f>K19*'Income Statement'!K7</f>
        <v>3167.5095195682784</v>
      </c>
      <c r="L18" s="3">
        <f>L19*'Income Statement'!L7</f>
        <v>3436.0314896501532</v>
      </c>
    </row>
    <row r="19" spans="1:12" x14ac:dyDescent="0.35">
      <c r="A19" s="3" t="s">
        <v>174</v>
      </c>
      <c r="D19" s="1">
        <f>D18/'Income Statement'!D7</f>
        <v>3.4045029417901836E-2</v>
      </c>
      <c r="E19" s="1">
        <f>E18/'Income Statement'!E7</f>
        <v>3.0678036439942755E-2</v>
      </c>
      <c r="F19" s="1">
        <f>F18/'Income Statement'!F7</f>
        <v>4.8637646239847489E-2</v>
      </c>
      <c r="H19" s="1">
        <f>$F$19</f>
        <v>4.8637646239847489E-2</v>
      </c>
      <c r="I19" s="1">
        <f t="shared" ref="I19:L19" si="4">$F$19</f>
        <v>4.8637646239847489E-2</v>
      </c>
      <c r="J19" s="1">
        <f t="shared" si="4"/>
        <v>4.8637646239847489E-2</v>
      </c>
      <c r="K19" s="1">
        <f t="shared" si="4"/>
        <v>4.8637646239847489E-2</v>
      </c>
      <c r="L19" s="1">
        <f t="shared" si="4"/>
        <v>4.8637646239847489E-2</v>
      </c>
    </row>
    <row r="20" spans="1:12" s="31" customFormat="1" x14ac:dyDescent="0.35">
      <c r="A20" s="31" t="s">
        <v>95</v>
      </c>
      <c r="D20" s="31">
        <f>SUM(D14,D16)</f>
        <v>-907.51</v>
      </c>
      <c r="E20" s="31">
        <f t="shared" ref="E20:L20" si="5">SUM(E14,E16)</f>
        <v>-2781.49</v>
      </c>
      <c r="F20" s="31">
        <f t="shared" si="5"/>
        <v>4901.29</v>
      </c>
      <c r="H20" s="31">
        <f t="shared" si="5"/>
        <v>11.343454576700765</v>
      </c>
      <c r="I20" s="31">
        <f t="shared" si="5"/>
        <v>28.703016653512748</v>
      </c>
      <c r="J20" s="31">
        <f t="shared" si="5"/>
        <v>45.246595182514397</v>
      </c>
      <c r="K20" s="31">
        <f t="shared" si="5"/>
        <v>61.619680594443707</v>
      </c>
      <c r="L20" s="31">
        <f t="shared" si="5"/>
        <v>78.299219128967479</v>
      </c>
    </row>
    <row r="22" spans="1:12" s="31" customFormat="1" x14ac:dyDescent="0.35">
      <c r="A22" s="31" t="s">
        <v>98</v>
      </c>
      <c r="D22" s="31">
        <f>SUM(D12,D20)</f>
        <v>1157.8599999999999</v>
      </c>
      <c r="E22" s="31">
        <f t="shared" ref="E22:L22" si="6">SUM(E12,E20)</f>
        <v>488.05000000000018</v>
      </c>
      <c r="F22" s="31">
        <f t="shared" si="6"/>
        <v>5161.3</v>
      </c>
      <c r="H22" s="31">
        <f t="shared" si="6"/>
        <v>2225.9347842474626</v>
      </c>
      <c r="I22" s="31">
        <f t="shared" si="6"/>
        <v>2431.0337747603039</v>
      </c>
      <c r="J22" s="31">
        <f t="shared" si="6"/>
        <v>2651.2321754674067</v>
      </c>
      <c r="K22" s="31">
        <f t="shared" si="6"/>
        <v>2888.5246859671038</v>
      </c>
      <c r="L22" s="31">
        <f t="shared" si="6"/>
        <v>3144.8518393193535</v>
      </c>
    </row>
  </sheetData>
  <mergeCells count="4">
    <mergeCell ref="H3:L3"/>
    <mergeCell ref="A1:L1"/>
    <mergeCell ref="A3:C3"/>
    <mergeCell ref="D3:G3"/>
  </mergeCells>
  <pageMargins left="0.7" right="0.7" top="0.75" bottom="0.75" header="0.3" footer="0.3"/>
  <ignoredErrors>
    <ignoredError sqref="I8:L8 H16:L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F7A1-0CC8-4A73-948B-56437AA9DA14}">
  <dimension ref="A1:L49"/>
  <sheetViews>
    <sheetView showGridLines="0" workbookViewId="0">
      <pane ySplit="5" topLeftCell="A6" activePane="bottomLeft" state="frozen"/>
      <selection pane="bottomLeft" activeCell="H8" sqref="H8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1" t="s">
        <v>92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3" spans="1:12" x14ac:dyDescent="0.35">
      <c r="A3" s="14" t="s">
        <v>93</v>
      </c>
      <c r="B3" s="15" t="str">
        <f>'Income Statement'!B3</f>
        <v>A</v>
      </c>
    </row>
    <row r="4" spans="1:12" x14ac:dyDescent="0.35">
      <c r="A4" s="52" t="s">
        <v>90</v>
      </c>
      <c r="B4" s="61"/>
      <c r="C4" s="61"/>
      <c r="D4" s="53" t="s">
        <v>88</v>
      </c>
      <c r="E4" s="54"/>
      <c r="F4" s="54"/>
      <c r="G4" s="55"/>
      <c r="H4" s="50" t="s">
        <v>89</v>
      </c>
      <c r="I4" s="59"/>
      <c r="J4" s="59"/>
      <c r="K4" s="59"/>
      <c r="L4" s="59"/>
    </row>
    <row r="5" spans="1:12" s="9" customFormat="1" x14ac:dyDescent="0.35">
      <c r="D5" s="9">
        <v>2019</v>
      </c>
      <c r="E5" s="9">
        <v>2020</v>
      </c>
      <c r="F5" s="9">
        <v>2021</v>
      </c>
      <c r="H5" s="9">
        <v>2022</v>
      </c>
      <c r="I5" s="9">
        <v>2023</v>
      </c>
      <c r="J5" s="9">
        <v>2024</v>
      </c>
      <c r="K5" s="9">
        <v>2025</v>
      </c>
      <c r="L5" s="9">
        <v>2026</v>
      </c>
    </row>
    <row r="6" spans="1:12" s="31" customFormat="1" x14ac:dyDescent="0.35">
      <c r="A6" s="31" t="s">
        <v>18</v>
      </c>
    </row>
    <row r="7" spans="1:12" s="31" customFormat="1" x14ac:dyDescent="0.35">
      <c r="A7" s="31" t="s">
        <v>19</v>
      </c>
    </row>
    <row r="8" spans="1:12" x14ac:dyDescent="0.35">
      <c r="A8" s="3" t="s">
        <v>138</v>
      </c>
      <c r="D8" s="17">
        <v>18316.61</v>
      </c>
      <c r="E8" s="17">
        <v>18870.669999999998</v>
      </c>
      <c r="F8" s="17">
        <v>19153.47</v>
      </c>
      <c r="H8" s="3">
        <f>F8-'Cash-flow Statement'!H9-'Cash-flow Statement'!H26-'Cash-flow Statement'!H28</f>
        <v>20424.320638124394</v>
      </c>
      <c r="I8" s="3">
        <f>H8-'Cash-flow Statement'!I9-'Cash-flow Statement'!I26-'Cash-flow Statement'!I28</f>
        <v>21566.64775736849</v>
      </c>
      <c r="J8" s="3">
        <f>I8-'Cash-flow Statement'!J9-'Cash-flow Statement'!J26-'Cash-flow Statement'!J28</f>
        <v>22569.555924497319</v>
      </c>
      <c r="K8" s="3">
        <f>J8-'Cash-flow Statement'!K9-'Cash-flow Statement'!K26-'Cash-flow Statement'!K28</f>
        <v>23421.226058476561</v>
      </c>
      <c r="L8" s="3">
        <f>K8-'Cash-flow Statement'!L9-'Cash-flow Statement'!L26-'Cash-flow Statement'!L28</f>
        <v>24108.837129294552</v>
      </c>
    </row>
    <row r="9" spans="1:12" x14ac:dyDescent="0.35">
      <c r="A9" s="3" t="s">
        <v>139</v>
      </c>
      <c r="D9" s="17">
        <v>2146.96</v>
      </c>
      <c r="E9" s="17">
        <v>1755.51</v>
      </c>
      <c r="F9" s="17">
        <v>1400.82</v>
      </c>
      <c r="H9" s="3">
        <v>1400.82</v>
      </c>
      <c r="I9" s="3">
        <v>1400.82</v>
      </c>
      <c r="J9" s="3">
        <v>1400.82</v>
      </c>
      <c r="K9" s="3">
        <v>1400.82</v>
      </c>
      <c r="L9" s="3">
        <v>1400.82</v>
      </c>
    </row>
    <row r="10" spans="1:12" x14ac:dyDescent="0.35">
      <c r="A10" s="3" t="s">
        <v>140</v>
      </c>
      <c r="D10" s="17"/>
      <c r="E10" s="17">
        <v>669.58</v>
      </c>
      <c r="F10" s="17">
        <v>768.59</v>
      </c>
      <c r="H10" s="3">
        <v>768.59</v>
      </c>
      <c r="I10" s="3">
        <v>768.59</v>
      </c>
      <c r="J10" s="3">
        <v>768.59</v>
      </c>
      <c r="K10" s="3">
        <v>768.59</v>
      </c>
      <c r="L10" s="3">
        <v>768.59</v>
      </c>
    </row>
    <row r="11" spans="1:12" x14ac:dyDescent="0.35">
      <c r="A11" s="3" t="s">
        <v>141</v>
      </c>
      <c r="D11" s="17">
        <v>99.09</v>
      </c>
      <c r="E11" s="17">
        <v>99.09</v>
      </c>
      <c r="F11" s="17">
        <v>99.09</v>
      </c>
      <c r="H11" s="3">
        <v>99.09</v>
      </c>
      <c r="I11" s="3">
        <v>99.09</v>
      </c>
      <c r="J11" s="3">
        <v>99.09</v>
      </c>
      <c r="K11" s="3">
        <v>99.09</v>
      </c>
      <c r="L11" s="3">
        <v>99.09</v>
      </c>
    </row>
    <row r="12" spans="1:12" x14ac:dyDescent="0.35">
      <c r="A12" s="3" t="s">
        <v>142</v>
      </c>
      <c r="D12" s="17">
        <v>3871.13</v>
      </c>
      <c r="E12" s="17">
        <v>5568.64</v>
      </c>
      <c r="F12" s="17">
        <v>6401.95</v>
      </c>
      <c r="H12" s="3">
        <v>6401.95</v>
      </c>
      <c r="I12" s="3">
        <v>6401.95</v>
      </c>
      <c r="J12" s="3">
        <v>6401.95</v>
      </c>
      <c r="K12" s="3">
        <v>6401.95</v>
      </c>
      <c r="L12" s="3">
        <v>6401.95</v>
      </c>
    </row>
    <row r="13" spans="1:12" x14ac:dyDescent="0.35">
      <c r="A13" s="3" t="s">
        <v>143</v>
      </c>
      <c r="D13" s="17">
        <v>4139.63</v>
      </c>
      <c r="E13" s="17">
        <v>2739.29</v>
      </c>
      <c r="F13" s="17">
        <v>1605.64</v>
      </c>
      <c r="H13" s="3">
        <v>1605.64</v>
      </c>
      <c r="I13" s="3">
        <v>1605.64</v>
      </c>
      <c r="J13" s="3">
        <v>1605.64</v>
      </c>
      <c r="K13" s="3">
        <v>1605.64</v>
      </c>
      <c r="L13" s="3">
        <v>1605.64</v>
      </c>
    </row>
    <row r="14" spans="1:12" x14ac:dyDescent="0.35">
      <c r="A14" s="3" t="s">
        <v>144</v>
      </c>
      <c r="D14" s="17">
        <v>14770.81</v>
      </c>
      <c r="E14" s="17">
        <v>15182.29</v>
      </c>
      <c r="F14" s="17">
        <v>15147.26</v>
      </c>
      <c r="H14" s="3">
        <v>15147.26</v>
      </c>
      <c r="I14" s="3">
        <v>15147.26</v>
      </c>
      <c r="J14" s="3">
        <v>15147.26</v>
      </c>
      <c r="K14" s="3">
        <v>15147.26</v>
      </c>
      <c r="L14" s="3">
        <v>15147.26</v>
      </c>
    </row>
    <row r="15" spans="1:12" x14ac:dyDescent="0.35">
      <c r="A15" s="3" t="s">
        <v>145</v>
      </c>
      <c r="D15" s="17">
        <v>1800.9</v>
      </c>
      <c r="E15" s="17">
        <v>2199.9899999999998</v>
      </c>
      <c r="F15" s="17">
        <v>2725.53</v>
      </c>
      <c r="H15" s="3">
        <v>2725.53</v>
      </c>
      <c r="I15" s="3">
        <v>2725.53</v>
      </c>
      <c r="J15" s="3">
        <v>2725.53</v>
      </c>
      <c r="K15" s="3">
        <v>2725.53</v>
      </c>
      <c r="L15" s="3">
        <v>2725.53</v>
      </c>
    </row>
    <row r="16" spans="1:12" x14ac:dyDescent="0.35">
      <c r="A16" s="3" t="s">
        <v>146</v>
      </c>
      <c r="D16" s="17">
        <v>715.3</v>
      </c>
      <c r="E16" s="17">
        <v>727.97</v>
      </c>
      <c r="F16" s="17">
        <v>715.31</v>
      </c>
      <c r="H16" s="3">
        <v>715.31</v>
      </c>
      <c r="I16" s="3">
        <v>715.31</v>
      </c>
      <c r="J16" s="3">
        <v>715.31</v>
      </c>
      <c r="K16" s="3">
        <v>715.31</v>
      </c>
      <c r="L16" s="3">
        <v>715.31</v>
      </c>
    </row>
    <row r="17" spans="1:12" x14ac:dyDescent="0.35">
      <c r="A17" s="3" t="s">
        <v>147</v>
      </c>
      <c r="D17" s="17">
        <v>1819.9</v>
      </c>
      <c r="E17" s="17">
        <v>1208.08</v>
      </c>
      <c r="F17" s="17">
        <v>1187.4100000000001</v>
      </c>
      <c r="H17" s="3">
        <v>1187.4100000000001</v>
      </c>
      <c r="I17" s="3">
        <v>1187.4100000000001</v>
      </c>
      <c r="J17" s="3">
        <v>1187.4100000000001</v>
      </c>
      <c r="K17" s="3">
        <v>1187.4100000000001</v>
      </c>
      <c r="L17" s="3">
        <v>1187.4100000000001</v>
      </c>
    </row>
    <row r="18" spans="1:12" s="31" customFormat="1" x14ac:dyDescent="0.35">
      <c r="A18" s="31" t="s">
        <v>153</v>
      </c>
      <c r="D18" s="31">
        <f>SUM(D8:D17)</f>
        <v>47680.330000000009</v>
      </c>
      <c r="E18" s="31">
        <f>SUM(E8:E17)</f>
        <v>49021.11</v>
      </c>
      <c r="F18" s="31">
        <f>SUM(F8:F17)</f>
        <v>49205.07</v>
      </c>
      <c r="H18" s="31">
        <f>SUM(H8:H17)</f>
        <v>50475.920638124393</v>
      </c>
      <c r="I18" s="31">
        <f t="shared" ref="I18:L18" si="0">SUM(I8:I17)</f>
        <v>51618.247757368488</v>
      </c>
      <c r="J18" s="31">
        <f t="shared" si="0"/>
        <v>52621.155924497325</v>
      </c>
      <c r="K18" s="31">
        <f t="shared" si="0"/>
        <v>53472.826058476567</v>
      </c>
      <c r="L18" s="31">
        <f t="shared" si="0"/>
        <v>54160.437129294551</v>
      </c>
    </row>
    <row r="19" spans="1:12" s="31" customFormat="1" x14ac:dyDescent="0.35">
      <c r="A19" s="31" t="s">
        <v>51</v>
      </c>
      <c r="D19" s="33"/>
      <c r="E19" s="33"/>
      <c r="F19" s="33"/>
    </row>
    <row r="20" spans="1:12" x14ac:dyDescent="0.35">
      <c r="A20" s="3" t="s">
        <v>108</v>
      </c>
      <c r="D20" s="17">
        <v>4662</v>
      </c>
      <c r="E20" s="17">
        <v>3831.92</v>
      </c>
      <c r="F20" s="17">
        <v>4551.71</v>
      </c>
      <c r="H20" s="3">
        <f>F20-'Working Capital Schedule'!H8</f>
        <v>4159.1432869231303</v>
      </c>
      <c r="I20" s="3">
        <f>H20-'Working Capital Schedule'!I8</f>
        <v>3733.2971830400934</v>
      </c>
      <c r="J20" s="3">
        <f>I20-'Working Capital Schedule'!J8</f>
        <v>3271.3504663380777</v>
      </c>
      <c r="K20" s="3">
        <f>J20-'Working Capital Schedule'!K8</f>
        <v>2770.2427489586007</v>
      </c>
      <c r="L20" s="3">
        <f>K20-'Working Capital Schedule'!L8</f>
        <v>2226.6542021884961</v>
      </c>
    </row>
    <row r="21" spans="1:12" x14ac:dyDescent="0.35">
      <c r="A21" s="3" t="s">
        <v>145</v>
      </c>
      <c r="D21" s="17">
        <v>3732.15</v>
      </c>
      <c r="E21" s="17">
        <v>4050.9</v>
      </c>
      <c r="F21" s="17">
        <v>5471.14</v>
      </c>
      <c r="H21" s="3">
        <f>F21</f>
        <v>5471.14</v>
      </c>
      <c r="I21" s="3">
        <f>H21</f>
        <v>5471.14</v>
      </c>
      <c r="J21" s="3">
        <f t="shared" ref="J21:L21" si="1">I21</f>
        <v>5471.14</v>
      </c>
      <c r="K21" s="3">
        <f t="shared" si="1"/>
        <v>5471.14</v>
      </c>
      <c r="L21" s="3">
        <f t="shared" si="1"/>
        <v>5471.14</v>
      </c>
    </row>
    <row r="22" spans="1:12" x14ac:dyDescent="0.35">
      <c r="A22" s="3" t="s">
        <v>148</v>
      </c>
      <c r="D22" s="17">
        <v>487.4</v>
      </c>
      <c r="E22" s="17">
        <v>2145.3000000000002</v>
      </c>
      <c r="F22" s="17">
        <v>2365.54</v>
      </c>
      <c r="H22" s="3">
        <f>F22+'Cash-flow Statement'!H41</f>
        <v>18011.840217895213</v>
      </c>
      <c r="I22" s="3">
        <f>H22+'Cash-flow Statement'!I41</f>
        <v>34131.3676794087</v>
      </c>
      <c r="J22" s="3">
        <f>I22+'Cash-flow Statement'!J41</f>
        <v>50824.068333431176</v>
      </c>
      <c r="K22" s="3">
        <f>J22+'Cash-flow Statement'!K41</f>
        <v>68179.670149243553</v>
      </c>
      <c r="L22" s="3">
        <f>K22+'Cash-flow Statement'!L41</f>
        <v>86282.65599648247</v>
      </c>
    </row>
    <row r="23" spans="1:12" x14ac:dyDescent="0.35">
      <c r="A23" s="3" t="s">
        <v>149</v>
      </c>
      <c r="D23" s="17">
        <v>3250.64</v>
      </c>
      <c r="E23" s="17">
        <v>1978.06</v>
      </c>
      <c r="F23" s="17">
        <v>2087.5100000000002</v>
      </c>
      <c r="H23" s="3">
        <f>F23-'Working Capital Schedule'!H6</f>
        <v>1530.7443987206843</v>
      </c>
      <c r="I23" s="3">
        <f>H23-'Working Capital Schedule'!I6</f>
        <v>926.77963506924766</v>
      </c>
      <c r="J23" s="3">
        <f>I23-'Working Capital Schedule'!J6</f>
        <v>271.61445443601076</v>
      </c>
      <c r="K23" s="3">
        <f>J23-'Working Capital Schedule'!K6</f>
        <v>-439.09159953820415</v>
      </c>
      <c r="L23" s="3">
        <f>K23-'Working Capital Schedule'!L6</f>
        <v>-1210.0469403995767</v>
      </c>
    </row>
    <row r="24" spans="1:12" x14ac:dyDescent="0.35">
      <c r="A24" s="3" t="s">
        <v>150</v>
      </c>
      <c r="D24" s="17">
        <v>162.24</v>
      </c>
      <c r="E24" s="17">
        <v>191.07</v>
      </c>
      <c r="F24" s="17">
        <v>220.8</v>
      </c>
      <c r="H24" s="3">
        <v>220.8</v>
      </c>
      <c r="I24" s="3">
        <v>220.8</v>
      </c>
      <c r="J24" s="3">
        <v>220.8</v>
      </c>
      <c r="K24" s="3">
        <v>220.8</v>
      </c>
      <c r="L24" s="3">
        <v>220.8</v>
      </c>
    </row>
    <row r="25" spans="1:12" x14ac:dyDescent="0.35">
      <c r="A25" s="3" t="s">
        <v>151</v>
      </c>
      <c r="D25" s="17">
        <v>934.87</v>
      </c>
      <c r="E25" s="17">
        <v>1371.51</v>
      </c>
      <c r="F25" s="17">
        <v>1166.8900000000001</v>
      </c>
      <c r="H25" s="3">
        <f>'Working Capital Schedule'!H11*'Income Statement'!H7</f>
        <v>1265.2590153145759</v>
      </c>
      <c r="I25" s="3">
        <f>'Working Capital Schedule'!I11*'Income Statement'!I7</f>
        <v>1372.5198905723175</v>
      </c>
      <c r="J25" s="3">
        <f>'Working Capital Schedule'!J11*'Income Statement'!J7</f>
        <v>1488.8736829496395</v>
      </c>
      <c r="K25" s="3">
        <f>'Working Capital Schedule'!K11*'Income Statement'!K7</f>
        <v>1615.091234018968</v>
      </c>
      <c r="L25" s="3">
        <f>'Working Capital Schedule'!L11*'Income Statement'!L7</f>
        <v>1752.0087325589091</v>
      </c>
    </row>
    <row r="26" spans="1:12" s="31" customFormat="1" x14ac:dyDescent="0.35">
      <c r="A26" s="31" t="s">
        <v>152</v>
      </c>
      <c r="D26" s="31">
        <f>SUM(D20:D25)</f>
        <v>13229.3</v>
      </c>
      <c r="E26" s="31">
        <f>SUM(E20:E25)</f>
        <v>13568.759999999998</v>
      </c>
      <c r="F26" s="31">
        <f>SUM(F20:F25)</f>
        <v>15863.589999999998</v>
      </c>
      <c r="H26" s="31">
        <f>SUM(H20:H25)</f>
        <v>30658.926918853605</v>
      </c>
      <c r="I26" s="31">
        <f t="shared" ref="I26:L26" si="2">SUM(I20:I25)</f>
        <v>45855.904388090355</v>
      </c>
      <c r="J26" s="31">
        <f t="shared" si="2"/>
        <v>61547.846937154914</v>
      </c>
      <c r="K26" s="31">
        <f t="shared" si="2"/>
        <v>77817.852532682911</v>
      </c>
      <c r="L26" s="31">
        <f t="shared" si="2"/>
        <v>94743.211990830299</v>
      </c>
    </row>
    <row r="27" spans="1:12" s="31" customFormat="1" x14ac:dyDescent="0.35">
      <c r="A27" s="31" t="s">
        <v>20</v>
      </c>
      <c r="D27" s="31">
        <f>SUM(D18,D26)</f>
        <v>60909.630000000005</v>
      </c>
      <c r="E27" s="31">
        <f>SUM(E18,E26)</f>
        <v>62589.869999999995</v>
      </c>
      <c r="F27" s="31">
        <f>SUM(F18,F26)</f>
        <v>65068.659999999996</v>
      </c>
      <c r="H27" s="31">
        <f>SUM(H18,H26)</f>
        <v>81134.847556977998</v>
      </c>
      <c r="I27" s="31">
        <f t="shared" ref="I27:L27" si="3">SUM(I18,I26)</f>
        <v>97474.152145458851</v>
      </c>
      <c r="J27" s="31">
        <f t="shared" si="3"/>
        <v>114169.00286165223</v>
      </c>
      <c r="K27" s="31">
        <f t="shared" si="3"/>
        <v>131290.67859115946</v>
      </c>
      <c r="L27" s="31">
        <f t="shared" si="3"/>
        <v>148903.64912012484</v>
      </c>
    </row>
    <row r="28" spans="1:12" x14ac:dyDescent="0.35">
      <c r="D28" s="17"/>
      <c r="E28" s="17"/>
      <c r="F28" s="17"/>
    </row>
    <row r="29" spans="1:12" s="31" customFormat="1" x14ac:dyDescent="0.35">
      <c r="A29" s="31" t="s">
        <v>21</v>
      </c>
      <c r="D29" s="33"/>
      <c r="E29" s="33"/>
      <c r="F29" s="33"/>
    </row>
    <row r="30" spans="1:12" s="31" customFormat="1" x14ac:dyDescent="0.35">
      <c r="A30" s="31" t="s">
        <v>22</v>
      </c>
      <c r="D30" s="33"/>
      <c r="E30" s="33"/>
      <c r="F30" s="33"/>
    </row>
    <row r="31" spans="1:12" x14ac:dyDescent="0.35">
      <c r="A31" s="3" t="s">
        <v>23</v>
      </c>
      <c r="D31" s="17">
        <v>679.22</v>
      </c>
      <c r="E31" s="17">
        <v>719.54</v>
      </c>
      <c r="F31" s="17">
        <v>765.81</v>
      </c>
      <c r="H31" s="3">
        <v>765.81</v>
      </c>
      <c r="I31" s="3">
        <v>765.81</v>
      </c>
      <c r="J31" s="3">
        <v>765.81</v>
      </c>
      <c r="K31" s="3">
        <v>765.81</v>
      </c>
      <c r="L31" s="3">
        <v>765.81</v>
      </c>
    </row>
    <row r="32" spans="1:12" x14ac:dyDescent="0.35">
      <c r="A32" s="3" t="s">
        <v>24</v>
      </c>
      <c r="D32" s="17">
        <v>21483.3</v>
      </c>
      <c r="E32" s="17">
        <v>17668.11</v>
      </c>
      <c r="F32" s="17">
        <v>18290.16</v>
      </c>
      <c r="H32" s="3">
        <v>18290.16</v>
      </c>
      <c r="I32" s="3">
        <v>18290.16</v>
      </c>
      <c r="J32" s="3">
        <v>18290.16</v>
      </c>
      <c r="K32" s="3">
        <v>18290.16</v>
      </c>
      <c r="L32" s="3">
        <v>18290.16</v>
      </c>
    </row>
    <row r="33" spans="1:12" s="31" customFormat="1" x14ac:dyDescent="0.35">
      <c r="A33" s="31" t="s">
        <v>37</v>
      </c>
      <c r="D33" s="31">
        <f>SUM(D31:D32)</f>
        <v>22162.52</v>
      </c>
      <c r="E33" s="31">
        <f>SUM(E31:E32)</f>
        <v>18387.650000000001</v>
      </c>
      <c r="F33" s="31">
        <f>SUM(F31:F32)</f>
        <v>19055.97</v>
      </c>
      <c r="H33" s="31">
        <f t="shared" ref="H33:L33" si="4">SUM(H31:H32)</f>
        <v>19055.97</v>
      </c>
      <c r="I33" s="31">
        <f t="shared" si="4"/>
        <v>19055.97</v>
      </c>
      <c r="J33" s="31">
        <f t="shared" si="4"/>
        <v>19055.97</v>
      </c>
      <c r="K33" s="31">
        <f t="shared" si="4"/>
        <v>19055.97</v>
      </c>
      <c r="L33" s="31">
        <f t="shared" si="4"/>
        <v>19055.97</v>
      </c>
    </row>
    <row r="34" spans="1:12" x14ac:dyDescent="0.35">
      <c r="D34" s="17"/>
      <c r="E34" s="17"/>
      <c r="F34" s="17"/>
    </row>
    <row r="35" spans="1:12" s="31" customFormat="1" x14ac:dyDescent="0.35">
      <c r="A35" s="31" t="s">
        <v>25</v>
      </c>
      <c r="D35" s="33"/>
      <c r="E35" s="33"/>
      <c r="F35" s="33"/>
    </row>
    <row r="36" spans="1:12" x14ac:dyDescent="0.35">
      <c r="A36" s="3" t="s">
        <v>154</v>
      </c>
      <c r="D36" s="17">
        <v>14100.61</v>
      </c>
      <c r="E36" s="17">
        <v>16153.49</v>
      </c>
      <c r="F36" s="17">
        <v>17580.150000000001</v>
      </c>
      <c r="H36" s="3">
        <v>17580.150000000001</v>
      </c>
      <c r="I36" s="3">
        <v>17580.150000000001</v>
      </c>
      <c r="J36" s="3">
        <v>17580.150000000001</v>
      </c>
      <c r="K36" s="3">
        <v>17580.150000000001</v>
      </c>
      <c r="L36" s="3">
        <v>17580.150000000001</v>
      </c>
    </row>
    <row r="37" spans="1:12" x14ac:dyDescent="0.35">
      <c r="A37" s="3" t="s">
        <v>155</v>
      </c>
      <c r="D37" s="17">
        <v>1281.5899999999999</v>
      </c>
      <c r="E37" s="17">
        <v>1769.74</v>
      </c>
      <c r="F37" s="17">
        <v>1371.94</v>
      </c>
      <c r="H37" s="3">
        <v>1371.94</v>
      </c>
      <c r="I37" s="3">
        <v>1371.94</v>
      </c>
      <c r="J37" s="3">
        <v>1371.94</v>
      </c>
      <c r="K37" s="3">
        <v>1371.94</v>
      </c>
      <c r="L37" s="3">
        <v>1371.94</v>
      </c>
    </row>
    <row r="38" spans="1:12" x14ac:dyDescent="0.35">
      <c r="A38" s="3" t="s">
        <v>156</v>
      </c>
      <c r="D38" s="17">
        <v>205.86</v>
      </c>
      <c r="E38" s="17">
        <v>198.59</v>
      </c>
      <c r="F38" s="17">
        <v>266.5</v>
      </c>
      <c r="H38" s="3">
        <f>F38</f>
        <v>266.5</v>
      </c>
      <c r="I38" s="3">
        <f>H38</f>
        <v>266.5</v>
      </c>
      <c r="J38" s="3">
        <f t="shared" ref="J38:L38" si="5">I38</f>
        <v>266.5</v>
      </c>
      <c r="K38" s="3">
        <f t="shared" si="5"/>
        <v>266.5</v>
      </c>
      <c r="L38" s="3">
        <f t="shared" si="5"/>
        <v>266.5</v>
      </c>
    </row>
    <row r="39" spans="1:12" s="8" customFormat="1" x14ac:dyDescent="0.35">
      <c r="A39" s="8" t="s">
        <v>157</v>
      </c>
      <c r="D39" s="24">
        <v>218.24</v>
      </c>
      <c r="E39" s="24">
        <v>269.58</v>
      </c>
      <c r="F39" s="24">
        <v>533.54999999999995</v>
      </c>
      <c r="H39" s="8">
        <f>F39</f>
        <v>533.54999999999995</v>
      </c>
      <c r="I39" s="8">
        <f>H39</f>
        <v>533.54999999999995</v>
      </c>
      <c r="J39" s="8">
        <f t="shared" ref="J39:L39" si="6">I39</f>
        <v>533.54999999999995</v>
      </c>
      <c r="K39" s="8">
        <f t="shared" si="6"/>
        <v>533.54999999999995</v>
      </c>
      <c r="L39" s="8">
        <f t="shared" si="6"/>
        <v>533.54999999999995</v>
      </c>
    </row>
    <row r="40" spans="1:12" s="31" customFormat="1" x14ac:dyDescent="0.35">
      <c r="A40" s="31" t="s">
        <v>158</v>
      </c>
      <c r="D40" s="31">
        <f>SUM(D36:D39)</f>
        <v>15806.300000000001</v>
      </c>
      <c r="E40" s="31">
        <f>SUM(E36:E39)</f>
        <v>18391.400000000001</v>
      </c>
      <c r="F40" s="31">
        <f>SUM(F36:F39)</f>
        <v>19752.14</v>
      </c>
      <c r="H40" s="31">
        <f t="shared" ref="H40:L40" si="7">SUM(H36:H39)</f>
        <v>19752.14</v>
      </c>
      <c r="I40" s="31">
        <f t="shared" si="7"/>
        <v>19752.14</v>
      </c>
      <c r="J40" s="31">
        <f t="shared" si="7"/>
        <v>19752.14</v>
      </c>
      <c r="K40" s="31">
        <f t="shared" si="7"/>
        <v>19752.14</v>
      </c>
      <c r="L40" s="31">
        <f t="shared" si="7"/>
        <v>19752.14</v>
      </c>
    </row>
    <row r="41" spans="1:12" s="31" customFormat="1" x14ac:dyDescent="0.35">
      <c r="A41" s="31" t="s">
        <v>26</v>
      </c>
      <c r="D41" s="33"/>
      <c r="E41" s="33"/>
      <c r="F41" s="33"/>
    </row>
    <row r="42" spans="1:12" x14ac:dyDescent="0.35">
      <c r="A42" s="3" t="s">
        <v>159</v>
      </c>
      <c r="D42" s="17">
        <v>5855.7</v>
      </c>
      <c r="E42" s="17">
        <v>12181.01</v>
      </c>
      <c r="F42" s="17">
        <v>6894.54</v>
      </c>
      <c r="H42" s="3">
        <v>22884.67</v>
      </c>
      <c r="I42" s="3">
        <v>22885.67</v>
      </c>
      <c r="J42" s="3">
        <v>22886.67</v>
      </c>
      <c r="K42" s="3">
        <v>22887.67</v>
      </c>
      <c r="L42" s="3">
        <v>22888.67</v>
      </c>
    </row>
    <row r="43" spans="1:12" x14ac:dyDescent="0.35">
      <c r="A43" s="3" t="s">
        <v>160</v>
      </c>
      <c r="D43" s="17">
        <v>13502.11</v>
      </c>
      <c r="E43" s="17" t="e">
        <f>#REF!</f>
        <v>#REF!</v>
      </c>
      <c r="F43" s="17" t="e">
        <f>#REF!</f>
        <v>#REF!</v>
      </c>
      <c r="H43" s="3" t="e">
        <f>F43+'Cash-flow Statement'!H19</f>
        <v>#REF!</v>
      </c>
      <c r="I43" s="3" t="e">
        <f>H43+'Cash-flow Statement'!I19</f>
        <v>#REF!</v>
      </c>
      <c r="J43" s="3" t="e">
        <f>I43+'Cash-flow Statement'!J19</f>
        <v>#REF!</v>
      </c>
      <c r="K43" s="3" t="e">
        <f>J43+'Cash-flow Statement'!K19</f>
        <v>#REF!</v>
      </c>
      <c r="L43" s="3" t="e">
        <f>K43+'Cash-flow Statement'!L19</f>
        <v>#REF!</v>
      </c>
    </row>
    <row r="44" spans="1:12" x14ac:dyDescent="0.35">
      <c r="A44" s="3" t="s">
        <v>155</v>
      </c>
      <c r="D44" s="17">
        <v>1148.69</v>
      </c>
      <c r="E44" s="17">
        <v>1406.75</v>
      </c>
      <c r="F44" s="17">
        <v>1043.54</v>
      </c>
      <c r="H44" s="3">
        <v>1043.54</v>
      </c>
      <c r="I44" s="3">
        <v>1043.54</v>
      </c>
      <c r="J44" s="3">
        <v>1043.54</v>
      </c>
      <c r="K44" s="3">
        <v>1043.54</v>
      </c>
      <c r="L44" s="3">
        <v>1043.54</v>
      </c>
    </row>
    <row r="45" spans="1:12" x14ac:dyDescent="0.35">
      <c r="A45" s="3" t="s">
        <v>161</v>
      </c>
      <c r="D45" s="17">
        <v>78.3</v>
      </c>
      <c r="E45" s="17">
        <v>31.49</v>
      </c>
      <c r="F45" s="17">
        <v>37.840000000000003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x14ac:dyDescent="0.35">
      <c r="A46" s="3" t="s">
        <v>162</v>
      </c>
      <c r="D46" s="17">
        <v>2356.0100000000002</v>
      </c>
      <c r="E46" s="17">
        <v>1347.63</v>
      </c>
      <c r="F46" s="17">
        <v>2287.5</v>
      </c>
      <c r="H46" s="3">
        <f>'Working Capital Schedule'!H18</f>
        <v>2481.4201769616175</v>
      </c>
      <c r="I46" s="3">
        <f>'Working Capital Schedule'!I18</f>
        <v>2691.7797135004262</v>
      </c>
      <c r="J46" s="3">
        <f>'Working Capital Schedule'!J18</f>
        <v>2919.9722373840086</v>
      </c>
      <c r="K46" s="3">
        <f>'Working Capital Schedule'!K18</f>
        <v>3167.5095195682784</v>
      </c>
      <c r="L46" s="3">
        <f>'Working Capital Schedule'!L18</f>
        <v>3436.0314896501532</v>
      </c>
    </row>
    <row r="47" spans="1:12" s="31" customFormat="1" x14ac:dyDescent="0.35">
      <c r="A47" s="31" t="s">
        <v>163</v>
      </c>
      <c r="D47" s="31">
        <f>SUM(D42:D46)</f>
        <v>22940.809999999998</v>
      </c>
      <c r="E47" s="31" t="e">
        <f>SUM(E42:E46)</f>
        <v>#REF!</v>
      </c>
      <c r="F47" s="31" t="e">
        <f>SUM(F42:F46)</f>
        <v>#REF!</v>
      </c>
      <c r="H47" s="31" t="e">
        <f>SUM(H42:H46)</f>
        <v>#REF!</v>
      </c>
      <c r="I47" s="31" t="e">
        <f t="shared" ref="I47:L47" si="8">SUM(I42:I46)</f>
        <v>#REF!</v>
      </c>
      <c r="J47" s="31" t="e">
        <f t="shared" si="8"/>
        <v>#REF!</v>
      </c>
      <c r="K47" s="31" t="e">
        <f t="shared" si="8"/>
        <v>#REF!</v>
      </c>
      <c r="L47" s="31" t="e">
        <f t="shared" si="8"/>
        <v>#REF!</v>
      </c>
    </row>
    <row r="49" spans="1:12" s="31" customFormat="1" x14ac:dyDescent="0.35">
      <c r="A49" s="31" t="s">
        <v>27</v>
      </c>
      <c r="D49" s="31">
        <f>SUM(D33,D40,D47)</f>
        <v>60909.63</v>
      </c>
      <c r="E49" s="31" t="e">
        <f>SUM(E33,E40,E47)</f>
        <v>#REF!</v>
      </c>
      <c r="F49" s="31" t="e">
        <f>SUM(F33,F40,F47)</f>
        <v>#REF!</v>
      </c>
      <c r="H49" s="31" t="e">
        <f>SUM(H33,H40,H47)</f>
        <v>#REF!</v>
      </c>
      <c r="I49" s="31" t="e">
        <f>SUM(I33,I40,I47)</f>
        <v>#REF!</v>
      </c>
      <c r="J49" s="31" t="e">
        <f>SUM(J33,J40,J47)</f>
        <v>#REF!</v>
      </c>
      <c r="K49" s="31" t="e">
        <f>SUM(K33,K40,K47)</f>
        <v>#REF!</v>
      </c>
      <c r="L49" s="31" t="e">
        <f>SUM(L33,L40,L47)</f>
        <v>#REF!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F693-9F7D-4211-85B2-A90A2C6DD649}">
  <dimension ref="A1:L30"/>
  <sheetViews>
    <sheetView showGridLines="0" workbookViewId="0">
      <pane ySplit="5" topLeftCell="A6" activePane="bottomLeft" state="frozen"/>
      <selection pane="bottomLeft" activeCell="E21" sqref="E21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1" t="s">
        <v>171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3" spans="1:12" x14ac:dyDescent="0.35">
      <c r="A3" s="3" t="s">
        <v>74</v>
      </c>
      <c r="C3" s="25">
        <v>44545</v>
      </c>
    </row>
    <row r="4" spans="1:12" x14ac:dyDescent="0.35">
      <c r="A4" s="3" t="s">
        <v>75</v>
      </c>
      <c r="C4" s="17">
        <v>489.8</v>
      </c>
    </row>
    <row r="5" spans="1:12" x14ac:dyDescent="0.35">
      <c r="A5" s="3" t="s">
        <v>76</v>
      </c>
      <c r="C5" s="17">
        <v>33.200000000000003</v>
      </c>
    </row>
    <row r="7" spans="1:12" x14ac:dyDescent="0.35">
      <c r="A7" s="52" t="s">
        <v>90</v>
      </c>
      <c r="B7" s="61"/>
      <c r="C7" s="61"/>
      <c r="D7" s="53" t="s">
        <v>88</v>
      </c>
      <c r="E7" s="54"/>
      <c r="F7" s="54"/>
      <c r="G7" s="55"/>
      <c r="H7" s="50" t="s">
        <v>89</v>
      </c>
      <c r="I7" s="59"/>
      <c r="J7" s="59"/>
      <c r="K7" s="59"/>
      <c r="L7" s="59"/>
    </row>
    <row r="8" spans="1:12" s="9" customFormat="1" x14ac:dyDescent="0.35">
      <c r="D8" s="9">
        <v>2019</v>
      </c>
      <c r="E8" s="9">
        <v>2020</v>
      </c>
      <c r="F8" s="9">
        <v>2021</v>
      </c>
      <c r="H8" s="9">
        <v>2022</v>
      </c>
      <c r="I8" s="9">
        <v>2023</v>
      </c>
      <c r="J8" s="9">
        <v>2024</v>
      </c>
      <c r="K8" s="9">
        <v>2025</v>
      </c>
      <c r="L8" s="9">
        <v>2026</v>
      </c>
    </row>
    <row r="9" spans="1:12" s="9" customFormat="1" x14ac:dyDescent="0.35">
      <c r="A9" s="9" t="s">
        <v>53</v>
      </c>
      <c r="D9" s="28"/>
      <c r="E9" s="28"/>
      <c r="F9" s="28"/>
      <c r="G9" s="28"/>
      <c r="H9" s="27">
        <v>1</v>
      </c>
      <c r="I9" s="27">
        <v>2</v>
      </c>
      <c r="J9" s="27">
        <v>3</v>
      </c>
      <c r="K9" s="27">
        <v>4</v>
      </c>
      <c r="L9" s="27">
        <v>5</v>
      </c>
    </row>
    <row r="10" spans="1:12" x14ac:dyDescent="0.35">
      <c r="A10" s="3" t="s">
        <v>6</v>
      </c>
      <c r="D10" s="14"/>
      <c r="E10" s="14"/>
      <c r="F10" s="14"/>
      <c r="G10" s="14"/>
      <c r="H10" s="3">
        <f>'Income Statement'!H23</f>
        <v>7827.7245574067156</v>
      </c>
      <c r="I10" s="3">
        <f>'Income Statement'!I23</f>
        <v>8064.4119412620212</v>
      </c>
      <c r="J10" s="3">
        <f>'Income Statement'!J23</f>
        <v>8380.719457264142</v>
      </c>
      <c r="K10" s="3">
        <f>'Income Statement'!K23</f>
        <v>8764.7914467660321</v>
      </c>
      <c r="L10" s="3">
        <f>'Income Statement'!L23</f>
        <v>9209.5796135001801</v>
      </c>
    </row>
    <row r="11" spans="1:12" s="1" customFormat="1" x14ac:dyDescent="0.35">
      <c r="A11" s="1" t="s">
        <v>54</v>
      </c>
      <c r="D11" s="29"/>
      <c r="E11" s="29"/>
      <c r="F11" s="29"/>
      <c r="G11" s="29"/>
      <c r="H11" s="1">
        <f>WACC!$B$6</f>
        <v>0.3</v>
      </c>
      <c r="I11" s="1">
        <f>WACC!$B$6</f>
        <v>0.3</v>
      </c>
      <c r="J11" s="1">
        <f>WACC!$B$6</f>
        <v>0.3</v>
      </c>
      <c r="K11" s="1">
        <f>WACC!$B$6</f>
        <v>0.3</v>
      </c>
      <c r="L11" s="1">
        <f>WACC!$B$6</f>
        <v>0.3</v>
      </c>
    </row>
    <row r="12" spans="1:12" x14ac:dyDescent="0.35">
      <c r="A12" s="3" t="s">
        <v>55</v>
      </c>
      <c r="D12" s="14"/>
      <c r="E12" s="14"/>
      <c r="F12" s="14"/>
      <c r="G12" s="14"/>
      <c r="H12" s="3">
        <f>H10*(1-H11)</f>
        <v>5479.407190184701</v>
      </c>
      <c r="I12" s="3">
        <f t="shared" ref="I12:L12" si="0">I10*(1-I11)</f>
        <v>5645.0883588834149</v>
      </c>
      <c r="J12" s="3">
        <f t="shared" si="0"/>
        <v>5866.503620084899</v>
      </c>
      <c r="K12" s="3">
        <f t="shared" si="0"/>
        <v>6135.3540127362221</v>
      </c>
      <c r="L12" s="3">
        <f t="shared" si="0"/>
        <v>6446.7057294501255</v>
      </c>
    </row>
    <row r="13" spans="1:12" x14ac:dyDescent="0.35">
      <c r="A13" s="3" t="s">
        <v>56</v>
      </c>
      <c r="D13" s="14"/>
      <c r="E13" s="14"/>
      <c r="F13" s="14"/>
      <c r="G13" s="14"/>
      <c r="H13" s="3">
        <f>'Cash-flow Statement'!H9</f>
        <v>4151.273462715576</v>
      </c>
      <c r="I13" s="3">
        <f>'Cash-flow Statement'!I9</f>
        <v>4739.4513051555396</v>
      </c>
      <c r="J13" s="3">
        <f>'Cash-flow Statement'!J9</f>
        <v>5377.4912465204688</v>
      </c>
      <c r="K13" s="3">
        <f>'Cash-flow Statement'!K9</f>
        <v>6069.6202887982145</v>
      </c>
      <c r="L13" s="3">
        <f>'Cash-flow Statement'!L9</f>
        <v>6820.4237732000147</v>
      </c>
    </row>
    <row r="14" spans="1:12" x14ac:dyDescent="0.35">
      <c r="A14" s="3" t="s">
        <v>67</v>
      </c>
      <c r="D14" s="14"/>
      <c r="E14" s="14"/>
      <c r="F14" s="14"/>
      <c r="G14" s="14"/>
    </row>
    <row r="15" spans="1:12" x14ac:dyDescent="0.35">
      <c r="A15" s="3" t="s">
        <v>66</v>
      </c>
      <c r="D15" s="14"/>
      <c r="E15" s="14"/>
      <c r="F15" s="14"/>
      <c r="G15" s="14"/>
      <c r="H15" s="3">
        <f>SUM('Cash-flow Statement'!H16:H20)</f>
        <v>18396.464606259349</v>
      </c>
      <c r="I15" s="3">
        <f>SUM('Cash-flow Statement'!I16:I20)</f>
        <v>19338.437749036475</v>
      </c>
      <c r="J15" s="3">
        <f>SUM('Cash-flow Statement'!J16:J20)</f>
        <v>20422.381854662985</v>
      </c>
      <c r="K15" s="3">
        <f>SUM('Cash-flow Statement'!K16:K20)</f>
        <v>21640.926901172497</v>
      </c>
      <c r="L15" s="3">
        <f>SUM('Cash-flow Statement'!L16:L20)</f>
        <v>22992.140443790799</v>
      </c>
    </row>
    <row r="16" spans="1:12" x14ac:dyDescent="0.35">
      <c r="A16" s="3" t="s">
        <v>32</v>
      </c>
      <c r="D16" s="14"/>
      <c r="E16" s="14"/>
      <c r="F16" s="14"/>
      <c r="G16" s="14"/>
      <c r="H16" s="3">
        <f>'Cash-flow Statement'!H26</f>
        <v>-5422.1241008399684</v>
      </c>
      <c r="I16" s="3">
        <f>'Cash-flow Statement'!I26</f>
        <v>-5881.7784243996348</v>
      </c>
      <c r="J16" s="3">
        <f>'Cash-flow Statement'!J26</f>
        <v>-6380.3994136492965</v>
      </c>
      <c r="K16" s="3">
        <f>'Cash-flow Statement'!K26</f>
        <v>-6921.2904227774579</v>
      </c>
      <c r="L16" s="3">
        <f>'Cash-flow Statement'!L26</f>
        <v>-7508.034844018006</v>
      </c>
    </row>
    <row r="17" spans="1:12" s="31" customFormat="1" x14ac:dyDescent="0.35">
      <c r="A17" s="31" t="s">
        <v>57</v>
      </c>
      <c r="D17" s="34"/>
      <c r="E17" s="34"/>
      <c r="F17" s="34"/>
      <c r="G17" s="34"/>
      <c r="H17" s="31">
        <f>SUM(H12:H16)</f>
        <v>22605.021158319658</v>
      </c>
      <c r="I17" s="31">
        <f>SUM(I12:I16)</f>
        <v>23841.198988675795</v>
      </c>
      <c r="J17" s="31">
        <f>SUM(J12:J16)</f>
        <v>25285.977307619054</v>
      </c>
      <c r="K17" s="31">
        <f>SUM(K12:K16)</f>
        <v>26924.610779929477</v>
      </c>
      <c r="L17" s="31">
        <f>SUM(L12:L16)</f>
        <v>28751.235102422932</v>
      </c>
    </row>
    <row r="18" spans="1:12" s="1" customFormat="1" x14ac:dyDescent="0.35">
      <c r="A18" s="1" t="s">
        <v>58</v>
      </c>
      <c r="D18" s="29"/>
      <c r="E18" s="29"/>
      <c r="F18" s="29"/>
      <c r="G18" s="29"/>
      <c r="H18" s="1">
        <f>WACC!B17</f>
        <v>0.10796203253452769</v>
      </c>
      <c r="I18" s="1">
        <f>H18</f>
        <v>0.10796203253452769</v>
      </c>
      <c r="J18" s="1">
        <f t="shared" ref="J18:L18" si="1">I18</f>
        <v>0.10796203253452769</v>
      </c>
      <c r="K18" s="1">
        <f t="shared" si="1"/>
        <v>0.10796203253452769</v>
      </c>
      <c r="L18" s="1">
        <f t="shared" si="1"/>
        <v>0.10796203253452769</v>
      </c>
    </row>
    <row r="19" spans="1:12" s="31" customFormat="1" x14ac:dyDescent="0.35">
      <c r="A19" s="31" t="s">
        <v>59</v>
      </c>
      <c r="D19" s="34"/>
      <c r="E19" s="34"/>
      <c r="F19" s="34"/>
      <c r="G19" s="34"/>
      <c r="H19" s="31">
        <f>H17/(1+H18)^H9</f>
        <v>20402.342764949586</v>
      </c>
      <c r="I19" s="31">
        <f>I17/(1+I18)^I9</f>
        <v>19421.301748238046</v>
      </c>
      <c r="J19" s="31">
        <f>J17/(1+J18)^J9</f>
        <v>18591.100941882232</v>
      </c>
      <c r="K19" s="31">
        <f>K17/(1+K18)^K9</f>
        <v>17866.929371610961</v>
      </c>
      <c r="L19" s="31">
        <f>L17/(1+L18)^L9</f>
        <v>17219.959051635247</v>
      </c>
    </row>
    <row r="21" spans="1:12" s="31" customFormat="1" x14ac:dyDescent="0.35">
      <c r="A21" s="31" t="s">
        <v>65</v>
      </c>
      <c r="C21" s="31">
        <f>SUM(H19:L19)</f>
        <v>93501.633878316075</v>
      </c>
    </row>
    <row r="23" spans="1:12" x14ac:dyDescent="0.35">
      <c r="A23" s="52" t="s">
        <v>60</v>
      </c>
      <c r="B23" s="52"/>
      <c r="C23" s="52"/>
      <c r="D23" s="52"/>
    </row>
    <row r="25" spans="1:12" x14ac:dyDescent="0.35">
      <c r="A25" s="3" t="s">
        <v>61</v>
      </c>
    </row>
    <row r="26" spans="1:12" s="1" customFormat="1" x14ac:dyDescent="0.35">
      <c r="A26" s="1" t="s">
        <v>62</v>
      </c>
      <c r="D26" s="19">
        <v>0.04</v>
      </c>
    </row>
    <row r="27" spans="1:12" s="1" customFormat="1" x14ac:dyDescent="0.35">
      <c r="A27" s="1" t="s">
        <v>58</v>
      </c>
      <c r="D27" s="1">
        <f>WACC!B17</f>
        <v>0.10796203253452769</v>
      </c>
    </row>
    <row r="28" spans="1:12" x14ac:dyDescent="0.35">
      <c r="A28" s="3" t="s">
        <v>63</v>
      </c>
      <c r="D28" s="3">
        <f>L19*(1+D26)</f>
        <v>17908.75741370066</v>
      </c>
    </row>
    <row r="29" spans="1:12" x14ac:dyDescent="0.35">
      <c r="A29" s="3" t="s">
        <v>60</v>
      </c>
      <c r="D29" s="3">
        <f>D28/(D27-D26)</f>
        <v>263511.20980088745</v>
      </c>
    </row>
    <row r="30" spans="1:12" s="31" customFormat="1" x14ac:dyDescent="0.35">
      <c r="A30" s="31" t="s">
        <v>64</v>
      </c>
      <c r="D30" s="31">
        <f>D29*(1+L18)^L9</f>
        <v>439970.42747844104</v>
      </c>
    </row>
  </sheetData>
  <mergeCells count="5">
    <mergeCell ref="A23:D23"/>
    <mergeCell ref="H7:L7"/>
    <mergeCell ref="A1:L1"/>
    <mergeCell ref="A7:C7"/>
    <mergeCell ref="D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379C-5D67-4711-8764-5FC337A9C897}">
  <dimension ref="A1:F17"/>
  <sheetViews>
    <sheetView showGridLines="0" workbookViewId="0">
      <selection activeCell="B17" sqref="B17"/>
    </sheetView>
  </sheetViews>
  <sheetFormatPr defaultColWidth="12.6328125" defaultRowHeight="14.5" x14ac:dyDescent="0.35"/>
  <cols>
    <col min="1" max="16384" width="12.6328125" style="3"/>
  </cols>
  <sheetData>
    <row r="1" spans="1:6" ht="22.5" x14ac:dyDescent="0.45">
      <c r="A1" s="51" t="s">
        <v>58</v>
      </c>
      <c r="B1" s="60"/>
      <c r="C1" s="60"/>
      <c r="D1" s="60"/>
      <c r="E1" s="60"/>
      <c r="F1" s="60"/>
    </row>
    <row r="3" spans="1:6" x14ac:dyDescent="0.35">
      <c r="A3" s="3" t="s">
        <v>77</v>
      </c>
      <c r="B3" s="3">
        <f>'DCF Analysis'!C4</f>
        <v>489.8</v>
      </c>
      <c r="E3" s="3" t="s">
        <v>68</v>
      </c>
      <c r="F3" s="19">
        <v>6.1260000000000002E-2</v>
      </c>
    </row>
    <row r="4" spans="1:6" x14ac:dyDescent="0.35">
      <c r="A4" s="3" t="s">
        <v>73</v>
      </c>
      <c r="B4" s="22">
        <f>'DCF Analysis'!C5</f>
        <v>33.200000000000003</v>
      </c>
      <c r="E4" s="3" t="s">
        <v>69</v>
      </c>
      <c r="F4" s="17">
        <v>1.05</v>
      </c>
    </row>
    <row r="5" spans="1:6" s="1" customFormat="1" x14ac:dyDescent="0.35">
      <c r="A5" s="1" t="s">
        <v>72</v>
      </c>
      <c r="B5" s="19">
        <v>0.12</v>
      </c>
      <c r="E5" s="1" t="s">
        <v>70</v>
      </c>
      <c r="F5" s="19">
        <v>7.4999999999999997E-2</v>
      </c>
    </row>
    <row r="6" spans="1:6" x14ac:dyDescent="0.35">
      <c r="A6" s="3" t="s">
        <v>78</v>
      </c>
      <c r="B6" s="19">
        <v>0.3</v>
      </c>
    </row>
    <row r="7" spans="1:6" s="1" customFormat="1" x14ac:dyDescent="0.35">
      <c r="A7" s="1" t="s">
        <v>79</v>
      </c>
      <c r="B7" s="1">
        <f>B5*(1-B6)</f>
        <v>8.3999999999999991E-2</v>
      </c>
      <c r="E7" s="1" t="s">
        <v>96</v>
      </c>
      <c r="F7" s="1">
        <f>F4*F5</f>
        <v>7.8750000000000001E-2</v>
      </c>
    </row>
    <row r="8" spans="1:6" s="1" customFormat="1" x14ac:dyDescent="0.35">
      <c r="A8" s="1" t="s">
        <v>71</v>
      </c>
      <c r="B8" s="1">
        <f>SUM(F3,F7)</f>
        <v>0.14001</v>
      </c>
    </row>
    <row r="10" spans="1:6" x14ac:dyDescent="0.35">
      <c r="A10" s="3" t="s">
        <v>80</v>
      </c>
      <c r="B10" s="17">
        <v>21748.720000000001</v>
      </c>
    </row>
    <row r="11" spans="1:6" x14ac:dyDescent="0.35">
      <c r="A11" s="3" t="s">
        <v>81</v>
      </c>
      <c r="B11" s="3">
        <f>B3*B4</f>
        <v>16261.360000000002</v>
      </c>
    </row>
    <row r="12" spans="1:6" x14ac:dyDescent="0.35">
      <c r="A12" s="3" t="s">
        <v>82</v>
      </c>
      <c r="B12" s="3">
        <f>SUM(B10:B11)</f>
        <v>38010.080000000002</v>
      </c>
    </row>
    <row r="14" spans="1:6" s="1" customFormat="1" x14ac:dyDescent="0.35">
      <c r="A14" s="1" t="s">
        <v>83</v>
      </c>
      <c r="B14" s="1">
        <f>B10/B12</f>
        <v>0.57218295778382999</v>
      </c>
    </row>
    <row r="15" spans="1:6" s="1" customFormat="1" x14ac:dyDescent="0.35">
      <c r="A15" s="1" t="s">
        <v>84</v>
      </c>
      <c r="B15" s="1">
        <f>B11/B12</f>
        <v>0.42781704221617006</v>
      </c>
    </row>
    <row r="17" spans="1:2" s="1" customFormat="1" x14ac:dyDescent="0.35">
      <c r="A17" s="1" t="s">
        <v>58</v>
      </c>
      <c r="B17" s="1">
        <f>B14*B7+ B15*B8</f>
        <v>0.10796203253452769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 Page</vt:lpstr>
      <vt:lpstr>Income Statement</vt:lpstr>
      <vt:lpstr>Inputs</vt:lpstr>
      <vt:lpstr>Cash-flow Statement</vt:lpstr>
      <vt:lpstr>Depreciation Schedule</vt:lpstr>
      <vt:lpstr>Working Capital Schedule</vt:lpstr>
      <vt:lpstr>Balance Sheet</vt:lpstr>
      <vt:lpstr>DCF Analysis</vt:lpstr>
      <vt:lpstr>WACC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2tin</cp:lastModifiedBy>
  <dcterms:created xsi:type="dcterms:W3CDTF">2015-06-05T18:17:20Z</dcterms:created>
  <dcterms:modified xsi:type="dcterms:W3CDTF">2021-12-18T16:11:01Z</dcterms:modified>
</cp:coreProperties>
</file>