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2tin\Desktop\"/>
    </mc:Choice>
  </mc:AlternateContent>
  <xr:revisionPtr revIDLastSave="0" documentId="13_ncr:1_{DC05A00E-1AF5-4F01-BAE1-E7EECF085CE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over Page" sheetId="17" r:id="rId1"/>
    <sheet name="Income Statement" sheetId="10" r:id="rId2"/>
    <sheet name="Inputs" sheetId="2" r:id="rId3"/>
    <sheet name="Cash flow Statement" sheetId="7" r:id="rId4"/>
    <sheet name="Depreciation Schedule" sheetId="8" r:id="rId5"/>
    <sheet name="Balance Sheet" sheetId="12" r:id="rId6"/>
    <sheet name="Working Capital Schedule" sheetId="11" r:id="rId7"/>
    <sheet name="DCF Analysis" sheetId="15" r:id="rId8"/>
    <sheet name="WACC" sheetId="16" r:id="rId9"/>
    <sheet name="Charts" sheetId="20" r:id="rId10"/>
  </sheets>
  <definedNames>
    <definedName name="_xlnm._FilterDatabase" localSheetId="1" hidden="1">'Income Statement'!$A$3:$E$9</definedName>
    <definedName name="_xlnm._FilterDatabase" localSheetId="2" hidden="1">Inputs!$A$2:$A$2</definedName>
    <definedName name="_xlchart.v1.0" hidden="1">Charts!$U$5:$U$9</definedName>
    <definedName name="_xlchart.v1.1" hidden="1">Charts!$V$5:$V$9</definedName>
    <definedName name="Case">Inputs!$B$2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6" l="1"/>
  <c r="C5" i="15" l="1"/>
  <c r="E47" i="7" l="1"/>
  <c r="W11" i="20" l="1"/>
  <c r="X11" i="20"/>
  <c r="V11" i="20"/>
  <c r="V5" i="20"/>
  <c r="D24" i="10"/>
  <c r="F7" i="11" l="1"/>
  <c r="B4" i="16" l="1"/>
  <c r="I30" i="12"/>
  <c r="J30" i="12"/>
  <c r="K30" i="12"/>
  <c r="L30" i="12"/>
  <c r="H30" i="12"/>
  <c r="I29" i="12"/>
  <c r="J29" i="12"/>
  <c r="K29" i="12"/>
  <c r="L29" i="12"/>
  <c r="H29" i="12"/>
  <c r="I22" i="12"/>
  <c r="J22" i="12"/>
  <c r="K22" i="12"/>
  <c r="L22" i="12"/>
  <c r="H22" i="12"/>
  <c r="I19" i="12"/>
  <c r="J19" i="12"/>
  <c r="K19" i="12"/>
  <c r="L19" i="12"/>
  <c r="H19" i="12"/>
  <c r="I14" i="12"/>
  <c r="J14" i="12"/>
  <c r="K14" i="12"/>
  <c r="L14" i="12"/>
  <c r="H14" i="12"/>
  <c r="I13" i="12"/>
  <c r="J13" i="12"/>
  <c r="K13" i="12"/>
  <c r="L13" i="12"/>
  <c r="H13" i="12"/>
  <c r="I11" i="12"/>
  <c r="J11" i="12"/>
  <c r="K11" i="12"/>
  <c r="L11" i="12"/>
  <c r="H11" i="12"/>
  <c r="I9" i="12"/>
  <c r="J9" i="12"/>
  <c r="K9" i="12"/>
  <c r="L9" i="12"/>
  <c r="H9" i="12"/>
  <c r="I10" i="12"/>
  <c r="J10" i="12"/>
  <c r="K10" i="12"/>
  <c r="L10" i="12"/>
  <c r="H10" i="12"/>
  <c r="F47" i="7"/>
  <c r="I15" i="12"/>
  <c r="J15" i="12"/>
  <c r="K15" i="12"/>
  <c r="L15" i="12"/>
  <c r="H15" i="12"/>
  <c r="I12" i="12"/>
  <c r="J12" i="12"/>
  <c r="K12" i="12"/>
  <c r="L12" i="12"/>
  <c r="H12" i="12"/>
  <c r="H43" i="7" l="1"/>
  <c r="F43" i="7" l="1"/>
  <c r="F45" i="7" s="1"/>
  <c r="E43" i="7"/>
  <c r="E45" i="7" s="1"/>
  <c r="F22" i="10" l="1"/>
  <c r="E22" i="10"/>
  <c r="D5" i="8"/>
  <c r="E16" i="11"/>
  <c r="F16" i="11"/>
  <c r="D16" i="11"/>
  <c r="E14" i="11"/>
  <c r="E15" i="11" s="1"/>
  <c r="F14" i="11"/>
  <c r="F15" i="11" s="1"/>
  <c r="D14" i="11"/>
  <c r="D15" i="11" s="1"/>
  <c r="E10" i="11"/>
  <c r="F10" i="11"/>
  <c r="D10" i="11"/>
  <c r="E8" i="11"/>
  <c r="F8" i="11"/>
  <c r="D8" i="11"/>
  <c r="D9" i="11" s="1"/>
  <c r="E6" i="11"/>
  <c r="F6" i="11"/>
  <c r="D6" i="11"/>
  <c r="D7" i="11" s="1"/>
  <c r="E18" i="11"/>
  <c r="E19" i="11" s="1"/>
  <c r="F18" i="11"/>
  <c r="F19" i="11" s="1"/>
  <c r="D18" i="11"/>
  <c r="D19" i="11" s="1"/>
  <c r="E27" i="7"/>
  <c r="F27" i="7"/>
  <c r="D27" i="7"/>
  <c r="D25" i="2"/>
  <c r="E26" i="10" s="1"/>
  <c r="E25" i="2"/>
  <c r="F26" i="10" s="1"/>
  <c r="C25" i="2"/>
  <c r="D26" i="10" s="1"/>
  <c r="D15" i="2"/>
  <c r="E14" i="10" s="1"/>
  <c r="E15" i="2"/>
  <c r="F14" i="10" s="1"/>
  <c r="C15" i="2"/>
  <c r="D14" i="10" s="1"/>
  <c r="E10" i="2"/>
  <c r="F10" i="10" s="1"/>
  <c r="D10" i="2"/>
  <c r="E10" i="10" s="1"/>
  <c r="E5" i="2"/>
  <c r="D5" i="2"/>
  <c r="I11" i="15"/>
  <c r="J11" i="15"/>
  <c r="K11" i="15"/>
  <c r="L11" i="15"/>
  <c r="H11" i="15"/>
  <c r="D20" i="2"/>
  <c r="E19" i="10" s="1"/>
  <c r="E20" i="2"/>
  <c r="F19" i="10" s="1"/>
  <c r="C20" i="2"/>
  <c r="D19" i="10" s="1"/>
  <c r="B3" i="12"/>
  <c r="B3" i="7"/>
  <c r="B2" i="2"/>
  <c r="D11" i="10"/>
  <c r="I15" i="11" l="1"/>
  <c r="L15" i="11"/>
  <c r="H15" i="11"/>
  <c r="K15" i="11"/>
  <c r="J15" i="11"/>
  <c r="H19" i="11"/>
  <c r="I19" i="11"/>
  <c r="L19" i="11"/>
  <c r="J19" i="11"/>
  <c r="K19" i="11"/>
  <c r="D20" i="11"/>
  <c r="D12" i="11"/>
  <c r="H13" i="7"/>
  <c r="I38" i="7"/>
  <c r="J38" i="7"/>
  <c r="K38" i="7"/>
  <c r="L38" i="7"/>
  <c r="H38" i="7"/>
  <c r="H37" i="7"/>
  <c r="I37" i="7" s="1"/>
  <c r="J37" i="7" s="1"/>
  <c r="K37" i="7" s="1"/>
  <c r="L37" i="7" s="1"/>
  <c r="H30" i="7"/>
  <c r="I30" i="7" s="1"/>
  <c r="J30" i="7" s="1"/>
  <c r="K30" i="7" s="1"/>
  <c r="L30" i="7" s="1"/>
  <c r="I13" i="7"/>
  <c r="J13" i="7"/>
  <c r="K13" i="7"/>
  <c r="L13" i="7"/>
  <c r="I12" i="7"/>
  <c r="J12" i="7"/>
  <c r="K12" i="7"/>
  <c r="L12" i="7"/>
  <c r="H12" i="7"/>
  <c r="I11" i="7"/>
  <c r="J11" i="7"/>
  <c r="K11" i="7"/>
  <c r="L11" i="7"/>
  <c r="H11" i="7"/>
  <c r="F7" i="16"/>
  <c r="B7" i="16"/>
  <c r="B3" i="16"/>
  <c r="B11" i="16" s="1"/>
  <c r="D45" i="12"/>
  <c r="D38" i="12"/>
  <c r="D31" i="12"/>
  <c r="D24" i="12"/>
  <c r="D16" i="12"/>
  <c r="D39" i="7"/>
  <c r="D41" i="7" s="1"/>
  <c r="D31" i="7"/>
  <c r="E31" i="7"/>
  <c r="D14" i="7"/>
  <c r="D16" i="7" s="1"/>
  <c r="D21" i="7" s="1"/>
  <c r="D23" i="7" s="1"/>
  <c r="D11" i="11"/>
  <c r="E11" i="11"/>
  <c r="F11" i="11"/>
  <c r="H37" i="12"/>
  <c r="I37" i="12" s="1"/>
  <c r="J37" i="12" s="1"/>
  <c r="K37" i="12" s="1"/>
  <c r="L37" i="12" s="1"/>
  <c r="H36" i="12"/>
  <c r="I36" i="12" s="1"/>
  <c r="F45" i="12"/>
  <c r="E45" i="12"/>
  <c r="F38" i="12"/>
  <c r="E38" i="12"/>
  <c r="L31" i="12"/>
  <c r="K31" i="12"/>
  <c r="J31" i="12"/>
  <c r="I31" i="12"/>
  <c r="H31" i="12"/>
  <c r="F31" i="12"/>
  <c r="E31" i="12"/>
  <c r="F24" i="12"/>
  <c r="E24" i="12"/>
  <c r="F16" i="12"/>
  <c r="E16" i="12"/>
  <c r="E9" i="11"/>
  <c r="D13" i="8"/>
  <c r="F32" i="10"/>
  <c r="F17" i="11" s="1"/>
  <c r="E32" i="10"/>
  <c r="D32" i="10"/>
  <c r="D17" i="11" s="1"/>
  <c r="D15" i="10"/>
  <c r="D20" i="10" s="1"/>
  <c r="E13" i="8"/>
  <c r="F13" i="8"/>
  <c r="G13" i="8"/>
  <c r="H13" i="8"/>
  <c r="F31" i="7"/>
  <c r="F14" i="7"/>
  <c r="F16" i="7" s="1"/>
  <c r="F21" i="7" s="1"/>
  <c r="F23" i="7" s="1"/>
  <c r="E14" i="7"/>
  <c r="E16" i="7" s="1"/>
  <c r="E21" i="7" s="1"/>
  <c r="E23" i="7" s="1"/>
  <c r="F39" i="7"/>
  <c r="E39" i="7"/>
  <c r="E17" i="11" l="1"/>
  <c r="K17" i="11" s="1"/>
  <c r="L17" i="11"/>
  <c r="J17" i="11"/>
  <c r="K11" i="11"/>
  <c r="L11" i="11"/>
  <c r="H11" i="11"/>
  <c r="I11" i="11"/>
  <c r="J11" i="11"/>
  <c r="D22" i="11"/>
  <c r="D25" i="12"/>
  <c r="F12" i="11"/>
  <c r="E25" i="12"/>
  <c r="F20" i="11"/>
  <c r="E12" i="11"/>
  <c r="E7" i="11"/>
  <c r="E20" i="11"/>
  <c r="D47" i="12"/>
  <c r="H27" i="7"/>
  <c r="F47" i="12"/>
  <c r="J36" i="12"/>
  <c r="I38" i="12"/>
  <c r="H38" i="12"/>
  <c r="E47" i="12"/>
  <c r="F25" i="12"/>
  <c r="F9" i="11"/>
  <c r="L9" i="11" s="1"/>
  <c r="B12" i="16"/>
  <c r="B14" i="16" s="1"/>
  <c r="E41" i="7"/>
  <c r="D23" i="10"/>
  <c r="D28" i="10" s="1"/>
  <c r="K39" i="7"/>
  <c r="F41" i="7"/>
  <c r="H39" i="7"/>
  <c r="I39" i="7"/>
  <c r="J39" i="7"/>
  <c r="L39" i="7"/>
  <c r="I17" i="11" l="1"/>
  <c r="H17" i="11"/>
  <c r="J9" i="11"/>
  <c r="H9" i="11"/>
  <c r="I7" i="11"/>
  <c r="H7" i="11"/>
  <c r="K7" i="11"/>
  <c r="J7" i="11"/>
  <c r="L7" i="11"/>
  <c r="K9" i="11"/>
  <c r="I9" i="11"/>
  <c r="C30" i="2"/>
  <c r="F22" i="11"/>
  <c r="E22" i="11"/>
  <c r="K36" i="12"/>
  <c r="J38" i="12"/>
  <c r="B15" i="16"/>
  <c r="B17" i="16" s="1"/>
  <c r="I27" i="7"/>
  <c r="K27" i="7" s="1"/>
  <c r="J27" i="7"/>
  <c r="D34" i="10" l="1"/>
  <c r="L36" i="12"/>
  <c r="L38" i="12" s="1"/>
  <c r="K38" i="12"/>
  <c r="H18" i="15"/>
  <c r="I18" i="15" s="1"/>
  <c r="J18" i="15" s="1"/>
  <c r="K18" i="15" s="1"/>
  <c r="L18" i="15" s="1"/>
  <c r="D27" i="15"/>
  <c r="L27" i="7"/>
  <c r="G12" i="2"/>
  <c r="G13" i="2" l="1"/>
  <c r="G11" i="2"/>
  <c r="H12" i="2"/>
  <c r="H10" i="10" l="1"/>
  <c r="H9" i="10" s="1"/>
  <c r="G10" i="2"/>
  <c r="H13" i="2"/>
  <c r="I12" i="2"/>
  <c r="H11" i="2"/>
  <c r="I10" i="10" l="1"/>
  <c r="I9" i="10" s="1"/>
  <c r="H10" i="2"/>
  <c r="I13" i="2"/>
  <c r="I11" i="2"/>
  <c r="J12" i="2"/>
  <c r="J10" i="10" l="1"/>
  <c r="J9" i="10" s="1"/>
  <c r="I10" i="2"/>
  <c r="J11" i="2"/>
  <c r="J13" i="2"/>
  <c r="K12" i="2"/>
  <c r="K10" i="10" l="1"/>
  <c r="K9" i="10" s="1"/>
  <c r="J10" i="2"/>
  <c r="K13" i="2"/>
  <c r="K11" i="2"/>
  <c r="L10" i="10" l="1"/>
  <c r="L9" i="10" s="1"/>
  <c r="K10" i="2"/>
  <c r="E8" i="10" l="1"/>
  <c r="E11" i="10" s="1"/>
  <c r="F8" i="10"/>
  <c r="E15" i="10" l="1"/>
  <c r="E20" i="10" s="1"/>
  <c r="E23" i="10" s="1"/>
  <c r="E28" i="10" s="1"/>
  <c r="F11" i="10"/>
  <c r="G7" i="2"/>
  <c r="E24" i="10" l="1"/>
  <c r="D33" i="10"/>
  <c r="G8" i="2"/>
  <c r="F15" i="10"/>
  <c r="F20" i="10" s="1"/>
  <c r="F23" i="10" s="1"/>
  <c r="F28" i="10" s="1"/>
  <c r="F34" i="10" s="1"/>
  <c r="H7" i="2"/>
  <c r="G6" i="2"/>
  <c r="G17" i="2"/>
  <c r="F24" i="10" l="1"/>
  <c r="E30" i="2"/>
  <c r="E34" i="10"/>
  <c r="D30" i="2"/>
  <c r="H8" i="10"/>
  <c r="H7" i="10" s="1"/>
  <c r="G5" i="2"/>
  <c r="H6" i="2"/>
  <c r="G22" i="2"/>
  <c r="H8" i="2"/>
  <c r="I7" i="2"/>
  <c r="G27" i="2"/>
  <c r="H17" i="2"/>
  <c r="G18" i="2"/>
  <c r="G16" i="2"/>
  <c r="I6" i="2"/>
  <c r="H10" i="11" l="1"/>
  <c r="H26" i="7"/>
  <c r="H18" i="11"/>
  <c r="H44" i="12" s="1"/>
  <c r="H6" i="11"/>
  <c r="H17" i="7" s="1"/>
  <c r="H20" i="7"/>
  <c r="H16" i="15"/>
  <c r="H11" i="10"/>
  <c r="V6" i="20" s="1"/>
  <c r="H23" i="12"/>
  <c r="H5" i="2"/>
  <c r="I8" i="10"/>
  <c r="I7" i="10" s="1"/>
  <c r="H14" i="10"/>
  <c r="H13" i="10" s="1"/>
  <c r="V7" i="20" s="1"/>
  <c r="G15" i="2"/>
  <c r="J8" i="10"/>
  <c r="I5" i="2"/>
  <c r="J7" i="2"/>
  <c r="K7" i="2" s="1"/>
  <c r="I8" i="2"/>
  <c r="F33" i="10"/>
  <c r="H22" i="2"/>
  <c r="G21" i="2"/>
  <c r="G20" i="2" s="1"/>
  <c r="G23" i="2"/>
  <c r="H27" i="2"/>
  <c r="G28" i="2"/>
  <c r="G26" i="2"/>
  <c r="G25" i="2" s="1"/>
  <c r="H26" i="10" s="1"/>
  <c r="H18" i="2"/>
  <c r="H16" i="2"/>
  <c r="I17" i="2"/>
  <c r="H25" i="10" l="1"/>
  <c r="I25" i="10" s="1"/>
  <c r="J25" i="10" s="1"/>
  <c r="K25" i="10" s="1"/>
  <c r="L25" i="10" s="1"/>
  <c r="J8" i="2"/>
  <c r="J6" i="2"/>
  <c r="I10" i="11"/>
  <c r="I18" i="11"/>
  <c r="I44" i="12" s="1"/>
  <c r="I20" i="7"/>
  <c r="H31" i="7"/>
  <c r="H21" i="12"/>
  <c r="D6" i="8"/>
  <c r="H14" i="8" s="1"/>
  <c r="H14" i="11"/>
  <c r="H19" i="7" s="1"/>
  <c r="H15" i="10"/>
  <c r="H8" i="11"/>
  <c r="I11" i="10"/>
  <c r="I26" i="7"/>
  <c r="I23" i="12"/>
  <c r="I6" i="11"/>
  <c r="J7" i="10"/>
  <c r="I14" i="10"/>
  <c r="I13" i="10" s="1"/>
  <c r="H15" i="2"/>
  <c r="K8" i="10"/>
  <c r="J5" i="2"/>
  <c r="H19" i="10"/>
  <c r="H18" i="10" s="1"/>
  <c r="V8" i="20" s="1"/>
  <c r="V9" i="20" s="1"/>
  <c r="H23" i="2"/>
  <c r="I22" i="2"/>
  <c r="H21" i="2"/>
  <c r="H20" i="2" s="1"/>
  <c r="E33" i="10"/>
  <c r="G32" i="2"/>
  <c r="H28" i="2"/>
  <c r="I27" i="2"/>
  <c r="H26" i="2"/>
  <c r="H25" i="2" s="1"/>
  <c r="I26" i="10" s="1"/>
  <c r="I18" i="2"/>
  <c r="I16" i="2"/>
  <c r="J17" i="2"/>
  <c r="K6" i="2"/>
  <c r="K8" i="2"/>
  <c r="J10" i="11" l="1"/>
  <c r="J18" i="11"/>
  <c r="J44" i="12" s="1"/>
  <c r="H18" i="7"/>
  <c r="I17" i="7"/>
  <c r="D14" i="8"/>
  <c r="D19" i="8" s="1"/>
  <c r="H9" i="7" s="1"/>
  <c r="H18" i="12"/>
  <c r="H12" i="11"/>
  <c r="G14" i="8"/>
  <c r="F14" i="8"/>
  <c r="E14" i="8"/>
  <c r="H20" i="10"/>
  <c r="Z11" i="20" s="1"/>
  <c r="I14" i="11"/>
  <c r="I19" i="7" s="1"/>
  <c r="I8" i="11"/>
  <c r="I15" i="10"/>
  <c r="J23" i="12"/>
  <c r="J6" i="11"/>
  <c r="J11" i="10"/>
  <c r="J26" i="7"/>
  <c r="J14" i="10"/>
  <c r="J13" i="10" s="1"/>
  <c r="I15" i="2"/>
  <c r="I21" i="12"/>
  <c r="I16" i="15"/>
  <c r="E6" i="8"/>
  <c r="I31" i="7"/>
  <c r="L8" i="10"/>
  <c r="K5" i="2"/>
  <c r="K7" i="10"/>
  <c r="I19" i="10"/>
  <c r="I18" i="10" s="1"/>
  <c r="J22" i="2"/>
  <c r="I23" i="2"/>
  <c r="I21" i="2"/>
  <c r="I20" i="2" s="1"/>
  <c r="G31" i="2"/>
  <c r="G33" i="2"/>
  <c r="H32" i="2"/>
  <c r="I26" i="2"/>
  <c r="I25" i="2" s="1"/>
  <c r="J26" i="10" s="1"/>
  <c r="I28" i="2"/>
  <c r="J27" i="2"/>
  <c r="J18" i="2"/>
  <c r="J16" i="2"/>
  <c r="K17" i="2"/>
  <c r="J20" i="7" l="1"/>
  <c r="H13" i="15"/>
  <c r="H8" i="12"/>
  <c r="K11" i="10"/>
  <c r="K18" i="11"/>
  <c r="K44" i="12" s="1"/>
  <c r="H21" i="10"/>
  <c r="H23" i="10" s="1"/>
  <c r="H28" i="10" s="1"/>
  <c r="H16" i="12"/>
  <c r="H14" i="7"/>
  <c r="D20" i="8"/>
  <c r="H22" i="10" s="1"/>
  <c r="I18" i="12"/>
  <c r="I18" i="7"/>
  <c r="J17" i="7"/>
  <c r="L7" i="10"/>
  <c r="L23" i="12" s="1"/>
  <c r="K23" i="12"/>
  <c r="K10" i="11"/>
  <c r="H41" i="12"/>
  <c r="I12" i="11"/>
  <c r="J8" i="11"/>
  <c r="J14" i="11"/>
  <c r="J19" i="7" s="1"/>
  <c r="J15" i="10"/>
  <c r="I20" i="10"/>
  <c r="AA11" i="20" s="1"/>
  <c r="K14" i="10"/>
  <c r="K13" i="10" s="1"/>
  <c r="J15" i="2"/>
  <c r="J16" i="15"/>
  <c r="F6" i="8"/>
  <c r="J31" i="7"/>
  <c r="G15" i="8"/>
  <c r="H15" i="8"/>
  <c r="E15" i="8"/>
  <c r="E19" i="8" s="1"/>
  <c r="F15" i="8"/>
  <c r="H33" i="10"/>
  <c r="G30" i="2"/>
  <c r="J21" i="12"/>
  <c r="K6" i="11"/>
  <c r="K26" i="7"/>
  <c r="K16" i="15" s="1"/>
  <c r="J19" i="10"/>
  <c r="J18" i="10" s="1"/>
  <c r="K22" i="2"/>
  <c r="J21" i="2"/>
  <c r="J20" i="2" s="1"/>
  <c r="J23" i="2"/>
  <c r="H31" i="2"/>
  <c r="H33" i="2"/>
  <c r="I32" i="2"/>
  <c r="J28" i="2"/>
  <c r="J26" i="2"/>
  <c r="J25" i="2" s="1"/>
  <c r="K26" i="10" s="1"/>
  <c r="K27" i="2"/>
  <c r="K18" i="2"/>
  <c r="K16" i="2"/>
  <c r="H10" i="15" l="1"/>
  <c r="H12" i="15" s="1"/>
  <c r="H24" i="10"/>
  <c r="L11" i="10"/>
  <c r="L18" i="11"/>
  <c r="L44" i="12" s="1"/>
  <c r="L26" i="7"/>
  <c r="L31" i="7" s="1"/>
  <c r="K20" i="7"/>
  <c r="J18" i="12"/>
  <c r="J18" i="7"/>
  <c r="K17" i="7"/>
  <c r="J20" i="10"/>
  <c r="AB11" i="20" s="1"/>
  <c r="L6" i="11"/>
  <c r="L17" i="7" s="1"/>
  <c r="L10" i="11"/>
  <c r="I41" i="12"/>
  <c r="J12" i="11"/>
  <c r="K21" i="12"/>
  <c r="G6" i="8"/>
  <c r="G17" i="8" s="1"/>
  <c r="K31" i="7"/>
  <c r="K8" i="11"/>
  <c r="K18" i="7" s="1"/>
  <c r="K15" i="10"/>
  <c r="K14" i="11"/>
  <c r="K19" i="7" s="1"/>
  <c r="I33" i="10"/>
  <c r="H30" i="2"/>
  <c r="L14" i="10"/>
  <c r="L13" i="10" s="1"/>
  <c r="K15" i="2"/>
  <c r="G16" i="8"/>
  <c r="H16" i="8"/>
  <c r="F16" i="8"/>
  <c r="F19" i="8" s="1"/>
  <c r="I9" i="7"/>
  <c r="I8" i="12" s="1"/>
  <c r="I21" i="10"/>
  <c r="I23" i="10" s="1"/>
  <c r="E20" i="8"/>
  <c r="I22" i="10" s="1"/>
  <c r="H32" i="10"/>
  <c r="H16" i="11" s="1"/>
  <c r="H43" i="12" s="1"/>
  <c r="H45" i="12" s="1"/>
  <c r="H47" i="12" s="1"/>
  <c r="K19" i="10"/>
  <c r="K18" i="10" s="1"/>
  <c r="I33" i="2"/>
  <c r="I31" i="2"/>
  <c r="K23" i="2"/>
  <c r="K21" i="2"/>
  <c r="K20" i="2" s="1"/>
  <c r="J32" i="2"/>
  <c r="K28" i="2"/>
  <c r="K26" i="2"/>
  <c r="K25" i="2" s="1"/>
  <c r="L26" i="10" s="1"/>
  <c r="L20" i="7" l="1"/>
  <c r="L16" i="15"/>
  <c r="H6" i="8"/>
  <c r="H18" i="8" s="1"/>
  <c r="L21" i="12"/>
  <c r="I28" i="10"/>
  <c r="I32" i="10" s="1"/>
  <c r="I16" i="11" s="1"/>
  <c r="I43" i="12" s="1"/>
  <c r="I45" i="12" s="1"/>
  <c r="I47" i="12" s="1"/>
  <c r="I24" i="10"/>
  <c r="J41" i="12"/>
  <c r="H20" i="11"/>
  <c r="H22" i="11" s="1"/>
  <c r="K12" i="11"/>
  <c r="G19" i="8"/>
  <c r="G20" i="8" s="1"/>
  <c r="K22" i="10" s="1"/>
  <c r="H17" i="8"/>
  <c r="K20" i="10"/>
  <c r="AC11" i="20" s="1"/>
  <c r="K18" i="12"/>
  <c r="L8" i="11"/>
  <c r="L18" i="7" s="1"/>
  <c r="L15" i="10"/>
  <c r="L14" i="11"/>
  <c r="L19" i="7" s="1"/>
  <c r="J33" i="10"/>
  <c r="I30" i="2"/>
  <c r="I13" i="15"/>
  <c r="I14" i="7"/>
  <c r="F20" i="8"/>
  <c r="J22" i="10" s="1"/>
  <c r="J21" i="10"/>
  <c r="J23" i="10" s="1"/>
  <c r="J24" i="10" s="1"/>
  <c r="J9" i="7"/>
  <c r="J8" i="12" s="1"/>
  <c r="I10" i="15"/>
  <c r="I12" i="15" s="1"/>
  <c r="H34" i="10"/>
  <c r="H7" i="7" s="1"/>
  <c r="L19" i="10"/>
  <c r="L18" i="10" s="1"/>
  <c r="J31" i="2"/>
  <c r="J33" i="2"/>
  <c r="K32" i="2"/>
  <c r="H19" i="8" l="1"/>
  <c r="L9" i="7" s="1"/>
  <c r="L13" i="15" s="1"/>
  <c r="I34" i="10"/>
  <c r="I7" i="7" s="1"/>
  <c r="I16" i="7" s="1"/>
  <c r="I20" i="11"/>
  <c r="I22" i="11" s="1"/>
  <c r="K9" i="7"/>
  <c r="K13" i="15" s="1"/>
  <c r="K41" i="12"/>
  <c r="L12" i="11"/>
  <c r="K21" i="10"/>
  <c r="K23" i="10" s="1"/>
  <c r="L21" i="10"/>
  <c r="H20" i="8"/>
  <c r="L22" i="10" s="1"/>
  <c r="L14" i="7"/>
  <c r="L20" i="10"/>
  <c r="AD11" i="20" s="1"/>
  <c r="L18" i="12"/>
  <c r="J13" i="15"/>
  <c r="J14" i="7"/>
  <c r="J28" i="10"/>
  <c r="J32" i="10" s="1"/>
  <c r="J16" i="11" s="1"/>
  <c r="J43" i="12" s="1"/>
  <c r="J45" i="12" s="1"/>
  <c r="J47" i="12" s="1"/>
  <c r="J10" i="15"/>
  <c r="J12" i="15" s="1"/>
  <c r="I16" i="12"/>
  <c r="K33" i="10"/>
  <c r="J30" i="2"/>
  <c r="K33" i="2"/>
  <c r="K31" i="2"/>
  <c r="H16" i="7"/>
  <c r="K8" i="12" l="1"/>
  <c r="L8" i="12" s="1"/>
  <c r="K14" i="7"/>
  <c r="L41" i="12"/>
  <c r="K10" i="15"/>
  <c r="K12" i="15" s="1"/>
  <c r="K24" i="10"/>
  <c r="L23" i="10"/>
  <c r="L24" i="10" s="1"/>
  <c r="K28" i="10"/>
  <c r="K32" i="10" s="1"/>
  <c r="K16" i="11" s="1"/>
  <c r="K43" i="12" s="1"/>
  <c r="K45" i="12" s="1"/>
  <c r="K47" i="12" s="1"/>
  <c r="J20" i="11"/>
  <c r="J22" i="11" s="1"/>
  <c r="J34" i="10"/>
  <c r="J7" i="7" s="1"/>
  <c r="J16" i="7" s="1"/>
  <c r="J21" i="7" s="1"/>
  <c r="L33" i="10"/>
  <c r="K30" i="2"/>
  <c r="J16" i="12"/>
  <c r="I21" i="7"/>
  <c r="I23" i="7" s="1"/>
  <c r="I41" i="7" s="1"/>
  <c r="I15" i="15"/>
  <c r="I17" i="15" s="1"/>
  <c r="I19" i="15" s="1"/>
  <c r="H21" i="7"/>
  <c r="H23" i="7" s="1"/>
  <c r="H15" i="15"/>
  <c r="H41" i="7" l="1"/>
  <c r="H45" i="7" s="1"/>
  <c r="H17" i="15"/>
  <c r="H19" i="15" s="1"/>
  <c r="L28" i="10"/>
  <c r="L32" i="10" s="1"/>
  <c r="L34" i="10" s="1"/>
  <c r="L7" i="7" s="1"/>
  <c r="L16" i="7" s="1"/>
  <c r="L10" i="15"/>
  <c r="L12" i="15" s="1"/>
  <c r="J23" i="7"/>
  <c r="J41" i="7" s="1"/>
  <c r="K34" i="10"/>
  <c r="K7" i="7" s="1"/>
  <c r="K16" i="7" s="1"/>
  <c r="K15" i="15" s="1"/>
  <c r="K17" i="15" s="1"/>
  <c r="K19" i="15" s="1"/>
  <c r="K20" i="11"/>
  <c r="K22" i="11" s="1"/>
  <c r="K16" i="12"/>
  <c r="L16" i="12"/>
  <c r="J15" i="15"/>
  <c r="J17" i="15" s="1"/>
  <c r="J19" i="15" s="1"/>
  <c r="I43" i="7" l="1"/>
  <c r="I45" i="7" s="1"/>
  <c r="H20" i="12"/>
  <c r="H47" i="7" s="1"/>
  <c r="K21" i="7"/>
  <c r="K23" i="7" s="1"/>
  <c r="K41" i="7" s="1"/>
  <c r="L16" i="11"/>
  <c r="L43" i="12" s="1"/>
  <c r="L45" i="12" s="1"/>
  <c r="L47" i="12" s="1"/>
  <c r="L21" i="7"/>
  <c r="L15" i="15"/>
  <c r="L17" i="15" s="1"/>
  <c r="L19" i="15" s="1"/>
  <c r="D28" i="15" s="1"/>
  <c r="D29" i="15" s="1"/>
  <c r="D30" i="15" s="1"/>
  <c r="H24" i="12" l="1"/>
  <c r="H25" i="12" s="1"/>
  <c r="C21" i="15"/>
  <c r="I20" i="12"/>
  <c r="I24" i="12" s="1"/>
  <c r="I25" i="12" s="1"/>
  <c r="J43" i="7"/>
  <c r="J45" i="7" s="1"/>
  <c r="L20" i="11"/>
  <c r="L22" i="11" s="1"/>
  <c r="L23" i="7"/>
  <c r="L41" i="7" s="1"/>
  <c r="I47" i="7" l="1"/>
  <c r="K43" i="7"/>
  <c r="K45" i="7" s="1"/>
  <c r="J20" i="12"/>
  <c r="J24" i="12" s="1"/>
  <c r="J25" i="12" s="1"/>
  <c r="J47" i="7" l="1"/>
  <c r="L43" i="7"/>
  <c r="L45" i="7" s="1"/>
  <c r="K20" i="12"/>
  <c r="K24" i="12" s="1"/>
  <c r="K25" i="12" s="1"/>
  <c r="L20" i="12" l="1"/>
  <c r="L24" i="12" s="1"/>
  <c r="L25" i="12" s="1"/>
  <c r="K47" i="7"/>
  <c r="L47" i="7" l="1"/>
</calcChain>
</file>

<file path=xl/sharedStrings.xml><?xml version="1.0" encoding="utf-8"?>
<sst xmlns="http://schemas.openxmlformats.org/spreadsheetml/2006/main" count="382" uniqueCount="208">
  <si>
    <t>Other Income</t>
  </si>
  <si>
    <t>COGS</t>
  </si>
  <si>
    <t>Gross Profit</t>
  </si>
  <si>
    <t>SG&amp;A</t>
  </si>
  <si>
    <t>EBITDA</t>
  </si>
  <si>
    <t>EBIT</t>
  </si>
  <si>
    <t>PBT</t>
  </si>
  <si>
    <t>Tax</t>
  </si>
  <si>
    <t>PAT</t>
  </si>
  <si>
    <t>Bull Market</t>
  </si>
  <si>
    <t>Base Market</t>
  </si>
  <si>
    <t>Bear Market</t>
  </si>
  <si>
    <t>% y-o-y growth</t>
  </si>
  <si>
    <t>% of revenue</t>
  </si>
  <si>
    <t>% of COGS</t>
  </si>
  <si>
    <t>Financing Cost</t>
  </si>
  <si>
    <t>% of PBT</t>
  </si>
  <si>
    <t>Assets</t>
  </si>
  <si>
    <t>Non-Current assets</t>
  </si>
  <si>
    <t>Total Assets</t>
  </si>
  <si>
    <t>Equity and Liabilities</t>
  </si>
  <si>
    <t xml:space="preserve">Equity  </t>
  </si>
  <si>
    <t>Equity share capital</t>
  </si>
  <si>
    <t>Other equity</t>
  </si>
  <si>
    <t>Liabilities</t>
  </si>
  <si>
    <t>Current Liabilities</t>
  </si>
  <si>
    <t>Total Equity and Liabilities</t>
  </si>
  <si>
    <t>Cash flow from operating activities</t>
  </si>
  <si>
    <t>Cash flows from operating activities before changes in following assets and liabilities</t>
  </si>
  <si>
    <t>Net cash from/(used in) operating activities</t>
  </si>
  <si>
    <t>Cash flow from investing activities</t>
  </si>
  <si>
    <t>Capital expenditure</t>
  </si>
  <si>
    <t>Net cash used in investing activities</t>
  </si>
  <si>
    <t>Cash flows from financing activities</t>
  </si>
  <si>
    <t>Net cash from/(used in) financing activities</t>
  </si>
  <si>
    <t>Net increase in cash and cash equivalents</t>
  </si>
  <si>
    <t>Total</t>
  </si>
  <si>
    <t>PP&amp;E</t>
  </si>
  <si>
    <t>Useful life</t>
  </si>
  <si>
    <t>CAPEX</t>
  </si>
  <si>
    <t>Depreciation</t>
  </si>
  <si>
    <t>Existing PP&amp;E</t>
  </si>
  <si>
    <t>2022 CAPEX</t>
  </si>
  <si>
    <t>2023 CAPEX</t>
  </si>
  <si>
    <t>2024 CAPEX</t>
  </si>
  <si>
    <t>2025 CAPEX</t>
  </si>
  <si>
    <t>2026 CAPEX</t>
  </si>
  <si>
    <t>Total book depreciation</t>
  </si>
  <si>
    <t>Total Revenue</t>
  </si>
  <si>
    <t>Current assets</t>
  </si>
  <si>
    <t>Current liabilities</t>
  </si>
  <si>
    <t>Period</t>
  </si>
  <si>
    <t>Tax rate</t>
  </si>
  <si>
    <t>EBIAT</t>
  </si>
  <si>
    <t>Depreciation and Amortisation</t>
  </si>
  <si>
    <t>WACC</t>
  </si>
  <si>
    <t>Terminal Value</t>
  </si>
  <si>
    <t>Growth in perpetuity method</t>
  </si>
  <si>
    <t>Long term growth rate</t>
  </si>
  <si>
    <t>Free cash flow(t+1)</t>
  </si>
  <si>
    <t>PV of terminal value</t>
  </si>
  <si>
    <t>Sum of PV of UCFC</t>
  </si>
  <si>
    <t>Changes in Working Capital</t>
  </si>
  <si>
    <t xml:space="preserve">Other Non-cash items (if any) </t>
  </si>
  <si>
    <t>Rf</t>
  </si>
  <si>
    <t>Beta</t>
  </si>
  <si>
    <t>MRP</t>
  </si>
  <si>
    <t>Cost of Equity</t>
  </si>
  <si>
    <t>Cost of Debt</t>
  </si>
  <si>
    <t>Shares Outstanding</t>
  </si>
  <si>
    <t>Valuation Date</t>
  </si>
  <si>
    <t>Share Price on Valuation Date</t>
  </si>
  <si>
    <t>Diluted Shares Outstanding</t>
  </si>
  <si>
    <t>Share Price</t>
  </si>
  <si>
    <t>Tax Rate</t>
  </si>
  <si>
    <t>After tax cost of debt</t>
  </si>
  <si>
    <t>Total Debt</t>
  </si>
  <si>
    <t>Total Equity</t>
  </si>
  <si>
    <t>Total Capital</t>
  </si>
  <si>
    <t>Debt Weighting</t>
  </si>
  <si>
    <t>Equity Weighting</t>
  </si>
  <si>
    <t>A</t>
  </si>
  <si>
    <t>B</t>
  </si>
  <si>
    <t>C</t>
  </si>
  <si>
    <t>*Figures in crore</t>
  </si>
  <si>
    <t>Cash-flow Statement</t>
  </si>
  <si>
    <t>Balance Sheet</t>
  </si>
  <si>
    <t>Live Case</t>
  </si>
  <si>
    <t>Total Current Asset</t>
  </si>
  <si>
    <t>Total Current Liabilities</t>
  </si>
  <si>
    <t>Beta* MRP</t>
  </si>
  <si>
    <t>Operating Working Capital Schedule</t>
  </si>
  <si>
    <t xml:space="preserve">Total Operating Working Capital </t>
  </si>
  <si>
    <t xml:space="preserve">  Profit/(loss) for the year</t>
  </si>
  <si>
    <t xml:space="preserve">  Adjustments for:</t>
  </si>
  <si>
    <t xml:space="preserve">  Depreciation and amortisation expense</t>
  </si>
  <si>
    <t xml:space="preserve">  Tax expenses(net)</t>
  </si>
  <si>
    <t xml:space="preserve">  Other Adjustments</t>
  </si>
  <si>
    <t xml:space="preserve">  Finance cost</t>
  </si>
  <si>
    <t xml:space="preserve">  Other income</t>
  </si>
  <si>
    <t xml:space="preserve">  Trade receivables</t>
  </si>
  <si>
    <t xml:space="preserve">  Inventories</t>
  </si>
  <si>
    <t xml:space="preserve">  Trade payables and acceptances</t>
  </si>
  <si>
    <t xml:space="preserve">  Other assets and liabilities</t>
  </si>
  <si>
    <t xml:space="preserve">  Income taxes paid (net)</t>
  </si>
  <si>
    <t xml:space="preserve">  Capital expenditure</t>
  </si>
  <si>
    <t xml:space="preserve">  Sale of PP&amp;E</t>
  </si>
  <si>
    <t xml:space="preserve">  Investments</t>
  </si>
  <si>
    <t xml:space="preserve">  Others</t>
  </si>
  <si>
    <t xml:space="preserve">  Long term debt</t>
  </si>
  <si>
    <t xml:space="preserve">  Short term debt</t>
  </si>
  <si>
    <t xml:space="preserve">  Repayment of lease</t>
  </si>
  <si>
    <t xml:space="preserve">  Common Equity</t>
  </si>
  <si>
    <t xml:space="preserve"> Interest and Dividend Paid</t>
  </si>
  <si>
    <t>Revenue</t>
  </si>
  <si>
    <t xml:space="preserve">  Revenue from operations</t>
  </si>
  <si>
    <t xml:space="preserve">  Other Income</t>
  </si>
  <si>
    <t xml:space="preserve">    % y-o-y change</t>
  </si>
  <si>
    <t xml:space="preserve">     % y-o-y change</t>
  </si>
  <si>
    <t xml:space="preserve">  % of revenue</t>
  </si>
  <si>
    <t>Operating expenses</t>
  </si>
  <si>
    <t xml:space="preserve">  SG&amp;A</t>
  </si>
  <si>
    <t xml:space="preserve">    % of revenue</t>
  </si>
  <si>
    <t xml:space="preserve">  % y-o-y change</t>
  </si>
  <si>
    <t xml:space="preserve">  EBIT margin (%)</t>
  </si>
  <si>
    <t xml:space="preserve">  Current tax</t>
  </si>
  <si>
    <t xml:space="preserve">  Deferred tax</t>
  </si>
  <si>
    <t xml:space="preserve">  Depericiation and amortisation</t>
  </si>
  <si>
    <t xml:space="preserve">  Finance Cost</t>
  </si>
  <si>
    <t xml:space="preserve">  Exceptional items</t>
  </si>
  <si>
    <t xml:space="preserve">  % of PBT</t>
  </si>
  <si>
    <t xml:space="preserve">  Property, plant and equipment</t>
  </si>
  <si>
    <t xml:space="preserve">  Capital work-in-progress</t>
  </si>
  <si>
    <t xml:space="preserve">  Right of use assets</t>
  </si>
  <si>
    <t xml:space="preserve">  Other intangible assets</t>
  </si>
  <si>
    <t xml:space="preserve">  Investments in subsidiaries, joint ventures and associates</t>
  </si>
  <si>
    <t xml:space="preserve">  Financial assets</t>
  </si>
  <si>
    <t xml:space="preserve">  Non-current tax assets (net)</t>
  </si>
  <si>
    <t xml:space="preserve">  Cash &amp; cash equivalents</t>
  </si>
  <si>
    <t xml:space="preserve">  Trade Receivables</t>
  </si>
  <si>
    <t xml:space="preserve">  Assets classified as held for sale</t>
  </si>
  <si>
    <t xml:space="preserve">  Other current assets</t>
  </si>
  <si>
    <t>Total current assets</t>
  </si>
  <si>
    <t>Total non-current assets</t>
  </si>
  <si>
    <t xml:space="preserve">  Non-Current liabilities</t>
  </si>
  <si>
    <t xml:space="preserve">  Provisions</t>
  </si>
  <si>
    <t xml:space="preserve">  Deffered tax liabilities(net)</t>
  </si>
  <si>
    <t xml:space="preserve">  Other non-current liabilities</t>
  </si>
  <si>
    <t>Total non-current liabilities</t>
  </si>
  <si>
    <t xml:space="preserve">  Financial liabilities</t>
  </si>
  <si>
    <t xml:space="preserve">  Trade Payables &amp; Acceptances</t>
  </si>
  <si>
    <t xml:space="preserve">  Current tax liabilities (net)</t>
  </si>
  <si>
    <t xml:space="preserve">  Other current liabilities</t>
  </si>
  <si>
    <t>Total current liabilities</t>
  </si>
  <si>
    <t>Financial Model of TATA MOTORS</t>
  </si>
  <si>
    <t>Table of content</t>
  </si>
  <si>
    <t>Income Statement</t>
  </si>
  <si>
    <t>Working Capital Schedule</t>
  </si>
  <si>
    <t>DCF Analysis</t>
  </si>
  <si>
    <t>Depreciation Schedule</t>
  </si>
  <si>
    <t xml:space="preserve">Income Statement </t>
  </si>
  <si>
    <t>Discounted Cash-flow Statement</t>
  </si>
  <si>
    <t xml:space="preserve">    Days receivable</t>
  </si>
  <si>
    <t xml:space="preserve">  Other Current assets</t>
  </si>
  <si>
    <t xml:space="preserve">    % of revenues</t>
  </si>
  <si>
    <t xml:space="preserve">  Trade Payables</t>
  </si>
  <si>
    <t xml:space="preserve">    Days Payable</t>
  </si>
  <si>
    <t xml:space="preserve">  Current tax </t>
  </si>
  <si>
    <t xml:space="preserve">Revenue </t>
  </si>
  <si>
    <t xml:space="preserve"> % y-o-y growth</t>
  </si>
  <si>
    <t xml:space="preserve">  Other Current liabilities</t>
  </si>
  <si>
    <t>PP&amp;E (beg. of year)</t>
  </si>
  <si>
    <t>Note:</t>
  </si>
  <si>
    <t xml:space="preserve">This financial model is for educational purpose only and should not be use for any other reason. </t>
  </si>
  <si>
    <t>--</t>
  </si>
  <si>
    <t>Opening balance</t>
  </si>
  <si>
    <t>Closing balance</t>
  </si>
  <si>
    <t>Effect of foreign exchange on cash</t>
  </si>
  <si>
    <t>Check</t>
  </si>
  <si>
    <t xml:space="preserve">EBITDA 2021 </t>
  </si>
  <si>
    <t>Delta Revenue</t>
  </si>
  <si>
    <t>Delta Capex</t>
  </si>
  <si>
    <t>Delta Opex</t>
  </si>
  <si>
    <t>EBITDA 2022</t>
  </si>
  <si>
    <t>EBITDA margin</t>
  </si>
  <si>
    <t>Chart Summary</t>
  </si>
  <si>
    <t>Actual Figures</t>
  </si>
  <si>
    <t>Estimated Figures</t>
  </si>
  <si>
    <t>2019A</t>
  </si>
  <si>
    <t>2020A</t>
  </si>
  <si>
    <t>2021A</t>
  </si>
  <si>
    <t>2022E</t>
  </si>
  <si>
    <t>2023E</t>
  </si>
  <si>
    <t>2024E</t>
  </si>
  <si>
    <t>2025E</t>
  </si>
  <si>
    <t>2026E</t>
  </si>
  <si>
    <t>Cash flow Statement</t>
  </si>
  <si>
    <t xml:space="preserve">Presented by: Amit Kumar
</t>
  </si>
  <si>
    <t>Inputs</t>
  </si>
  <si>
    <t>Charts</t>
  </si>
  <si>
    <t>EPS</t>
  </si>
  <si>
    <t xml:space="preserve">  Basic</t>
  </si>
  <si>
    <t xml:space="preserve">  Diluted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</si>
  <si>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</si>
  <si>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UFCF</t>
  </si>
  <si>
    <t>PV of UFCF</t>
  </si>
  <si>
    <t>SRCC- MBA (1st Year), University of Delhi</t>
  </si>
  <si>
    <t xml:space="preserve">  Goodwill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</si>
</sst>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4"/>
      <color theme="0"/>
      <name val="Calibri"/>
      <family val="2"/>
      <scheme val="minor"/>
    </font>
    <font>
      <b/>
      <sz val="18"/>
      <color theme="0"/>
      <name val="Times New Roman"/>
      <family val="1"/>
    </font>
    <font>
      <b/>
      <sz val="11"/>
      <color theme="4" tint="-0.24997711111789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8"/>
      <color rgb="FF010101"/>
      <name val="Uni_neueregula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86AA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75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2" fontId="0" fillId="0" borderId="0" xfId="0" applyNumberFormat="1"/>
    <xf numFmtId="0" fontId="0" fillId="0" borderId="0" xfId="0" applyNumberFormat="1"/>
    <xf numFmtId="2" fontId="0" fillId="0" borderId="0" xfId="0" applyNumberFormat="1" applyBorder="1" applyAlignment="1"/>
    <xf numFmtId="2" fontId="0" fillId="0" borderId="0" xfId="0" applyNumberFormat="1" applyAlignment="1">
      <alignment horizontal="left"/>
    </xf>
    <xf numFmtId="2" fontId="0" fillId="0" borderId="0" xfId="0" applyNumberFormat="1" applyFill="1"/>
    <xf numFmtId="1" fontId="0" fillId="0" borderId="0" xfId="0" applyNumberFormat="1"/>
    <xf numFmtId="10" fontId="2" fillId="5" borderId="0" xfId="0" applyNumberFormat="1" applyFont="1" applyFill="1" applyAlignment="1">
      <alignment horizontal="center"/>
    </xf>
    <xf numFmtId="2" fontId="2" fillId="5" borderId="0" xfId="0" applyNumberFormat="1" applyFont="1" applyFill="1" applyAlignment="1">
      <alignment horizontal="center"/>
    </xf>
    <xf numFmtId="2" fontId="0" fillId="4" borderId="0" xfId="0" applyNumberFormat="1" applyFill="1"/>
    <xf numFmtId="2" fontId="3" fillId="5" borderId="0" xfId="0" applyNumberFormat="1" applyFont="1" applyFill="1" applyAlignment="1">
      <alignment horizontal="center"/>
    </xf>
    <xf numFmtId="2" fontId="5" fillId="0" borderId="0" xfId="0" applyNumberFormat="1" applyFont="1"/>
    <xf numFmtId="10" fontId="5" fillId="0" borderId="0" xfId="0" applyNumberFormat="1" applyFont="1"/>
    <xf numFmtId="10" fontId="5" fillId="0" borderId="0" xfId="1" applyNumberFormat="1" applyFont="1"/>
    <xf numFmtId="10" fontId="0" fillId="0" borderId="0" xfId="0" applyNumberFormat="1" applyFont="1"/>
    <xf numFmtId="0" fontId="0" fillId="0" borderId="0" xfId="0" applyFont="1"/>
    <xf numFmtId="2" fontId="0" fillId="0" borderId="0" xfId="0" applyNumberFormat="1" applyFont="1"/>
    <xf numFmtId="10" fontId="0" fillId="0" borderId="0" xfId="0" applyNumberFormat="1" applyFont="1" applyBorder="1" applyAlignment="1"/>
    <xf numFmtId="2" fontId="5" fillId="0" borderId="0" xfId="0" applyNumberFormat="1" applyFont="1" applyFill="1"/>
    <xf numFmtId="14" fontId="5" fillId="0" borderId="0" xfId="0" applyNumberFormat="1" applyFont="1"/>
    <xf numFmtId="0" fontId="0" fillId="0" borderId="0" xfId="0" applyBorder="1"/>
    <xf numFmtId="1" fontId="5" fillId="0" borderId="0" xfId="0" applyNumberFormat="1" applyFont="1"/>
    <xf numFmtId="1" fontId="0" fillId="4" borderId="0" xfId="0" applyNumberFormat="1" applyFill="1"/>
    <xf numFmtId="10" fontId="0" fillId="4" borderId="0" xfId="1" applyNumberFormat="1" applyFont="1" applyFill="1"/>
    <xf numFmtId="0" fontId="0" fillId="0" borderId="0" xfId="0" applyFill="1" applyBorder="1" applyAlignment="1"/>
    <xf numFmtId="2" fontId="6" fillId="0" borderId="0" xfId="0" applyNumberFormat="1" applyFont="1"/>
    <xf numFmtId="2" fontId="6" fillId="0" borderId="0" xfId="0" applyNumberFormat="1" applyFont="1" applyBorder="1"/>
    <xf numFmtId="2" fontId="10" fillId="0" borderId="0" xfId="0" applyNumberFormat="1" applyFont="1"/>
    <xf numFmtId="2" fontId="6" fillId="4" borderId="0" xfId="0" applyNumberFormat="1" applyFont="1" applyFill="1"/>
    <xf numFmtId="10" fontId="6" fillId="0" borderId="0" xfId="0" applyNumberFormat="1" applyFont="1"/>
    <xf numFmtId="10" fontId="6" fillId="0" borderId="0" xfId="1" applyNumberFormat="1" applyFont="1"/>
    <xf numFmtId="10" fontId="6" fillId="3" borderId="0" xfId="1" applyNumberFormat="1" applyFont="1" applyFill="1" applyAlignment="1">
      <alignment horizontal="right" vertical="center"/>
    </xf>
    <xf numFmtId="0" fontId="6" fillId="0" borderId="0" xfId="0" applyFont="1"/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/>
    <xf numFmtId="0" fontId="11" fillId="0" borderId="0" xfId="2" applyFont="1" applyBorder="1"/>
    <xf numFmtId="10" fontId="5" fillId="0" borderId="0" xfId="0" quotePrefix="1" applyNumberFormat="1" applyFont="1"/>
    <xf numFmtId="2" fontId="5" fillId="0" borderId="0" xfId="0" quotePrefix="1" applyNumberFormat="1" applyFont="1"/>
    <xf numFmtId="10" fontId="5" fillId="0" borderId="0" xfId="1" quotePrefix="1" applyNumberFormat="1" applyFont="1"/>
    <xf numFmtId="2" fontId="6" fillId="0" borderId="0" xfId="0" quotePrefix="1" applyNumberFormat="1" applyFont="1" applyAlignment="1">
      <alignment horizontal="center"/>
    </xf>
    <xf numFmtId="10" fontId="6" fillId="0" borderId="0" xfId="0" quotePrefix="1" applyNumberFormat="1" applyFont="1" applyAlignment="1">
      <alignment horizontal="center"/>
    </xf>
    <xf numFmtId="2" fontId="6" fillId="0" borderId="0" xfId="0" quotePrefix="1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11" fillId="0" borderId="0" xfId="2" quotePrefix="1" applyFont="1" applyFill="1"/>
    <xf numFmtId="0" fontId="12" fillId="0" borderId="0" xfId="0" applyFont="1"/>
    <xf numFmtId="0" fontId="0" fillId="0" borderId="0" xfId="0" applyFill="1" applyBorder="1"/>
    <xf numFmtId="0" fontId="6" fillId="0" borderId="0" xfId="0" applyFont="1" applyBorder="1"/>
    <xf numFmtId="0" fontId="6" fillId="0" borderId="0" xfId="0" applyFont="1" applyBorder="1" applyAlignment="1"/>
    <xf numFmtId="0" fontId="0" fillId="0" borderId="0" xfId="0" applyFont="1" applyBorder="1"/>
    <xf numFmtId="0" fontId="2" fillId="6" borderId="0" xfId="0" applyFont="1" applyFill="1" applyAlignment="1" applyProtection="1">
      <alignment horizontal="center"/>
      <protection locked="0"/>
    </xf>
    <xf numFmtId="0" fontId="0" fillId="4" borderId="0" xfId="0" applyFill="1" applyProtection="1"/>
    <xf numFmtId="0" fontId="0" fillId="0" borderId="0" xfId="0" applyProtection="1"/>
    <xf numFmtId="0" fontId="6" fillId="3" borderId="1" xfId="0" applyFont="1" applyFill="1" applyBorder="1" applyAlignment="1" applyProtection="1">
      <alignment horizontal="center"/>
    </xf>
    <xf numFmtId="0" fontId="6" fillId="3" borderId="1" xfId="0" applyFont="1" applyFill="1" applyBorder="1" applyProtection="1"/>
    <xf numFmtId="10" fontId="14" fillId="0" borderId="0" xfId="0" applyNumberFormat="1" applyFont="1"/>
    <xf numFmtId="10" fontId="15" fillId="0" borderId="0" xfId="0" applyNumberFormat="1" applyFont="1"/>
    <xf numFmtId="0" fontId="8" fillId="2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2" fillId="2" borderId="0" xfId="0" applyFont="1" applyFill="1" applyAlignment="1">
      <alignment horizontal="center"/>
    </xf>
    <xf numFmtId="0" fontId="9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0" fontId="9" fillId="2" borderId="0" xfId="0" applyNumberFormat="1" applyFont="1" applyFill="1" applyAlignment="1">
      <alignment horizontal="left"/>
    </xf>
    <xf numFmtId="10" fontId="13" fillId="2" borderId="0" xfId="0" applyNumberFormat="1" applyFont="1" applyFill="1" applyAlignment="1">
      <alignment horizontal="left"/>
    </xf>
    <xf numFmtId="2" fontId="9" fillId="2" borderId="0" xfId="0" applyNumberFormat="1" applyFont="1" applyFill="1" applyAlignment="1">
      <alignment horizontal="left"/>
    </xf>
    <xf numFmtId="2" fontId="2" fillId="2" borderId="0" xfId="0" applyNumberFormat="1" applyFont="1" applyFill="1" applyAlignment="1">
      <alignment horizontal="left"/>
    </xf>
    <xf numFmtId="2" fontId="0" fillId="3" borderId="2" xfId="0" applyNumberFormat="1" applyFill="1" applyBorder="1" applyAlignment="1">
      <alignment horizontal="left"/>
    </xf>
    <xf numFmtId="2" fontId="0" fillId="3" borderId="3" xfId="0" applyNumberFormat="1" applyFill="1" applyBorder="1" applyAlignment="1">
      <alignment horizontal="left"/>
    </xf>
    <xf numFmtId="2" fontId="0" fillId="3" borderId="4" xfId="0" applyNumberFormat="1" applyFill="1" applyBorder="1" applyAlignment="1">
      <alignment horizontal="left"/>
    </xf>
    <xf numFmtId="2" fontId="7" fillId="2" borderId="0" xfId="0" applyNumberFormat="1" applyFont="1" applyFill="1" applyAlignment="1">
      <alignment horizontal="left"/>
    </xf>
    <xf numFmtId="2" fontId="0" fillId="2" borderId="0" xfId="0" applyNumberFormat="1" applyFill="1" applyAlignment="1">
      <alignment horizontal="left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14ECBE"/>
      <color rgb="FFC589CD"/>
      <color rgb="FFFF9999"/>
      <color rgb="FF486A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Revenue &amp; EBITDA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'Income Statement'!$A$7</c:f>
              <c:strCache>
                <c:ptCount val="1"/>
                <c:pt idx="0">
                  <c:v>  Revenue from operations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14ECB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043-42DC-9332-564018B53480}"/>
              </c:ext>
            </c:extLst>
          </c:dPt>
          <c:dPt>
            <c:idx val="1"/>
            <c:invertIfNegative val="0"/>
            <c:bubble3D val="0"/>
            <c:spPr>
              <a:solidFill>
                <a:srgbClr val="14ECB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043-42DC-9332-564018B53480}"/>
              </c:ext>
            </c:extLst>
          </c:dPt>
          <c:dPt>
            <c:idx val="2"/>
            <c:invertIfNegative val="0"/>
            <c:bubble3D val="0"/>
            <c:spPr>
              <a:solidFill>
                <a:srgbClr val="14ECB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043-42DC-9332-564018B53480}"/>
              </c:ext>
            </c:extLst>
          </c:dPt>
          <c:dPt>
            <c:idx val="4"/>
            <c:invertIfNegative val="0"/>
            <c:bubble3D val="0"/>
            <c:spPr>
              <a:solidFill>
                <a:srgbClr val="C589C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043-42DC-9332-564018B53480}"/>
              </c:ext>
            </c:extLst>
          </c:dPt>
          <c:dPt>
            <c:idx val="5"/>
            <c:invertIfNegative val="0"/>
            <c:bubble3D val="0"/>
            <c:spPr>
              <a:solidFill>
                <a:srgbClr val="C589C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043-42DC-9332-564018B53480}"/>
              </c:ext>
            </c:extLst>
          </c:dPt>
          <c:dPt>
            <c:idx val="6"/>
            <c:invertIfNegative val="0"/>
            <c:bubble3D val="0"/>
            <c:spPr>
              <a:solidFill>
                <a:srgbClr val="C589C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043-42DC-9332-564018B53480}"/>
              </c:ext>
            </c:extLst>
          </c:dPt>
          <c:dPt>
            <c:idx val="7"/>
            <c:invertIfNegative val="0"/>
            <c:bubble3D val="0"/>
            <c:spPr>
              <a:solidFill>
                <a:srgbClr val="C589C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043-42DC-9332-564018B53480}"/>
              </c:ext>
            </c:extLst>
          </c:dPt>
          <c:dPt>
            <c:idx val="8"/>
            <c:invertIfNegative val="0"/>
            <c:bubble3D val="0"/>
            <c:spPr>
              <a:solidFill>
                <a:srgbClr val="C589C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3043-42DC-9332-564018B53480}"/>
              </c:ext>
            </c:extLst>
          </c:dPt>
          <c:cat>
            <c:strRef>
              <c:f>'Cash flow Statement'!$D$5:$L$5</c:f>
              <c:strCache>
                <c:ptCount val="9"/>
                <c:pt idx="0">
                  <c:v>2019A</c:v>
                </c:pt>
                <c:pt idx="1">
                  <c:v>2020A</c:v>
                </c:pt>
                <c:pt idx="2">
                  <c:v>2021A</c:v>
                </c:pt>
                <c:pt idx="4">
                  <c:v>2022E</c:v>
                </c:pt>
                <c:pt idx="5">
                  <c:v>2023E</c:v>
                </c:pt>
                <c:pt idx="6">
                  <c:v>2024E</c:v>
                </c:pt>
                <c:pt idx="7">
                  <c:v>2025E</c:v>
                </c:pt>
                <c:pt idx="8">
                  <c:v>2026E</c:v>
                </c:pt>
              </c:strCache>
            </c:strRef>
          </c:cat>
          <c:val>
            <c:numRef>
              <c:f>'Income Statement'!$D$7:$L$7</c:f>
              <c:numCache>
                <c:formatCode>0.00</c:formatCode>
                <c:ptCount val="9"/>
                <c:pt idx="0">
                  <c:v>69202.759999999995</c:v>
                </c:pt>
                <c:pt idx="1">
                  <c:v>43928.17</c:v>
                </c:pt>
                <c:pt idx="2">
                  <c:v>47031.47</c:v>
                </c:pt>
                <c:pt idx="4">
                  <c:v>51018.508682039348</c:v>
                </c:pt>
                <c:pt idx="5">
                  <c:v>55343.543974690227</c:v>
                </c:pt>
                <c:pt idx="6">
                  <c:v>60035.229151195141</c:v>
                </c:pt>
                <c:pt idx="7">
                  <c:v>65124.646533022904</c:v>
                </c:pt>
                <c:pt idx="8">
                  <c:v>70645.513409633437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DF-4900-8B2A-997CBE2EA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overlap val="-27"/>
        <c:axId val="923339744"/>
        <c:axId val="923333504"/>
      </c:barChart>
      <c:lineChart>
        <c:grouping val="standard"/>
        <c:varyColors val="0"/>
        <c:ser>
          <c:idx val="2"/>
          <c:order val="1"/>
          <c:tx>
            <c:strRef>
              <c:f>Charts!$U$11</c:f>
              <c:strCache>
                <c:ptCount val="1"/>
                <c:pt idx="0">
                  <c:v>EBITDA margin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Sheet3!#REF!</c:f>
            </c:multiLvlStrRef>
          </c:cat>
          <c:val>
            <c:numRef>
              <c:f>Charts!$V$11:$AD$11</c:f>
              <c:numCache>
                <c:formatCode>0.00%</c:formatCode>
                <c:ptCount val="9"/>
                <c:pt idx="0">
                  <c:v>0.10829351314889753</c:v>
                </c:pt>
                <c:pt idx="1">
                  <c:v>1.6652293387748825E-2</c:v>
                </c:pt>
                <c:pt idx="2">
                  <c:v>4.9659741549077818E-2</c:v>
                </c:pt>
                <c:pt idx="4">
                  <c:v>0.23479710265108947</c:v>
                </c:pt>
                <c:pt idx="5">
                  <c:v>0.23135242752565752</c:v>
                </c:pt>
                <c:pt idx="6">
                  <c:v>0.22916895460056258</c:v>
                </c:pt>
                <c:pt idx="7">
                  <c:v>0.22778490978898638</c:v>
                </c:pt>
                <c:pt idx="8">
                  <c:v>0.22690759275470557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DF-4900-8B2A-997CBE2EA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463455"/>
        <c:axId val="439468863"/>
      </c:lineChart>
      <c:catAx>
        <c:axId val="923339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333504"/>
        <c:crosses val="autoZero"/>
        <c:auto val="1"/>
        <c:lblAlgn val="ctr"/>
        <c:lblOffset val="100"/>
        <c:noMultiLvlLbl val="0"/>
      </c:catAx>
      <c:valAx>
        <c:axId val="92333350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339744"/>
        <c:crosses val="autoZero"/>
        <c:crossBetween val="between"/>
      </c:valAx>
      <c:valAx>
        <c:axId val="439468863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463455"/>
        <c:crosses val="max"/>
        <c:crossBetween val="between"/>
      </c:valAx>
      <c:catAx>
        <c:axId val="439463455"/>
        <c:scaling>
          <c:orientation val="minMax"/>
        </c:scaling>
        <c:delete val="1"/>
        <c:axPos val="b"/>
        <c:majorTickMark val="out"/>
        <c:minorTickMark val="none"/>
        <c:tickLblPos val="nextTo"/>
        <c:crossAx val="4394688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1">
        <a:lumMod val="60000"/>
        <a:lumOff val="4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DCF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'DCF Analysis'!$A$17</c:f>
              <c:strCache>
                <c:ptCount val="1"/>
                <c:pt idx="0">
                  <c:v>UFCF</c:v>
                </c:pt>
              </c:strCache>
            </c:strRef>
          </c:tx>
          <c:spPr>
            <a:solidFill>
              <a:srgbClr val="14ECBE"/>
            </a:solidFill>
            <a:ln>
              <a:noFill/>
            </a:ln>
            <a:effectLst/>
          </c:spPr>
          <c:cat>
            <c:strRef>
              <c:f>'DCF Analysis'!$H$8:$L$8</c:f>
              <c:strCache>
                <c:ptCount val="5"/>
                <c:pt idx="0">
                  <c:v>2022E</c:v>
                </c:pt>
                <c:pt idx="1">
                  <c:v>2023E</c:v>
                </c:pt>
                <c:pt idx="2">
                  <c:v>2024E</c:v>
                </c:pt>
                <c:pt idx="3">
                  <c:v>2025E</c:v>
                </c:pt>
                <c:pt idx="4">
                  <c:v>2026E</c:v>
                </c:pt>
              </c:strCache>
            </c:strRef>
          </c:cat>
          <c:val>
            <c:numRef>
              <c:f>'DCF Analysis'!$H$17:$L$17</c:f>
              <c:numCache>
                <c:formatCode>0.00</c:formatCode>
                <c:ptCount val="5"/>
                <c:pt idx="0">
                  <c:v>14285.356439447516</c:v>
                </c:pt>
                <c:pt idx="1">
                  <c:v>21169.255235039444</c:v>
                </c:pt>
                <c:pt idx="2">
                  <c:v>22535.061461364901</c:v>
                </c:pt>
                <c:pt idx="3">
                  <c:v>24088.028072893394</c:v>
                </c:pt>
                <c:pt idx="4">
                  <c:v>25821.723225183032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3D-482B-B973-CCD7E5E1A549}"/>
            </c:ext>
          </c:extLst>
        </c:ser>
        <c:ser>
          <c:idx val="2"/>
          <c:order val="1"/>
          <c:tx>
            <c:strRef>
              <c:f>'DCF Analysis'!$A$19</c:f>
              <c:strCache>
                <c:ptCount val="1"/>
                <c:pt idx="0">
                  <c:v>PV of UFCF</c:v>
                </c:pt>
              </c:strCache>
            </c:strRef>
          </c:tx>
          <c:spPr>
            <a:solidFill>
              <a:srgbClr val="C589CD"/>
            </a:solidFill>
            <a:ln>
              <a:noFill/>
            </a:ln>
            <a:effectLst/>
          </c:spPr>
          <c:cat>
            <c:strRef>
              <c:f>'DCF Analysis'!$H$8:$L$8</c:f>
              <c:strCache>
                <c:ptCount val="5"/>
                <c:pt idx="0">
                  <c:v>2022E</c:v>
                </c:pt>
                <c:pt idx="1">
                  <c:v>2023E</c:v>
                </c:pt>
                <c:pt idx="2">
                  <c:v>2024E</c:v>
                </c:pt>
                <c:pt idx="3">
                  <c:v>2025E</c:v>
                </c:pt>
                <c:pt idx="4">
                  <c:v>2026E</c:v>
                </c:pt>
              </c:strCache>
            </c:strRef>
          </c:cat>
          <c:val>
            <c:numRef>
              <c:f>'DCF Analysis'!$H$19:$L$19</c:f>
              <c:numCache>
                <c:formatCode>0.00</c:formatCode>
                <c:ptCount val="5"/>
                <c:pt idx="0">
                  <c:v>12601.138168360476</c:v>
                </c:pt>
                <c:pt idx="1">
                  <c:v>16471.872198134432</c:v>
                </c:pt>
                <c:pt idx="2">
                  <c:v>15467.311221068552</c:v>
                </c:pt>
                <c:pt idx="3">
                  <c:v>14583.978598170812</c:v>
                </c:pt>
                <c:pt idx="4">
                  <c:v>13790.45780694846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3D-482B-B973-CCD7E5E1A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3310208"/>
        <c:axId val="923323104"/>
      </c:areaChart>
      <c:catAx>
        <c:axId val="923310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323104"/>
        <c:crosses val="autoZero"/>
        <c:auto val="1"/>
        <c:lblAlgn val="ctr"/>
        <c:lblOffset val="100"/>
        <c:noMultiLvlLbl val="0"/>
      </c:catAx>
      <c:valAx>
        <c:axId val="92332310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310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60000"/>
        <a:lumOff val="4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 sz="1400" b="0"/>
              <a:t>Cash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Operating activities</c:v>
          </c:tx>
          <c:spPr>
            <a:solidFill>
              <a:srgbClr val="C589CD"/>
            </a:solidFill>
            <a:ln>
              <a:noFill/>
            </a:ln>
            <a:effectLst/>
          </c:spPr>
          <c:cat>
            <c:strRef>
              <c:f>'Cash flow Statement'!$D$5:$L$5</c:f>
              <c:strCache>
                <c:ptCount val="9"/>
                <c:pt idx="0">
                  <c:v>2019A</c:v>
                </c:pt>
                <c:pt idx="1">
                  <c:v>2020A</c:v>
                </c:pt>
                <c:pt idx="2">
                  <c:v>2021A</c:v>
                </c:pt>
                <c:pt idx="4">
                  <c:v>2022E</c:v>
                </c:pt>
                <c:pt idx="5">
                  <c:v>2023E</c:v>
                </c:pt>
                <c:pt idx="6">
                  <c:v>2024E</c:v>
                </c:pt>
                <c:pt idx="7">
                  <c:v>2025E</c:v>
                </c:pt>
                <c:pt idx="8">
                  <c:v>2026E</c:v>
                </c:pt>
              </c:strCache>
            </c:strRef>
          </c:cat>
          <c:val>
            <c:numRef>
              <c:f>'Cash flow Statement'!$D$23:$L$23</c:f>
              <c:numCache>
                <c:formatCode>0.00</c:formatCode>
                <c:ptCount val="9"/>
                <c:pt idx="0">
                  <c:v>6292.6299999999992</c:v>
                </c:pt>
                <c:pt idx="1">
                  <c:v>-1454.59</c:v>
                </c:pt>
                <c:pt idx="2">
                  <c:v>6680.32</c:v>
                </c:pt>
                <c:pt idx="4">
                  <c:v>10114.783475903954</c:v>
                </c:pt>
                <c:pt idx="5">
                  <c:v>16704.477583916872</c:v>
                </c:pt>
                <c:pt idx="6">
                  <c:v>17709.44959692558</c:v>
                </c:pt>
                <c:pt idx="7">
                  <c:v>18842.327782653159</c:v>
                </c:pt>
                <c:pt idx="8">
                  <c:v>20100.61215506764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4A-4A23-B8E4-512D6D245DEF}"/>
            </c:ext>
          </c:extLst>
        </c:ser>
        <c:ser>
          <c:idx val="1"/>
          <c:order val="1"/>
          <c:tx>
            <c:v>Investing activities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cat>
            <c:strRef>
              <c:f>'Cash flow Statement'!$D$5:$L$5</c:f>
              <c:strCache>
                <c:ptCount val="9"/>
                <c:pt idx="0">
                  <c:v>2019A</c:v>
                </c:pt>
                <c:pt idx="1">
                  <c:v>2020A</c:v>
                </c:pt>
                <c:pt idx="2">
                  <c:v>2021A</c:v>
                </c:pt>
                <c:pt idx="4">
                  <c:v>2022E</c:v>
                </c:pt>
                <c:pt idx="5">
                  <c:v>2023E</c:v>
                </c:pt>
                <c:pt idx="6">
                  <c:v>2024E</c:v>
                </c:pt>
                <c:pt idx="7">
                  <c:v>2025E</c:v>
                </c:pt>
                <c:pt idx="8">
                  <c:v>2026E</c:v>
                </c:pt>
              </c:strCache>
            </c:strRef>
          </c:cat>
          <c:val>
            <c:numRef>
              <c:f>'Cash flow Statement'!$D$31:$L$31</c:f>
              <c:numCache>
                <c:formatCode>0.00</c:formatCode>
                <c:ptCount val="9"/>
                <c:pt idx="0">
                  <c:v>-3820.480877323389</c:v>
                </c:pt>
                <c:pt idx="1">
                  <c:v>-4718.7737224109269</c:v>
                </c:pt>
                <c:pt idx="2">
                  <c:v>-2991.2805306829659</c:v>
                </c:pt>
                <c:pt idx="4">
                  <c:v>-4065.0978232508951</c:v>
                </c:pt>
                <c:pt idx="5">
                  <c:v>-4524.7521468105615</c:v>
                </c:pt>
                <c:pt idx="6">
                  <c:v>-5023.3731360602233</c:v>
                </c:pt>
                <c:pt idx="7">
                  <c:v>-5564.2641451883846</c:v>
                </c:pt>
                <c:pt idx="8">
                  <c:v>-6151.0085664289327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4A-4A23-B8E4-512D6D245DEF}"/>
            </c:ext>
          </c:extLst>
        </c:ser>
        <c:ser>
          <c:idx val="2"/>
          <c:order val="2"/>
          <c:tx>
            <c:v>Financing activities</c:v>
          </c:tx>
          <c:spPr>
            <a:solidFill>
              <a:srgbClr val="14ECBE"/>
            </a:solidFill>
            <a:ln>
              <a:solidFill>
                <a:schemeClr val="accent1"/>
              </a:solidFill>
            </a:ln>
            <a:effectLst>
              <a:outerShdw sx="1000" sy="1000" algn="ctr" rotWithShape="0">
                <a:srgbClr val="000000"/>
              </a:outerShdw>
            </a:effectLst>
          </c:spPr>
          <c:cat>
            <c:strRef>
              <c:f>'Cash flow Statement'!$D$5:$L$5</c:f>
              <c:strCache>
                <c:ptCount val="9"/>
                <c:pt idx="0">
                  <c:v>2019A</c:v>
                </c:pt>
                <c:pt idx="1">
                  <c:v>2020A</c:v>
                </c:pt>
                <c:pt idx="2">
                  <c:v>2021A</c:v>
                </c:pt>
                <c:pt idx="4">
                  <c:v>2022E</c:v>
                </c:pt>
                <c:pt idx="5">
                  <c:v>2023E</c:v>
                </c:pt>
                <c:pt idx="6">
                  <c:v>2024E</c:v>
                </c:pt>
                <c:pt idx="7">
                  <c:v>2025E</c:v>
                </c:pt>
                <c:pt idx="8">
                  <c:v>2026E</c:v>
                </c:pt>
              </c:strCache>
            </c:strRef>
          </c:cat>
          <c:val>
            <c:numRef>
              <c:f>'Cash flow Statement'!$D$39:$L$39</c:f>
              <c:numCache>
                <c:formatCode>0.00</c:formatCode>
                <c:ptCount val="9"/>
                <c:pt idx="0">
                  <c:v>-2529.6999999999998</c:v>
                </c:pt>
                <c:pt idx="1">
                  <c:v>7749.2099999999991</c:v>
                </c:pt>
                <c:pt idx="2">
                  <c:v>-3471.91</c:v>
                </c:pt>
                <c:pt idx="4">
                  <c:v>1615.6100000000001</c:v>
                </c:pt>
                <c:pt idx="5">
                  <c:v>1615.6100000000001</c:v>
                </c:pt>
                <c:pt idx="6">
                  <c:v>1615.6100000000001</c:v>
                </c:pt>
                <c:pt idx="7">
                  <c:v>1615.6100000000001</c:v>
                </c:pt>
                <c:pt idx="8">
                  <c:v>1615.6100000000001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4A-4A23-B8E4-512D6D245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28975"/>
        <c:axId val="46517743"/>
      </c:areaChart>
      <c:catAx>
        <c:axId val="465289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17743"/>
        <c:crosses val="autoZero"/>
        <c:auto val="1"/>
        <c:lblAlgn val="ctr"/>
        <c:lblOffset val="100"/>
        <c:noMultiLvlLbl val="0"/>
      </c:catAx>
      <c:valAx>
        <c:axId val="46517743"/>
        <c:scaling>
          <c:orientation val="minMax"/>
          <c:max val="20000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28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60000"/>
        <a:lumOff val="40000"/>
      </a:schemeClr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EBITDA bridge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EBITDA bridge</a:t>
          </a:r>
        </a:p>
      </cx:txPr>
    </cx:title>
    <cx:plotArea>
      <cx:plotAreaRegion>
        <cx:series layoutId="waterfall" uniqueId="{36AE200B-E635-49B3-B113-02C4CA8086FA}">
          <cx:dataPt idx="0">
            <cx:spPr>
              <a:solidFill>
                <a:srgbClr val="C589CD"/>
              </a:solidFill>
            </cx:spPr>
          </cx:dataPt>
          <cx:dataPt idx="1">
            <cx:spPr>
              <a:solidFill>
                <a:srgbClr val="14ECBE"/>
              </a:solidFill>
            </cx:spPr>
          </cx:dataPt>
          <cx:dataPt idx="4">
            <cx:spPr>
              <a:solidFill>
                <a:srgbClr val="C589CD"/>
              </a:solidFill>
            </cx:spPr>
          </cx:dataPt>
          <cx:dataLabels pos="ctr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majorGridlines/>
        <cx:tickLabels/>
      </cx:axis>
      <cx:axis id="1" hidden="1">
        <cx:valScaling max="12000" min="0"/>
        <cx:tickLabels/>
      </cx:axis>
    </cx:plotArea>
  </cx:chart>
  <cx:spPr>
    <a:solidFill>
      <a:schemeClr val="accent1">
        <a:lumMod val="60000"/>
        <a:lumOff val="40000"/>
      </a:schemeClr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40000"/>
            <a:lumOff val="60000"/>
          </a:schemeClr>
        </a:solidFill>
        <a:round/>
      </a:ln>
    </cs:spPr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20434</xdr:colOff>
      <xdr:row>2</xdr:row>
      <xdr:rowOff>1</xdr:rowOff>
    </xdr:from>
    <xdr:to>
      <xdr:col>4</xdr:col>
      <xdr:colOff>427936</xdr:colOff>
      <xdr:row>9</xdr:row>
      <xdr:rowOff>139700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1231297-E621-48C3-AA8C-1DFEB4CB6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034" y="368301"/>
          <a:ext cx="2236302" cy="14287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12700</xdr:colOff>
      <xdr:row>3</xdr:row>
      <xdr:rowOff>50800</xdr:rowOff>
    </xdr:from>
    <xdr:to>
      <xdr:col>17</xdr:col>
      <xdr:colOff>438150</xdr:colOff>
      <xdr:row>12</xdr:row>
      <xdr:rowOff>209550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A4B44E9-6F8A-492E-8D6C-98EB160B6A85}"/>
            </a:ext>
          </a:extLst>
        </xdr:cNvPr>
        <xdr:cNvSpPr txBox="1"/>
      </xdr:nvSpPr>
      <xdr:spPr>
        <a:xfrm>
          <a:off x="6718300" y="603250"/>
          <a:ext cx="4083050" cy="1816100"/>
        </a:xfrm>
        <a:prstGeom prst="rect">
          <a:avLst/>
        </a:prstGeom>
        <a:solidFill>
          <a:srgbClr val="486AA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>
              <a:solidFill>
                <a:schemeClr val="bg1"/>
              </a:solidFill>
            </a:rPr>
            <a:t>Tata Motors Limited (TML) is one of India’s biggest automobile manufacturing companies with an extensive range of integrated, smart and e-mobility solutions in its portfolio. The Tata Motors Group, part of the multi-national conglomerate</a:t>
          </a:r>
          <a:r>
            <a:rPr lang="en-IN" sz="1200" baseline="0">
              <a:solidFill>
                <a:schemeClr val="bg1"/>
              </a:solidFill>
            </a:rPr>
            <a:t> </a:t>
          </a:r>
          <a:r>
            <a:rPr lang="en-IN" sz="1200">
              <a:solidFill>
                <a:schemeClr val="bg1"/>
              </a:solidFill>
            </a:rPr>
            <a:t>the Tata Group, have operations in India, the UK, South Korea, South Africa, China, Brazil, Austria and Slovakia through a strong global network of subsidiaries, associate companies and Joint Ventures (JVs), including Jaguar Land Rover in the UK and Tata Daewoo in South Korea.</a:t>
          </a:r>
        </a:p>
      </xdr:txBody>
    </xdr:sp>
    <xdr:clientData/>
  </xdr:twoCellAnchor>
  <xdr:twoCellAnchor>
    <xdr:from>
      <xdr:col>11</xdr:col>
      <xdr:colOff>19050</xdr:colOff>
      <xdr:row>14</xdr:row>
      <xdr:rowOff>19050</xdr:rowOff>
    </xdr:from>
    <xdr:to>
      <xdr:col>17</xdr:col>
      <xdr:colOff>431800</xdr:colOff>
      <xdr:row>22</xdr:row>
      <xdr:rowOff>114300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8DEF7D9-31FB-44FD-8D2C-EF5D35254A89}"/>
            </a:ext>
          </a:extLst>
        </xdr:cNvPr>
        <xdr:cNvSpPr/>
      </xdr:nvSpPr>
      <xdr:spPr>
        <a:xfrm>
          <a:off x="6724650" y="2698750"/>
          <a:ext cx="4070350" cy="17081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tx1"/>
              </a:solidFill>
            </a:rPr>
            <a:t>Mission:</a:t>
          </a:r>
          <a:r>
            <a:rPr lang="en-IN" sz="1100" b="1">
              <a:solidFill>
                <a:schemeClr val="tx1"/>
              </a:solidFill>
            </a:rPr>
            <a:t> </a:t>
          </a:r>
          <a:r>
            <a:rPr lang="en-IN" sz="1100">
              <a:solidFill>
                <a:schemeClr val="tx1"/>
              </a:solidFill>
            </a:rPr>
            <a:t>To innovate mobility solution with passion to enhance quality of life. </a:t>
          </a:r>
        </a:p>
        <a:p>
          <a:pPr algn="l"/>
          <a:endParaRPr lang="en-IN" sz="1100">
            <a:solidFill>
              <a:schemeClr val="tx1"/>
            </a:solidFill>
          </a:endParaRPr>
        </a:p>
        <a:p>
          <a:pPr algn="l"/>
          <a:r>
            <a:rPr lang="en-IN" sz="1200" b="1">
              <a:solidFill>
                <a:schemeClr val="tx1"/>
              </a:solidFill>
            </a:rPr>
            <a:t>Vision:</a:t>
          </a:r>
          <a:r>
            <a:rPr lang="en-IN" sz="1100" b="1">
              <a:solidFill>
                <a:schemeClr val="tx1"/>
              </a:solidFill>
            </a:rPr>
            <a:t> </a:t>
          </a:r>
          <a:r>
            <a:rPr lang="en-IN" sz="1100">
              <a:solidFill>
                <a:schemeClr val="tx1"/>
              </a:solidFill>
            </a:rPr>
            <a:t>By FY 2024, to become the most aspirational Indian</a:t>
          </a:r>
          <a:r>
            <a:rPr lang="en-IN" sz="1100" baseline="0">
              <a:solidFill>
                <a:schemeClr val="tx1"/>
              </a:solidFill>
            </a:rPr>
            <a:t> auto brand, consistently winning, by </a:t>
          </a:r>
        </a:p>
        <a:p>
          <a:pPr algn="l"/>
          <a:r>
            <a:rPr lang="en-IN" sz="1100" baseline="0">
              <a:solidFill>
                <a:schemeClr val="tx1"/>
              </a:solidFill>
            </a:rPr>
            <a:t>- Deliviering superior financial returns</a:t>
          </a:r>
        </a:p>
        <a:p>
          <a:pPr algn="l"/>
          <a:r>
            <a:rPr lang="en-IN" sz="1100" baseline="0">
              <a:solidFill>
                <a:schemeClr val="tx1"/>
              </a:solidFill>
            </a:rPr>
            <a:t>- Driving sustainable mobility solutions</a:t>
          </a:r>
        </a:p>
        <a:p>
          <a:pPr algn="l"/>
          <a:r>
            <a:rPr lang="en-IN" sz="1100" baseline="0">
              <a:solidFill>
                <a:schemeClr val="tx1"/>
              </a:solidFill>
            </a:rPr>
            <a:t>- Exceeding customer expectations, and </a:t>
          </a:r>
        </a:p>
        <a:p>
          <a:pPr algn="l"/>
          <a:r>
            <a:rPr lang="en-IN" sz="1100" baseline="0">
              <a:solidFill>
                <a:schemeClr val="tx1"/>
              </a:solidFill>
            </a:rPr>
            <a:t>- Creating a highly engaged workforce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2</xdr:row>
      <xdr:rowOff>19050</xdr:rowOff>
    </xdr:from>
    <xdr:to>
      <xdr:col>19</xdr:col>
      <xdr:colOff>88900</xdr:colOff>
      <xdr:row>27</xdr:row>
      <xdr:rowOff>95250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BB04E73-8FF8-47FF-9E87-57CCFEA86D2D}"/>
            </a:ext>
          </a:extLst>
        </xdr:cNvPr>
        <xdr:cNvGrpSpPr/>
      </xdr:nvGrpSpPr>
      <xdr:grpSpPr>
        <a:xfrm>
          <a:off x="101600" y="488950"/>
          <a:ext cx="11601450" cy="4679950"/>
          <a:chOff x="101600" y="476250"/>
          <a:chExt cx="11601450" cy="5270499"/>
        </a:xfrm>
        <a:solidFill>
          <a:srgbClr val="486AAE">
            <a:alpha val="76000"/>
          </a:srgbClr>
        </a:solidFill>
      </xdr:grpSpPr>
      <xdr:sp macro="" textlink="">
        <xdr:nvSpPr>
          <xdr:cNvPr id="6" name="Freeform: Shape 5">
            <a:extLst>
              <a:ext uri="{FF2B5EF4-FFF2-40B4-BE49-F238E27FC236}">
                <a16:creationId xmlns:a16="http://schemas.microsoft.com/office/drawing/2014/main" id="{2AB7C46C-9DDC-499F-9C08-B59E5CABCAD1}"/>
              </a:ext>
            </a:extLst>
          </xdr:cNvPr>
          <xdr:cNvSpPr/>
        </xdr:nvSpPr>
        <xdr:spPr>
          <a:xfrm>
            <a:off x="101600" y="476250"/>
            <a:ext cx="11601450" cy="5270499"/>
          </a:xfrm>
          <a:custGeom>
            <a:avLst/>
            <a:gdLst>
              <a:gd name="connsiteX0" fmla="*/ 0 w 11995354"/>
              <a:gd name="connsiteY0" fmla="*/ 3252019 h 6449961"/>
              <a:gd name="connsiteX1" fmla="*/ 5948516 w 11995354"/>
              <a:gd name="connsiteY1" fmla="*/ 3252019 h 6449961"/>
              <a:gd name="connsiteX2" fmla="*/ 5948516 w 11995354"/>
              <a:gd name="connsiteY2" fmla="*/ 6449961 h 6449961"/>
              <a:gd name="connsiteX3" fmla="*/ 544054 w 11995354"/>
              <a:gd name="connsiteY3" fmla="*/ 6449961 h 6449961"/>
              <a:gd name="connsiteX4" fmla="*/ 0 w 11995354"/>
              <a:gd name="connsiteY4" fmla="*/ 5905907 h 6449961"/>
              <a:gd name="connsiteX5" fmla="*/ 6066503 w 11995354"/>
              <a:gd name="connsiteY5" fmla="*/ 0 h 6449961"/>
              <a:gd name="connsiteX6" fmla="*/ 11451300 w 11995354"/>
              <a:gd name="connsiteY6" fmla="*/ 0 h 6449961"/>
              <a:gd name="connsiteX7" fmla="*/ 11995354 w 11995354"/>
              <a:gd name="connsiteY7" fmla="*/ 544054 h 6449961"/>
              <a:gd name="connsiteX8" fmla="*/ 11995354 w 11995354"/>
              <a:gd name="connsiteY8" fmla="*/ 5905907 h 6449961"/>
              <a:gd name="connsiteX9" fmla="*/ 11451300 w 11995354"/>
              <a:gd name="connsiteY9" fmla="*/ 6449961 h 6449961"/>
              <a:gd name="connsiteX10" fmla="*/ 6066503 w 11995354"/>
              <a:gd name="connsiteY10" fmla="*/ 6449961 h 6449961"/>
              <a:gd name="connsiteX11" fmla="*/ 6066503 w 11995354"/>
              <a:gd name="connsiteY11" fmla="*/ 3252019 h 6449961"/>
              <a:gd name="connsiteX12" fmla="*/ 11995352 w 11995354"/>
              <a:gd name="connsiteY12" fmla="*/ 3252019 h 6449961"/>
              <a:gd name="connsiteX13" fmla="*/ 11995352 w 11995354"/>
              <a:gd name="connsiteY13" fmla="*/ 3116826 h 6449961"/>
              <a:gd name="connsiteX14" fmla="*/ 6066503 w 11995354"/>
              <a:gd name="connsiteY14" fmla="*/ 3116826 h 6449961"/>
              <a:gd name="connsiteX15" fmla="*/ 544054 w 11995354"/>
              <a:gd name="connsiteY15" fmla="*/ 0 h 6449961"/>
              <a:gd name="connsiteX16" fmla="*/ 5948516 w 11995354"/>
              <a:gd name="connsiteY16" fmla="*/ 0 h 6449961"/>
              <a:gd name="connsiteX17" fmla="*/ 5948516 w 11995354"/>
              <a:gd name="connsiteY17" fmla="*/ 3116826 h 6449961"/>
              <a:gd name="connsiteX18" fmla="*/ 0 w 11995354"/>
              <a:gd name="connsiteY18" fmla="*/ 3116826 h 6449961"/>
              <a:gd name="connsiteX19" fmla="*/ 0 w 11995354"/>
              <a:gd name="connsiteY19" fmla="*/ 544054 h 6449961"/>
              <a:gd name="connsiteX20" fmla="*/ 544054 w 11995354"/>
              <a:gd name="connsiteY20" fmla="*/ 0 h 644996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</a:cxnLst>
            <a:rect l="l" t="t" r="r" b="b"/>
            <a:pathLst>
              <a:path w="11995354" h="6449961">
                <a:moveTo>
                  <a:pt x="0" y="3252019"/>
                </a:moveTo>
                <a:lnTo>
                  <a:pt x="5948516" y="3252019"/>
                </a:lnTo>
                <a:lnTo>
                  <a:pt x="5948516" y="6449961"/>
                </a:lnTo>
                <a:lnTo>
                  <a:pt x="544054" y="6449961"/>
                </a:lnTo>
                <a:cubicBezTo>
                  <a:pt x="243581" y="6449961"/>
                  <a:pt x="0" y="6206380"/>
                  <a:pt x="0" y="5905907"/>
                </a:cubicBezTo>
                <a:close/>
                <a:moveTo>
                  <a:pt x="6066503" y="0"/>
                </a:moveTo>
                <a:lnTo>
                  <a:pt x="11451300" y="0"/>
                </a:lnTo>
                <a:cubicBezTo>
                  <a:pt x="11751773" y="0"/>
                  <a:pt x="11995354" y="243581"/>
                  <a:pt x="11995354" y="544054"/>
                </a:cubicBezTo>
                <a:lnTo>
                  <a:pt x="11995354" y="5905907"/>
                </a:lnTo>
                <a:cubicBezTo>
                  <a:pt x="11995354" y="6206380"/>
                  <a:pt x="11751773" y="6449961"/>
                  <a:pt x="11451300" y="6449961"/>
                </a:cubicBezTo>
                <a:lnTo>
                  <a:pt x="6066503" y="6449961"/>
                </a:lnTo>
                <a:lnTo>
                  <a:pt x="6066503" y="3252019"/>
                </a:lnTo>
                <a:lnTo>
                  <a:pt x="11995352" y="3252019"/>
                </a:lnTo>
                <a:lnTo>
                  <a:pt x="11995352" y="3116826"/>
                </a:lnTo>
                <a:lnTo>
                  <a:pt x="6066503" y="3116826"/>
                </a:lnTo>
                <a:close/>
                <a:moveTo>
                  <a:pt x="544054" y="0"/>
                </a:moveTo>
                <a:lnTo>
                  <a:pt x="5948516" y="0"/>
                </a:lnTo>
                <a:lnTo>
                  <a:pt x="5948516" y="3116826"/>
                </a:lnTo>
                <a:lnTo>
                  <a:pt x="0" y="3116826"/>
                </a:lnTo>
                <a:lnTo>
                  <a:pt x="0" y="544054"/>
                </a:lnTo>
                <a:cubicBezTo>
                  <a:pt x="0" y="243581"/>
                  <a:pt x="243581" y="0"/>
                  <a:pt x="544054" y="0"/>
                </a:cubicBezTo>
                <a:close/>
              </a:path>
            </a:pathLst>
          </a:cu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815E9173-B11D-4976-AAF8-DCE2BB4BE1A4}"/>
              </a:ext>
            </a:extLst>
          </xdr:cNvPr>
          <xdr:cNvGraphicFramePr>
            <a:graphicFrameLocks/>
          </xdr:cNvGraphicFramePr>
        </xdr:nvGraphicFramePr>
        <xdr:xfrm>
          <a:off x="781050" y="571500"/>
          <a:ext cx="4654550" cy="2387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8" name="Chart 7">
                <a:extLst>
                  <a:ext uri="{FF2B5EF4-FFF2-40B4-BE49-F238E27FC236}">
                    <a16:creationId xmlns:a16="http://schemas.microsoft.com/office/drawing/2014/main" id="{8E5CF52C-8EB6-4922-85FD-1BBE4937183E}"/>
                  </a:ext>
                </a:extLst>
              </xdr:cNvPr>
              <xdr:cNvGraphicFramePr/>
            </xdr:nvGraphicFramePr>
            <xdr:xfrm>
              <a:off x="6381750" y="571500"/>
              <a:ext cx="4679950" cy="239395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2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6381750" y="571500"/>
                <a:ext cx="4679950" cy="239395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IN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graphicFrame macro="">
        <xdr:nvGraphicFramePr>
          <xdr:cNvPr id="9" name="Chart 8">
            <a:extLst>
              <a:ext uri="{FF2B5EF4-FFF2-40B4-BE49-F238E27FC236}">
                <a16:creationId xmlns:a16="http://schemas.microsoft.com/office/drawing/2014/main" id="{2E64E53F-1E49-4910-A6A8-507E0DD4EBC2}"/>
              </a:ext>
            </a:extLst>
          </xdr:cNvPr>
          <xdr:cNvGraphicFramePr>
            <a:graphicFrameLocks/>
          </xdr:cNvGraphicFramePr>
        </xdr:nvGraphicFramePr>
        <xdr:xfrm>
          <a:off x="6407150" y="3206750"/>
          <a:ext cx="4686300" cy="24638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BBBD0982-0F62-4760-8430-76DF8AA88112}"/>
              </a:ext>
            </a:extLst>
          </xdr:cNvPr>
          <xdr:cNvGraphicFramePr>
            <a:graphicFrameLocks/>
          </xdr:cNvGraphicFramePr>
        </xdr:nvGraphicFramePr>
        <xdr:xfrm>
          <a:off x="800100" y="3219450"/>
          <a:ext cx="4648200" cy="24574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B149-3171-4DC9-899E-005F6B5A2BC5}">
  <dimension ref="B13:R26"/>
  <sheetViews>
    <sheetView showGridLines="0" tabSelected="1" workbookViewId="0">
      <selection activeCell="P25" sqref="P25"/>
    </sheetView>
  </sheetViews>
  <sheetFormatPr defaultRowHeight="14.5"/>
  <cols>
    <col min="1" max="16384" width="8.7265625" style="22"/>
  </cols>
  <sheetData>
    <row r="13" spans="2:18" s="26" customFormat="1" ht="22.5">
      <c r="B13" s="59" t="s">
        <v>154</v>
      </c>
      <c r="C13" s="59"/>
      <c r="D13" s="59"/>
      <c r="E13" s="59"/>
      <c r="F13" s="59"/>
      <c r="G13" s="59"/>
    </row>
    <row r="15" spans="2:18" ht="18.5">
      <c r="B15" s="58" t="s">
        <v>155</v>
      </c>
      <c r="C15" s="58"/>
      <c r="D15" s="58"/>
      <c r="E15" s="58"/>
      <c r="L15"/>
      <c r="M15"/>
      <c r="N15"/>
      <c r="O15"/>
      <c r="P15"/>
      <c r="Q15"/>
      <c r="R15"/>
    </row>
    <row r="16" spans="2:18" ht="15.5">
      <c r="B16" s="22">
        <v>1</v>
      </c>
      <c r="C16" s="37" t="s">
        <v>156</v>
      </c>
      <c r="L16" s="46"/>
    </row>
    <row r="17" spans="2:12" ht="15.5">
      <c r="B17" s="22">
        <v>2</v>
      </c>
      <c r="C17" s="45" t="s">
        <v>196</v>
      </c>
      <c r="L17" s="46"/>
    </row>
    <row r="18" spans="2:12" ht="15.5">
      <c r="B18" s="22">
        <v>3</v>
      </c>
      <c r="C18" s="45" t="s">
        <v>159</v>
      </c>
      <c r="I18"/>
      <c r="L18" s="46"/>
    </row>
    <row r="19" spans="2:12" ht="15.5">
      <c r="B19" s="22">
        <v>4</v>
      </c>
      <c r="C19" s="37" t="s">
        <v>86</v>
      </c>
      <c r="L19" s="46"/>
    </row>
    <row r="20" spans="2:12" ht="15.5">
      <c r="B20" s="22">
        <v>5</v>
      </c>
      <c r="C20" s="37" t="s">
        <v>157</v>
      </c>
      <c r="L20" s="46"/>
    </row>
    <row r="21" spans="2:12" ht="15.5">
      <c r="B21" s="22">
        <v>6</v>
      </c>
      <c r="C21" s="37" t="s">
        <v>158</v>
      </c>
      <c r="L21" s="46"/>
    </row>
    <row r="22" spans="2:12" ht="15.5">
      <c r="B22" s="22">
        <v>7</v>
      </c>
      <c r="C22" s="37" t="s">
        <v>55</v>
      </c>
      <c r="L22" s="46"/>
    </row>
    <row r="23" spans="2:12" ht="15.5">
      <c r="B23" s="47">
        <v>8</v>
      </c>
      <c r="C23" s="37" t="s">
        <v>199</v>
      </c>
      <c r="L23" s="46"/>
    </row>
    <row r="24" spans="2:12">
      <c r="L24" s="46"/>
    </row>
    <row r="25" spans="2:12">
      <c r="B25" s="50" t="s">
        <v>172</v>
      </c>
      <c r="L25" s="49" t="s">
        <v>197</v>
      </c>
    </row>
    <row r="26" spans="2:12">
      <c r="B26" s="50" t="s">
        <v>173</v>
      </c>
      <c r="L26" s="48" t="s">
        <v>206</v>
      </c>
    </row>
  </sheetData>
  <mergeCells count="2">
    <mergeCell ref="B15:E15"/>
    <mergeCell ref="B13:G13"/>
  </mergeCells>
  <hyperlinks>
    <hyperlink ref="C16" location="'Income Statement'!A1" display="Income Statement" xr:uid="{A7D0F5B0-D517-44BE-8B9A-D9FDE578C8CB}"/>
    <hyperlink ref="C20" location="'Working Capital Schedule'!A1" display="Working Capital Schedule" xr:uid="{51533EDD-90DD-4E8F-83D9-7385B7497F97}"/>
    <hyperlink ref="C19" location="'Balance Sheet'!A1" display="Balance Sheet" xr:uid="{EEE2083F-E024-48BD-B195-88B156AD71DC}"/>
    <hyperlink ref="C21" location="'DCF Analysis'!A1" display="DCF Analysis" xr:uid="{1BFE9065-FA25-4461-8427-0C1A608CEB5F}"/>
    <hyperlink ref="C22" location="WACC!A1" display="WACC" xr:uid="{34B7E4BA-075F-4833-8DB7-EDFC8353D0E8}"/>
    <hyperlink ref="C17" location="'Cash flow Statement'!A1" display="Cash flow Statement" xr:uid="{B45E59CD-EB2A-4916-88D7-9D61B991F037}"/>
    <hyperlink ref="C18" location="'Depreciation Schedule'!A1" display="Depreciation Schedule" xr:uid="{D850FB5F-E951-4670-89C9-8B7A385B4BF4}"/>
    <hyperlink ref="C23" location="Charts!A1" display="Charts" xr:uid="{2C462033-4FB8-4E06-84A0-F3E3358491B3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ECBF5-A69B-4730-A3FC-092A17260944}">
  <dimension ref="A1:N38"/>
  <sheetViews>
    <sheetView showGridLines="0" workbookViewId="0">
      <pane ySplit="5" topLeftCell="A6" activePane="bottomLeft" state="frozen"/>
      <selection pane="bottomLeft" activeCell="B3" sqref="B3"/>
    </sheetView>
  </sheetViews>
  <sheetFormatPr defaultColWidth="12.6328125" defaultRowHeight="14.5"/>
  <cols>
    <col min="7" max="7" width="5.1796875" customWidth="1"/>
  </cols>
  <sheetData>
    <row r="1" spans="1:14" ht="22.5">
      <c r="A1" s="61" t="s">
        <v>160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pans="1:14">
      <c r="M2" s="35" t="s">
        <v>81</v>
      </c>
      <c r="N2" s="36" t="s">
        <v>9</v>
      </c>
    </row>
    <row r="3" spans="1:14" s="53" customFormat="1">
      <c r="A3" s="52" t="s">
        <v>87</v>
      </c>
      <c r="B3" s="51" t="s">
        <v>81</v>
      </c>
      <c r="M3" s="54" t="s">
        <v>82</v>
      </c>
      <c r="N3" s="55" t="s">
        <v>10</v>
      </c>
    </row>
    <row r="4" spans="1:14">
      <c r="A4" s="62" t="s">
        <v>84</v>
      </c>
      <c r="B4" s="62"/>
      <c r="C4" s="62"/>
      <c r="D4" s="63" t="s">
        <v>186</v>
      </c>
      <c r="E4" s="64"/>
      <c r="F4" s="64"/>
      <c r="G4" s="65"/>
      <c r="H4" s="60" t="s">
        <v>187</v>
      </c>
      <c r="I4" s="60"/>
      <c r="J4" s="60"/>
      <c r="K4" s="60"/>
      <c r="L4" s="60"/>
      <c r="M4" s="35" t="s">
        <v>83</v>
      </c>
      <c r="N4" s="36" t="s">
        <v>11</v>
      </c>
    </row>
    <row r="5" spans="1:14">
      <c r="D5" s="44" t="s">
        <v>188</v>
      </c>
      <c r="E5" s="44" t="s">
        <v>189</v>
      </c>
      <c r="F5" s="44" t="s">
        <v>190</v>
      </c>
      <c r="G5" s="44"/>
      <c r="H5" s="44" t="s">
        <v>191</v>
      </c>
      <c r="I5" s="44" t="s">
        <v>192</v>
      </c>
      <c r="J5" s="44" t="s">
        <v>193</v>
      </c>
      <c r="K5" s="44" t="s">
        <v>194</v>
      </c>
      <c r="L5" s="44" t="s">
        <v>195</v>
      </c>
    </row>
    <row r="6" spans="1:14" s="34" customFormat="1">
      <c r="A6" s="34" t="s">
        <v>114</v>
      </c>
    </row>
    <row r="7" spans="1:14">
      <c r="A7" t="s">
        <v>115</v>
      </c>
      <c r="D7" s="13">
        <v>69202.759999999995</v>
      </c>
      <c r="E7" s="13">
        <v>43928.17</v>
      </c>
      <c r="F7" s="13">
        <v>47031.47</v>
      </c>
      <c r="G7" s="39"/>
      <c r="H7" s="3">
        <f>F7*(1+H8)</f>
        <v>51018.508682039348</v>
      </c>
      <c r="I7" s="3">
        <f>H7*(1+I8)</f>
        <v>55343.543974690227</v>
      </c>
      <c r="J7" s="3">
        <f>I7*(1+J8)</f>
        <v>60035.229151195141</v>
      </c>
      <c r="K7" s="3">
        <f t="shared" ref="K7:L7" si="0">J7*(1+K8)</f>
        <v>65124.646533022904</v>
      </c>
      <c r="L7" s="3">
        <f t="shared" si="0"/>
        <v>70645.513409633437</v>
      </c>
    </row>
    <row r="8" spans="1:14" s="2" customFormat="1">
      <c r="A8" s="56" t="s">
        <v>118</v>
      </c>
      <c r="D8" s="42" t="s">
        <v>174</v>
      </c>
      <c r="E8" s="16">
        <f>Inputs!D5</f>
        <v>-0.36522517310003239</v>
      </c>
      <c r="F8" s="16">
        <f>Inputs!E5</f>
        <v>7.0644873210060952E-2</v>
      </c>
      <c r="G8" s="38"/>
      <c r="H8" s="2">
        <f>IF($B$3="A",Inputs!G6,IF($B$3="B",Inputs!G7,Inputs!G8))</f>
        <v>8.4773847852073134E-2</v>
      </c>
      <c r="I8" s="2">
        <f>IF($B$3="A",Inputs!H6,IF($B$3="B",Inputs!H7,Inputs!H8))</f>
        <v>8.4773847852073134E-2</v>
      </c>
      <c r="J8" s="2">
        <f>IF($B$3="A",Inputs!I6,IF($B$3="B",Inputs!I7,Inputs!I8))</f>
        <v>8.4773847852073134E-2</v>
      </c>
      <c r="K8" s="2">
        <f>IF($B$3="A",Inputs!J6,IF($B$3="B",Inputs!J7,Inputs!J8))</f>
        <v>8.4773847852073134E-2</v>
      </c>
      <c r="L8" s="2">
        <f>IF($B$3="A",Inputs!K6,IF($B$3="B",Inputs!K7,Inputs!K8))</f>
        <v>8.4773847852073134E-2</v>
      </c>
    </row>
    <row r="9" spans="1:14">
      <c r="A9" t="s">
        <v>116</v>
      </c>
      <c r="D9" s="13">
        <v>2554.66</v>
      </c>
      <c r="E9" s="13">
        <v>1383.05</v>
      </c>
      <c r="F9" s="13">
        <v>842.96</v>
      </c>
      <c r="G9" s="39"/>
      <c r="H9" s="3">
        <f>F9*(1+H10)</f>
        <v>579.614919836593</v>
      </c>
      <c r="I9" s="3">
        <f>H9*(1+I10)</f>
        <v>398.54020985240123</v>
      </c>
      <c r="J9" s="3">
        <f>I9*(1+J10)</f>
        <v>274.03417930300191</v>
      </c>
      <c r="K9" s="3">
        <f t="shared" ref="K9:L9" si="1">J9*(1+K10)</f>
        <v>188.42447906092343</v>
      </c>
      <c r="L9" s="3">
        <f t="shared" si="1"/>
        <v>129.55969361078692</v>
      </c>
    </row>
    <row r="10" spans="1:14" s="16" customFormat="1">
      <c r="A10" s="56" t="s">
        <v>117</v>
      </c>
      <c r="D10" s="42" t="s">
        <v>174</v>
      </c>
      <c r="E10" s="16">
        <f>Inputs!D10</f>
        <v>-0.45861680223591395</v>
      </c>
      <c r="F10" s="16">
        <f>Inputs!E10</f>
        <v>-0.39050648928093701</v>
      </c>
      <c r="G10" s="38"/>
      <c r="H10" s="16">
        <f>IF($B$3="A",Inputs!G11,IF($B$3="B",Inputs!G12,Inputs!G13))</f>
        <v>-0.31240519142474965</v>
      </c>
      <c r="I10" s="16">
        <f>IF($B$3="A",Inputs!H11,IF($B$3="B",Inputs!H12,Inputs!H13))</f>
        <v>-0.31240519142474965</v>
      </c>
      <c r="J10" s="16">
        <f>IF($B$3="A",Inputs!I11,IF($B$3="B",Inputs!I12,Inputs!I13))</f>
        <v>-0.31240519142474965</v>
      </c>
      <c r="K10" s="16">
        <f>IF($B$3="A",Inputs!J11,IF($B$3="B",Inputs!J12,Inputs!J13))</f>
        <v>-0.31240519142474965</v>
      </c>
      <c r="L10" s="16">
        <f>IF($B$3="A",Inputs!K11,IF($B$3="B",Inputs!K12,Inputs!K13))</f>
        <v>-0.31240519142474965</v>
      </c>
    </row>
    <row r="11" spans="1:14" s="34" customFormat="1">
      <c r="A11" s="34" t="s">
        <v>48</v>
      </c>
      <c r="D11" s="27">
        <f>SUM(D7:D9)</f>
        <v>71757.42</v>
      </c>
      <c r="E11" s="27">
        <f>SUM(E7:E9)</f>
        <v>45310.854774826905</v>
      </c>
      <c r="F11" s="27">
        <f>SUM(F7:F9)</f>
        <v>47874.500644873209</v>
      </c>
      <c r="G11" s="39"/>
      <c r="H11" s="27">
        <f t="shared" ref="H11:L11" si="2">SUM(H7:H9)</f>
        <v>51598.2083757238</v>
      </c>
      <c r="I11" s="27">
        <f t="shared" si="2"/>
        <v>55742.168958390481</v>
      </c>
      <c r="J11" s="27">
        <f t="shared" si="2"/>
        <v>60309.348104345998</v>
      </c>
      <c r="K11" s="27">
        <f t="shared" si="2"/>
        <v>65313.155785931682</v>
      </c>
      <c r="L11" s="27">
        <f t="shared" si="2"/>
        <v>70775.157877092075</v>
      </c>
    </row>
    <row r="12" spans="1:14">
      <c r="D12" s="39"/>
      <c r="E12" s="39"/>
      <c r="F12" s="39"/>
      <c r="G12" s="39"/>
      <c r="H12" s="39"/>
      <c r="I12" s="39"/>
      <c r="J12" s="39"/>
      <c r="K12" s="39"/>
      <c r="L12" s="39"/>
    </row>
    <row r="13" spans="1:14">
      <c r="A13" t="s">
        <v>1</v>
      </c>
      <c r="D13" s="13">
        <v>50615.78</v>
      </c>
      <c r="E13" s="13">
        <v>32574.51</v>
      </c>
      <c r="F13" s="13">
        <v>35432.26</v>
      </c>
      <c r="G13" s="39"/>
      <c r="H13" s="3">
        <f>H7*H14</f>
        <v>30748.791214636083</v>
      </c>
      <c r="I13" s="3">
        <f>I7*I14</f>
        <v>33355.484562700804</v>
      </c>
      <c r="J13" s="3">
        <f>J7*J14</f>
        <v>36183.157336051379</v>
      </c>
      <c r="K13" s="3">
        <f>K7*K14</f>
        <v>39250.542810865423</v>
      </c>
      <c r="L13" s="3">
        <f>L7*L14</f>
        <v>42577.96235522502</v>
      </c>
    </row>
    <row r="14" spans="1:14" s="16" customFormat="1">
      <c r="A14" s="56" t="s">
        <v>119</v>
      </c>
      <c r="D14" s="1">
        <f>Inputs!C15</f>
        <v>0.73141273556141406</v>
      </c>
      <c r="E14" s="1">
        <f>Inputs!D15</f>
        <v>0.74154033732796065</v>
      </c>
      <c r="F14" s="1">
        <f>Inputs!E15</f>
        <v>0.75337343272493928</v>
      </c>
      <c r="G14" s="40"/>
      <c r="H14" s="1">
        <f>IF($B$3="A",Inputs!G16,IF($B$3="B",Inputs!G17,Inputs!G18))</f>
        <v>0.60269874617995145</v>
      </c>
      <c r="I14" s="1">
        <f>IF($B$3="A",Inputs!H16,IF($B$3="B",Inputs!H17,Inputs!H18))</f>
        <v>0.60269874617995145</v>
      </c>
      <c r="J14" s="1">
        <f>IF($B$3="A",Inputs!I16,IF($B$3="B",Inputs!I17,Inputs!I18))</f>
        <v>0.60269874617995145</v>
      </c>
      <c r="K14" s="1">
        <f>IF($B$3="A",Inputs!J16,IF($B$3="B",Inputs!J17,Inputs!J18))</f>
        <v>0.60269874617995145</v>
      </c>
      <c r="L14" s="1">
        <f>IF($B$3="A",Inputs!K16,IF($B$3="B",Inputs!K17,Inputs!K18))</f>
        <v>0.60269874617995145</v>
      </c>
    </row>
    <row r="15" spans="1:14" s="34" customFormat="1">
      <c r="A15" s="34" t="s">
        <v>2</v>
      </c>
      <c r="D15" s="27">
        <f>D11-D13</f>
        <v>21141.64</v>
      </c>
      <c r="E15" s="27">
        <f>E11-E13</f>
        <v>12736.344774826906</v>
      </c>
      <c r="F15" s="27">
        <f>F11-F13</f>
        <v>12442.240644873207</v>
      </c>
      <c r="G15" s="39"/>
      <c r="H15" s="27">
        <f>H11-H13</f>
        <v>20849.417161087717</v>
      </c>
      <c r="I15" s="27">
        <f>I11-I13</f>
        <v>22386.684395689677</v>
      </c>
      <c r="J15" s="27">
        <f>J11-J13</f>
        <v>24126.190768294618</v>
      </c>
      <c r="K15" s="27">
        <f>K11-K13</f>
        <v>26062.612975066259</v>
      </c>
      <c r="L15" s="27">
        <f>L11-L13</f>
        <v>28197.195521867056</v>
      </c>
    </row>
    <row r="16" spans="1:14">
      <c r="D16" s="39"/>
      <c r="E16" s="39"/>
      <c r="F16" s="39"/>
      <c r="G16" s="39"/>
      <c r="H16" s="39"/>
      <c r="I16" s="39"/>
      <c r="J16" s="39"/>
      <c r="K16" s="39"/>
      <c r="L16" s="39"/>
    </row>
    <row r="17" spans="1:12" s="34" customFormat="1">
      <c r="A17" s="34" t="s">
        <v>120</v>
      </c>
      <c r="D17" s="39"/>
      <c r="E17" s="39"/>
      <c r="F17" s="39"/>
      <c r="G17" s="39"/>
      <c r="H17" s="39"/>
      <c r="I17" s="39"/>
      <c r="J17" s="39"/>
      <c r="K17" s="39"/>
      <c r="L17" s="39"/>
    </row>
    <row r="18" spans="1:12">
      <c r="A18" t="s">
        <v>121</v>
      </c>
      <c r="D18" s="13">
        <v>13647.43</v>
      </c>
      <c r="E18" s="13">
        <v>12004.84</v>
      </c>
      <c r="F18" s="13">
        <v>10106.67</v>
      </c>
      <c r="G18" s="39"/>
      <c r="H18" s="3">
        <f>H11*H19</f>
        <v>8870.419140965425</v>
      </c>
      <c r="I18" s="3">
        <f t="shared" ref="I18:L18" si="3">I11*I19</f>
        <v>9582.8211492721166</v>
      </c>
      <c r="J18" s="3">
        <f t="shared" si="3"/>
        <v>10367.980064510008</v>
      </c>
      <c r="K18" s="3">
        <f t="shared" si="3"/>
        <v>11228.201239502012</v>
      </c>
      <c r="L18" s="3">
        <f t="shared" si="3"/>
        <v>12167.192135166861</v>
      </c>
    </row>
    <row r="19" spans="1:12" s="16" customFormat="1">
      <c r="A19" s="56" t="s">
        <v>122</v>
      </c>
      <c r="D19" s="1">
        <f>Inputs!C20</f>
        <v>0.19720933095732021</v>
      </c>
      <c r="E19" s="1">
        <f>Inputs!D20</f>
        <v>0.27328340789065425</v>
      </c>
      <c r="F19" s="1">
        <f>Inputs!E20</f>
        <v>0.21489164595535712</v>
      </c>
      <c r="G19" s="38"/>
      <c r="H19" s="16">
        <f>IF($B$3="A",Inputs!G21,IF($B$3="B",Inputs!G22,Inputs!G23))</f>
        <v>0.1719133167642857</v>
      </c>
      <c r="I19" s="16">
        <f>IF($B$3="A",Inputs!H21,IF($B$3="B",Inputs!H22,Inputs!H23))</f>
        <v>0.1719133167642857</v>
      </c>
      <c r="J19" s="16">
        <f>IF($B$3="A",Inputs!I21,IF($B$3="B",Inputs!I22,Inputs!I23))</f>
        <v>0.1719133167642857</v>
      </c>
      <c r="K19" s="16">
        <f>IF($B$3="A",Inputs!J21,IF($B$3="B",Inputs!J22,Inputs!J23))</f>
        <v>0.1719133167642857</v>
      </c>
      <c r="L19" s="16">
        <f>IF($B$3="A",Inputs!K21,IF($B$3="B",Inputs!K22,Inputs!K23))</f>
        <v>0.1719133167642857</v>
      </c>
    </row>
    <row r="20" spans="1:12">
      <c r="A20" t="s">
        <v>4</v>
      </c>
      <c r="D20" s="13">
        <f>SUM(D15-D18)</f>
        <v>7494.2099999999991</v>
      </c>
      <c r="E20" s="13">
        <f>SUM(E15-E18)</f>
        <v>731.50477482690621</v>
      </c>
      <c r="F20" s="13">
        <f>(F15-F18)</f>
        <v>2335.5706448732071</v>
      </c>
      <c r="G20" s="39"/>
      <c r="H20" s="3">
        <f>SUM(H15-H18)</f>
        <v>11978.998020122292</v>
      </c>
      <c r="I20" s="3">
        <f>SUM(I15-I18)</f>
        <v>12803.863246417561</v>
      </c>
      <c r="J20" s="3">
        <f>SUM(J15-J18)</f>
        <v>13758.210703784611</v>
      </c>
      <c r="K20" s="3">
        <f>SUM(K15-K18)</f>
        <v>14834.411735564247</v>
      </c>
      <c r="L20" s="3">
        <f>SUM(L15-L18)</f>
        <v>16030.003386700195</v>
      </c>
    </row>
    <row r="21" spans="1:12">
      <c r="A21" t="s">
        <v>127</v>
      </c>
      <c r="D21" s="13">
        <v>3098.64</v>
      </c>
      <c r="E21" s="13">
        <v>3375.29</v>
      </c>
      <c r="F21" s="13">
        <v>3681.61</v>
      </c>
      <c r="G21" s="39"/>
      <c r="H21" s="3">
        <f>'Depreciation Schedule'!D19</f>
        <v>4024.6615009930879</v>
      </c>
      <c r="I21" s="3">
        <f>'Depreciation Schedule'!E19</f>
        <v>4612.839343433051</v>
      </c>
      <c r="J21" s="3">
        <f>'Depreciation Schedule'!F19</f>
        <v>5250.8792847979803</v>
      </c>
      <c r="K21" s="3">
        <f>'Depreciation Schedule'!G19</f>
        <v>5943.0083270757259</v>
      </c>
      <c r="L21" s="3">
        <f>'Depreciation Schedule'!H19</f>
        <v>6693.8118114775261</v>
      </c>
    </row>
    <row r="22" spans="1:12" s="16" customFormat="1">
      <c r="A22" s="56" t="s">
        <v>123</v>
      </c>
      <c r="D22" s="42" t="s">
        <v>174</v>
      </c>
      <c r="E22" s="1">
        <f>(E21-D21)/D21</f>
        <v>8.9281103968192527E-2</v>
      </c>
      <c r="F22" s="1">
        <f>(F21-E21)/E21</f>
        <v>9.0753683387205297E-2</v>
      </c>
      <c r="G22" s="38"/>
      <c r="H22" s="1">
        <f>'Depreciation Schedule'!D20</f>
        <v>9.3179750433393993E-2</v>
      </c>
      <c r="I22" s="1">
        <f>'Depreciation Schedule'!E20</f>
        <v>0.14614343151463283</v>
      </c>
      <c r="J22" s="1">
        <f>'Depreciation Schedule'!F20</f>
        <v>0.13831826644326095</v>
      </c>
      <c r="K22" s="1">
        <f>'Depreciation Schedule'!G20</f>
        <v>0.13181202704117667</v>
      </c>
      <c r="L22" s="1">
        <f>'Depreciation Schedule'!H20</f>
        <v>0.1263339108883994</v>
      </c>
    </row>
    <row r="23" spans="1:12" s="34" customFormat="1">
      <c r="A23" s="34" t="s">
        <v>5</v>
      </c>
      <c r="D23" s="27">
        <f>D20-D21</f>
        <v>4395.57</v>
      </c>
      <c r="E23" s="27">
        <f>E20-E21</f>
        <v>-2643.7852251730937</v>
      </c>
      <c r="F23" s="27">
        <f>F20-F21</f>
        <v>-1346.039355126793</v>
      </c>
      <c r="G23" s="39"/>
      <c r="H23" s="27">
        <f>H20-H21</f>
        <v>7954.3365191292032</v>
      </c>
      <c r="I23" s="27">
        <f>I20-I21</f>
        <v>8191.0239029845097</v>
      </c>
      <c r="J23" s="27">
        <f>J20-J21</f>
        <v>8507.3314189866305</v>
      </c>
      <c r="K23" s="27">
        <f>K20-K21</f>
        <v>8891.4034084885207</v>
      </c>
      <c r="L23" s="27">
        <f>L20-L21</f>
        <v>9336.1915752226687</v>
      </c>
    </row>
    <row r="24" spans="1:12" s="16" customFormat="1">
      <c r="A24" s="56" t="s">
        <v>124</v>
      </c>
      <c r="D24" s="1">
        <f>D23/D7</f>
        <v>6.3517264340323995E-2</v>
      </c>
      <c r="E24" s="1">
        <f t="shared" ref="E24:L24" si="4">E23/E7</f>
        <v>-6.0184278679787796E-2</v>
      </c>
      <c r="F24" s="1">
        <f t="shared" si="4"/>
        <v>-2.8619972012926514E-2</v>
      </c>
      <c r="G24" s="40"/>
      <c r="H24" s="1">
        <f t="shared" si="4"/>
        <v>0.15591080030783933</v>
      </c>
      <c r="I24" s="1">
        <f t="shared" si="4"/>
        <v>0.14800324147529184</v>
      </c>
      <c r="J24" s="1">
        <f t="shared" si="4"/>
        <v>0.14170565415118885</v>
      </c>
      <c r="K24" s="1">
        <f t="shared" si="4"/>
        <v>0.13652900832221693</v>
      </c>
      <c r="L24" s="1">
        <f t="shared" si="4"/>
        <v>0.13215547774544953</v>
      </c>
    </row>
    <row r="25" spans="1:12">
      <c r="A25" t="s">
        <v>128</v>
      </c>
      <c r="D25" s="13">
        <v>1793.57</v>
      </c>
      <c r="E25" s="13">
        <v>1973</v>
      </c>
      <c r="F25" s="13">
        <v>2358.54</v>
      </c>
      <c r="G25" s="39"/>
      <c r="H25" s="3">
        <f>H13*H26</f>
        <v>1637.4288071123387</v>
      </c>
      <c r="I25" s="3">
        <f>H25</f>
        <v>1637.4288071123387</v>
      </c>
      <c r="J25" s="3">
        <f t="shared" ref="J25:L25" si="5">I25</f>
        <v>1637.4288071123387</v>
      </c>
      <c r="K25" s="3">
        <f t="shared" si="5"/>
        <v>1637.4288071123387</v>
      </c>
      <c r="L25" s="3">
        <f t="shared" si="5"/>
        <v>1637.4288071123387</v>
      </c>
    </row>
    <row r="26" spans="1:12">
      <c r="D26" s="14">
        <f>Inputs!C25</f>
        <v>3.5434996753976725E-2</v>
      </c>
      <c r="E26" s="14">
        <f>Inputs!D25</f>
        <v>6.0568831273287001E-2</v>
      </c>
      <c r="F26" s="14">
        <f>Inputs!E25</f>
        <v>6.6564763297627644E-2</v>
      </c>
      <c r="G26" s="39"/>
      <c r="H26" s="1">
        <f>Inputs!G25</f>
        <v>5.3251810638102116E-2</v>
      </c>
      <c r="I26" s="1">
        <f>Inputs!H25</f>
        <v>5.3251810638102116E-2</v>
      </c>
      <c r="J26" s="1">
        <f>Inputs!I25</f>
        <v>5.3251810638102116E-2</v>
      </c>
      <c r="K26" s="1">
        <f>Inputs!J25</f>
        <v>5.3251810638102116E-2</v>
      </c>
      <c r="L26" s="1">
        <f>Inputs!K25</f>
        <v>5.3251810638102116E-2</v>
      </c>
    </row>
    <row r="27" spans="1:12" s="4" customFormat="1">
      <c r="A27" s="4" t="s">
        <v>129</v>
      </c>
      <c r="D27" s="13">
        <v>203.07</v>
      </c>
      <c r="E27" s="13">
        <v>2510.92</v>
      </c>
      <c r="F27" s="13">
        <v>-1392.08</v>
      </c>
      <c r="G27" s="39"/>
      <c r="H27" s="41" t="s">
        <v>174</v>
      </c>
      <c r="I27" s="41" t="s">
        <v>174</v>
      </c>
      <c r="J27" s="41" t="s">
        <v>174</v>
      </c>
      <c r="K27" s="41" t="s">
        <v>174</v>
      </c>
      <c r="L27" s="41" t="s">
        <v>174</v>
      </c>
    </row>
    <row r="28" spans="1:12" s="34" customFormat="1">
      <c r="A28" s="34" t="s">
        <v>6</v>
      </c>
      <c r="D28" s="27">
        <f t="shared" ref="D28:E28" si="6">D23-SUM(D25,D27)</f>
        <v>2398.9299999999998</v>
      </c>
      <c r="E28" s="27">
        <f t="shared" si="6"/>
        <v>-7127.7052251730938</v>
      </c>
      <c r="F28" s="27">
        <f>F23-SUM(F25,F27)</f>
        <v>-2312.499355126793</v>
      </c>
      <c r="G28" s="39"/>
      <c r="H28" s="27">
        <f>H23-H25</f>
        <v>6316.907712016864</v>
      </c>
      <c r="I28" s="27">
        <f>I23-I25</f>
        <v>6553.5950958721714</v>
      </c>
      <c r="J28" s="27">
        <f>J23-J25</f>
        <v>6869.9026118742913</v>
      </c>
      <c r="K28" s="27">
        <f>K23-K25</f>
        <v>7253.9746013761815</v>
      </c>
      <c r="L28" s="27">
        <f>L23-L25</f>
        <v>7698.7627681103295</v>
      </c>
    </row>
    <row r="29" spans="1:12">
      <c r="D29" s="39"/>
      <c r="E29" s="39"/>
      <c r="F29" s="39"/>
      <c r="G29" s="39"/>
      <c r="H29" s="39"/>
      <c r="I29" s="39"/>
      <c r="J29" s="39"/>
      <c r="K29" s="39"/>
      <c r="L29" s="39"/>
    </row>
    <row r="30" spans="1:12">
      <c r="A30" t="s">
        <v>125</v>
      </c>
      <c r="D30" s="13">
        <v>294.66000000000003</v>
      </c>
      <c r="E30" s="13">
        <v>33.049999999999997</v>
      </c>
      <c r="F30" s="13">
        <v>82.31</v>
      </c>
      <c r="G30" s="39"/>
      <c r="H30" s="41" t="s">
        <v>174</v>
      </c>
      <c r="I30" s="41" t="s">
        <v>174</v>
      </c>
      <c r="J30" s="41" t="s">
        <v>174</v>
      </c>
      <c r="K30" s="41" t="s">
        <v>174</v>
      </c>
      <c r="L30" s="41" t="s">
        <v>174</v>
      </c>
    </row>
    <row r="31" spans="1:12">
      <c r="A31" t="s">
        <v>126</v>
      </c>
      <c r="D31" s="13">
        <v>83.67</v>
      </c>
      <c r="E31" s="13">
        <v>129.24</v>
      </c>
      <c r="F31" s="13">
        <v>0.56000000000000005</v>
      </c>
      <c r="G31" s="39"/>
      <c r="H31" s="41" t="s">
        <v>174</v>
      </c>
      <c r="I31" s="41" t="s">
        <v>174</v>
      </c>
      <c r="J31" s="41" t="s">
        <v>174</v>
      </c>
      <c r="K31" s="41" t="s">
        <v>174</v>
      </c>
      <c r="L31" s="41" t="s">
        <v>174</v>
      </c>
    </row>
    <row r="32" spans="1:12" s="17" customFormat="1" ht="13.5" customHeight="1">
      <c r="A32" s="17" t="s">
        <v>7</v>
      </c>
      <c r="D32" s="18">
        <f>SUM(D30:D31)</f>
        <v>378.33000000000004</v>
      </c>
      <c r="E32" s="18">
        <f t="shared" ref="E32" si="7">SUM(E30:E31)</f>
        <v>162.29000000000002</v>
      </c>
      <c r="F32" s="18">
        <f>SUM(F30:F31)</f>
        <v>82.87</v>
      </c>
      <c r="G32" s="39"/>
      <c r="H32" s="18">
        <f>H28*H33</f>
        <v>-271.64486300121035</v>
      </c>
      <c r="I32" s="18">
        <f t="shared" ref="I32:L32" si="8">I28*I33</f>
        <v>-281.82308862878756</v>
      </c>
      <c r="J32" s="18">
        <f t="shared" si="8"/>
        <v>-295.42520469060594</v>
      </c>
      <c r="K32" s="18">
        <f t="shared" si="8"/>
        <v>-311.94138439865685</v>
      </c>
      <c r="L32" s="18">
        <f t="shared" si="8"/>
        <v>-331.06853111748717</v>
      </c>
    </row>
    <row r="33" spans="1:12" s="16" customFormat="1">
      <c r="A33" s="56" t="s">
        <v>130</v>
      </c>
      <c r="D33" s="16">
        <f>Inputs!C30</f>
        <v>0.15770781139924886</v>
      </c>
      <c r="E33" s="16">
        <f>Inputs!D30</f>
        <v>-2.2768898947565393E-2</v>
      </c>
      <c r="F33" s="16">
        <f>Inputs!E30</f>
        <v>-3.5835685668961531E-2</v>
      </c>
      <c r="G33" s="38"/>
      <c r="H33" s="16">
        <f>IF($B$3="A",Inputs!G31,IF($B$3="B",Inputs!G32,Inputs!G33))</f>
        <v>-4.3002822802753839E-2</v>
      </c>
      <c r="I33" s="16">
        <f>IF($B$3="A",Inputs!H31,IF($B$3="B",Inputs!H32,Inputs!H33))</f>
        <v>-4.3002822802753839E-2</v>
      </c>
      <c r="J33" s="16">
        <f>IF($B$3="A",Inputs!I31,IF($B$3="B",Inputs!I32,Inputs!I33))</f>
        <v>-4.3002822802753839E-2</v>
      </c>
      <c r="K33" s="16">
        <f>IF($B$3="A",Inputs!J31,IF($B$3="B",Inputs!J32,Inputs!J33))</f>
        <v>-4.3002822802753839E-2</v>
      </c>
      <c r="L33" s="16">
        <f>IF($B$3="A",Inputs!K31,IF($B$3="B",Inputs!K32,Inputs!K33))</f>
        <v>-4.3002822802753839E-2</v>
      </c>
    </row>
    <row r="34" spans="1:12" s="34" customFormat="1">
      <c r="A34" s="34" t="s">
        <v>8</v>
      </c>
      <c r="D34" s="27">
        <f t="shared" ref="D34" si="9">D28-D32</f>
        <v>2020.6</v>
      </c>
      <c r="E34" s="27">
        <f>E28-E32</f>
        <v>-7289.9952251730938</v>
      </c>
      <c r="F34" s="27">
        <f>F28-F32</f>
        <v>-2395.3693551267929</v>
      </c>
      <c r="G34" s="39"/>
      <c r="H34" s="27">
        <f>H28-H32</f>
        <v>6588.5525750180741</v>
      </c>
      <c r="I34" s="27">
        <f t="shared" ref="I34:L34" si="10">I28-I32</f>
        <v>6835.4181845009589</v>
      </c>
      <c r="J34" s="27">
        <f t="shared" si="10"/>
        <v>7165.3278165648971</v>
      </c>
      <c r="K34" s="27">
        <f t="shared" si="10"/>
        <v>7565.9159857748382</v>
      </c>
      <c r="L34" s="27">
        <f t="shared" si="10"/>
        <v>8029.831299227817</v>
      </c>
    </row>
    <row r="36" spans="1:12" s="34" customFormat="1">
      <c r="A36" s="34" t="s">
        <v>200</v>
      </c>
    </row>
    <row r="37" spans="1:12">
      <c r="A37" t="s">
        <v>201</v>
      </c>
      <c r="D37">
        <v>5.94</v>
      </c>
      <c r="E37">
        <v>-21.06</v>
      </c>
      <c r="F37">
        <v>-6.59</v>
      </c>
      <c r="H37" s="41" t="s">
        <v>174</v>
      </c>
      <c r="I37" s="41" t="s">
        <v>174</v>
      </c>
      <c r="J37" s="41" t="s">
        <v>174</v>
      </c>
      <c r="K37" s="41" t="s">
        <v>174</v>
      </c>
      <c r="L37" s="41" t="s">
        <v>174</v>
      </c>
    </row>
    <row r="38" spans="1:12">
      <c r="A38" t="s">
        <v>202</v>
      </c>
      <c r="D38">
        <v>5.94</v>
      </c>
      <c r="E38">
        <v>-21.06</v>
      </c>
      <c r="F38">
        <v>-6.59</v>
      </c>
      <c r="H38" s="41" t="s">
        <v>174</v>
      </c>
      <c r="I38" s="41" t="s">
        <v>174</v>
      </c>
      <c r="J38" s="41" t="s">
        <v>174</v>
      </c>
      <c r="K38" s="41" t="s">
        <v>174</v>
      </c>
      <c r="L38" s="41" t="s">
        <v>174</v>
      </c>
    </row>
  </sheetData>
  <mergeCells count="4">
    <mergeCell ref="H4:L4"/>
    <mergeCell ref="A1:L1"/>
    <mergeCell ref="A4:C4"/>
    <mergeCell ref="D4:G4"/>
  </mergeCells>
  <dataValidations count="1">
    <dataValidation type="list" allowBlank="1" showInputMessage="1" showErrorMessage="1" sqref="B3" xr:uid="{13B276B7-BAE6-493B-94F8-A9F9E137B836}">
      <formula1>$M$2:$M$4</formula1>
    </dataValidation>
  </dataValidations>
  <pageMargins left="0.7" right="0.7" top="0.75" bottom="0.75" header="0.3" footer="0.3"/>
  <ignoredErrors>
    <ignoredError sqref="H8:L8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CF3F-4DCF-4C1F-8823-6C9F3AA28D8D}">
  <dimension ref="A1:O33"/>
  <sheetViews>
    <sheetView showGridLines="0" workbookViewId="0">
      <pane ySplit="2" topLeftCell="A3" activePane="bottomLeft" state="frozen"/>
      <selection pane="bottomLeft" activeCell="B7" sqref="B7"/>
    </sheetView>
  </sheetViews>
  <sheetFormatPr defaultColWidth="12.6328125" defaultRowHeight="14.5"/>
  <cols>
    <col min="1" max="16384" width="12.6328125" style="2"/>
  </cols>
  <sheetData>
    <row r="1" spans="1:15" ht="23.5">
      <c r="A1" s="66" t="s">
        <v>198</v>
      </c>
      <c r="B1" s="67"/>
      <c r="C1" s="67"/>
      <c r="D1" s="67"/>
      <c r="E1" s="67"/>
      <c r="F1" s="67"/>
      <c r="G1" s="67"/>
      <c r="H1" s="67"/>
      <c r="I1" s="67"/>
      <c r="J1" s="67"/>
      <c r="K1" s="67"/>
    </row>
    <row r="2" spans="1:15">
      <c r="A2" s="52" t="s">
        <v>87</v>
      </c>
      <c r="B2" s="9" t="str">
        <f>'Income Statement'!B3</f>
        <v>A</v>
      </c>
    </row>
    <row r="4" spans="1:15" s="31" customFormat="1">
      <c r="A4" s="31" t="s">
        <v>168</v>
      </c>
      <c r="O4" s="31">
        <v>1</v>
      </c>
    </row>
    <row r="5" spans="1:15" s="31" customFormat="1">
      <c r="A5" s="57" t="s">
        <v>169</v>
      </c>
      <c r="C5" s="32"/>
      <c r="D5" s="32">
        <f>('Income Statement'!E7-'Income Statement'!D7)/'Income Statement'!D7</f>
        <v>-0.36522517310003239</v>
      </c>
      <c r="E5" s="32">
        <f>('Income Statement'!F7-'Income Statement'!E7)/'Income Statement'!E7</f>
        <v>7.0644873210060952E-2</v>
      </c>
      <c r="G5" s="33">
        <f>IF(Case="A",G6,IF(Case="B",G7,G8))</f>
        <v>8.4773847852073134E-2</v>
      </c>
      <c r="H5" s="33">
        <f>IF(Case="A",H6,IF(Case="B",H7,H8))</f>
        <v>8.4773847852073134E-2</v>
      </c>
      <c r="I5" s="33">
        <f>IF(Case="A",I6,IF(Case="B",I7,I8))</f>
        <v>8.4773847852073134E-2</v>
      </c>
      <c r="J5" s="33">
        <f>IF(Case="A",J6,IF(Case="B",J7,J8))</f>
        <v>8.4773847852073134E-2</v>
      </c>
      <c r="K5" s="33">
        <f>IF(Case="A",K6,IF(Case="B",K7,K8))</f>
        <v>8.4773847852073134E-2</v>
      </c>
      <c r="O5" s="31">
        <v>2</v>
      </c>
    </row>
    <row r="6" spans="1:15">
      <c r="F6" s="2" t="s">
        <v>9</v>
      </c>
      <c r="G6" s="1">
        <f>G7*1.2</f>
        <v>8.4773847852073134E-2</v>
      </c>
      <c r="H6" s="1">
        <f t="shared" ref="H6:K6" si="0">H7*1.2</f>
        <v>8.4773847852073134E-2</v>
      </c>
      <c r="I6" s="1">
        <f t="shared" si="0"/>
        <v>8.4773847852073134E-2</v>
      </c>
      <c r="J6" s="1">
        <f t="shared" si="0"/>
        <v>8.4773847852073134E-2</v>
      </c>
      <c r="K6" s="1">
        <f t="shared" si="0"/>
        <v>8.4773847852073134E-2</v>
      </c>
      <c r="O6" s="2">
        <v>3</v>
      </c>
    </row>
    <row r="7" spans="1:15">
      <c r="F7" s="2" t="s">
        <v>10</v>
      </c>
      <c r="G7" s="1">
        <f>E5</f>
        <v>7.0644873210060952E-2</v>
      </c>
      <c r="H7" s="1">
        <f>G7</f>
        <v>7.0644873210060952E-2</v>
      </c>
      <c r="I7" s="1">
        <f>H7</f>
        <v>7.0644873210060952E-2</v>
      </c>
      <c r="J7" s="1">
        <f t="shared" ref="J7:K7" si="1">I7</f>
        <v>7.0644873210060952E-2</v>
      </c>
      <c r="K7" s="1">
        <f t="shared" si="1"/>
        <v>7.0644873210060952E-2</v>
      </c>
    </row>
    <row r="8" spans="1:15">
      <c r="F8" s="2" t="s">
        <v>11</v>
      </c>
      <c r="G8" s="1">
        <f>G7*0.8</f>
        <v>5.6515898568048763E-2</v>
      </c>
      <c r="H8" s="1">
        <f t="shared" ref="H8:K8" si="2">H7*0.8</f>
        <v>5.6515898568048763E-2</v>
      </c>
      <c r="I8" s="1">
        <f t="shared" si="2"/>
        <v>5.6515898568048763E-2</v>
      </c>
      <c r="J8" s="1">
        <f t="shared" si="2"/>
        <v>5.6515898568048763E-2</v>
      </c>
      <c r="K8" s="1">
        <f t="shared" si="2"/>
        <v>5.6515898568048763E-2</v>
      </c>
    </row>
    <row r="9" spans="1:15" s="31" customFormat="1">
      <c r="A9" s="31" t="s">
        <v>0</v>
      </c>
    </row>
    <row r="10" spans="1:15" s="31" customFormat="1">
      <c r="A10" s="57" t="s">
        <v>12</v>
      </c>
      <c r="D10" s="31">
        <f>('Income Statement'!E9-'Income Statement'!D9)/'Income Statement'!D9</f>
        <v>-0.45861680223591395</v>
      </c>
      <c r="E10" s="31">
        <f>('Income Statement'!F9-'Income Statement'!E9)/'Income Statement'!E9</f>
        <v>-0.39050648928093701</v>
      </c>
      <c r="G10" s="33">
        <f>IF(Case="A",G11,IF(Case="B",G12,G13))</f>
        <v>-0.31240519142474965</v>
      </c>
      <c r="H10" s="33">
        <f>IF(Case="A",H11,IF(Case="B",H12,H13))</f>
        <v>-0.31240519142474965</v>
      </c>
      <c r="I10" s="33">
        <f>IF(Case="A",I11,IF(Case="B",I12,I13))</f>
        <v>-0.31240519142474965</v>
      </c>
      <c r="J10" s="33">
        <f>IF(Case="A",J11,IF(Case="B",J12,J13))</f>
        <v>-0.31240519142474965</v>
      </c>
      <c r="K10" s="33">
        <f>IF(Case="A",K11,IF(Case="B",K12,K13))</f>
        <v>-0.31240519142474965</v>
      </c>
    </row>
    <row r="11" spans="1:15">
      <c r="F11" s="2" t="s">
        <v>9</v>
      </c>
      <c r="G11" s="1">
        <f>G12*0.8</f>
        <v>-0.31240519142474965</v>
      </c>
      <c r="H11" s="1">
        <f t="shared" ref="H11:K11" si="3">H12*0.8</f>
        <v>-0.31240519142474965</v>
      </c>
      <c r="I11" s="1">
        <f t="shared" si="3"/>
        <v>-0.31240519142474965</v>
      </c>
      <c r="J11" s="1">
        <f t="shared" si="3"/>
        <v>-0.31240519142474965</v>
      </c>
      <c r="K11" s="1">
        <f t="shared" si="3"/>
        <v>-0.31240519142474965</v>
      </c>
    </row>
    <row r="12" spans="1:15">
      <c r="F12" s="2" t="s">
        <v>10</v>
      </c>
      <c r="G12" s="1">
        <f>E10</f>
        <v>-0.39050648928093701</v>
      </c>
      <c r="H12" s="1">
        <f>G12</f>
        <v>-0.39050648928093701</v>
      </c>
      <c r="I12" s="1">
        <f>H12</f>
        <v>-0.39050648928093701</v>
      </c>
      <c r="J12" s="1">
        <f t="shared" ref="J12:K12" si="4">I12</f>
        <v>-0.39050648928093701</v>
      </c>
      <c r="K12" s="1">
        <f t="shared" si="4"/>
        <v>-0.39050648928093701</v>
      </c>
    </row>
    <row r="13" spans="1:15">
      <c r="F13" s="2" t="s">
        <v>11</v>
      </c>
      <c r="G13" s="1">
        <f>G12*1.2</f>
        <v>-0.46860778713712437</v>
      </c>
      <c r="H13" s="1">
        <f t="shared" ref="H13:K13" si="5">H12*1.2</f>
        <v>-0.46860778713712437</v>
      </c>
      <c r="I13" s="1">
        <f t="shared" si="5"/>
        <v>-0.46860778713712437</v>
      </c>
      <c r="J13" s="1">
        <f t="shared" si="5"/>
        <v>-0.46860778713712437</v>
      </c>
      <c r="K13" s="1">
        <f t="shared" si="5"/>
        <v>-0.46860778713712437</v>
      </c>
    </row>
    <row r="14" spans="1:15" s="31" customFormat="1">
      <c r="A14" s="31" t="s">
        <v>1</v>
      </c>
    </row>
    <row r="15" spans="1:15" s="31" customFormat="1">
      <c r="A15" s="57" t="s">
        <v>13</v>
      </c>
      <c r="C15" s="32">
        <f>'Income Statement'!D13/'Income Statement'!D7</f>
        <v>0.73141273556141406</v>
      </c>
      <c r="D15" s="32">
        <f>'Income Statement'!E13/'Income Statement'!E7</f>
        <v>0.74154033732796065</v>
      </c>
      <c r="E15" s="32">
        <f>'Income Statement'!F13/'Income Statement'!F7</f>
        <v>0.75337343272493928</v>
      </c>
      <c r="G15" s="33">
        <f>IF(Case="A",G16,IF(Case="B",G17,G18))</f>
        <v>0.60269874617995145</v>
      </c>
      <c r="H15" s="33">
        <f>IF(Case="A",H16,IF(Case="B",H17,H18))</f>
        <v>0.60269874617995145</v>
      </c>
      <c r="I15" s="33">
        <f>IF(Case="A",I16,IF(Case="B",I17,I18))</f>
        <v>0.60269874617995145</v>
      </c>
      <c r="J15" s="33">
        <f>IF(Case="A",J16,IF(Case="B",J17,J18))</f>
        <v>0.60269874617995145</v>
      </c>
      <c r="K15" s="33">
        <f>IF(Case="A",K16,IF(Case="B",K17,K18))</f>
        <v>0.60269874617995145</v>
      </c>
    </row>
    <row r="16" spans="1:15">
      <c r="F16" s="2" t="s">
        <v>9</v>
      </c>
      <c r="G16" s="1">
        <f>G17*0.8</f>
        <v>0.60269874617995145</v>
      </c>
      <c r="H16" s="1">
        <f t="shared" ref="H16" si="6">H17*0.8</f>
        <v>0.60269874617995145</v>
      </c>
      <c r="I16" s="1">
        <f t="shared" ref="I16" si="7">I17*0.8</f>
        <v>0.60269874617995145</v>
      </c>
      <c r="J16" s="1">
        <f t="shared" ref="J16" si="8">J17*0.8</f>
        <v>0.60269874617995145</v>
      </c>
      <c r="K16" s="1">
        <f t="shared" ref="K16" si="9">K17*0.8</f>
        <v>0.60269874617995145</v>
      </c>
    </row>
    <row r="17" spans="1:11">
      <c r="F17" s="2" t="s">
        <v>10</v>
      </c>
      <c r="G17" s="1">
        <f>E15</f>
        <v>0.75337343272493928</v>
      </c>
      <c r="H17" s="1">
        <f>G17</f>
        <v>0.75337343272493928</v>
      </c>
      <c r="I17" s="1">
        <f>H17</f>
        <v>0.75337343272493928</v>
      </c>
      <c r="J17" s="1">
        <f t="shared" ref="J17:K17" si="10">I17</f>
        <v>0.75337343272493928</v>
      </c>
      <c r="K17" s="1">
        <f t="shared" si="10"/>
        <v>0.75337343272493928</v>
      </c>
    </row>
    <row r="18" spans="1:11">
      <c r="F18" s="2" t="s">
        <v>11</v>
      </c>
      <c r="G18" s="1">
        <f>G17*1.2</f>
        <v>0.90404811926992712</v>
      </c>
      <c r="H18" s="1">
        <f t="shared" ref="H18" si="11">H17*1.2</f>
        <v>0.90404811926992712</v>
      </c>
      <c r="I18" s="1">
        <f t="shared" ref="I18" si="12">I17*1.2</f>
        <v>0.90404811926992712</v>
      </c>
      <c r="J18" s="1">
        <f t="shared" ref="J18" si="13">J17*1.2</f>
        <v>0.90404811926992712</v>
      </c>
      <c r="K18" s="1">
        <f t="shared" ref="K18" si="14">K17*1.2</f>
        <v>0.90404811926992712</v>
      </c>
    </row>
    <row r="19" spans="1:11" s="31" customFormat="1">
      <c r="A19" s="31" t="s">
        <v>3</v>
      </c>
    </row>
    <row r="20" spans="1:11" s="31" customFormat="1">
      <c r="A20" s="57" t="s">
        <v>13</v>
      </c>
      <c r="C20" s="32">
        <f>'Income Statement'!D18/'Income Statement'!D7</f>
        <v>0.19720933095732021</v>
      </c>
      <c r="D20" s="32">
        <f>'Income Statement'!E18/'Income Statement'!E7</f>
        <v>0.27328340789065425</v>
      </c>
      <c r="E20" s="32">
        <f>'Income Statement'!F18/'Income Statement'!F7</f>
        <v>0.21489164595535712</v>
      </c>
      <c r="G20" s="33">
        <f>IF(Case="A",G21,IF(Case="B",G22,G23))</f>
        <v>0.1719133167642857</v>
      </c>
      <c r="H20" s="33">
        <f>IF(Case="A",H21,IF(Case="B",H22,H23))</f>
        <v>0.1719133167642857</v>
      </c>
      <c r="I20" s="33">
        <f>IF(Case="A",I21,IF(Case="B",I22,I23))</f>
        <v>0.1719133167642857</v>
      </c>
      <c r="J20" s="33">
        <f>IF(Case="A",J21,IF(Case="B",J22,J23))</f>
        <v>0.1719133167642857</v>
      </c>
      <c r="K20" s="33">
        <f>IF(Case="A",K21,IF(Case="B",K22,K23))</f>
        <v>0.1719133167642857</v>
      </c>
    </row>
    <row r="21" spans="1:11">
      <c r="F21" s="2" t="s">
        <v>9</v>
      </c>
      <c r="G21" s="1">
        <f>G22*0.8</f>
        <v>0.1719133167642857</v>
      </c>
      <c r="H21" s="1">
        <f t="shared" ref="H21" si="15">H22*0.8</f>
        <v>0.1719133167642857</v>
      </c>
      <c r="I21" s="1">
        <f t="shared" ref="I21" si="16">I22*0.8</f>
        <v>0.1719133167642857</v>
      </c>
      <c r="J21" s="1">
        <f t="shared" ref="J21" si="17">J22*0.8</f>
        <v>0.1719133167642857</v>
      </c>
      <c r="K21" s="1">
        <f t="shared" ref="K21" si="18">K22*0.8</f>
        <v>0.1719133167642857</v>
      </c>
    </row>
    <row r="22" spans="1:11">
      <c r="F22" s="2" t="s">
        <v>10</v>
      </c>
      <c r="G22" s="1">
        <f>E20</f>
        <v>0.21489164595535712</v>
      </c>
      <c r="H22" s="1">
        <f>G22</f>
        <v>0.21489164595535712</v>
      </c>
      <c r="I22" s="1">
        <f>H22</f>
        <v>0.21489164595535712</v>
      </c>
      <c r="J22" s="1">
        <f t="shared" ref="J22:K22" si="19">I22</f>
        <v>0.21489164595535712</v>
      </c>
      <c r="K22" s="1">
        <f t="shared" si="19"/>
        <v>0.21489164595535712</v>
      </c>
    </row>
    <row r="23" spans="1:11">
      <c r="F23" s="2" t="s">
        <v>11</v>
      </c>
      <c r="G23" s="1">
        <f>G22*1.2</f>
        <v>0.25786997514642851</v>
      </c>
      <c r="H23" s="1">
        <f t="shared" ref="H23" si="20">H22*1.2</f>
        <v>0.25786997514642851</v>
      </c>
      <c r="I23" s="1">
        <f t="shared" ref="I23" si="21">I22*1.2</f>
        <v>0.25786997514642851</v>
      </c>
      <c r="J23" s="1">
        <f t="shared" ref="J23" si="22">J22*1.2</f>
        <v>0.25786997514642851</v>
      </c>
      <c r="K23" s="1">
        <f t="shared" ref="K23" si="23">K22*1.2</f>
        <v>0.25786997514642851</v>
      </c>
    </row>
    <row r="24" spans="1:11" s="31" customFormat="1">
      <c r="A24" s="31" t="s">
        <v>15</v>
      </c>
    </row>
    <row r="25" spans="1:11" s="31" customFormat="1">
      <c r="A25" s="57" t="s">
        <v>14</v>
      </c>
      <c r="C25" s="32">
        <f>'Income Statement'!D25/'Income Statement'!D13</f>
        <v>3.5434996753976725E-2</v>
      </c>
      <c r="D25" s="32">
        <f>'Income Statement'!E25/'Income Statement'!E13</f>
        <v>6.0568831273287001E-2</v>
      </c>
      <c r="E25" s="32">
        <f>'Income Statement'!F25/'Income Statement'!F13</f>
        <v>6.6564763297627644E-2</v>
      </c>
      <c r="G25" s="33">
        <f>IF(Case="A",G26,IF(Case="B",G27,G28))</f>
        <v>5.3251810638102116E-2</v>
      </c>
      <c r="H25" s="33">
        <f>IF(Case="A",H26,IF(Case="B",H27,H28))</f>
        <v>5.3251810638102116E-2</v>
      </c>
      <c r="I25" s="33">
        <f>IF(Case="A",I26,IF(Case="B",I27,I28))</f>
        <v>5.3251810638102116E-2</v>
      </c>
      <c r="J25" s="33">
        <f>IF(Case="A",J26,IF(Case="B",J27,J28))</f>
        <v>5.3251810638102116E-2</v>
      </c>
      <c r="K25" s="33">
        <f>IF(Case="A",K26,IF(Case="B",K27,K28))</f>
        <v>5.3251810638102116E-2</v>
      </c>
    </row>
    <row r="26" spans="1:11">
      <c r="F26" s="2" t="s">
        <v>9</v>
      </c>
      <c r="G26" s="1">
        <f>G27*0.8</f>
        <v>5.3251810638102116E-2</v>
      </c>
      <c r="H26" s="1">
        <f t="shared" ref="H26" si="24">H27*0.8</f>
        <v>5.3251810638102116E-2</v>
      </c>
      <c r="I26" s="1">
        <f t="shared" ref="I26" si="25">I27*0.8</f>
        <v>5.3251810638102116E-2</v>
      </c>
      <c r="J26" s="1">
        <f t="shared" ref="J26" si="26">J27*0.8</f>
        <v>5.3251810638102116E-2</v>
      </c>
      <c r="K26" s="1">
        <f t="shared" ref="K26" si="27">K27*0.8</f>
        <v>5.3251810638102116E-2</v>
      </c>
    </row>
    <row r="27" spans="1:11">
      <c r="F27" s="2" t="s">
        <v>10</v>
      </c>
      <c r="G27" s="1">
        <f>E25</f>
        <v>6.6564763297627644E-2</v>
      </c>
      <c r="H27" s="1">
        <f>G27</f>
        <v>6.6564763297627644E-2</v>
      </c>
      <c r="I27" s="1">
        <f>H27</f>
        <v>6.6564763297627644E-2</v>
      </c>
      <c r="J27" s="1">
        <f t="shared" ref="J27:K27" si="28">I27</f>
        <v>6.6564763297627644E-2</v>
      </c>
      <c r="K27" s="1">
        <f t="shared" si="28"/>
        <v>6.6564763297627644E-2</v>
      </c>
    </row>
    <row r="28" spans="1:11">
      <c r="F28" s="2" t="s">
        <v>11</v>
      </c>
      <c r="G28" s="1">
        <f>G27*1.2</f>
        <v>7.9877715957153164E-2</v>
      </c>
      <c r="H28" s="1">
        <f t="shared" ref="H28" si="29">H27*1.2</f>
        <v>7.9877715957153164E-2</v>
      </c>
      <c r="I28" s="1">
        <f t="shared" ref="I28" si="30">I27*1.2</f>
        <v>7.9877715957153164E-2</v>
      </c>
      <c r="J28" s="1">
        <f t="shared" ref="J28" si="31">J27*1.2</f>
        <v>7.9877715957153164E-2</v>
      </c>
      <c r="K28" s="1">
        <f t="shared" ref="K28" si="32">K27*1.2</f>
        <v>7.9877715957153164E-2</v>
      </c>
    </row>
    <row r="29" spans="1:11" s="31" customFormat="1">
      <c r="A29" s="31" t="s">
        <v>7</v>
      </c>
    </row>
    <row r="30" spans="1:11" s="31" customFormat="1">
      <c r="A30" s="57" t="s">
        <v>16</v>
      </c>
      <c r="C30" s="32">
        <f>'Income Statement'!D32/'Income Statement'!D28</f>
        <v>0.15770781139924886</v>
      </c>
      <c r="D30" s="32">
        <f>'Income Statement'!E32/'Income Statement'!E28</f>
        <v>-2.2768898947565393E-2</v>
      </c>
      <c r="E30" s="32">
        <f>'Income Statement'!F32/'Income Statement'!F28</f>
        <v>-3.5835685668961531E-2</v>
      </c>
      <c r="G30" s="33">
        <f>IF(Case="A",G31,IF(Case="B",G32,G33))</f>
        <v>-4.3002822802753839E-2</v>
      </c>
      <c r="H30" s="33">
        <f>IF(Case="A",H31,IF(Case="B",H32,H33))</f>
        <v>-4.3002822802753839E-2</v>
      </c>
      <c r="I30" s="33">
        <f>IF(Case="A",I31,IF(Case="B",I32,I33))</f>
        <v>-4.3002822802753839E-2</v>
      </c>
      <c r="J30" s="33">
        <f>IF(Case="A",J31,IF(Case="B",J32,J33))</f>
        <v>-4.3002822802753839E-2</v>
      </c>
      <c r="K30" s="33">
        <f>IF(Case="A",K31,IF(Case="B",K32,K33))</f>
        <v>-4.3002822802753839E-2</v>
      </c>
    </row>
    <row r="31" spans="1:11">
      <c r="F31" s="2" t="s">
        <v>9</v>
      </c>
      <c r="G31" s="1">
        <f>G32*1.2</f>
        <v>-4.3002822802753839E-2</v>
      </c>
      <c r="H31" s="1">
        <f t="shared" ref="H31:K31" si="33">H32*1.2</f>
        <v>-4.3002822802753839E-2</v>
      </c>
      <c r="I31" s="1">
        <f t="shared" si="33"/>
        <v>-4.3002822802753839E-2</v>
      </c>
      <c r="J31" s="1">
        <f t="shared" si="33"/>
        <v>-4.3002822802753839E-2</v>
      </c>
      <c r="K31" s="1">
        <f t="shared" si="33"/>
        <v>-4.3002822802753839E-2</v>
      </c>
    </row>
    <row r="32" spans="1:11">
      <c r="F32" s="2" t="s">
        <v>10</v>
      </c>
      <c r="G32" s="1">
        <f>E30</f>
        <v>-3.5835685668961531E-2</v>
      </c>
      <c r="H32" s="1">
        <f>G32</f>
        <v>-3.5835685668961531E-2</v>
      </c>
      <c r="I32" s="1">
        <f>H32</f>
        <v>-3.5835685668961531E-2</v>
      </c>
      <c r="J32" s="1">
        <f t="shared" ref="J32:K32" si="34">I32</f>
        <v>-3.5835685668961531E-2</v>
      </c>
      <c r="K32" s="1">
        <f t="shared" si="34"/>
        <v>-3.5835685668961531E-2</v>
      </c>
    </row>
    <row r="33" spans="6:11">
      <c r="F33" s="2" t="s">
        <v>11</v>
      </c>
      <c r="G33" s="1">
        <f>G32*0.8</f>
        <v>-2.8668548535169227E-2</v>
      </c>
      <c r="H33" s="1">
        <f t="shared" ref="H33:K33" si="35">H32*0.8</f>
        <v>-2.8668548535169227E-2</v>
      </c>
      <c r="I33" s="1">
        <f t="shared" si="35"/>
        <v>-2.8668548535169227E-2</v>
      </c>
      <c r="J33" s="1">
        <f t="shared" si="35"/>
        <v>-2.8668548535169227E-2</v>
      </c>
      <c r="K33" s="1">
        <f t="shared" si="35"/>
        <v>-2.8668548535169227E-2</v>
      </c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77AEE-9050-4554-B0F0-9AACF2F39A85}">
  <dimension ref="A1:N47"/>
  <sheetViews>
    <sheetView showGridLines="0" workbookViewId="0">
      <pane ySplit="5" topLeftCell="A6" activePane="bottomLeft" state="frozen"/>
      <selection pane="bottomLeft" activeCell="N28" sqref="N28"/>
    </sheetView>
  </sheetViews>
  <sheetFormatPr defaultColWidth="12.6328125" defaultRowHeight="14.5"/>
  <cols>
    <col min="1" max="6" width="12.6328125" style="3"/>
    <col min="7" max="7" width="5.1796875" style="3" customWidth="1"/>
    <col min="8" max="16384" width="12.6328125" style="3"/>
  </cols>
  <sheetData>
    <row r="1" spans="1:12" ht="22.5">
      <c r="A1" s="68" t="s">
        <v>85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</row>
    <row r="3" spans="1:12">
      <c r="A3" s="52" t="s">
        <v>87</v>
      </c>
      <c r="B3" s="10" t="str">
        <f>'Income Statement'!B3</f>
        <v>A</v>
      </c>
    </row>
    <row r="4" spans="1:12">
      <c r="A4" s="69" t="s">
        <v>84</v>
      </c>
      <c r="B4" s="69"/>
      <c r="C4" s="69"/>
      <c r="D4" s="63" t="s">
        <v>186</v>
      </c>
      <c r="E4" s="64"/>
      <c r="F4" s="64"/>
      <c r="G4" s="65"/>
      <c r="H4" s="60" t="s">
        <v>187</v>
      </c>
      <c r="I4" s="60"/>
      <c r="J4" s="60"/>
      <c r="K4" s="60"/>
      <c r="L4" s="60"/>
    </row>
    <row r="5" spans="1:12" s="8" customFormat="1">
      <c r="D5" s="44" t="s">
        <v>188</v>
      </c>
      <c r="E5" s="44" t="s">
        <v>189</v>
      </c>
      <c r="F5" s="44" t="s">
        <v>190</v>
      </c>
      <c r="G5" s="44"/>
      <c r="H5" s="44" t="s">
        <v>191</v>
      </c>
      <c r="I5" s="44" t="s">
        <v>192</v>
      </c>
      <c r="J5" s="44" t="s">
        <v>193</v>
      </c>
      <c r="K5" s="44" t="s">
        <v>194</v>
      </c>
      <c r="L5" s="44" t="s">
        <v>195</v>
      </c>
    </row>
    <row r="6" spans="1:12" s="27" customFormat="1">
      <c r="A6" s="27" t="s">
        <v>27</v>
      </c>
    </row>
    <row r="7" spans="1:12">
      <c r="A7" s="3" t="s">
        <v>93</v>
      </c>
      <c r="D7" s="13">
        <v>2020.6</v>
      </c>
      <c r="E7" s="13">
        <v>-7289.63</v>
      </c>
      <c r="F7" s="13">
        <v>-2395.44</v>
      </c>
      <c r="H7" s="3">
        <f>'Income Statement'!H34</f>
        <v>6588.5525750180741</v>
      </c>
      <c r="I7" s="3">
        <f>'Income Statement'!I34</f>
        <v>6835.4181845009589</v>
      </c>
      <c r="J7" s="3">
        <f>'Income Statement'!J34</f>
        <v>7165.3278165648971</v>
      </c>
      <c r="K7" s="3">
        <f>'Income Statement'!K34</f>
        <v>7565.9159857748382</v>
      </c>
      <c r="L7" s="3">
        <f>'Income Statement'!L34</f>
        <v>8029.831299227817</v>
      </c>
    </row>
    <row r="8" spans="1:12">
      <c r="A8" s="3" t="s">
        <v>94</v>
      </c>
      <c r="D8" s="13"/>
      <c r="E8" s="13"/>
      <c r="F8" s="13"/>
    </row>
    <row r="9" spans="1:12">
      <c r="A9" s="3" t="s">
        <v>95</v>
      </c>
      <c r="D9" s="13">
        <v>3098.64</v>
      </c>
      <c r="E9" s="13">
        <v>3375.29</v>
      </c>
      <c r="F9" s="13">
        <v>3681.61</v>
      </c>
      <c r="H9" s="3">
        <f>'Depreciation Schedule'!D19</f>
        <v>4024.6615009930879</v>
      </c>
      <c r="I9" s="3">
        <f>'Depreciation Schedule'!E19</f>
        <v>4612.839343433051</v>
      </c>
      <c r="J9" s="3">
        <f>'Depreciation Schedule'!F19</f>
        <v>5250.8792847979803</v>
      </c>
      <c r="K9" s="3">
        <f>'Depreciation Schedule'!G19</f>
        <v>5943.0083270757259</v>
      </c>
      <c r="L9" s="3">
        <f>'Depreciation Schedule'!H19</f>
        <v>6693.8118114775261</v>
      </c>
    </row>
    <row r="10" spans="1:12">
      <c r="A10" s="3" t="s">
        <v>96</v>
      </c>
      <c r="D10" s="13">
        <v>378.33</v>
      </c>
      <c r="E10" s="13">
        <v>162.29</v>
      </c>
      <c r="F10" s="13">
        <v>82.87</v>
      </c>
      <c r="H10" s="41" t="s">
        <v>174</v>
      </c>
      <c r="I10" s="41" t="s">
        <v>174</v>
      </c>
      <c r="J10" s="41" t="s">
        <v>174</v>
      </c>
      <c r="K10" s="41" t="s">
        <v>174</v>
      </c>
      <c r="L10" s="41" t="s">
        <v>174</v>
      </c>
    </row>
    <row r="11" spans="1:12">
      <c r="A11" s="3" t="s">
        <v>97</v>
      </c>
      <c r="D11" s="13">
        <v>559.71</v>
      </c>
      <c r="E11" s="13">
        <v>2761.09</v>
      </c>
      <c r="F11" s="13">
        <v>-1466.63</v>
      </c>
      <c r="H11" s="3">
        <f>IF($B$3="A",MAX($D$11:$F$11),IF($B$3="B",$F$11,MIN($D$11:$F$11)))</f>
        <v>2761.09</v>
      </c>
      <c r="I11" s="3">
        <f>IF($B$3="A",MAX($D$11:$F$11),IF($B$3="B",$F$11,MIN($D$11:$F$11)))</f>
        <v>2761.09</v>
      </c>
      <c r="J11" s="3">
        <f>IF($B$3="A",MAX($D$11:$F$11),IF($B$3="B",$F$11,MIN($D$11:$F$11)))</f>
        <v>2761.09</v>
      </c>
      <c r="K11" s="3">
        <f>IF($B$3="A",MAX($D$11:$F$11),IF($B$3="B",$F$11,MIN($D$11:$F$11)))</f>
        <v>2761.09</v>
      </c>
      <c r="L11" s="3">
        <f>IF($B$3="A",MAX($D$11:$F$11),IF($B$3="B",$F$11,MIN($D$11:$F$11)))</f>
        <v>2761.09</v>
      </c>
    </row>
    <row r="12" spans="1:12">
      <c r="A12" s="3" t="s">
        <v>98</v>
      </c>
      <c r="D12" s="13">
        <v>1793.57</v>
      </c>
      <c r="E12" s="13">
        <v>1973</v>
      </c>
      <c r="F12" s="13">
        <v>2358.54</v>
      </c>
      <c r="H12" s="3">
        <f>IF($B$3="A",MAX($D$12:$F$12),IF($B$3="B",$F$12,MIN($D$12:$F$12)))</f>
        <v>2358.54</v>
      </c>
      <c r="I12" s="3">
        <f>IF($B$3="A",MAX($D$12:$F$12),IF($B$3="B",$F$12,MIN($D$12:$F$12)))</f>
        <v>2358.54</v>
      </c>
      <c r="J12" s="3">
        <f>IF($B$3="A",MAX($D$12:$F$12),IF($B$3="B",$F$12,MIN($D$12:$F$12)))</f>
        <v>2358.54</v>
      </c>
      <c r="K12" s="3">
        <f>IF($B$3="A",MAX($D$12:$F$12),IF($B$3="B",$F$12,MIN($D$12:$F$12)))</f>
        <v>2358.54</v>
      </c>
      <c r="L12" s="3">
        <f>IF($B$3="A",MAX($D$12:$F$12),IF($B$3="B",$F$12,MIN($D$12:$F$12)))</f>
        <v>2358.54</v>
      </c>
    </row>
    <row r="13" spans="1:12">
      <c r="A13" s="3" t="s">
        <v>99</v>
      </c>
      <c r="D13" s="13">
        <v>-1683.86</v>
      </c>
      <c r="E13" s="13">
        <v>-542.62</v>
      </c>
      <c r="F13" s="13">
        <v>-300.13</v>
      </c>
      <c r="H13" s="3">
        <f>IF($B$3="A",MAX($D$13:$F$13),IF($B$3="B",$F$13,MIN($D$13:$F$13)))</f>
        <v>-300.13</v>
      </c>
      <c r="I13" s="3">
        <f>IF($B$3="A",MAX($D$13:$F$13),IF($B$3="B",$F$13,MIN($D$13:$F$13)))</f>
        <v>-300.13</v>
      </c>
      <c r="J13" s="3">
        <f>IF($B$3="A",MAX($D$13:$F$13),IF($B$3="B",$F$13,MIN($D$13:$F$13)))</f>
        <v>-300.13</v>
      </c>
      <c r="K13" s="3">
        <f>IF($B$3="A",MAX($D$13:$F$13),IF($B$3="B",$F$13,MIN($D$13:$F$13)))</f>
        <v>-300.13</v>
      </c>
      <c r="L13" s="3">
        <f>IF($B$3="A",MAX($D$13:$F$13),IF($B$3="B",$F$13,MIN($D$13:$F$13)))</f>
        <v>-300.13</v>
      </c>
    </row>
    <row r="14" spans="1:12" s="27" customFormat="1">
      <c r="A14" s="27" t="s">
        <v>36</v>
      </c>
      <c r="D14" s="27">
        <f>SUM(D9:D13)</f>
        <v>4146.3900000000003</v>
      </c>
      <c r="E14" s="27">
        <f>SUM(E9:E13)</f>
        <v>7729.05</v>
      </c>
      <c r="F14" s="27">
        <f>SUM(F9:F13)</f>
        <v>4356.2599999999993</v>
      </c>
      <c r="H14" s="27">
        <f t="shared" ref="H14:K14" si="0">SUM(H9:H13)</f>
        <v>8844.1615009930883</v>
      </c>
      <c r="I14" s="27">
        <f t="shared" si="0"/>
        <v>9432.3393434330519</v>
      </c>
      <c r="J14" s="27">
        <f t="shared" si="0"/>
        <v>10070.37928479798</v>
      </c>
      <c r="K14" s="27">
        <f t="shared" si="0"/>
        <v>10762.508327075726</v>
      </c>
      <c r="L14" s="27">
        <f>SUM(L9:L13)</f>
        <v>11513.311811477526</v>
      </c>
    </row>
    <row r="15" spans="1:12">
      <c r="D15" s="13"/>
      <c r="E15" s="13"/>
      <c r="F15" s="13"/>
    </row>
    <row r="16" spans="1:12" s="18" customFormat="1">
      <c r="A16" s="18" t="s">
        <v>28</v>
      </c>
      <c r="D16" s="18">
        <f>SUM(D7,D14)</f>
        <v>6166.99</v>
      </c>
      <c r="E16" s="18">
        <f>SUM(E14,E7)</f>
        <v>439.42000000000007</v>
      </c>
      <c r="F16" s="18">
        <f>SUM(F14,F7)</f>
        <v>1960.8199999999993</v>
      </c>
      <c r="H16" s="18">
        <f>SUM(H14,H7)</f>
        <v>15432.714076011162</v>
      </c>
      <c r="I16" s="18">
        <f t="shared" ref="I16:L16" si="1">SUM(I14,I7)</f>
        <v>16267.757527934011</v>
      </c>
      <c r="J16" s="18">
        <f t="shared" si="1"/>
        <v>17235.707101362877</v>
      </c>
      <c r="K16" s="18">
        <f t="shared" si="1"/>
        <v>18328.424312850562</v>
      </c>
      <c r="L16" s="18">
        <f t="shared" si="1"/>
        <v>19543.143110705343</v>
      </c>
    </row>
    <row r="17" spans="1:14">
      <c r="A17" s="3" t="s">
        <v>100</v>
      </c>
      <c r="D17" s="13">
        <v>164.5</v>
      </c>
      <c r="E17" s="13">
        <v>1168.02</v>
      </c>
      <c r="F17" s="13">
        <v>-141.51</v>
      </c>
      <c r="H17" s="3">
        <f>'Working Capital Schedule'!F6-'Working Capital Schedule'!H6</f>
        <v>-458.46153436995473</v>
      </c>
      <c r="I17" s="3">
        <f>'Working Capital Schedule'!H6-'Working Capital Schedule'!I6</f>
        <v>-215.83180349038821</v>
      </c>
      <c r="J17" s="3">
        <f>'Working Capital Schedule'!I6-'Working Capital Schedule'!J6</f>
        <v>-234.12869596112068</v>
      </c>
      <c r="K17" s="3">
        <f>'Working Capital Schedule'!J6-'Working Capital Schedule'!K6</f>
        <v>-253.9766864103326</v>
      </c>
      <c r="L17" s="3">
        <f>'Working Capital Schedule'!K6-'Working Capital Schedule'!L6</f>
        <v>-275.5072673820564</v>
      </c>
    </row>
    <row r="18" spans="1:14">
      <c r="A18" s="3" t="s">
        <v>101</v>
      </c>
      <c r="D18" s="13">
        <v>966</v>
      </c>
      <c r="E18" s="13">
        <v>730.01</v>
      </c>
      <c r="F18" s="13">
        <v>-765.37</v>
      </c>
      <c r="H18" s="3">
        <f>'Working Capital Schedule'!F8-'Working Capital Schedule'!H8</f>
        <v>1058.7755019694964</v>
      </c>
      <c r="I18" s="3">
        <f>'Working Capital Schedule'!H8-'Working Capital Schedule'!I8</f>
        <v>-296.109497693295</v>
      </c>
      <c r="J18" s="3">
        <f>'Working Capital Schedule'!I8-'Working Capital Schedule'!J8</f>
        <v>-321.21183919830128</v>
      </c>
      <c r="K18" s="3">
        <f>'Working Capital Schedule'!J8-'Working Capital Schedule'!K8</f>
        <v>-348.44220278278135</v>
      </c>
      <c r="L18" s="3">
        <f>'Working Capital Schedule'!K8-'Working Capital Schedule'!L8</f>
        <v>-377.98098906673204</v>
      </c>
    </row>
    <row r="19" spans="1:14">
      <c r="A19" s="3" t="s">
        <v>102</v>
      </c>
      <c r="D19" s="13">
        <v>-725.29</v>
      </c>
      <c r="E19" s="13">
        <v>-2688.95</v>
      </c>
      <c r="F19" s="13">
        <v>4964.54</v>
      </c>
      <c r="H19" s="3">
        <f>'Working Capital Schedule'!H14-'Working Capital Schedule'!F14</f>
        <v>-5542.829332544512</v>
      </c>
      <c r="I19" s="3">
        <f>'Working Capital Schedule'!I14-'Working Capital Schedule'!H14</f>
        <v>885.48832955202852</v>
      </c>
      <c r="J19" s="3">
        <f>'Working Capital Schedule'!J14-'Working Capital Schedule'!I14</f>
        <v>960.5545824762612</v>
      </c>
      <c r="K19" s="3">
        <f>'Working Capital Schedule'!K14-'Working Capital Schedule'!J14</f>
        <v>1041.9844905047139</v>
      </c>
      <c r="L19" s="3">
        <f>'Working Capital Schedule'!L14-'Working Capital Schedule'!K14</f>
        <v>1130.3175251669818</v>
      </c>
    </row>
    <row r="20" spans="1:14">
      <c r="A20" s="3" t="s">
        <v>103</v>
      </c>
      <c r="D20" s="13">
        <v>-97.35</v>
      </c>
      <c r="E20" s="13">
        <v>-1010.55</v>
      </c>
      <c r="F20" s="13">
        <v>725.09</v>
      </c>
      <c r="H20" s="3">
        <f>'Working Capital Schedule'!F10-'Working Capital Schedule'!H10+'Working Capital Schedule'!H18-'Working Capital Schedule'!F18</f>
        <v>-375.41523516223674</v>
      </c>
      <c r="I20" s="3">
        <f>'Working Capital Schedule'!H10-'Working Capital Schedule'!I10+'Working Capital Schedule'!I18-'Working Capital Schedule'!H18</f>
        <v>63.173027614517878</v>
      </c>
      <c r="J20" s="3">
        <f>'Working Capital Schedule'!I10-'Working Capital Schedule'!J10+'Working Capital Schedule'!J18-'Working Capital Schedule'!I18</f>
        <v>68.528448245865548</v>
      </c>
      <c r="K20" s="3">
        <f>'Working Capital Schedule'!J10-'Working Capital Schedule'!K10+'Working Capital Schedule'!K18-'Working Capital Schedule'!J18</f>
        <v>74.337868490999881</v>
      </c>
      <c r="L20" s="3">
        <f>'Working Capital Schedule'!K10-'Working Capital Schedule'!L10+'Working Capital Schedule'!L18-'Working Capital Schedule'!K18</f>
        <v>80.639775644102883</v>
      </c>
    </row>
    <row r="21" spans="1:14" s="27" customFormat="1">
      <c r="A21" s="27" t="s">
        <v>36</v>
      </c>
      <c r="D21" s="27">
        <f>SUM(D16:D20)</f>
        <v>6474.8499999999995</v>
      </c>
      <c r="E21" s="27">
        <f>SUM(E16:E20)</f>
        <v>-1362.05</v>
      </c>
      <c r="F21" s="27">
        <f>SUM(F16:F20)</f>
        <v>6743.57</v>
      </c>
      <c r="H21" s="27">
        <f>SUM(H16:H20)</f>
        <v>10114.783475903954</v>
      </c>
      <c r="I21" s="27">
        <f t="shared" ref="I21:L21" si="2">SUM(I16:I20)</f>
        <v>16704.477583916872</v>
      </c>
      <c r="J21" s="27">
        <f t="shared" si="2"/>
        <v>17709.44959692558</v>
      </c>
      <c r="K21" s="27">
        <f t="shared" si="2"/>
        <v>18842.327782653159</v>
      </c>
      <c r="L21" s="27">
        <f t="shared" si="2"/>
        <v>20100.61215506764</v>
      </c>
    </row>
    <row r="22" spans="1:14">
      <c r="A22" s="3" t="s">
        <v>104</v>
      </c>
      <c r="D22" s="13">
        <v>-182.22</v>
      </c>
      <c r="E22" s="13">
        <v>-92.54</v>
      </c>
      <c r="F22" s="13">
        <v>-63.25</v>
      </c>
      <c r="H22" s="41" t="s">
        <v>174</v>
      </c>
      <c r="I22" s="41" t="s">
        <v>174</v>
      </c>
      <c r="J22" s="41" t="s">
        <v>174</v>
      </c>
      <c r="K22" s="41" t="s">
        <v>174</v>
      </c>
      <c r="L22" s="41" t="s">
        <v>174</v>
      </c>
    </row>
    <row r="23" spans="1:14" s="27" customFormat="1">
      <c r="A23" s="27" t="s">
        <v>29</v>
      </c>
      <c r="D23" s="27">
        <f>SUM(D21:D22)</f>
        <v>6292.6299999999992</v>
      </c>
      <c r="E23" s="27">
        <f>SUM(E21:E22)</f>
        <v>-1454.59</v>
      </c>
      <c r="F23" s="27">
        <f>SUM(F21:F22)</f>
        <v>6680.32</v>
      </c>
      <c r="H23" s="27">
        <f>SUM(H21:H22)</f>
        <v>10114.783475903954</v>
      </c>
      <c r="I23" s="27">
        <f t="shared" ref="I23:L23" si="3">SUM(I21:I22)</f>
        <v>16704.477583916872</v>
      </c>
      <c r="J23" s="27">
        <f t="shared" si="3"/>
        <v>17709.44959692558</v>
      </c>
      <c r="K23" s="27">
        <f t="shared" si="3"/>
        <v>18842.327782653159</v>
      </c>
      <c r="L23" s="27">
        <f t="shared" si="3"/>
        <v>20100.61215506764</v>
      </c>
      <c r="N23" s="28"/>
    </row>
    <row r="24" spans="1:14">
      <c r="D24" s="13"/>
      <c r="E24" s="13"/>
      <c r="F24" s="13"/>
    </row>
    <row r="25" spans="1:14" s="27" customFormat="1">
      <c r="A25" s="27" t="s">
        <v>30</v>
      </c>
      <c r="D25" s="29"/>
      <c r="E25" s="29"/>
      <c r="F25" s="29"/>
      <c r="H25" s="28"/>
    </row>
    <row r="26" spans="1:14">
      <c r="A26" s="3" t="s">
        <v>105</v>
      </c>
      <c r="D26" s="13">
        <v>-4783.4799999999996</v>
      </c>
      <c r="E26" s="13">
        <v>-4668.58</v>
      </c>
      <c r="F26" s="13">
        <v>-1856.3</v>
      </c>
      <c r="H26" s="5">
        <f>-'Income Statement'!H7*'Cash flow Statement'!H27</f>
        <v>-5422.1241008399684</v>
      </c>
      <c r="I26" s="5">
        <f>-'Income Statement'!I7*'Cash flow Statement'!I27</f>
        <v>-5881.7784243996348</v>
      </c>
      <c r="J26" s="5">
        <f>-'Income Statement'!J7*'Cash flow Statement'!J27</f>
        <v>-6380.3994136492965</v>
      </c>
      <c r="K26" s="5">
        <f>-'Income Statement'!K7*'Cash flow Statement'!K27</f>
        <v>-6921.2904227774579</v>
      </c>
      <c r="L26" s="5">
        <f>-'Income Statement'!L7*'Cash flow Statement'!L27</f>
        <v>-7508.034844018006</v>
      </c>
    </row>
    <row r="27" spans="1:14" s="16" customFormat="1">
      <c r="A27" s="56" t="s">
        <v>122</v>
      </c>
      <c r="D27" s="1">
        <f>-D26/'Income Statement'!D7</f>
        <v>6.9122676610008038E-2</v>
      </c>
      <c r="E27" s="1">
        <f>-E26/'Income Statement'!E7</f>
        <v>0.10627758907325299</v>
      </c>
      <c r="F27" s="1">
        <f>-F26/'Income Statement'!F7</f>
        <v>3.9469317033892413E-2</v>
      </c>
      <c r="H27" s="19">
        <f>IF($B$3="A",MAX($D$27:$F$27),IF($B$3="B",$F$27,MIN($D$27:$F$27)))</f>
        <v>0.10627758907325299</v>
      </c>
      <c r="I27" s="19">
        <f>H27</f>
        <v>0.10627758907325299</v>
      </c>
      <c r="J27" s="19">
        <f t="shared" ref="J27:L27" si="4">AVERAGE(G27:H27)</f>
        <v>0.10627758907325299</v>
      </c>
      <c r="K27" s="19">
        <f t="shared" si="4"/>
        <v>0.10627758907325299</v>
      </c>
      <c r="L27" s="19">
        <f t="shared" si="4"/>
        <v>0.10627758907325299</v>
      </c>
    </row>
    <row r="28" spans="1:14">
      <c r="A28" s="3" t="s">
        <v>106</v>
      </c>
      <c r="D28" s="13">
        <v>30.25</v>
      </c>
      <c r="E28" s="13">
        <v>155.16</v>
      </c>
      <c r="F28" s="13">
        <v>178.36</v>
      </c>
      <c r="H28" s="43" t="s">
        <v>174</v>
      </c>
      <c r="I28" s="43" t="s">
        <v>174</v>
      </c>
      <c r="J28" s="43" t="s">
        <v>174</v>
      </c>
      <c r="K28" s="43" t="s">
        <v>174</v>
      </c>
      <c r="L28" s="43" t="s">
        <v>174</v>
      </c>
    </row>
    <row r="29" spans="1:14">
      <c r="A29" s="3" t="s">
        <v>107</v>
      </c>
      <c r="D29" s="13">
        <v>-424.24</v>
      </c>
      <c r="E29" s="13">
        <v>-90.1</v>
      </c>
      <c r="F29" s="13">
        <v>-714.5</v>
      </c>
      <c r="H29" s="43" t="s">
        <v>174</v>
      </c>
      <c r="I29" s="43" t="s">
        <v>174</v>
      </c>
      <c r="J29" s="43" t="s">
        <v>174</v>
      </c>
      <c r="K29" s="43" t="s">
        <v>174</v>
      </c>
      <c r="L29" s="43" t="s">
        <v>174</v>
      </c>
    </row>
    <row r="30" spans="1:14">
      <c r="A30" s="3" t="s">
        <v>108</v>
      </c>
      <c r="D30" s="13">
        <v>1356.92</v>
      </c>
      <c r="E30" s="13">
        <v>-115.36</v>
      </c>
      <c r="F30" s="13">
        <v>-598.88</v>
      </c>
      <c r="H30" s="5">
        <f>IF($B$3="A",MAX($D$30:$F$30),IF($B$3="B",$F$30,MIN($D$30:$F$30)))</f>
        <v>1356.92</v>
      </c>
      <c r="I30" s="5">
        <f>H30</f>
        <v>1356.92</v>
      </c>
      <c r="J30" s="5">
        <f t="shared" ref="J30:L30" si="5">I30</f>
        <v>1356.92</v>
      </c>
      <c r="K30" s="5">
        <f t="shared" si="5"/>
        <v>1356.92</v>
      </c>
      <c r="L30" s="5">
        <f t="shared" si="5"/>
        <v>1356.92</v>
      </c>
    </row>
    <row r="31" spans="1:14" s="27" customFormat="1">
      <c r="A31" s="27" t="s">
        <v>32</v>
      </c>
      <c r="D31" s="27">
        <f>SUM(D26:D30)</f>
        <v>-3820.480877323389</v>
      </c>
      <c r="E31" s="27">
        <f>SUM(E26:E30)</f>
        <v>-4718.7737224109269</v>
      </c>
      <c r="F31" s="27">
        <f>SUM(F26:F30)</f>
        <v>-2991.2805306829659</v>
      </c>
      <c r="H31" s="27">
        <f>SUM(H26:H30)</f>
        <v>-4065.0978232508951</v>
      </c>
      <c r="I31" s="27">
        <f t="shared" ref="I31:L31" si="6">SUM(I26:I30)</f>
        <v>-4524.7521468105615</v>
      </c>
      <c r="J31" s="27">
        <f t="shared" si="6"/>
        <v>-5023.3731360602233</v>
      </c>
      <c r="K31" s="27">
        <f t="shared" si="6"/>
        <v>-5564.2641451883846</v>
      </c>
      <c r="L31" s="27">
        <f t="shared" si="6"/>
        <v>-6151.0085664289327</v>
      </c>
    </row>
    <row r="32" spans="1:14">
      <c r="D32" s="13"/>
      <c r="E32" s="13"/>
      <c r="F32" s="13"/>
    </row>
    <row r="33" spans="1:12" s="27" customFormat="1">
      <c r="A33" s="27" t="s">
        <v>33</v>
      </c>
      <c r="D33" s="29"/>
      <c r="E33" s="29"/>
      <c r="F33" s="29"/>
    </row>
    <row r="34" spans="1:12">
      <c r="A34" s="3" t="s">
        <v>109</v>
      </c>
      <c r="D34" s="13">
        <v>-703.98</v>
      </c>
      <c r="E34" s="13">
        <v>3840.77</v>
      </c>
      <c r="F34" s="13">
        <v>139.27000000000001</v>
      </c>
      <c r="H34" s="41" t="s">
        <v>174</v>
      </c>
      <c r="I34" s="41" t="s">
        <v>174</v>
      </c>
      <c r="J34" s="41" t="s">
        <v>174</v>
      </c>
      <c r="K34" s="41" t="s">
        <v>174</v>
      </c>
      <c r="L34" s="41" t="s">
        <v>174</v>
      </c>
    </row>
    <row r="35" spans="1:12">
      <c r="A35" s="3" t="s">
        <v>110</v>
      </c>
      <c r="D35" s="13">
        <v>531.61</v>
      </c>
      <c r="E35" s="13">
        <v>2486.46</v>
      </c>
      <c r="F35" s="13">
        <v>-3592.46</v>
      </c>
      <c r="H35" s="41" t="s">
        <v>174</v>
      </c>
      <c r="I35" s="41" t="s">
        <v>174</v>
      </c>
      <c r="J35" s="41" t="s">
        <v>174</v>
      </c>
      <c r="K35" s="41" t="s">
        <v>174</v>
      </c>
      <c r="L35" s="41" t="s">
        <v>174</v>
      </c>
    </row>
    <row r="36" spans="1:12">
      <c r="A36" s="3" t="s">
        <v>111</v>
      </c>
      <c r="D36" s="13">
        <v>0</v>
      </c>
      <c r="E36" s="13">
        <v>-193.63</v>
      </c>
      <c r="F36" s="13">
        <v>-192.32</v>
      </c>
      <c r="H36" s="41" t="s">
        <v>174</v>
      </c>
      <c r="I36" s="41" t="s">
        <v>174</v>
      </c>
      <c r="J36" s="41" t="s">
        <v>174</v>
      </c>
      <c r="K36" s="41" t="s">
        <v>174</v>
      </c>
      <c r="L36" s="41" t="s">
        <v>174</v>
      </c>
    </row>
    <row r="37" spans="1:12">
      <c r="A37" s="3" t="s">
        <v>112</v>
      </c>
      <c r="D37" s="13">
        <v>0</v>
      </c>
      <c r="E37" s="13">
        <v>3888.79</v>
      </c>
      <c r="F37" s="13">
        <v>2602.5100000000002</v>
      </c>
      <c r="H37" s="3">
        <f>IF($B$3="A",MAX($D$37:$F$37),IF($B$3="B",$F$37,MIN($D$37:$F$37)))</f>
        <v>3888.79</v>
      </c>
      <c r="I37" s="3">
        <f>H37</f>
        <v>3888.79</v>
      </c>
      <c r="J37" s="3">
        <f t="shared" ref="J37:L37" si="7">I37</f>
        <v>3888.79</v>
      </c>
      <c r="K37" s="3">
        <f t="shared" si="7"/>
        <v>3888.79</v>
      </c>
      <c r="L37" s="3">
        <f t="shared" si="7"/>
        <v>3888.79</v>
      </c>
    </row>
    <row r="38" spans="1:12">
      <c r="A38" s="3" t="s">
        <v>113</v>
      </c>
      <c r="D38" s="13">
        <v>-2357.33</v>
      </c>
      <c r="E38" s="13">
        <v>-2273.1799999999998</v>
      </c>
      <c r="F38" s="13">
        <v>-2428.91</v>
      </c>
      <c r="H38" s="3">
        <f>IF($B$3="A",MAX($D$38:$F$38),IF($B$3="B",$F$38,MIN($D$38:$F$38)))</f>
        <v>-2273.1799999999998</v>
      </c>
      <c r="I38" s="3">
        <f>IF($B$3="A",MAX($D$38:$F$38),IF($B$3="B",$F$38,MIN($D$38:$F$38)))</f>
        <v>-2273.1799999999998</v>
      </c>
      <c r="J38" s="3">
        <f>IF($B$3="A",MAX($D$38:$F$38),IF($B$3="B",$F$38,MIN($D$38:$F$38)))</f>
        <v>-2273.1799999999998</v>
      </c>
      <c r="K38" s="3">
        <f>IF($B$3="A",MAX($D$38:$F$38),IF($B$3="B",$F$38,MIN($D$38:$F$38)))</f>
        <v>-2273.1799999999998</v>
      </c>
      <c r="L38" s="3">
        <f>IF($B$3="A",MAX($D$38:$F$38),IF($B$3="B",$F$38,MIN($D$38:$F$38)))</f>
        <v>-2273.1799999999998</v>
      </c>
    </row>
    <row r="39" spans="1:12" s="27" customFormat="1">
      <c r="A39" s="27" t="s">
        <v>34</v>
      </c>
      <c r="D39" s="27">
        <f>SUM(D34:D38)</f>
        <v>-2529.6999999999998</v>
      </c>
      <c r="E39" s="27">
        <f>SUM(E34:E38)</f>
        <v>7749.2099999999991</v>
      </c>
      <c r="F39" s="27">
        <f>SUM(F34:F38)</f>
        <v>-3471.91</v>
      </c>
      <c r="H39" s="27">
        <f>SUM(H34:H38)</f>
        <v>1615.6100000000001</v>
      </c>
      <c r="I39" s="27">
        <f t="shared" ref="I39:L39" si="8">SUM(I34:I38)</f>
        <v>1615.6100000000001</v>
      </c>
      <c r="J39" s="27">
        <f t="shared" si="8"/>
        <v>1615.6100000000001</v>
      </c>
      <c r="K39" s="27">
        <f t="shared" si="8"/>
        <v>1615.6100000000001</v>
      </c>
      <c r="L39" s="27">
        <f t="shared" si="8"/>
        <v>1615.6100000000001</v>
      </c>
    </row>
    <row r="40" spans="1:12">
      <c r="D40" s="13"/>
      <c r="E40" s="13"/>
      <c r="F40" s="13"/>
    </row>
    <row r="41" spans="1:12" s="27" customFormat="1">
      <c r="A41" s="27" t="s">
        <v>35</v>
      </c>
      <c r="D41" s="27">
        <f>SUM(D39,D31,D23)</f>
        <v>-57.550877323389614</v>
      </c>
      <c r="E41" s="27">
        <f>SUM(E39,E31,E23)</f>
        <v>1575.8462775890723</v>
      </c>
      <c r="F41" s="27">
        <f>SUM(F39,F31,F23)</f>
        <v>217.12946931703391</v>
      </c>
      <c r="H41" s="27">
        <f>SUM(H39,H31,H23)</f>
        <v>7665.2956526530597</v>
      </c>
      <c r="I41" s="27">
        <f t="shared" ref="I41:L41" si="9">SUM(I39,I31,I23)</f>
        <v>13795.335437106311</v>
      </c>
      <c r="J41" s="27">
        <f t="shared" si="9"/>
        <v>14301.686460865358</v>
      </c>
      <c r="K41" s="27">
        <f t="shared" si="9"/>
        <v>14893.673637464775</v>
      </c>
      <c r="L41" s="27">
        <f t="shared" si="9"/>
        <v>15565.213588638708</v>
      </c>
    </row>
    <row r="42" spans="1:12">
      <c r="D42" s="13"/>
      <c r="E42" s="13"/>
      <c r="F42" s="13"/>
    </row>
    <row r="43" spans="1:12">
      <c r="A43" s="3" t="s">
        <v>175</v>
      </c>
      <c r="D43" s="41" t="s">
        <v>174</v>
      </c>
      <c r="E43" s="3">
        <f>'Balance Sheet'!D20</f>
        <v>487.4</v>
      </c>
      <c r="F43" s="3">
        <f>'Balance Sheet'!E20</f>
        <v>2145.3000000000002</v>
      </c>
      <c r="H43" s="3">
        <f>'Balance Sheet'!F20</f>
        <v>2365.54</v>
      </c>
      <c r="I43" s="3">
        <f>'Cash flow Statement'!H45</f>
        <v>10030.835652653059</v>
      </c>
      <c r="J43" s="3">
        <f>'Cash flow Statement'!I45</f>
        <v>23826.171089759369</v>
      </c>
      <c r="K43" s="3">
        <f>'Cash flow Statement'!J45</f>
        <v>38127.857550624729</v>
      </c>
      <c r="L43" s="3">
        <f>'Cash flow Statement'!K45</f>
        <v>53021.531188089502</v>
      </c>
    </row>
    <row r="44" spans="1:12">
      <c r="A44" s="3" t="s">
        <v>177</v>
      </c>
      <c r="D44" s="41" t="s">
        <v>174</v>
      </c>
      <c r="E44" s="13">
        <v>82.05</v>
      </c>
      <c r="F44" s="13">
        <v>3.11</v>
      </c>
      <c r="H44" s="41" t="s">
        <v>174</v>
      </c>
      <c r="I44" s="41" t="s">
        <v>174</v>
      </c>
      <c r="J44" s="41" t="s">
        <v>174</v>
      </c>
      <c r="K44" s="41" t="s">
        <v>174</v>
      </c>
      <c r="L44" s="41" t="s">
        <v>174</v>
      </c>
    </row>
    <row r="45" spans="1:12" s="18" customFormat="1">
      <c r="A45" s="18" t="s">
        <v>176</v>
      </c>
      <c r="D45" s="41" t="s">
        <v>174</v>
      </c>
      <c r="E45" s="18">
        <f>SUM(E41,E43:E44)</f>
        <v>2145.2962775890724</v>
      </c>
      <c r="F45" s="18">
        <f>SUM(F41,F43:F44)</f>
        <v>2365.5394693170342</v>
      </c>
      <c r="H45" s="18">
        <f t="shared" ref="H45:I45" si="10">SUM(H41,H43:H44)</f>
        <v>10030.835652653059</v>
      </c>
      <c r="I45" s="18">
        <f t="shared" si="10"/>
        <v>23826.171089759369</v>
      </c>
      <c r="J45" s="18">
        <f t="shared" ref="J45" si="11">SUM(J41,J43:J44)</f>
        <v>38127.857550624729</v>
      </c>
      <c r="K45" s="18">
        <f t="shared" ref="K45" si="12">SUM(K41,K43:K44)</f>
        <v>53021.531188089502</v>
      </c>
      <c r="L45" s="18">
        <f t="shared" ref="L45" si="13">SUM(L41,L43:L44)</f>
        <v>68586.744776728214</v>
      </c>
    </row>
    <row r="46" spans="1:12">
      <c r="D46" s="41"/>
    </row>
    <row r="47" spans="1:12" s="27" customFormat="1">
      <c r="A47" s="27" t="s">
        <v>178</v>
      </c>
      <c r="D47" s="41" t="s">
        <v>174</v>
      </c>
      <c r="E47" s="27">
        <f>E45-'Balance Sheet'!E20</f>
        <v>-3.7224109278213291E-3</v>
      </c>
      <c r="F47" s="27">
        <f>F45-'Balance Sheet'!F20</f>
        <v>-5.3068296574565466E-4</v>
      </c>
      <c r="H47" s="27">
        <f>H45-'Balance Sheet'!H20</f>
        <v>0</v>
      </c>
      <c r="I47" s="27">
        <f>I45-'Balance Sheet'!I20</f>
        <v>0</v>
      </c>
      <c r="J47" s="27">
        <f>J45-'Balance Sheet'!J20</f>
        <v>0</v>
      </c>
      <c r="K47" s="27">
        <f>K45-'Balance Sheet'!K20</f>
        <v>0</v>
      </c>
      <c r="L47" s="27">
        <f>L45-'Balance Sheet'!L20</f>
        <v>0</v>
      </c>
    </row>
  </sheetData>
  <mergeCells count="4">
    <mergeCell ref="H4:L4"/>
    <mergeCell ref="A1:L1"/>
    <mergeCell ref="A4:C4"/>
    <mergeCell ref="D4:G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3A325-69DD-4569-BD05-F657A13BE0AE}">
  <dimension ref="A1:H20"/>
  <sheetViews>
    <sheetView showGridLines="0" workbookViewId="0">
      <pane ySplit="4" topLeftCell="A5" activePane="bottomLeft" state="frozen"/>
      <selection pane="bottomLeft" activeCell="N28" sqref="N28"/>
    </sheetView>
  </sheetViews>
  <sheetFormatPr defaultColWidth="12.6328125" defaultRowHeight="14.5"/>
  <cols>
    <col min="1" max="16384" width="12.6328125" style="3"/>
  </cols>
  <sheetData>
    <row r="1" spans="1:8" ht="22.5">
      <c r="A1" s="68" t="s">
        <v>159</v>
      </c>
      <c r="B1" s="68"/>
      <c r="C1" s="68"/>
      <c r="D1" s="68"/>
      <c r="E1" s="68"/>
      <c r="F1" s="68"/>
      <c r="G1" s="68"/>
      <c r="H1" s="68"/>
    </row>
    <row r="2" spans="1:8">
      <c r="A2" s="6"/>
      <c r="B2" s="6"/>
      <c r="C2" s="6"/>
      <c r="D2" s="6"/>
    </row>
    <row r="3" spans="1:8">
      <c r="A3" s="70" t="s">
        <v>84</v>
      </c>
      <c r="B3" s="71"/>
      <c r="C3" s="72"/>
      <c r="D3" s="60" t="s">
        <v>187</v>
      </c>
      <c r="E3" s="60"/>
      <c r="F3" s="60"/>
      <c r="G3" s="60"/>
      <c r="H3" s="60"/>
    </row>
    <row r="4" spans="1:8" s="8" customFormat="1">
      <c r="D4" s="44" t="s">
        <v>191</v>
      </c>
      <c r="E4" s="44" t="s">
        <v>192</v>
      </c>
      <c r="F4" s="44" t="s">
        <v>193</v>
      </c>
      <c r="G4" s="44" t="s">
        <v>194</v>
      </c>
      <c r="H4" s="44" t="s">
        <v>195</v>
      </c>
    </row>
    <row r="5" spans="1:8">
      <c r="A5" s="3" t="s">
        <v>171</v>
      </c>
      <c r="D5">
        <f>'Balance Sheet'!F8</f>
        <v>19153.47</v>
      </c>
    </row>
    <row r="6" spans="1:8">
      <c r="A6" s="3" t="s">
        <v>31</v>
      </c>
      <c r="D6" s="3">
        <f>-'Cash flow Statement'!H26</f>
        <v>5422.1241008399684</v>
      </c>
      <c r="E6" s="3">
        <f>-'Cash flow Statement'!I26</f>
        <v>5881.7784243996348</v>
      </c>
      <c r="F6" s="3">
        <f>-'Cash flow Statement'!J26</f>
        <v>6380.3994136492965</v>
      </c>
      <c r="G6" s="3">
        <f>-'Cash flow Statement'!K26</f>
        <v>6921.2904227774579</v>
      </c>
      <c r="H6" s="3">
        <f>-'Cash flow Statement'!L26</f>
        <v>7508.034844018006</v>
      </c>
    </row>
    <row r="8" spans="1:8" s="27" customFormat="1">
      <c r="A8" s="27" t="s">
        <v>38</v>
      </c>
    </row>
    <row r="9" spans="1:8">
      <c r="A9" s="3" t="s">
        <v>37</v>
      </c>
      <c r="D9" s="13">
        <v>5.5</v>
      </c>
      <c r="E9"/>
      <c r="F9"/>
      <c r="G9"/>
      <c r="H9"/>
    </row>
    <row r="10" spans="1:8">
      <c r="A10" s="3" t="s">
        <v>39</v>
      </c>
      <c r="D10" s="13">
        <v>10</v>
      </c>
      <c r="E10" s="13">
        <v>10</v>
      </c>
      <c r="F10" s="13">
        <v>10</v>
      </c>
      <c r="G10" s="13">
        <v>10</v>
      </c>
      <c r="H10" s="13">
        <v>10</v>
      </c>
    </row>
    <row r="12" spans="1:8" s="27" customFormat="1">
      <c r="A12" s="27" t="s">
        <v>40</v>
      </c>
    </row>
    <row r="13" spans="1:8">
      <c r="A13" s="3" t="s">
        <v>41</v>
      </c>
      <c r="D13" s="3">
        <f>$D$5/$D$9</f>
        <v>3482.449090909091</v>
      </c>
      <c r="E13" s="3">
        <f>$D$5/$D$9</f>
        <v>3482.449090909091</v>
      </c>
      <c r="F13" s="3">
        <f>$D$5/$D$9</f>
        <v>3482.449090909091</v>
      </c>
      <c r="G13" s="3">
        <f>$D$5/$D$9</f>
        <v>3482.449090909091</v>
      </c>
      <c r="H13" s="3">
        <f>$D$5/$D$9</f>
        <v>3482.449090909091</v>
      </c>
    </row>
    <row r="14" spans="1:8">
      <c r="A14" s="3" t="s">
        <v>42</v>
      </c>
      <c r="D14" s="3">
        <f>$D$6/$D$10</f>
        <v>542.21241008399682</v>
      </c>
      <c r="E14" s="3">
        <f>$D$6/$D$10</f>
        <v>542.21241008399682</v>
      </c>
      <c r="F14" s="3">
        <f>$D$6/$D$10</f>
        <v>542.21241008399682</v>
      </c>
      <c r="G14" s="3">
        <f>$D$6/$D$10</f>
        <v>542.21241008399682</v>
      </c>
      <c r="H14" s="3">
        <f>$D$6/$D$10</f>
        <v>542.21241008399682</v>
      </c>
    </row>
    <row r="15" spans="1:8">
      <c r="A15" s="3" t="s">
        <v>43</v>
      </c>
      <c r="D15" s="11"/>
      <c r="E15" s="3">
        <f>$E$6/$E$10</f>
        <v>588.17784243996346</v>
      </c>
      <c r="F15" s="3">
        <f>$E$6/$E$10</f>
        <v>588.17784243996346</v>
      </c>
      <c r="G15" s="3">
        <f>$E$6/$E$10</f>
        <v>588.17784243996346</v>
      </c>
      <c r="H15" s="3">
        <f>$E$6/$E$10</f>
        <v>588.17784243996346</v>
      </c>
    </row>
    <row r="16" spans="1:8">
      <c r="A16" s="3" t="s">
        <v>44</v>
      </c>
      <c r="D16" s="11"/>
      <c r="E16" s="11"/>
      <c r="F16" s="3">
        <f>$F$6/$F$10</f>
        <v>638.03994136492963</v>
      </c>
      <c r="G16" s="3">
        <f>$F$6/$F$10</f>
        <v>638.03994136492963</v>
      </c>
      <c r="H16" s="3">
        <f>$F$6/$F$10</f>
        <v>638.03994136492963</v>
      </c>
    </row>
    <row r="17" spans="1:8">
      <c r="A17" s="3" t="s">
        <v>45</v>
      </c>
      <c r="D17" s="11"/>
      <c r="E17" s="11"/>
      <c r="F17" s="11"/>
      <c r="G17" s="3">
        <f>$G$6/$G$10</f>
        <v>692.12904227774584</v>
      </c>
      <c r="H17" s="3">
        <f>$G$6/$G$10</f>
        <v>692.12904227774584</v>
      </c>
    </row>
    <row r="18" spans="1:8">
      <c r="A18" s="3" t="s">
        <v>46</v>
      </c>
      <c r="D18" s="11"/>
      <c r="E18" s="11"/>
      <c r="F18" s="11"/>
      <c r="G18" s="11"/>
      <c r="H18" s="3">
        <f>$H$6/$H$10</f>
        <v>750.80348440180057</v>
      </c>
    </row>
    <row r="19" spans="1:8" s="27" customFormat="1">
      <c r="A19" s="27" t="s">
        <v>47</v>
      </c>
      <c r="D19" s="27">
        <f>SUM(D13:D18)</f>
        <v>4024.6615009930879</v>
      </c>
      <c r="E19" s="27">
        <f t="shared" ref="E19:H19" si="0">SUM(E13:E18)</f>
        <v>4612.839343433051</v>
      </c>
      <c r="F19" s="27">
        <f t="shared" si="0"/>
        <v>5250.8792847979803</v>
      </c>
      <c r="G19" s="27">
        <f t="shared" si="0"/>
        <v>5943.0083270757259</v>
      </c>
      <c r="H19" s="27">
        <f t="shared" si="0"/>
        <v>6693.8118114775261</v>
      </c>
    </row>
    <row r="20" spans="1:8" s="2" customFormat="1">
      <c r="A20" s="56" t="s">
        <v>123</v>
      </c>
      <c r="D20" s="1">
        <f>(D19/'Income Statement'!F21)-1</f>
        <v>9.3179750433393993E-2</v>
      </c>
      <c r="E20" s="1">
        <f>(E19/D19)-1</f>
        <v>0.14614343151463283</v>
      </c>
      <c r="F20" s="1">
        <f t="shared" ref="F20:H20" si="1">(F19/E19)-1</f>
        <v>0.13831826644326095</v>
      </c>
      <c r="G20" s="1">
        <f t="shared" si="1"/>
        <v>0.13181202704117667</v>
      </c>
      <c r="H20" s="1">
        <f t="shared" si="1"/>
        <v>0.1263339108883994</v>
      </c>
    </row>
  </sheetData>
  <mergeCells count="3">
    <mergeCell ref="D3:H3"/>
    <mergeCell ref="A1:H1"/>
    <mergeCell ref="A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BF7A1-0CC8-4A73-948B-56437AA9DA14}">
  <dimension ref="A1:M47"/>
  <sheetViews>
    <sheetView showGridLines="0" workbookViewId="0">
      <pane ySplit="5" topLeftCell="A6" activePane="bottomLeft" state="frozen"/>
      <selection pane="bottomLeft" activeCell="C21" sqref="C21"/>
    </sheetView>
  </sheetViews>
  <sheetFormatPr defaultColWidth="12.6328125" defaultRowHeight="14.5"/>
  <cols>
    <col min="1" max="6" width="12.6328125" style="3"/>
    <col min="7" max="7" width="5.1796875" style="3" customWidth="1"/>
    <col min="8" max="16384" width="12.6328125" style="3"/>
  </cols>
  <sheetData>
    <row r="1" spans="1:13" ht="22.5">
      <c r="A1" s="68" t="s">
        <v>86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</row>
    <row r="3" spans="1:13">
      <c r="A3" s="52" t="s">
        <v>87</v>
      </c>
      <c r="B3" s="12" t="str">
        <f>'Income Statement'!B3</f>
        <v>A</v>
      </c>
    </row>
    <row r="4" spans="1:13">
      <c r="A4" s="69" t="s">
        <v>84</v>
      </c>
      <c r="B4" s="74"/>
      <c r="C4" s="74"/>
      <c r="D4" s="63" t="s">
        <v>186</v>
      </c>
      <c r="E4" s="64"/>
      <c r="F4" s="64"/>
      <c r="G4" s="65"/>
      <c r="H4" s="60" t="s">
        <v>187</v>
      </c>
      <c r="I4" s="60"/>
      <c r="J4" s="60"/>
      <c r="K4" s="60"/>
      <c r="L4" s="60"/>
    </row>
    <row r="5" spans="1:13" s="8" customFormat="1">
      <c r="D5" s="44" t="s">
        <v>188</v>
      </c>
      <c r="E5" s="44" t="s">
        <v>189</v>
      </c>
      <c r="F5" s="44" t="s">
        <v>190</v>
      </c>
      <c r="G5" s="44"/>
      <c r="H5" s="44" t="s">
        <v>191</v>
      </c>
      <c r="I5" s="44" t="s">
        <v>192</v>
      </c>
      <c r="J5" s="44" t="s">
        <v>193</v>
      </c>
      <c r="K5" s="44" t="s">
        <v>194</v>
      </c>
      <c r="L5" s="44" t="s">
        <v>195</v>
      </c>
    </row>
    <row r="6" spans="1:13" s="27" customFormat="1">
      <c r="A6" s="27" t="s">
        <v>17</v>
      </c>
    </row>
    <row r="7" spans="1:13" s="27" customFormat="1">
      <c r="A7" s="27" t="s">
        <v>18</v>
      </c>
    </row>
    <row r="8" spans="1:13">
      <c r="A8" s="3" t="s">
        <v>131</v>
      </c>
      <c r="D8" s="13">
        <v>18316.61</v>
      </c>
      <c r="E8" s="13">
        <v>18870.669999999998</v>
      </c>
      <c r="F8" s="13">
        <v>19153.47</v>
      </c>
      <c r="H8" s="3">
        <f>F8-'Cash flow Statement'!H9-'Cash flow Statement'!H26</f>
        <v>20550.932599846881</v>
      </c>
      <c r="I8" s="3">
        <f>H8-'Cash flow Statement'!I9-'Cash flow Statement'!I26</f>
        <v>21819.871680813467</v>
      </c>
      <c r="J8" s="3">
        <f>I8-'Cash flow Statement'!J9-'Cash flow Statement'!J26</f>
        <v>22949.391809664783</v>
      </c>
      <c r="K8" s="3">
        <f>J8-'Cash flow Statement'!K9-'Cash flow Statement'!K26</f>
        <v>23927.673905366515</v>
      </c>
      <c r="L8" s="3">
        <f>K8-'Cash flow Statement'!L9-'Cash flow Statement'!L26</f>
        <v>24741.896937906993</v>
      </c>
      <c r="M8" s="3" t="s">
        <v>203</v>
      </c>
    </row>
    <row r="9" spans="1:13">
      <c r="A9" s="3" t="s">
        <v>132</v>
      </c>
      <c r="D9" s="13">
        <v>2146.96</v>
      </c>
      <c r="E9" s="13">
        <v>1755.51</v>
      </c>
      <c r="F9" s="13">
        <v>1400.82</v>
      </c>
      <c r="H9" s="3">
        <f>$F$9</f>
        <v>1400.82</v>
      </c>
      <c r="I9" s="3">
        <f t="shared" ref="I9:L9" si="0">$F$9</f>
        <v>1400.82</v>
      </c>
      <c r="J9" s="3">
        <f t="shared" si="0"/>
        <v>1400.82</v>
      </c>
      <c r="K9" s="3">
        <f t="shared" si="0"/>
        <v>1400.82</v>
      </c>
      <c r="L9" s="3">
        <f t="shared" si="0"/>
        <v>1400.82</v>
      </c>
    </row>
    <row r="10" spans="1:13">
      <c r="A10" s="3" t="s">
        <v>133</v>
      </c>
      <c r="D10" s="13"/>
      <c r="E10" s="13">
        <v>669.58</v>
      </c>
      <c r="F10" s="13">
        <v>768.59</v>
      </c>
      <c r="H10" s="3">
        <f>$F$10</f>
        <v>768.59</v>
      </c>
      <c r="I10" s="3">
        <f t="shared" ref="I10:L10" si="1">$F$10</f>
        <v>768.59</v>
      </c>
      <c r="J10" s="3">
        <f t="shared" si="1"/>
        <v>768.59</v>
      </c>
      <c r="K10" s="3">
        <f t="shared" si="1"/>
        <v>768.59</v>
      </c>
      <c r="L10" s="3">
        <f t="shared" si="1"/>
        <v>768.59</v>
      </c>
    </row>
    <row r="11" spans="1:13">
      <c r="A11" s="3" t="s">
        <v>207</v>
      </c>
      <c r="D11" s="13">
        <v>99.09</v>
      </c>
      <c r="E11" s="13">
        <v>99.09</v>
      </c>
      <c r="F11" s="13">
        <v>99.09</v>
      </c>
      <c r="H11" s="3">
        <f>$F$11</f>
        <v>99.09</v>
      </c>
      <c r="I11" s="3">
        <f t="shared" ref="I11:L11" si="2">$F$11</f>
        <v>99.09</v>
      </c>
      <c r="J11" s="3">
        <f t="shared" si="2"/>
        <v>99.09</v>
      </c>
      <c r="K11" s="3">
        <f t="shared" si="2"/>
        <v>99.09</v>
      </c>
      <c r="L11" s="3">
        <f t="shared" si="2"/>
        <v>99.09</v>
      </c>
    </row>
    <row r="12" spans="1:13">
      <c r="A12" s="3" t="s">
        <v>134</v>
      </c>
      <c r="D12" s="13">
        <v>8010.76</v>
      </c>
      <c r="E12" s="13">
        <v>8307.93</v>
      </c>
      <c r="F12" s="13">
        <v>8007.59</v>
      </c>
      <c r="H12" s="3">
        <f>$F$12</f>
        <v>8007.59</v>
      </c>
      <c r="I12" s="3">
        <f t="shared" ref="I12:L12" si="3">$F$12</f>
        <v>8007.59</v>
      </c>
      <c r="J12" s="3">
        <f t="shared" si="3"/>
        <v>8007.59</v>
      </c>
      <c r="K12" s="3">
        <f t="shared" si="3"/>
        <v>8007.59</v>
      </c>
      <c r="L12" s="3">
        <f t="shared" si="3"/>
        <v>8007.59</v>
      </c>
    </row>
    <row r="13" spans="1:13">
      <c r="A13" s="3" t="s">
        <v>135</v>
      </c>
      <c r="D13" s="13">
        <v>14770.81</v>
      </c>
      <c r="E13" s="13">
        <v>15182.29</v>
      </c>
      <c r="F13" s="13">
        <v>15147.26</v>
      </c>
      <c r="H13" s="3">
        <f>$F$13</f>
        <v>15147.26</v>
      </c>
      <c r="I13" s="3">
        <f t="shared" ref="I13:L13" si="4">$F$13</f>
        <v>15147.26</v>
      </c>
      <c r="J13" s="3">
        <f t="shared" si="4"/>
        <v>15147.26</v>
      </c>
      <c r="K13" s="3">
        <f t="shared" si="4"/>
        <v>15147.26</v>
      </c>
      <c r="L13" s="3">
        <f t="shared" si="4"/>
        <v>15147.26</v>
      </c>
    </row>
    <row r="14" spans="1:13">
      <c r="A14" s="3" t="s">
        <v>136</v>
      </c>
      <c r="D14" s="13">
        <v>1800.9</v>
      </c>
      <c r="E14" s="13">
        <v>2199.9899999999998</v>
      </c>
      <c r="F14" s="13">
        <v>2725.53</v>
      </c>
      <c r="H14" s="3">
        <f>$F$14</f>
        <v>2725.53</v>
      </c>
      <c r="I14" s="3">
        <f t="shared" ref="I14:L14" si="5">$F$14</f>
        <v>2725.53</v>
      </c>
      <c r="J14" s="3">
        <f t="shared" si="5"/>
        <v>2725.53</v>
      </c>
      <c r="K14" s="3">
        <f t="shared" si="5"/>
        <v>2725.53</v>
      </c>
      <c r="L14" s="3">
        <f t="shared" si="5"/>
        <v>2725.53</v>
      </c>
    </row>
    <row r="15" spans="1:13">
      <c r="A15" s="3" t="s">
        <v>137</v>
      </c>
      <c r="D15" s="13">
        <v>2535.1999999999998</v>
      </c>
      <c r="E15" s="13">
        <v>1936.05</v>
      </c>
      <c r="F15" s="13">
        <v>1902.72</v>
      </c>
      <c r="H15" s="3">
        <f>$F$15</f>
        <v>1902.72</v>
      </c>
      <c r="I15" s="3">
        <f t="shared" ref="I15:L15" si="6">$F$15</f>
        <v>1902.72</v>
      </c>
      <c r="J15" s="3">
        <f t="shared" si="6"/>
        <v>1902.72</v>
      </c>
      <c r="K15" s="3">
        <f t="shared" si="6"/>
        <v>1902.72</v>
      </c>
      <c r="L15" s="3">
        <f t="shared" si="6"/>
        <v>1902.72</v>
      </c>
    </row>
    <row r="16" spans="1:13" s="27" customFormat="1">
      <c r="A16" s="27" t="s">
        <v>143</v>
      </c>
      <c r="D16" s="27">
        <f>SUM(D8:D15)</f>
        <v>47680.329999999994</v>
      </c>
      <c r="E16" s="27">
        <f>SUM(E8:E15)</f>
        <v>49021.11</v>
      </c>
      <c r="F16" s="27">
        <f>SUM(F8:F15)</f>
        <v>49205.07</v>
      </c>
      <c r="H16" s="27">
        <f>SUM(H8:H15)</f>
        <v>50602.532599846883</v>
      </c>
      <c r="I16" s="27">
        <f>SUM(I8:I15)</f>
        <v>51871.471680813469</v>
      </c>
      <c r="J16" s="27">
        <f>SUM(J8:J15)</f>
        <v>53000.991809664782</v>
      </c>
      <c r="K16" s="27">
        <f>SUM(K8:K15)</f>
        <v>53979.273905366521</v>
      </c>
      <c r="L16" s="27">
        <f>SUM(L8:L15)</f>
        <v>54793.496937906995</v>
      </c>
    </row>
    <row r="17" spans="1:12" s="27" customFormat="1">
      <c r="A17" s="27" t="s">
        <v>49</v>
      </c>
      <c r="D17" s="29"/>
      <c r="E17" s="29"/>
      <c r="F17" s="29"/>
    </row>
    <row r="18" spans="1:12">
      <c r="A18" s="3" t="s">
        <v>101</v>
      </c>
      <c r="D18" s="13">
        <v>4662</v>
      </c>
      <c r="E18" s="13">
        <v>3831.92</v>
      </c>
      <c r="F18" s="13">
        <v>4551.71</v>
      </c>
      <c r="H18" s="3">
        <f>F18-'Working Capital Schedule'!H8</f>
        <v>1058.7755019694964</v>
      </c>
      <c r="I18" s="3">
        <f>H18-'Working Capital Schedule'!I8</f>
        <v>-2730.2684937543022</v>
      </c>
      <c r="J18" s="3">
        <f>I18-'Working Capital Schedule'!J8</f>
        <v>-6840.5243286764016</v>
      </c>
      <c r="K18" s="3">
        <f>J18-'Working Capital Schedule'!K8</f>
        <v>-11299.222366381284</v>
      </c>
      <c r="L18" s="3">
        <f>K18-'Working Capital Schedule'!L8</f>
        <v>-16135.901393152897</v>
      </c>
    </row>
    <row r="19" spans="1:12">
      <c r="A19" s="3" t="s">
        <v>136</v>
      </c>
      <c r="D19" s="13">
        <v>3732.15</v>
      </c>
      <c r="E19" s="13">
        <v>4050.9</v>
      </c>
      <c r="F19" s="13">
        <v>5471.14</v>
      </c>
      <c r="H19" s="3">
        <f>$F$19</f>
        <v>5471.14</v>
      </c>
      <c r="I19" s="3">
        <f t="shared" ref="I19:L19" si="7">$F$19</f>
        <v>5471.14</v>
      </c>
      <c r="J19" s="3">
        <f t="shared" si="7"/>
        <v>5471.14</v>
      </c>
      <c r="K19" s="3">
        <f t="shared" si="7"/>
        <v>5471.14</v>
      </c>
      <c r="L19" s="3">
        <f t="shared" si="7"/>
        <v>5471.14</v>
      </c>
    </row>
    <row r="20" spans="1:12">
      <c r="A20" s="3" t="s">
        <v>138</v>
      </c>
      <c r="D20" s="13">
        <v>487.4</v>
      </c>
      <c r="E20" s="13">
        <v>2145.3000000000002</v>
      </c>
      <c r="F20" s="13">
        <v>2365.54</v>
      </c>
      <c r="H20" s="3">
        <f>'Cash flow Statement'!H45</f>
        <v>10030.835652653059</v>
      </c>
      <c r="I20" s="3">
        <f>'Cash flow Statement'!I45</f>
        <v>23826.171089759369</v>
      </c>
      <c r="J20" s="3">
        <f>'Cash flow Statement'!J45</f>
        <v>38127.857550624729</v>
      </c>
      <c r="K20" s="3">
        <f>'Cash flow Statement'!K45</f>
        <v>53021.531188089502</v>
      </c>
      <c r="L20" s="3">
        <f>'Cash flow Statement'!L45</f>
        <v>68586.744776728214</v>
      </c>
    </row>
    <row r="21" spans="1:12">
      <c r="A21" s="3" t="s">
        <v>139</v>
      </c>
      <c r="D21" s="13">
        <v>3250.64</v>
      </c>
      <c r="E21" s="13">
        <v>1978.06</v>
      </c>
      <c r="F21" s="13">
        <v>2087.5100000000002</v>
      </c>
      <c r="H21" s="3">
        <f>F21-'Working Capital Schedule'!H6</f>
        <v>-458.46153436995473</v>
      </c>
      <c r="I21" s="3">
        <f>H21-'Working Capital Schedule'!I6</f>
        <v>-3220.2648722302979</v>
      </c>
      <c r="J21" s="3">
        <f>I21-'Working Capital Schedule'!J6</f>
        <v>-6216.1969060517622</v>
      </c>
      <c r="K21" s="3">
        <f>J21-'Working Capital Schedule'!K6</f>
        <v>-9466.1056262835591</v>
      </c>
      <c r="L21" s="3">
        <f>K21-'Working Capital Schedule'!L6</f>
        <v>-12991.521613897412</v>
      </c>
    </row>
    <row r="22" spans="1:12">
      <c r="A22" s="3" t="s">
        <v>140</v>
      </c>
      <c r="D22" s="13">
        <v>162.24</v>
      </c>
      <c r="E22" s="13">
        <v>191.07</v>
      </c>
      <c r="F22" s="13">
        <v>220.8</v>
      </c>
      <c r="H22" s="3">
        <f>$F$22</f>
        <v>220.8</v>
      </c>
      <c r="I22" s="3">
        <f t="shared" ref="I22:L22" si="8">$F$22</f>
        <v>220.8</v>
      </c>
      <c r="J22" s="3">
        <f t="shared" si="8"/>
        <v>220.8</v>
      </c>
      <c r="K22" s="3">
        <f t="shared" si="8"/>
        <v>220.8</v>
      </c>
      <c r="L22" s="3">
        <f t="shared" si="8"/>
        <v>220.8</v>
      </c>
    </row>
    <row r="23" spans="1:12">
      <c r="A23" s="3" t="s">
        <v>141</v>
      </c>
      <c r="D23" s="13">
        <v>934.87</v>
      </c>
      <c r="E23" s="13">
        <v>1371.51</v>
      </c>
      <c r="F23" s="13">
        <v>1166.8900000000001</v>
      </c>
      <c r="H23" s="3">
        <f>'Working Capital Schedule'!H11*'Income Statement'!H7</f>
        <v>1182.6367266149921</v>
      </c>
      <c r="I23" s="3">
        <f>'Working Capital Schedule'!I11*'Income Statement'!I7</f>
        <v>1282.8933925413255</v>
      </c>
      <c r="J23" s="3">
        <f>'Working Capital Schedule'!J11*'Income Statement'!J7</f>
        <v>1391.6492018110539</v>
      </c>
      <c r="K23" s="3">
        <f>'Working Capital Schedule'!K11*'Income Statement'!K7</f>
        <v>1509.624659508843</v>
      </c>
      <c r="L23" s="3">
        <f>'Working Capital Schedule'!L11*'Income Statement'!L7</f>
        <v>1637.6013507077837</v>
      </c>
    </row>
    <row r="24" spans="1:12" s="27" customFormat="1">
      <c r="A24" s="27" t="s">
        <v>142</v>
      </c>
      <c r="D24" s="27">
        <f>SUM(D18:D23)</f>
        <v>13229.3</v>
      </c>
      <c r="E24" s="27">
        <f>SUM(E18:E23)</f>
        <v>13568.759999999998</v>
      </c>
      <c r="F24" s="27">
        <f>SUM(F18:F23)</f>
        <v>15863.589999999998</v>
      </c>
      <c r="H24" s="27">
        <f>SUM(H18:H23)</f>
        <v>17505.726346867596</v>
      </c>
      <c r="I24" s="27">
        <f t="shared" ref="I24:L24" si="9">SUM(I18:I23)</f>
        <v>24850.471116316094</v>
      </c>
      <c r="J24" s="27">
        <f t="shared" si="9"/>
        <v>32154.725517707619</v>
      </c>
      <c r="K24" s="27">
        <f t="shared" si="9"/>
        <v>39457.767854933511</v>
      </c>
      <c r="L24" s="27">
        <f t="shared" si="9"/>
        <v>46788.863120385686</v>
      </c>
    </row>
    <row r="25" spans="1:12" s="27" customFormat="1">
      <c r="A25" s="27" t="s">
        <v>19</v>
      </c>
      <c r="D25" s="27">
        <f>SUM(D16,D24)</f>
        <v>60909.62999999999</v>
      </c>
      <c r="E25" s="27">
        <f>SUM(E16,E24)</f>
        <v>62589.869999999995</v>
      </c>
      <c r="F25" s="27">
        <f>SUM(F16,F24)</f>
        <v>65068.659999999996</v>
      </c>
      <c r="H25" s="27">
        <f>SUM(H16,H24)</f>
        <v>68108.258946714486</v>
      </c>
      <c r="I25" s="27">
        <f t="shared" ref="I25:L25" si="10">SUM(I16,I24)</f>
        <v>76721.942797129566</v>
      </c>
      <c r="J25" s="27">
        <f t="shared" si="10"/>
        <v>85155.717327372404</v>
      </c>
      <c r="K25" s="27">
        <f t="shared" si="10"/>
        <v>93437.041760300024</v>
      </c>
      <c r="L25" s="27">
        <f t="shared" si="10"/>
        <v>101582.36005829269</v>
      </c>
    </row>
    <row r="26" spans="1:12">
      <c r="D26" s="13"/>
      <c r="E26" s="13"/>
      <c r="F26" s="13"/>
    </row>
    <row r="27" spans="1:12" s="27" customFormat="1">
      <c r="A27" s="27" t="s">
        <v>20</v>
      </c>
      <c r="D27" s="29"/>
      <c r="E27" s="29"/>
      <c r="F27" s="29"/>
    </row>
    <row r="28" spans="1:12" s="27" customFormat="1">
      <c r="A28" s="27" t="s">
        <v>21</v>
      </c>
      <c r="D28" s="29"/>
      <c r="E28" s="29"/>
      <c r="F28" s="29"/>
    </row>
    <row r="29" spans="1:12">
      <c r="A29" s="3" t="s">
        <v>22</v>
      </c>
      <c r="D29" s="13">
        <v>679.22</v>
      </c>
      <c r="E29" s="13">
        <v>719.54</v>
      </c>
      <c r="F29" s="13">
        <v>765.81</v>
      </c>
      <c r="H29" s="3">
        <f>$F$29</f>
        <v>765.81</v>
      </c>
      <c r="I29" s="3">
        <f t="shared" ref="I29:L29" si="11">$F$29</f>
        <v>765.81</v>
      </c>
      <c r="J29" s="3">
        <f t="shared" si="11"/>
        <v>765.81</v>
      </c>
      <c r="K29" s="3">
        <f t="shared" si="11"/>
        <v>765.81</v>
      </c>
      <c r="L29" s="3">
        <f t="shared" si="11"/>
        <v>765.81</v>
      </c>
    </row>
    <row r="30" spans="1:12">
      <c r="A30" s="3" t="s">
        <v>23</v>
      </c>
      <c r="D30" s="13">
        <v>21483.3</v>
      </c>
      <c r="E30" s="13">
        <v>17668.11</v>
      </c>
      <c r="F30" s="13">
        <v>18290.16</v>
      </c>
      <c r="H30" s="3">
        <f>$F$30</f>
        <v>18290.16</v>
      </c>
      <c r="I30" s="3">
        <f t="shared" ref="I30:L30" si="12">$F$30</f>
        <v>18290.16</v>
      </c>
      <c r="J30" s="3">
        <f t="shared" si="12"/>
        <v>18290.16</v>
      </c>
      <c r="K30" s="3">
        <f t="shared" si="12"/>
        <v>18290.16</v>
      </c>
      <c r="L30" s="3">
        <f t="shared" si="12"/>
        <v>18290.16</v>
      </c>
    </row>
    <row r="31" spans="1:12" s="27" customFormat="1">
      <c r="A31" s="27" t="s">
        <v>36</v>
      </c>
      <c r="D31" s="27">
        <f>SUM(D29:D30)</f>
        <v>22162.52</v>
      </c>
      <c r="E31" s="27">
        <f>SUM(E29:E30)</f>
        <v>18387.650000000001</v>
      </c>
      <c r="F31" s="27">
        <f>SUM(F29:F30)</f>
        <v>19055.97</v>
      </c>
      <c r="H31" s="27">
        <f t="shared" ref="H31:L31" si="13">SUM(H29:H30)</f>
        <v>19055.97</v>
      </c>
      <c r="I31" s="27">
        <f t="shared" si="13"/>
        <v>19055.97</v>
      </c>
      <c r="J31" s="27">
        <f t="shared" si="13"/>
        <v>19055.97</v>
      </c>
      <c r="K31" s="27">
        <f t="shared" si="13"/>
        <v>19055.97</v>
      </c>
      <c r="L31" s="27">
        <f t="shared" si="13"/>
        <v>19055.97</v>
      </c>
    </row>
    <row r="32" spans="1:12">
      <c r="D32" s="13"/>
      <c r="E32" s="13"/>
      <c r="F32" s="13"/>
    </row>
    <row r="33" spans="1:12" s="27" customFormat="1">
      <c r="A33" s="27" t="s">
        <v>24</v>
      </c>
      <c r="D33" s="29"/>
      <c r="E33" s="29"/>
      <c r="F33" s="29"/>
    </row>
    <row r="34" spans="1:12">
      <c r="A34" s="3" t="s">
        <v>144</v>
      </c>
      <c r="D34" s="13">
        <v>14100.61</v>
      </c>
      <c r="E34" s="13">
        <v>16153.49</v>
      </c>
      <c r="F34" s="13">
        <v>17580.150000000001</v>
      </c>
      <c r="H34" s="3">
        <v>17580.150000000001</v>
      </c>
      <c r="I34" s="3">
        <v>17580.150000000001</v>
      </c>
      <c r="J34" s="3">
        <v>17580.150000000001</v>
      </c>
      <c r="K34" s="3">
        <v>17580.150000000001</v>
      </c>
      <c r="L34" s="3">
        <v>17580.150000000001</v>
      </c>
    </row>
    <row r="35" spans="1:12">
      <c r="A35" s="3" t="s">
        <v>145</v>
      </c>
      <c r="D35" s="13">
        <v>1281.5899999999999</v>
      </c>
      <c r="E35" s="13">
        <v>1769.74</v>
      </c>
      <c r="F35" s="13">
        <v>1371.94</v>
      </c>
      <c r="H35" s="3">
        <v>1371.94</v>
      </c>
      <c r="I35" s="3">
        <v>1371.94</v>
      </c>
      <c r="J35" s="3">
        <v>1371.94</v>
      </c>
      <c r="K35" s="3">
        <v>1371.94</v>
      </c>
      <c r="L35" s="3">
        <v>1371.94</v>
      </c>
    </row>
    <row r="36" spans="1:12">
      <c r="A36" s="3" t="s">
        <v>146</v>
      </c>
      <c r="D36" s="13">
        <v>205.86</v>
      </c>
      <c r="E36" s="13">
        <v>198.59</v>
      </c>
      <c r="F36" s="13">
        <v>266.5</v>
      </c>
      <c r="H36" s="3">
        <f>F36</f>
        <v>266.5</v>
      </c>
      <c r="I36" s="3">
        <f>H36</f>
        <v>266.5</v>
      </c>
      <c r="J36" s="3">
        <f t="shared" ref="J36:L36" si="14">I36</f>
        <v>266.5</v>
      </c>
      <c r="K36" s="3">
        <f t="shared" si="14"/>
        <v>266.5</v>
      </c>
      <c r="L36" s="3">
        <f t="shared" si="14"/>
        <v>266.5</v>
      </c>
    </row>
    <row r="37" spans="1:12" s="7" customFormat="1">
      <c r="A37" s="7" t="s">
        <v>147</v>
      </c>
      <c r="D37" s="20">
        <v>218.24</v>
      </c>
      <c r="E37" s="20">
        <v>269.58</v>
      </c>
      <c r="F37" s="20">
        <v>533.54999999999995</v>
      </c>
      <c r="H37" s="7">
        <f>F37</f>
        <v>533.54999999999995</v>
      </c>
      <c r="I37" s="7">
        <f>H37</f>
        <v>533.54999999999995</v>
      </c>
      <c r="J37" s="7">
        <f t="shared" ref="J37:L37" si="15">I37</f>
        <v>533.54999999999995</v>
      </c>
      <c r="K37" s="7">
        <f t="shared" si="15"/>
        <v>533.54999999999995</v>
      </c>
      <c r="L37" s="7">
        <f t="shared" si="15"/>
        <v>533.54999999999995</v>
      </c>
    </row>
    <row r="38" spans="1:12" s="27" customFormat="1">
      <c r="A38" s="27" t="s">
        <v>148</v>
      </c>
      <c r="D38" s="27">
        <f>SUM(D34:D37)</f>
        <v>15806.300000000001</v>
      </c>
      <c r="E38" s="27">
        <f>SUM(E34:E37)</f>
        <v>18391.400000000001</v>
      </c>
      <c r="F38" s="27">
        <f>SUM(F34:F37)</f>
        <v>19752.14</v>
      </c>
      <c r="H38" s="27">
        <f t="shared" ref="H38:L38" si="16">SUM(H34:H37)</f>
        <v>19752.14</v>
      </c>
      <c r="I38" s="27">
        <f t="shared" si="16"/>
        <v>19752.14</v>
      </c>
      <c r="J38" s="27">
        <f t="shared" si="16"/>
        <v>19752.14</v>
      </c>
      <c r="K38" s="27">
        <f t="shared" si="16"/>
        <v>19752.14</v>
      </c>
      <c r="L38" s="27">
        <f t="shared" si="16"/>
        <v>19752.14</v>
      </c>
    </row>
    <row r="39" spans="1:12" s="27" customFormat="1">
      <c r="A39" s="27" t="s">
        <v>25</v>
      </c>
      <c r="D39" s="29"/>
      <c r="E39" s="29"/>
      <c r="F39" s="29"/>
    </row>
    <row r="40" spans="1:12">
      <c r="A40" s="3" t="s">
        <v>149</v>
      </c>
      <c r="D40" s="13">
        <v>5855.7</v>
      </c>
      <c r="E40" s="13">
        <v>12181.01</v>
      </c>
      <c r="F40" s="13">
        <v>6894.54</v>
      </c>
      <c r="H40" s="3">
        <v>22884.67</v>
      </c>
      <c r="I40" s="3">
        <v>22885.67</v>
      </c>
      <c r="J40" s="3">
        <v>22886.67</v>
      </c>
      <c r="K40" s="3">
        <v>22887.67</v>
      </c>
      <c r="L40" s="3">
        <v>22888.67</v>
      </c>
    </row>
    <row r="41" spans="1:12">
      <c r="A41" s="3" t="s">
        <v>150</v>
      </c>
      <c r="D41" s="13">
        <v>13502.11</v>
      </c>
      <c r="E41" s="13">
        <v>10843.94</v>
      </c>
      <c r="F41" s="13">
        <v>15988.13</v>
      </c>
      <c r="H41" s="3">
        <f>F41+'Cash flow Statement'!H19</f>
        <v>10445.300667455487</v>
      </c>
      <c r="I41" s="3">
        <f>H41+'Cash flow Statement'!I19</f>
        <v>11330.788997007516</v>
      </c>
      <c r="J41" s="3">
        <f>I41+'Cash flow Statement'!J19</f>
        <v>12291.343579483777</v>
      </c>
      <c r="K41" s="3">
        <f>J41+'Cash flow Statement'!K19</f>
        <v>13333.328069988491</v>
      </c>
      <c r="L41" s="3">
        <f>K41+'Cash flow Statement'!L19</f>
        <v>14463.645595155473</v>
      </c>
    </row>
    <row r="42" spans="1:12">
      <c r="A42" s="3" t="s">
        <v>145</v>
      </c>
      <c r="D42" s="13">
        <v>1148.69</v>
      </c>
      <c r="E42" s="13">
        <v>1406.75</v>
      </c>
      <c r="F42" s="13">
        <v>1043.54</v>
      </c>
      <c r="H42" s="3">
        <v>1043.54</v>
      </c>
      <c r="I42" s="3">
        <v>1043.54</v>
      </c>
      <c r="J42" s="3">
        <v>1043.54</v>
      </c>
      <c r="K42" s="3">
        <v>1043.54</v>
      </c>
      <c r="L42" s="3">
        <v>1043.54</v>
      </c>
    </row>
    <row r="43" spans="1:12">
      <c r="A43" s="3" t="s">
        <v>151</v>
      </c>
      <c r="D43" s="13">
        <v>78.3</v>
      </c>
      <c r="E43" s="13">
        <v>31.49</v>
      </c>
      <c r="F43" s="13">
        <v>37.840000000000003</v>
      </c>
      <c r="H43" s="3">
        <f>'Working Capital Schedule'!H16</f>
        <v>-87.245128414767919</v>
      </c>
      <c r="I43" s="3">
        <f>'Working Capital Schedule'!I16</f>
        <v>-90.514104651246569</v>
      </c>
      <c r="J43" s="3">
        <f>'Working Capital Schedule'!J16</f>
        <v>-94.882743724390522</v>
      </c>
      <c r="K43" s="3">
        <f>'Working Capital Schedule'!K16</f>
        <v>-100.18730278591735</v>
      </c>
      <c r="L43" s="3">
        <f>'Working Capital Schedule'!L16</f>
        <v>-106.33043523191918</v>
      </c>
    </row>
    <row r="44" spans="1:12">
      <c r="A44" s="3" t="s">
        <v>152</v>
      </c>
      <c r="D44" s="13">
        <v>2356.0100000000002</v>
      </c>
      <c r="E44" s="13">
        <v>1347.63</v>
      </c>
      <c r="F44" s="13">
        <v>2287.5</v>
      </c>
      <c r="H44" s="3">
        <f>'Working Capital Schedule'!H18</f>
        <v>1927.8314914527552</v>
      </c>
      <c r="I44" s="3">
        <f>'Working Capital Schedule'!I18</f>
        <v>2091.2611849936065</v>
      </c>
      <c r="J44" s="3">
        <f>'Working Capital Schedule'!J18</f>
        <v>2268.5454425092007</v>
      </c>
      <c r="K44" s="3">
        <f>'Working Capital Schedule'!K18</f>
        <v>2460.8587686979899</v>
      </c>
      <c r="L44" s="3">
        <f>'Working Capital Schedule'!L18</f>
        <v>2669.4752355410337</v>
      </c>
    </row>
    <row r="45" spans="1:12" s="27" customFormat="1">
      <c r="A45" s="27" t="s">
        <v>153</v>
      </c>
      <c r="D45" s="27">
        <f>SUM(D40:D44)</f>
        <v>22940.809999999998</v>
      </c>
      <c r="E45" s="27">
        <f>SUM(E40:E44)</f>
        <v>25810.820000000003</v>
      </c>
      <c r="F45" s="27">
        <f>SUM(F40:F44)</f>
        <v>26251.55</v>
      </c>
      <c r="H45" s="27">
        <f>SUM(H40:H44)</f>
        <v>36214.097030493474</v>
      </c>
      <c r="I45" s="27">
        <f t="shared" ref="I45:L45" si="17">SUM(I40:I44)</f>
        <v>37260.746077349882</v>
      </c>
      <c r="J45" s="27">
        <f t="shared" si="17"/>
        <v>38395.216278268592</v>
      </c>
      <c r="K45" s="27">
        <f t="shared" si="17"/>
        <v>39625.209535900562</v>
      </c>
      <c r="L45" s="27">
        <f t="shared" si="17"/>
        <v>40959.000395464587</v>
      </c>
    </row>
    <row r="47" spans="1:12" s="27" customFormat="1">
      <c r="A47" s="27" t="s">
        <v>26</v>
      </c>
      <c r="D47" s="27">
        <f>SUM(D31,D38,D45)</f>
        <v>60909.63</v>
      </c>
      <c r="E47" s="27">
        <f>SUM(E31,E38,E45)</f>
        <v>62589.87000000001</v>
      </c>
      <c r="F47" s="27">
        <f>SUM(F31,F38,F45)</f>
        <v>65059.66</v>
      </c>
      <c r="H47" s="27">
        <f>SUM(H31,H38,H45)</f>
        <v>75022.207030493475</v>
      </c>
      <c r="I47" s="27">
        <f>SUM(I31,I38,I45)</f>
        <v>76068.85607734989</v>
      </c>
      <c r="J47" s="27">
        <f>SUM(J31,J38,J45)</f>
        <v>77203.326278268592</v>
      </c>
      <c r="K47" s="27">
        <f>SUM(K31,K38,K45)</f>
        <v>78433.319535900562</v>
      </c>
      <c r="L47" s="27">
        <f>SUM(L31,L38,L45)</f>
        <v>79767.110395464581</v>
      </c>
    </row>
  </sheetData>
  <mergeCells count="4">
    <mergeCell ref="H4:L4"/>
    <mergeCell ref="A1:L1"/>
    <mergeCell ref="A4:C4"/>
    <mergeCell ref="D4:G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2263-6069-4EA8-BEAB-AE9DE540EE53}">
  <dimension ref="A1:L22"/>
  <sheetViews>
    <sheetView showGridLines="0" workbookViewId="0">
      <pane ySplit="4" topLeftCell="A5" activePane="bottomLeft" state="frozen"/>
      <selection pane="bottomLeft" activeCell="F23" sqref="F23"/>
    </sheetView>
  </sheetViews>
  <sheetFormatPr defaultColWidth="12.6328125" defaultRowHeight="14.5"/>
  <cols>
    <col min="1" max="6" width="12.6328125" style="3"/>
    <col min="7" max="7" width="5.1796875" style="3" customWidth="1"/>
    <col min="8" max="16384" width="12.6328125" style="3"/>
  </cols>
  <sheetData>
    <row r="1" spans="1:12" ht="22.5">
      <c r="A1" s="68" t="s">
        <v>91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</row>
    <row r="3" spans="1:12">
      <c r="A3" s="69" t="s">
        <v>84</v>
      </c>
      <c r="B3" s="69"/>
      <c r="C3" s="69"/>
      <c r="D3" s="63" t="s">
        <v>186</v>
      </c>
      <c r="E3" s="64"/>
      <c r="F3" s="64"/>
      <c r="G3" s="65"/>
      <c r="H3" s="60" t="s">
        <v>187</v>
      </c>
      <c r="I3" s="60"/>
      <c r="J3" s="60"/>
      <c r="K3" s="60"/>
      <c r="L3" s="60"/>
    </row>
    <row r="4" spans="1:12" s="8" customFormat="1">
      <c r="D4" s="44" t="s">
        <v>188</v>
      </c>
      <c r="E4" s="44" t="s">
        <v>189</v>
      </c>
      <c r="F4" s="44" t="s">
        <v>190</v>
      </c>
      <c r="G4" s="44"/>
      <c r="H4" s="44" t="s">
        <v>191</v>
      </c>
      <c r="I4" s="44" t="s">
        <v>192</v>
      </c>
      <c r="J4" s="44" t="s">
        <v>193</v>
      </c>
      <c r="K4" s="44" t="s">
        <v>194</v>
      </c>
      <c r="L4" s="44" t="s">
        <v>195</v>
      </c>
    </row>
    <row r="5" spans="1:12" s="27" customFormat="1">
      <c r="A5" s="27" t="s">
        <v>49</v>
      </c>
    </row>
    <row r="6" spans="1:12">
      <c r="A6" s="3" t="s">
        <v>139</v>
      </c>
      <c r="D6" s="3">
        <f>'Balance Sheet'!D21</f>
        <v>3250.64</v>
      </c>
      <c r="E6" s="3">
        <f>'Balance Sheet'!E21</f>
        <v>1978.06</v>
      </c>
      <c r="F6" s="3">
        <f>'Balance Sheet'!F21</f>
        <v>2087.5100000000002</v>
      </c>
      <c r="H6" s="3">
        <f>H7/360 *'Income Statement'!H7</f>
        <v>2545.971534369955</v>
      </c>
      <c r="I6" s="3">
        <f>I7/360 *'Income Statement'!I7</f>
        <v>2761.8033378603432</v>
      </c>
      <c r="J6" s="3">
        <f>J7/360 *'Income Statement'!J7</f>
        <v>2995.9320338214638</v>
      </c>
      <c r="K6" s="3">
        <f>K7/360 *'Income Statement'!K7</f>
        <v>3249.9087202317965</v>
      </c>
      <c r="L6" s="3">
        <f>L7/360 *'Income Statement'!L7</f>
        <v>3525.4159876138528</v>
      </c>
    </row>
    <row r="7" spans="1:12">
      <c r="A7" s="3" t="s">
        <v>162</v>
      </c>
      <c r="D7" s="3">
        <f>AVERAGE(D6,B6)/'Income Statement'!D7 * 360</f>
        <v>16.910169478789573</v>
      </c>
      <c r="E7" s="3">
        <f>AVERAGE(E6,D6)/'Income Statement'!E7 * 360</f>
        <v>21.425112860380935</v>
      </c>
      <c r="F7" s="3">
        <f>AVERAGE(F6,E6)/'Income Statement'!F7 * 360</f>
        <v>15.559849607082237</v>
      </c>
      <c r="H7" s="3">
        <f>AVERAGE($D$7:$F$7)</f>
        <v>17.965043982084246</v>
      </c>
      <c r="I7" s="3">
        <f t="shared" ref="I7:L7" si="0">AVERAGE($D$7:$F$7)</f>
        <v>17.965043982084246</v>
      </c>
      <c r="J7" s="3">
        <f t="shared" si="0"/>
        <v>17.965043982084246</v>
      </c>
      <c r="K7" s="3">
        <f t="shared" si="0"/>
        <v>17.965043982084246</v>
      </c>
      <c r="L7" s="3">
        <f t="shared" si="0"/>
        <v>17.965043982084246</v>
      </c>
    </row>
    <row r="8" spans="1:12">
      <c r="A8" s="3" t="s">
        <v>101</v>
      </c>
      <c r="D8" s="3">
        <f>'Balance Sheet'!D18</f>
        <v>4662</v>
      </c>
      <c r="E8" s="3">
        <f>'Balance Sheet'!E18</f>
        <v>3831.92</v>
      </c>
      <c r="F8" s="3">
        <f>'Balance Sheet'!F18</f>
        <v>4551.71</v>
      </c>
      <c r="H8" s="3">
        <f>H9/360 *'Income Statement'!H13</f>
        <v>3492.9344980305036</v>
      </c>
      <c r="I8" s="3">
        <f>I9/360 *'Income Statement'!I13</f>
        <v>3789.0439957237986</v>
      </c>
      <c r="J8" s="3">
        <f>J9/360 *'Income Statement'!J13</f>
        <v>4110.2558349220999</v>
      </c>
      <c r="K8" s="3">
        <f>K9/360 *'Income Statement'!K13</f>
        <v>4458.6980377048812</v>
      </c>
      <c r="L8" s="3">
        <f>L9/360 *'Income Statement'!L13</f>
        <v>4836.6790267716133</v>
      </c>
    </row>
    <row r="9" spans="1:12">
      <c r="A9" s="3" t="s">
        <v>162</v>
      </c>
      <c r="D9" s="3">
        <f>AVERAGE(D8,B8)/'Income Statement'!D13 * 360</f>
        <v>33.158038856656958</v>
      </c>
      <c r="E9" s="3">
        <f>AVERAGE(E8,D8)/'Income Statement'!E13 * 360</f>
        <v>46.935643851588253</v>
      </c>
      <c r="F9" s="3">
        <f>AVERAGE(F8,E8)/'Income Statement'!F13 * 360</f>
        <v>42.589815044256284</v>
      </c>
      <c r="H9" s="3">
        <f>AVERAGE($D$9:$F$9)</f>
        <v>40.894499250833832</v>
      </c>
      <c r="I9" s="3">
        <f t="shared" ref="I9:L9" si="1">AVERAGE($D$9:$F$9)</f>
        <v>40.894499250833832</v>
      </c>
      <c r="J9" s="3">
        <f t="shared" si="1"/>
        <v>40.894499250833832</v>
      </c>
      <c r="K9" s="3">
        <f t="shared" si="1"/>
        <v>40.894499250833832</v>
      </c>
      <c r="L9" s="3">
        <f t="shared" si="1"/>
        <v>40.894499250833832</v>
      </c>
    </row>
    <row r="10" spans="1:12">
      <c r="A10" s="3" t="s">
        <v>163</v>
      </c>
      <c r="D10" s="3">
        <f>'Balance Sheet'!D23</f>
        <v>934.87</v>
      </c>
      <c r="E10" s="3">
        <f>'Balance Sheet'!E23</f>
        <v>1371.51</v>
      </c>
      <c r="F10" s="3">
        <f>'Balance Sheet'!F23</f>
        <v>1166.8900000000001</v>
      </c>
      <c r="H10" s="3">
        <f>H11*'Income Statement'!H7</f>
        <v>1182.6367266149921</v>
      </c>
      <c r="I10" s="3">
        <f>I11*'Income Statement'!I7</f>
        <v>1282.8933925413255</v>
      </c>
      <c r="J10" s="3">
        <f>J11*'Income Statement'!J7</f>
        <v>1391.6492018110539</v>
      </c>
      <c r="K10" s="3">
        <f>K11*'Income Statement'!K7</f>
        <v>1509.624659508843</v>
      </c>
      <c r="L10" s="3">
        <f>L11*'Income Statement'!L7</f>
        <v>1637.6013507077837</v>
      </c>
    </row>
    <row r="11" spans="1:12" s="2" customFormat="1">
      <c r="A11" s="2" t="s">
        <v>164</v>
      </c>
      <c r="D11" s="1">
        <f>D10/'Income Statement'!D7</f>
        <v>1.3509143276944446E-2</v>
      </c>
      <c r="E11" s="1">
        <f>E10/'Income Statement'!E7</f>
        <v>3.1221651163706569E-2</v>
      </c>
      <c r="F11" s="1">
        <f>F10/'Income Statement'!F7</f>
        <v>2.4810834107460388E-2</v>
      </c>
      <c r="H11" s="1">
        <f>AVERAGE($D$11:$F$11)</f>
        <v>2.3180542849370465E-2</v>
      </c>
      <c r="I11" s="1">
        <f t="shared" ref="I11:L11" si="2">AVERAGE($D$11:$F$11)</f>
        <v>2.3180542849370465E-2</v>
      </c>
      <c r="J11" s="1">
        <f t="shared" si="2"/>
        <v>2.3180542849370465E-2</v>
      </c>
      <c r="K11" s="1">
        <f t="shared" si="2"/>
        <v>2.3180542849370465E-2</v>
      </c>
      <c r="L11" s="1">
        <f t="shared" si="2"/>
        <v>2.3180542849370465E-2</v>
      </c>
    </row>
    <row r="12" spans="1:12" s="27" customFormat="1">
      <c r="A12" s="27" t="s">
        <v>88</v>
      </c>
      <c r="D12" s="27">
        <f>SUM(D6,D8,D10)</f>
        <v>8847.51</v>
      </c>
      <c r="E12" s="27">
        <f t="shared" ref="E12:L12" si="3">SUM(E6,E8,E10)</f>
        <v>7181.49</v>
      </c>
      <c r="F12" s="27">
        <f t="shared" si="3"/>
        <v>7806.1100000000006</v>
      </c>
      <c r="H12" s="27">
        <f t="shared" si="3"/>
        <v>7221.5427590154504</v>
      </c>
      <c r="I12" s="27">
        <f t="shared" si="3"/>
        <v>7833.7407261254675</v>
      </c>
      <c r="J12" s="27">
        <f t="shared" si="3"/>
        <v>8497.8370705546185</v>
      </c>
      <c r="K12" s="27">
        <f t="shared" si="3"/>
        <v>9218.2314174455205</v>
      </c>
      <c r="L12" s="27">
        <f t="shared" si="3"/>
        <v>9999.6963650932503</v>
      </c>
    </row>
    <row r="13" spans="1:12" s="27" customFormat="1">
      <c r="A13" s="27" t="s">
        <v>50</v>
      </c>
    </row>
    <row r="14" spans="1:12">
      <c r="A14" s="3" t="s">
        <v>165</v>
      </c>
      <c r="D14" s="3">
        <f>'Balance Sheet'!D41</f>
        <v>13502.11</v>
      </c>
      <c r="E14" s="3">
        <f>'Balance Sheet'!E41</f>
        <v>10843.94</v>
      </c>
      <c r="F14" s="3">
        <f>'Balance Sheet'!F41</f>
        <v>15988.13</v>
      </c>
      <c r="H14" s="3">
        <f>H15/360 *'Income Statement'!H13</f>
        <v>10445.300667455487</v>
      </c>
      <c r="I14" s="3">
        <f>I15/360 *'Income Statement'!I13</f>
        <v>11330.788997007516</v>
      </c>
      <c r="J14" s="3">
        <f>J15/360 *'Income Statement'!J13</f>
        <v>12291.343579483777</v>
      </c>
      <c r="K14" s="3">
        <f>K15/360 *'Income Statement'!K13</f>
        <v>13333.328069988491</v>
      </c>
      <c r="L14" s="3">
        <f>L15/360 *'Income Statement'!L13</f>
        <v>14463.645595155473</v>
      </c>
    </row>
    <row r="15" spans="1:12">
      <c r="A15" s="3" t="s">
        <v>166</v>
      </c>
      <c r="D15" s="3">
        <f>AVERAGE(D14,C14)/'Income Statement'!D13 * 360</f>
        <v>96.032494214254925</v>
      </c>
      <c r="E15" s="3">
        <f>AVERAGE(E14,D14)/'Income Statement'!E13 * 360</f>
        <v>134.53123316359941</v>
      </c>
      <c r="F15" s="3">
        <f>AVERAGE(F14,E14)/'Income Statement'!F13 * 360</f>
        <v>136.31003497942271</v>
      </c>
      <c r="H15" s="3">
        <f>AVERAGE($D$15:$F$15)</f>
        <v>122.29125411909234</v>
      </c>
      <c r="I15" s="3">
        <f t="shared" ref="I15:L15" si="4">AVERAGE($D$15:$F$15)</f>
        <v>122.29125411909234</v>
      </c>
      <c r="J15" s="3">
        <f t="shared" si="4"/>
        <v>122.29125411909234</v>
      </c>
      <c r="K15" s="3">
        <f t="shared" si="4"/>
        <v>122.29125411909234</v>
      </c>
      <c r="L15" s="3">
        <f t="shared" si="4"/>
        <v>122.29125411909234</v>
      </c>
    </row>
    <row r="16" spans="1:12">
      <c r="A16" s="3" t="s">
        <v>167</v>
      </c>
      <c r="D16" s="3">
        <f>'Balance Sheet'!D43</f>
        <v>78.3</v>
      </c>
      <c r="E16" s="3">
        <f>'Balance Sheet'!E43</f>
        <v>31.49</v>
      </c>
      <c r="F16" s="3">
        <f>'Balance Sheet'!F43</f>
        <v>37.840000000000003</v>
      </c>
      <c r="H16" s="3">
        <f>H17/360 *'Income Statement'!H32</f>
        <v>-87.245128414767919</v>
      </c>
      <c r="I16" s="3">
        <f>I17/360 *'Income Statement'!I32</f>
        <v>-90.514104651246569</v>
      </c>
      <c r="J16" s="3">
        <f>J17/360 *'Income Statement'!J32</f>
        <v>-94.882743724390522</v>
      </c>
      <c r="K16" s="3">
        <f>K17/360 *'Income Statement'!K32</f>
        <v>-100.18730278591735</v>
      </c>
      <c r="L16" s="3">
        <f>L17/360 *'Income Statement'!L32</f>
        <v>-106.33043523191918</v>
      </c>
    </row>
    <row r="17" spans="1:12">
      <c r="A17" s="3" t="s">
        <v>166</v>
      </c>
      <c r="D17" s="3">
        <f>AVERAGE(D16,C16)/'Income Statement'!D32*360</f>
        <v>74.506383316152551</v>
      </c>
      <c r="E17" s="3">
        <f>AVERAGE(E16,D16)/'Income Statement'!E32*360</f>
        <v>121.770903937396</v>
      </c>
      <c r="F17" s="3">
        <f>AVERAGE(F16,E16)/'Income Statement'!F32*360</f>
        <v>150.59008084952333</v>
      </c>
      <c r="H17" s="3">
        <f>AVERAGE($D$17:$F$17)</f>
        <v>115.62245603435728</v>
      </c>
      <c r="I17" s="3">
        <f t="shared" ref="I17:L17" si="5">AVERAGE($D$17:$F$17)</f>
        <v>115.62245603435728</v>
      </c>
      <c r="J17" s="3">
        <f t="shared" si="5"/>
        <v>115.62245603435728</v>
      </c>
      <c r="K17" s="3">
        <f t="shared" si="5"/>
        <v>115.62245603435728</v>
      </c>
      <c r="L17" s="3">
        <f t="shared" si="5"/>
        <v>115.62245603435728</v>
      </c>
    </row>
    <row r="18" spans="1:12">
      <c r="A18" s="3" t="s">
        <v>170</v>
      </c>
      <c r="D18" s="3">
        <f>'Balance Sheet'!D44</f>
        <v>2356.0100000000002</v>
      </c>
      <c r="E18" s="3">
        <f>'Balance Sheet'!E44</f>
        <v>1347.63</v>
      </c>
      <c r="F18" s="3">
        <f>'Balance Sheet'!F44</f>
        <v>2287.5</v>
      </c>
      <c r="H18" s="3">
        <f>H19*'Income Statement'!H7</f>
        <v>1927.8314914527552</v>
      </c>
      <c r="I18" s="3">
        <f>I19*'Income Statement'!I7</f>
        <v>2091.2611849936065</v>
      </c>
      <c r="J18" s="3">
        <f>J19*'Income Statement'!J7</f>
        <v>2268.5454425092007</v>
      </c>
      <c r="K18" s="3">
        <f>K19*'Income Statement'!K7</f>
        <v>2460.8587686979899</v>
      </c>
      <c r="L18" s="3">
        <f>L19*'Income Statement'!L7</f>
        <v>2669.4752355410337</v>
      </c>
    </row>
    <row r="19" spans="1:12">
      <c r="A19" s="3" t="s">
        <v>164</v>
      </c>
      <c r="D19" s="1">
        <f>D18/'Income Statement'!D7</f>
        <v>3.4045029417901836E-2</v>
      </c>
      <c r="E19" s="1">
        <f>E18/'Income Statement'!E7</f>
        <v>3.0678036439942755E-2</v>
      </c>
      <c r="F19" s="1">
        <f>F18/'Income Statement'!F7</f>
        <v>4.8637646239847489E-2</v>
      </c>
      <c r="H19" s="1">
        <f>AVERAGE($D$19:$F$19)</f>
        <v>3.7786904032564024E-2</v>
      </c>
      <c r="I19" s="1">
        <f t="shared" ref="I19:L19" si="6">AVERAGE($D$19:$F$19)</f>
        <v>3.7786904032564024E-2</v>
      </c>
      <c r="J19" s="1">
        <f t="shared" si="6"/>
        <v>3.7786904032564024E-2</v>
      </c>
      <c r="K19" s="1">
        <f t="shared" si="6"/>
        <v>3.7786904032564024E-2</v>
      </c>
      <c r="L19" s="1">
        <f t="shared" si="6"/>
        <v>3.7786904032564024E-2</v>
      </c>
    </row>
    <row r="20" spans="1:12" s="27" customFormat="1">
      <c r="A20" s="27" t="s">
        <v>89</v>
      </c>
      <c r="D20" s="27">
        <f>SUM(D14,D16)</f>
        <v>13580.41</v>
      </c>
      <c r="E20" s="27">
        <f t="shared" ref="E20:L20" si="7">SUM(E14,E16)</f>
        <v>10875.43</v>
      </c>
      <c r="F20" s="27">
        <f t="shared" si="7"/>
        <v>16025.97</v>
      </c>
      <c r="H20" s="27">
        <f t="shared" si="7"/>
        <v>10358.055539040719</v>
      </c>
      <c r="I20" s="27">
        <f t="shared" si="7"/>
        <v>11240.274892356269</v>
      </c>
      <c r="J20" s="27">
        <f t="shared" si="7"/>
        <v>12196.460835759386</v>
      </c>
      <c r="K20" s="27">
        <f t="shared" si="7"/>
        <v>13233.140767202574</v>
      </c>
      <c r="L20" s="27">
        <f t="shared" si="7"/>
        <v>14357.315159923553</v>
      </c>
    </row>
    <row r="22" spans="1:12" s="27" customFormat="1">
      <c r="A22" s="27" t="s">
        <v>92</v>
      </c>
      <c r="D22" s="27">
        <f>SUM(D12,D20)</f>
        <v>22427.919999999998</v>
      </c>
      <c r="E22" s="27">
        <f t="shared" ref="E22:L22" si="8">SUM(E12,E20)</f>
        <v>18056.919999999998</v>
      </c>
      <c r="F22" s="27">
        <f t="shared" si="8"/>
        <v>23832.080000000002</v>
      </c>
      <c r="H22" s="27">
        <f t="shared" si="8"/>
        <v>17579.598298056168</v>
      </c>
      <c r="I22" s="27">
        <f t="shared" si="8"/>
        <v>19074.015618481735</v>
      </c>
      <c r="J22" s="27">
        <f t="shared" si="8"/>
        <v>20694.297906314005</v>
      </c>
      <c r="K22" s="27">
        <f t="shared" si="8"/>
        <v>22451.372184648095</v>
      </c>
      <c r="L22" s="27">
        <f t="shared" si="8"/>
        <v>24357.011525016802</v>
      </c>
    </row>
  </sheetData>
  <mergeCells count="4">
    <mergeCell ref="H3:L3"/>
    <mergeCell ref="A1:L1"/>
    <mergeCell ref="A3:C3"/>
    <mergeCell ref="D3:G3"/>
  </mergeCells>
  <pageMargins left="0.7" right="0.7" top="0.75" bottom="0.75" header="0.3" footer="0.3"/>
  <ignoredErrors>
    <ignoredError sqref="H8:L8 H16:L16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3F693-9F7D-4211-85B2-A90A2C6DD649}">
  <dimension ref="A1:L30"/>
  <sheetViews>
    <sheetView showGridLines="0" workbookViewId="0">
      <pane ySplit="5" topLeftCell="A6" activePane="bottomLeft" state="frozen"/>
      <selection pane="bottomLeft" activeCell="C9" sqref="C9"/>
    </sheetView>
  </sheetViews>
  <sheetFormatPr defaultColWidth="12.6328125" defaultRowHeight="14.5"/>
  <cols>
    <col min="1" max="6" width="12.6328125" style="3"/>
    <col min="7" max="7" width="5.1796875" style="3" customWidth="1"/>
    <col min="8" max="16384" width="12.6328125" style="3"/>
  </cols>
  <sheetData>
    <row r="1" spans="1:12" ht="22.5">
      <c r="A1" s="68" t="s">
        <v>161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</row>
    <row r="3" spans="1:12">
      <c r="A3" s="3" t="s">
        <v>70</v>
      </c>
      <c r="C3" s="21">
        <v>44554</v>
      </c>
    </row>
    <row r="4" spans="1:12">
      <c r="A4" s="3" t="s">
        <v>71</v>
      </c>
      <c r="C4" s="13">
        <v>467.6</v>
      </c>
    </row>
    <row r="5" spans="1:12">
      <c r="A5" s="3" t="s">
        <v>72</v>
      </c>
      <c r="C5" s="18">
        <f>'Income Statement'!F34/'Income Statement'!F38</f>
        <v>363.48548636218408</v>
      </c>
    </row>
    <row r="7" spans="1:12">
      <c r="A7" s="69" t="s">
        <v>84</v>
      </c>
      <c r="B7" s="74"/>
      <c r="C7" s="74"/>
      <c r="D7" s="63" t="s">
        <v>186</v>
      </c>
      <c r="E7" s="64"/>
      <c r="F7" s="64"/>
      <c r="G7" s="65"/>
      <c r="H7" s="60" t="s">
        <v>187</v>
      </c>
      <c r="I7" s="60"/>
      <c r="J7" s="60"/>
      <c r="K7" s="60"/>
      <c r="L7" s="60"/>
    </row>
    <row r="8" spans="1:12" s="8" customFormat="1">
      <c r="D8" s="44" t="s">
        <v>188</v>
      </c>
      <c r="E8" s="44" t="s">
        <v>189</v>
      </c>
      <c r="F8" s="44" t="s">
        <v>190</v>
      </c>
      <c r="G8" s="44"/>
      <c r="H8" s="44" t="s">
        <v>191</v>
      </c>
      <c r="I8" s="44" t="s">
        <v>192</v>
      </c>
      <c r="J8" s="44" t="s">
        <v>193</v>
      </c>
      <c r="K8" s="44" t="s">
        <v>194</v>
      </c>
      <c r="L8" s="44" t="s">
        <v>195</v>
      </c>
    </row>
    <row r="9" spans="1:12" s="8" customFormat="1">
      <c r="A9" s="8" t="s">
        <v>51</v>
      </c>
      <c r="D9" s="24"/>
      <c r="E9" s="24"/>
      <c r="F9" s="24"/>
      <c r="G9" s="24"/>
      <c r="H9" s="23">
        <v>1</v>
      </c>
      <c r="I9" s="23">
        <v>2</v>
      </c>
      <c r="J9" s="23">
        <v>3</v>
      </c>
      <c r="K9" s="23">
        <v>4</v>
      </c>
      <c r="L9" s="23">
        <v>5</v>
      </c>
    </row>
    <row r="10" spans="1:12">
      <c r="A10" s="3" t="s">
        <v>5</v>
      </c>
      <c r="D10" s="11"/>
      <c r="E10" s="11"/>
      <c r="F10" s="11"/>
      <c r="G10" s="11"/>
      <c r="H10" s="3">
        <f>'Income Statement'!H23</f>
        <v>7954.3365191292032</v>
      </c>
      <c r="I10" s="3">
        <f>'Income Statement'!I23</f>
        <v>8191.0239029845097</v>
      </c>
      <c r="J10" s="3">
        <f>'Income Statement'!J23</f>
        <v>8507.3314189866305</v>
      </c>
      <c r="K10" s="3">
        <f>'Income Statement'!K23</f>
        <v>8891.4034084885207</v>
      </c>
      <c r="L10" s="3">
        <f>'Income Statement'!L23</f>
        <v>9336.1915752226687</v>
      </c>
    </row>
    <row r="11" spans="1:12" s="1" customFormat="1">
      <c r="A11" s="1" t="s">
        <v>52</v>
      </c>
      <c r="D11" s="25"/>
      <c r="E11" s="25"/>
      <c r="F11" s="25"/>
      <c r="G11" s="25"/>
      <c r="H11" s="1">
        <f>WACC!$B$6</f>
        <v>0.3</v>
      </c>
      <c r="I11" s="1">
        <f>WACC!$B$6</f>
        <v>0.3</v>
      </c>
      <c r="J11" s="1">
        <f>WACC!$B$6</f>
        <v>0.3</v>
      </c>
      <c r="K11" s="1">
        <f>WACC!$B$6</f>
        <v>0.3</v>
      </c>
      <c r="L11" s="1">
        <f>WACC!$B$6</f>
        <v>0.3</v>
      </c>
    </row>
    <row r="12" spans="1:12">
      <c r="A12" s="3" t="s">
        <v>53</v>
      </c>
      <c r="D12" s="11"/>
      <c r="E12" s="11"/>
      <c r="F12" s="11"/>
      <c r="G12" s="11"/>
      <c r="H12" s="3">
        <f>H10*(1-H11)</f>
        <v>5568.0355633904419</v>
      </c>
      <c r="I12" s="3">
        <f t="shared" ref="I12:L12" si="0">I10*(1-I11)</f>
        <v>5733.7167320891567</v>
      </c>
      <c r="J12" s="3">
        <f t="shared" si="0"/>
        <v>5955.1319932906408</v>
      </c>
      <c r="K12" s="3">
        <f t="shared" si="0"/>
        <v>6223.9823859419639</v>
      </c>
      <c r="L12" s="3">
        <f t="shared" si="0"/>
        <v>6535.3341026558674</v>
      </c>
    </row>
    <row r="13" spans="1:12">
      <c r="A13" s="3" t="s">
        <v>54</v>
      </c>
      <c r="D13" s="11"/>
      <c r="E13" s="11"/>
      <c r="F13" s="11"/>
      <c r="G13" s="11"/>
      <c r="H13" s="3">
        <f>'Cash flow Statement'!H9</f>
        <v>4024.6615009930879</v>
      </c>
      <c r="I13" s="3">
        <f>'Cash flow Statement'!I9</f>
        <v>4612.839343433051</v>
      </c>
      <c r="J13" s="3">
        <f>'Cash flow Statement'!J9</f>
        <v>5250.8792847979803</v>
      </c>
      <c r="K13" s="3">
        <f>'Cash flow Statement'!K9</f>
        <v>5943.0083270757259</v>
      </c>
      <c r="L13" s="3">
        <f>'Cash flow Statement'!L9</f>
        <v>6693.8118114775261</v>
      </c>
    </row>
    <row r="14" spans="1:12">
      <c r="A14" s="3" t="s">
        <v>63</v>
      </c>
      <c r="D14" s="11"/>
      <c r="E14" s="11"/>
      <c r="F14" s="11"/>
      <c r="G14" s="11"/>
      <c r="H14" s="41" t="s">
        <v>174</v>
      </c>
      <c r="I14" s="41" t="s">
        <v>174</v>
      </c>
      <c r="J14" s="41" t="s">
        <v>174</v>
      </c>
      <c r="K14" s="41" t="s">
        <v>174</v>
      </c>
      <c r="L14" s="41" t="s">
        <v>174</v>
      </c>
    </row>
    <row r="15" spans="1:12">
      <c r="A15" s="3" t="s">
        <v>62</v>
      </c>
      <c r="D15" s="11"/>
      <c r="E15" s="11"/>
      <c r="F15" s="11"/>
      <c r="G15" s="11"/>
      <c r="H15" s="3">
        <f>SUM('Cash flow Statement'!H16:H20)</f>
        <v>10114.783475903954</v>
      </c>
      <c r="I15" s="3">
        <f>SUM('Cash flow Statement'!I16:I20)</f>
        <v>16704.477583916872</v>
      </c>
      <c r="J15" s="3">
        <f>SUM('Cash flow Statement'!J16:J20)</f>
        <v>17709.44959692558</v>
      </c>
      <c r="K15" s="3">
        <f>SUM('Cash flow Statement'!K16:K20)</f>
        <v>18842.327782653159</v>
      </c>
      <c r="L15" s="3">
        <f>SUM('Cash flow Statement'!L16:L20)</f>
        <v>20100.61215506764</v>
      </c>
    </row>
    <row r="16" spans="1:12">
      <c r="A16" s="3" t="s">
        <v>31</v>
      </c>
      <c r="D16" s="11"/>
      <c r="E16" s="11"/>
      <c r="F16" s="11"/>
      <c r="G16" s="11"/>
      <c r="H16" s="3">
        <f>'Cash flow Statement'!H26</f>
        <v>-5422.1241008399684</v>
      </c>
      <c r="I16" s="3">
        <f>'Cash flow Statement'!I26</f>
        <v>-5881.7784243996348</v>
      </c>
      <c r="J16" s="3">
        <f>'Cash flow Statement'!J26</f>
        <v>-6380.3994136492965</v>
      </c>
      <c r="K16" s="3">
        <f>'Cash flow Statement'!K26</f>
        <v>-6921.2904227774579</v>
      </c>
      <c r="L16" s="3">
        <f>'Cash flow Statement'!L26</f>
        <v>-7508.034844018006</v>
      </c>
    </row>
    <row r="17" spans="1:12" s="27" customFormat="1">
      <c r="A17" s="27" t="s">
        <v>204</v>
      </c>
      <c r="D17" s="30"/>
      <c r="E17" s="30"/>
      <c r="F17" s="30"/>
      <c r="G17" s="30"/>
      <c r="H17" s="27">
        <f>SUM(H12:H16)</f>
        <v>14285.356439447516</v>
      </c>
      <c r="I17" s="27">
        <f>SUM(I12:I16)</f>
        <v>21169.255235039444</v>
      </c>
      <c r="J17" s="27">
        <f>SUM(J12:J16)</f>
        <v>22535.061461364901</v>
      </c>
      <c r="K17" s="27">
        <f>SUM(K12:K16)</f>
        <v>24088.028072893394</v>
      </c>
      <c r="L17" s="27">
        <f>SUM(L12:L16)</f>
        <v>25821.723225183032</v>
      </c>
    </row>
    <row r="18" spans="1:12" s="1" customFormat="1">
      <c r="A18" s="1" t="s">
        <v>55</v>
      </c>
      <c r="D18" s="25"/>
      <c r="E18" s="25"/>
      <c r="F18" s="25"/>
      <c r="G18" s="25"/>
      <c r="H18" s="1">
        <f>WACC!B17</f>
        <v>0.13365604349263105</v>
      </c>
      <c r="I18" s="1">
        <f>H18</f>
        <v>0.13365604349263105</v>
      </c>
      <c r="J18" s="1">
        <f t="shared" ref="J18:L18" si="1">I18</f>
        <v>0.13365604349263105</v>
      </c>
      <c r="K18" s="1">
        <f t="shared" si="1"/>
        <v>0.13365604349263105</v>
      </c>
      <c r="L18" s="1">
        <f t="shared" si="1"/>
        <v>0.13365604349263105</v>
      </c>
    </row>
    <row r="19" spans="1:12" s="27" customFormat="1">
      <c r="A19" s="27" t="s">
        <v>205</v>
      </c>
      <c r="D19" s="30"/>
      <c r="E19" s="30"/>
      <c r="F19" s="30"/>
      <c r="G19" s="30"/>
      <c r="H19" s="27">
        <f>H17/(1+H18)^H9</f>
        <v>12601.138168360476</v>
      </c>
      <c r="I19" s="27">
        <f>I17/(1+I18)^I9</f>
        <v>16471.872198134432</v>
      </c>
      <c r="J19" s="27">
        <f>J17/(1+J18)^J9</f>
        <v>15467.311221068552</v>
      </c>
      <c r="K19" s="27">
        <f>K17/(1+K18)^K9</f>
        <v>14583.978598170812</v>
      </c>
      <c r="L19" s="27">
        <f>L17/(1+L18)^L9</f>
        <v>13790.45780694846</v>
      </c>
    </row>
    <row r="21" spans="1:12" s="27" customFormat="1">
      <c r="A21" s="27" t="s">
        <v>61</v>
      </c>
      <c r="C21" s="27">
        <f>SUM(H19:L19)</f>
        <v>72914.757992682731</v>
      </c>
    </row>
    <row r="23" spans="1:12">
      <c r="A23" s="69" t="s">
        <v>56</v>
      </c>
      <c r="B23" s="69"/>
      <c r="C23" s="69"/>
      <c r="D23" s="69"/>
    </row>
    <row r="25" spans="1:12">
      <c r="A25" s="27" t="s">
        <v>57</v>
      </c>
      <c r="B25" s="27"/>
    </row>
    <row r="26" spans="1:12" s="1" customFormat="1">
      <c r="A26" s="1" t="s">
        <v>58</v>
      </c>
      <c r="D26" s="15">
        <v>0.06</v>
      </c>
    </row>
    <row r="27" spans="1:12" s="1" customFormat="1">
      <c r="A27" s="1" t="s">
        <v>55</v>
      </c>
      <c r="D27" s="1">
        <f>WACC!B17</f>
        <v>0.13365604349263105</v>
      </c>
    </row>
    <row r="28" spans="1:12">
      <c r="A28" s="3" t="s">
        <v>59</v>
      </c>
      <c r="D28" s="3">
        <f>L19*(1+D26)</f>
        <v>14617.885275365368</v>
      </c>
    </row>
    <row r="29" spans="1:12">
      <c r="A29" s="3" t="s">
        <v>56</v>
      </c>
      <c r="D29" s="3">
        <f>D28/(D27-D26)</f>
        <v>198461.45112081428</v>
      </c>
    </row>
    <row r="30" spans="1:12" s="27" customFormat="1">
      <c r="A30" s="27" t="s">
        <v>60</v>
      </c>
      <c r="D30" s="27">
        <f>D29/(1+L18)^L9</f>
        <v>105991.15497133727</v>
      </c>
    </row>
  </sheetData>
  <mergeCells count="5">
    <mergeCell ref="A23:D23"/>
    <mergeCell ref="H7:L7"/>
    <mergeCell ref="A1:L1"/>
    <mergeCell ref="A7:C7"/>
    <mergeCell ref="D7:G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379C-5D67-4711-8764-5FC337A9C897}">
  <dimension ref="A1:F17"/>
  <sheetViews>
    <sheetView showGridLines="0" workbookViewId="0">
      <selection activeCell="B11" sqref="B11"/>
    </sheetView>
  </sheetViews>
  <sheetFormatPr defaultColWidth="12.6328125" defaultRowHeight="14.5"/>
  <cols>
    <col min="1" max="1" width="18.90625" style="3" customWidth="1"/>
    <col min="2" max="16384" width="12.6328125" style="3"/>
  </cols>
  <sheetData>
    <row r="1" spans="1:6" ht="22.5">
      <c r="A1" s="68" t="s">
        <v>55</v>
      </c>
      <c r="B1" s="73"/>
      <c r="C1" s="73"/>
      <c r="D1" s="73"/>
      <c r="E1" s="73"/>
      <c r="F1" s="73"/>
    </row>
    <row r="3" spans="1:6">
      <c r="A3" s="3" t="s">
        <v>73</v>
      </c>
      <c r="B3" s="3">
        <f>'DCF Analysis'!C4</f>
        <v>467.6</v>
      </c>
      <c r="E3" s="3" t="s">
        <v>64</v>
      </c>
      <c r="F3" s="15">
        <v>6.1260000000000002E-2</v>
      </c>
    </row>
    <row r="4" spans="1:6">
      <c r="A4" s="3" t="s">
        <v>69</v>
      </c>
      <c r="B4" s="18">
        <f>'DCF Analysis'!C5</f>
        <v>363.48548636218408</v>
      </c>
      <c r="E4" s="3" t="s">
        <v>65</v>
      </c>
      <c r="F4" s="13">
        <v>1.05</v>
      </c>
    </row>
    <row r="5" spans="1:6" s="1" customFormat="1">
      <c r="A5" s="1" t="s">
        <v>68</v>
      </c>
      <c r="B5" s="15">
        <v>0.12</v>
      </c>
      <c r="E5" s="1" t="s">
        <v>66</v>
      </c>
      <c r="F5" s="15">
        <v>7.4999999999999997E-2</v>
      </c>
    </row>
    <row r="6" spans="1:6">
      <c r="A6" s="3" t="s">
        <v>74</v>
      </c>
      <c r="B6" s="15">
        <v>0.3</v>
      </c>
    </row>
    <row r="7" spans="1:6" s="1" customFormat="1">
      <c r="A7" s="32" t="s">
        <v>75</v>
      </c>
      <c r="B7" s="32">
        <f>B5*(1-B6)</f>
        <v>8.3999999999999991E-2</v>
      </c>
      <c r="E7" s="1" t="s">
        <v>90</v>
      </c>
      <c r="F7" s="1">
        <f>F4*F5</f>
        <v>7.8750000000000001E-2</v>
      </c>
    </row>
    <row r="8" spans="1:6" s="1" customFormat="1">
      <c r="A8" s="32" t="s">
        <v>67</v>
      </c>
      <c r="B8" s="32">
        <f>SUM(F3,F7)</f>
        <v>0.14001</v>
      </c>
    </row>
    <row r="10" spans="1:6">
      <c r="A10" s="3" t="s">
        <v>76</v>
      </c>
      <c r="B10" s="13">
        <v>21748.720000000001</v>
      </c>
    </row>
    <row r="11" spans="1:6">
      <c r="A11" s="3" t="s">
        <v>77</v>
      </c>
      <c r="B11" s="3">
        <f>B3*B4</f>
        <v>169965.81342295729</v>
      </c>
    </row>
    <row r="12" spans="1:6">
      <c r="A12" s="3" t="s">
        <v>78</v>
      </c>
      <c r="B12" s="3">
        <f>SUM(B10:B11)</f>
        <v>191714.53342295729</v>
      </c>
    </row>
    <row r="14" spans="1:6" s="1" customFormat="1">
      <c r="A14" s="1" t="s">
        <v>79</v>
      </c>
      <c r="B14" s="1">
        <f>B10/B12</f>
        <v>0.1134432513367067</v>
      </c>
    </row>
    <row r="15" spans="1:6" s="1" customFormat="1">
      <c r="A15" s="1" t="s">
        <v>80</v>
      </c>
      <c r="B15" s="1">
        <f>B11/B12</f>
        <v>0.88655674866329326</v>
      </c>
    </row>
    <row r="17" spans="1:2" s="1" customFormat="1">
      <c r="A17" s="32" t="s">
        <v>55</v>
      </c>
      <c r="B17" s="32">
        <f>B14*B7+ B15*B8</f>
        <v>0.13365604349263105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62AB0-4173-48D7-BF39-DABBCBE39EDE}">
  <dimension ref="A1:AD15"/>
  <sheetViews>
    <sheetView showGridLines="0" workbookViewId="0">
      <selection activeCell="T28" sqref="T28"/>
    </sheetView>
  </sheetViews>
  <sheetFormatPr defaultRowHeight="14.5"/>
  <cols>
    <col min="5" max="5" width="9.1796875" customWidth="1"/>
  </cols>
  <sheetData>
    <row r="1" spans="1:30" ht="22.5">
      <c r="A1" s="61" t="s">
        <v>185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r="5" spans="1:30">
      <c r="U5" t="s">
        <v>179</v>
      </c>
      <c r="V5" s="3">
        <f>'Income Statement'!F20</f>
        <v>2335.5706448732071</v>
      </c>
    </row>
    <row r="6" spans="1:30">
      <c r="U6" t="s">
        <v>180</v>
      </c>
      <c r="V6" s="3">
        <f>'Income Statement'!H11-'Income Statement'!F11</f>
        <v>3723.7077308505905</v>
      </c>
    </row>
    <row r="7" spans="1:30">
      <c r="U7" t="s">
        <v>181</v>
      </c>
      <c r="V7" s="3">
        <f>'Income Statement'!H13-'Income Statement'!F13</f>
        <v>-4683.4687853639189</v>
      </c>
    </row>
    <row r="8" spans="1:30">
      <c r="U8" t="s">
        <v>182</v>
      </c>
      <c r="V8" s="3">
        <f>'Income Statement'!H18-'Income Statement'!F18</f>
        <v>-1236.2508590345751</v>
      </c>
    </row>
    <row r="9" spans="1:30">
      <c r="U9" t="s">
        <v>183</v>
      </c>
      <c r="V9" s="3">
        <f>V5+V6-V7-V8</f>
        <v>11978.998020122292</v>
      </c>
    </row>
    <row r="11" spans="1:30">
      <c r="C11" s="3"/>
      <c r="U11" t="s">
        <v>184</v>
      </c>
      <c r="V11" s="1">
        <f>'Income Statement'!D20/'Income Statement'!D7</f>
        <v>0.10829351314889753</v>
      </c>
      <c r="W11" s="1">
        <f>'Income Statement'!E20/'Income Statement'!E7</f>
        <v>1.6652293387748825E-2</v>
      </c>
      <c r="X11" s="1">
        <f>'Income Statement'!F20/'Income Statement'!F7</f>
        <v>4.9659741549077818E-2</v>
      </c>
      <c r="Y11" s="1"/>
      <c r="Z11" s="1">
        <f>'Income Statement'!H20/'Income Statement'!H7</f>
        <v>0.23479710265108947</v>
      </c>
      <c r="AA11" s="1">
        <f>'Income Statement'!I20/'Income Statement'!I7</f>
        <v>0.23135242752565752</v>
      </c>
      <c r="AB11" s="1">
        <f>'Income Statement'!J20/'Income Statement'!J7</f>
        <v>0.22916895460056258</v>
      </c>
      <c r="AC11" s="1">
        <f>'Income Statement'!K20/'Income Statement'!K7</f>
        <v>0.22778490978898638</v>
      </c>
      <c r="AD11" s="1">
        <f>'Income Statement'!L20/'Income Statement'!L7</f>
        <v>0.22690759275470557</v>
      </c>
    </row>
    <row r="12" spans="1:30">
      <c r="C12" s="3"/>
    </row>
    <row r="13" spans="1:30">
      <c r="C13" s="3"/>
    </row>
    <row r="14" spans="1:30">
      <c r="C14" s="3"/>
    </row>
    <row r="15" spans="1:30">
      <c r="C15" s="3"/>
    </row>
  </sheetData>
  <mergeCells count="1">
    <mergeCell ref="A1:S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Cover Page</vt:lpstr>
      <vt:lpstr>Income Statement</vt:lpstr>
      <vt:lpstr>Inputs</vt:lpstr>
      <vt:lpstr>Cash flow Statement</vt:lpstr>
      <vt:lpstr>Depreciation Schedule</vt:lpstr>
      <vt:lpstr>Balance Sheet</vt:lpstr>
      <vt:lpstr>Working Capital Schedule</vt:lpstr>
      <vt:lpstr>DCF Analysis</vt:lpstr>
      <vt:lpstr>WACC</vt:lpstr>
      <vt:lpstr>Charts</vt:lpstr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2tin</cp:lastModifiedBy>
  <dcterms:created xsi:type="dcterms:W3CDTF">2015-06-05T18:17:20Z</dcterms:created>
  <dcterms:modified xsi:type="dcterms:W3CDTF">2021-12-27T06:47:07Z</dcterms:modified>
</cp:coreProperties>
</file>