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Scrap\New folder\"/>
    </mc:Choice>
  </mc:AlternateContent>
  <xr:revisionPtr revIDLastSave="0" documentId="13_ncr:1_{AE2DCAFD-1694-427A-9E2A-ABD00A01D31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nthly trends" sheetId="1" r:id="rId1"/>
    <sheet name="YOY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C33" i="3"/>
  <c r="C34" i="3" s="1"/>
  <c r="C36" i="3"/>
  <c r="C37" i="3" s="1"/>
  <c r="C39" i="3"/>
  <c r="C40" i="3" s="1"/>
  <c r="C42" i="3"/>
  <c r="C43" i="3"/>
  <c r="C48" i="3"/>
  <c r="C49" i="3" s="1"/>
  <c r="C51" i="3"/>
  <c r="C52" i="3" s="1"/>
  <c r="C54" i="3"/>
  <c r="C55" i="3" s="1"/>
  <c r="C57" i="3"/>
  <c r="C58" i="3"/>
  <c r="C63" i="3"/>
  <c r="C64" i="3"/>
  <c r="C66" i="3"/>
  <c r="C67" i="3"/>
  <c r="C69" i="3"/>
  <c r="C70" i="3"/>
  <c r="C72" i="3"/>
  <c r="C73" i="3"/>
  <c r="F4" i="3"/>
  <c r="F1" i="3" s="1"/>
  <c r="B2" i="3" s="1"/>
  <c r="B23" i="3" l="1"/>
  <c r="B26" i="3"/>
  <c r="B55" i="3"/>
  <c r="B65" i="3"/>
  <c r="B21" i="3"/>
  <c r="B22" i="3"/>
  <c r="B20" i="3"/>
  <c r="B17" i="3"/>
  <c r="B24" i="3"/>
  <c r="B25" i="3"/>
  <c r="B36" i="3"/>
  <c r="B27" i="3"/>
  <c r="B40" i="3"/>
  <c r="B62" i="3"/>
  <c r="B28" i="3"/>
  <c r="B47" i="3"/>
  <c r="B66" i="3"/>
  <c r="B73" i="3"/>
  <c r="B32" i="3"/>
  <c r="B51" i="3"/>
  <c r="B70" i="3"/>
  <c r="B18" i="3"/>
  <c r="B33" i="3"/>
  <c r="B37" i="3"/>
  <c r="B41" i="3"/>
  <c r="B48" i="3"/>
  <c r="B52" i="3"/>
  <c r="B56" i="3"/>
  <c r="B63" i="3"/>
  <c r="B67" i="3"/>
  <c r="B71" i="3"/>
  <c r="B42" i="3"/>
  <c r="B49" i="3"/>
  <c r="B53" i="3"/>
  <c r="B57" i="3"/>
  <c r="B64" i="3"/>
  <c r="B68" i="3"/>
  <c r="B72" i="3"/>
  <c r="B19" i="3"/>
  <c r="B34" i="3"/>
  <c r="B38" i="3"/>
  <c r="B35" i="3"/>
  <c r="B39" i="3"/>
  <c r="B43" i="3"/>
  <c r="B50" i="3"/>
  <c r="B54" i="3"/>
  <c r="B58" i="3"/>
  <c r="B69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<sst xmlns="http://schemas.openxmlformats.org/spreadsheetml/2006/main" count="411" uniqueCount="246">
  <si>
    <t>Metrics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</si>
  <si>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</si>
  <si>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</si>
  <si>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</si>
  <si>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</si>
  <si>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</si>
  <si>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</si>
  <si>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</si>
  <si>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</si>
  <si>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</si>
  <si>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</si>
  <si>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</si>
  <si>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</si>
  <si>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Gross profit</t>
  </si>
  <si>
    <t>National</t>
  </si>
  <si>
    <t>-</t>
  </si>
  <si>
    <t>(National Previous Year)</t>
  </si>
  <si>
    <t>$43,985,527</t>
  </si>
  <si>
    <t>$40,307,485</t>
  </si>
  <si>
    <t>$36,768,610</t>
  </si>
  <si>
    <t>$25,154,618</t>
  </si>
  <si>
    <t>$34,855,377</t>
  </si>
  <si>
    <t>$44,677,489</t>
  </si>
  <si>
    <t>$46,589,096</t>
  </si>
  <si>
    <t>$44,920,184</t>
  </si>
  <si>
    <t>$43,280,815</t>
  </si>
  <si>
    <t>$44,704,062</t>
  </si>
  <si>
    <t>$38,306,670</t>
  </si>
  <si>
    <t>National Change</t>
  </si>
  <si>
    <t>(100.00%)</t>
  </si>
  <si>
    <t>Fixed absorption</t>
  </si>
  <si>
    <t>64.60%</t>
  </si>
  <si>
    <t>55.70%</t>
  </si>
  <si>
    <t>63.80%</t>
  </si>
  <si>
    <t>64.00%</t>
  </si>
  <si>
    <t>57.00%</t>
  </si>
  <si>
    <t>60.70%</t>
  </si>
  <si>
    <t>62.30%</t>
  </si>
  <si>
    <t>48.40%</t>
  </si>
  <si>
    <t>52.50%</t>
  </si>
  <si>
    <t>66.50%</t>
  </si>
  <si>
    <t>66.70%</t>
  </si>
  <si>
    <t>63.40%</t>
  </si>
  <si>
    <t>64.20%</t>
  </si>
  <si>
    <t>63.60%</t>
  </si>
  <si>
    <t>59.80%</t>
  </si>
  <si>
    <t>58.50%</t>
  </si>
  <si>
    <t>0.00%</t>
  </si>
  <si>
    <t>(8.20%)</t>
  </si>
  <si>
    <t>3.23%</t>
  </si>
  <si>
    <t>33.33%</t>
  </si>
  <si>
    <t>7.55%</t>
  </si>
  <si>
    <t>Parts Profit</t>
  </si>
  <si>
    <t>$12,904,176</t>
  </si>
  <si>
    <t>$11,799,788</t>
  </si>
  <si>
    <t>$10,836,456</t>
  </si>
  <si>
    <t>$7,325,093</t>
  </si>
  <si>
    <t>$10,146,625</t>
  </si>
  <si>
    <t>$13,187,326</t>
  </si>
  <si>
    <t>$13,742,721</t>
  </si>
  <si>
    <t>$13,418,859</t>
  </si>
  <si>
    <t>$12,830,707</t>
  </si>
  <si>
    <t>$13,159,880</t>
  </si>
  <si>
    <t>$11,341,652</t>
  </si>
  <si>
    <t>Labor Profit</t>
  </si>
  <si>
    <t>$31,081,351</t>
  </si>
  <si>
    <t>$28,507,697</t>
  </si>
  <si>
    <t>$25,932,154</t>
  </si>
  <si>
    <t>$17,829,525</t>
  </si>
  <si>
    <t>$24,708,752</t>
  </si>
  <si>
    <t>$31,490,163</t>
  </si>
  <si>
    <t>$32,846,375</t>
  </si>
  <si>
    <t>$31,501,325</t>
  </si>
  <si>
    <t>$30,450,108</t>
  </si>
  <si>
    <t>$31,544,182</t>
  </si>
  <si>
    <t>$26,965,018</t>
  </si>
  <si>
    <t>Region</t>
  </si>
  <si>
    <t>Area</t>
  </si>
  <si>
    <t>Dealer</t>
  </si>
  <si>
    <t>Gross profit
Region
(Jun-2020)</t>
  </si>
  <si>
    <t>Gross profit
Region
(Jun-2021)</t>
  </si>
  <si>
    <t>Change %</t>
  </si>
  <si>
    <t>Gross profit
National Avg
(Jun-2021)</t>
  </si>
  <si>
    <t>Southeast Region</t>
  </si>
  <si>
    <t>11</t>
  </si>
  <si>
    <t>154</t>
  </si>
  <si>
    <t>Northeast Region</t>
  </si>
  <si>
    <t>14</t>
  </si>
  <si>
    <t>Pacific Region</t>
  </si>
  <si>
    <t>10</t>
  </si>
  <si>
    <t>Central Region</t>
  </si>
  <si>
    <t>13</t>
  </si>
  <si>
    <t>168</t>
  </si>
  <si>
    <t>Profitability Monthly Trends</t>
  </si>
  <si>
    <t>Gross Profit</t>
  </si>
  <si>
    <t>Previous Year</t>
  </si>
  <si>
    <t>National Change %</t>
  </si>
  <si>
    <t>Fixed Absorption</t>
  </si>
  <si>
    <t>Profitability YOY Summary</t>
  </si>
  <si>
    <t>Change%</t>
  </si>
  <si>
    <t>National Total</t>
  </si>
  <si>
    <t>National Avg</t>
  </si>
  <si>
    <t>Values</t>
  </si>
  <si>
    <t>$41,258,889</t>
  </si>
  <si>
    <t>$12,217,663</t>
  </si>
  <si>
    <t>$29,041,226</t>
  </si>
  <si>
    <t>Labor ProfitNortheast Region</t>
  </si>
  <si>
    <t>Labor ProfitPacific Region</t>
  </si>
  <si>
    <t>Labor ProfitSoutheast Region</t>
  </si>
  <si>
    <t>Labor ProfitCentral Region</t>
  </si>
  <si>
    <t>Parts ProfitNortheast Region</t>
  </si>
  <si>
    <t>Parts ProfitPacific Region</t>
  </si>
  <si>
    <t>Parts ProfitSoutheast Region</t>
  </si>
  <si>
    <t>Parts ProfitCentral Region</t>
  </si>
  <si>
    <t>Fixed AbsorptionNortheast Region</t>
  </si>
  <si>
    <t>Fixed AbsorptionPacific Region</t>
  </si>
  <si>
    <t>Fixed AbsorptionSoutheast Region</t>
  </si>
  <si>
    <t>Fixed AbsorptionCentral Region</t>
  </si>
  <si>
    <t>Gross ProfitNortheast Region</t>
  </si>
  <si>
    <t>Gross ProfitPacific Region</t>
  </si>
  <si>
    <t>Gross ProfitSoutheast Region</t>
  </si>
  <si>
    <t>Gross ProfitCentral Region</t>
  </si>
  <si>
    <t>$40,469,415</t>
  </si>
  <si>
    <t>(7.99%)</t>
  </si>
  <si>
    <t>61.70%</t>
  </si>
  <si>
    <t>61.20%</t>
  </si>
  <si>
    <t>(7.46%)</t>
  </si>
  <si>
    <t>(8.96%)</t>
  </si>
  <si>
    <t>$11,949,602</t>
  </si>
  <si>
    <t>(7.40%)</t>
  </si>
  <si>
    <t>$28,519,813</t>
  </si>
  <si>
    <t>(8.24%)</t>
  </si>
  <si>
    <t>$37,176,802</t>
  </si>
  <si>
    <t>(7.77%)</t>
  </si>
  <si>
    <t>62.00%</t>
  </si>
  <si>
    <t>(1.59%)</t>
  </si>
  <si>
    <t>$11,048,128</t>
  </si>
  <si>
    <t>(6.37%)</t>
  </si>
  <si>
    <t>$26,128,674</t>
  </si>
  <si>
    <t>(8.35%)</t>
  </si>
  <si>
    <t>$50,863,719</t>
  </si>
  <si>
    <t>$51,293,043</t>
  </si>
  <si>
    <t>38.33%</t>
  </si>
  <si>
    <t>93.86%</t>
  </si>
  <si>
    <t>35.13%</t>
  </si>
  <si>
    <t>16.35%</t>
  </si>
  <si>
    <t>13.65%</t>
  </si>
  <si>
    <t>14.19%</t>
  </si>
  <si>
    <t>13.29%</t>
  </si>
  <si>
    <t>$15,085,133</t>
  </si>
  <si>
    <t>$15,337,180</t>
  </si>
  <si>
    <t>39.21%</t>
  </si>
  <si>
    <t>38.71%</t>
  </si>
  <si>
    <t>15.34%</t>
  </si>
  <si>
    <t>14.30%</t>
  </si>
  <si>
    <t>16.07%</t>
  </si>
  <si>
    <t>$35,778,586</t>
  </si>
  <si>
    <t>$35,955,863</t>
  </si>
  <si>
    <t>37.97%</t>
  </si>
  <si>
    <t>33.66%</t>
  </si>
  <si>
    <t>15.78%</t>
  </si>
  <si>
    <t>12.94%</t>
  </si>
  <si>
    <t>14.14%</t>
  </si>
  <si>
    <t>12.12%</t>
  </si>
  <si>
    <t>$49,033,922</t>
  </si>
  <si>
    <t>$14,892,149</t>
  </si>
  <si>
    <t>$34,141,773</t>
  </si>
  <si>
    <t>10.67%</t>
  </si>
  <si>
    <t>11.71%</t>
  </si>
  <si>
    <t>10.24%</t>
  </si>
  <si>
    <t>58.80%</t>
  </si>
  <si>
    <t>$48,764,634</t>
  </si>
  <si>
    <t>$47,100,946</t>
  </si>
  <si>
    <t>$49,475,246</t>
  </si>
  <si>
    <t>56.60%</t>
  </si>
  <si>
    <t>(10.94%)</t>
  </si>
  <si>
    <t>(7.81%)</t>
  </si>
  <si>
    <t>$14,231,612</t>
  </si>
  <si>
    <t>$14,074,510</t>
  </si>
  <si>
    <t>$14,700,780</t>
  </si>
  <si>
    <t>94.29%</t>
  </si>
  <si>
    <t>$34,533,022</t>
  </si>
  <si>
    <t>$33,026,436</t>
  </si>
  <si>
    <t>$34,774,466</t>
  </si>
  <si>
    <t>93.68%</t>
  </si>
  <si>
    <t>210</t>
  </si>
  <si>
    <t>119</t>
  </si>
  <si>
    <t>$51,982,834</t>
  </si>
  <si>
    <t>$52,948,288</t>
  </si>
  <si>
    <t>$15,523,819</t>
  </si>
  <si>
    <t>$15,850,395</t>
  </si>
  <si>
    <t>17.72%</t>
  </si>
  <si>
    <t>$36,459,015</t>
  </si>
  <si>
    <t>$37,097,893</t>
  </si>
  <si>
    <t>$10,440,833</t>
  </si>
  <si>
    <t>$11,311,565</t>
  </si>
  <si>
    <t>$9,692,471</t>
  </si>
  <si>
    <t>$9,814,020</t>
  </si>
  <si>
    <t>69.20%</t>
  </si>
  <si>
    <t>56.10%</t>
  </si>
  <si>
    <t>51.40%</t>
  </si>
  <si>
    <t>60.80%</t>
  </si>
  <si>
    <t>$2,654,782</t>
  </si>
  <si>
    <t>$3,036,675</t>
  </si>
  <si>
    <t>$3,042,239</t>
  </si>
  <si>
    <t>$3,483,967</t>
  </si>
  <si>
    <t>$6,771,781</t>
  </si>
  <si>
    <t>$7,037,689</t>
  </si>
  <si>
    <t>$7,404,158</t>
  </si>
  <si>
    <t>$7,827,598</t>
  </si>
  <si>
    <t>$47,413,513</t>
  </si>
  <si>
    <t>$25,815,802</t>
  </si>
  <si>
    <t>23.77%</t>
  </si>
  <si>
    <t>(37.43%)</t>
  </si>
  <si>
    <t>$14,141,505</t>
  </si>
  <si>
    <t>$7,582,990</t>
  </si>
  <si>
    <t>24.69%</t>
  </si>
  <si>
    <t>(37.93%)</t>
  </si>
  <si>
    <t>$33,272,008</t>
  </si>
  <si>
    <t>$18,232,812</t>
  </si>
  <si>
    <t>23.39%</t>
  </si>
  <si>
    <t>(37.22%)</t>
  </si>
  <si>
    <t>$6,445,408</t>
  </si>
  <si>
    <t>(38.27%)</t>
  </si>
  <si>
    <t>$6,101,527</t>
  </si>
  <si>
    <t>(37.05%)</t>
  </si>
  <si>
    <t>$6,311,533</t>
  </si>
  <si>
    <t>(35.69%)</t>
  </si>
  <si>
    <t>$6,957,334</t>
  </si>
  <si>
    <t>(38.49%)</t>
  </si>
  <si>
    <t>$1,787,504</t>
  </si>
  <si>
    <t>(41.14%)</t>
  </si>
  <si>
    <t>$2,161,628</t>
  </si>
  <si>
    <t>(37.95%)</t>
  </si>
  <si>
    <t>$1,946,048</t>
  </si>
  <si>
    <t>(36.03%)</t>
  </si>
  <si>
    <t>$1,687,810</t>
  </si>
  <si>
    <t>(36.42%)</t>
  </si>
  <si>
    <t>$4,413,717</t>
  </si>
  <si>
    <t>(37.28%)</t>
  </si>
  <si>
    <t>$4,795,706</t>
  </si>
  <si>
    <t>(38.73%)</t>
  </si>
  <si>
    <t>$4,365,485</t>
  </si>
  <si>
    <t>(35.53%)</t>
  </si>
  <si>
    <t>$4,657,904</t>
  </si>
  <si>
    <t>(37.09%)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</si>
</sst>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A2" sqref="A2:N13"/>
    </sheetView>
  </sheetViews>
  <sheetFormatPr defaultRowHeight="15" x14ac:dyDescent="0.25"/>
  <cols>
    <col min="1" max="1" width="16" bestFit="1" customWidth="1"/>
    <col min="2" max="2" width="22.85546875" bestFit="1" customWidth="1"/>
    <col min="3" max="14" width="11.140625" bestFit="1" customWidth="1"/>
  </cols>
  <sheetData>
    <row r="1" spans="1:14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122</v>
      </c>
      <c r="D2" t="s">
        <v>132</v>
      </c>
      <c r="E2" t="s">
        <v>140</v>
      </c>
      <c r="F2" t="s">
        <v>171</v>
      </c>
      <c r="G2" t="s">
        <v>172</v>
      </c>
      <c r="H2" t="s">
        <v>187</v>
      </c>
      <c r="I2" t="s">
        <v>188</v>
      </c>
      <c r="J2" t="s">
        <v>141</v>
      </c>
      <c r="K2" t="s">
        <v>164</v>
      </c>
      <c r="L2" t="s">
        <v>173</v>
      </c>
      <c r="M2" t="s">
        <v>210</v>
      </c>
      <c r="N2" t="s">
        <v>211</v>
      </c>
    </row>
    <row r="3" spans="1:14" x14ac:dyDescent="0.25">
      <c r="A3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103</v>
      </c>
    </row>
    <row r="4" spans="1:14" x14ac:dyDescent="0.25">
      <c r="A4" t="s">
        <v>13</v>
      </c>
      <c r="B4" t="s">
        <v>28</v>
      </c>
      <c r="C4" t="s">
        <v>123</v>
      </c>
      <c r="D4" t="s">
        <v>133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167</v>
      </c>
      <c r="M4" t="s">
        <v>212</v>
      </c>
      <c r="N4" t="s">
        <v>213</v>
      </c>
    </row>
    <row r="5" spans="1:14" x14ac:dyDescent="0.25">
      <c r="A5" t="s">
        <v>30</v>
      </c>
      <c r="B5" t="s">
        <v>14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124</v>
      </c>
      <c r="I5" t="s">
        <v>125</v>
      </c>
      <c r="J5" t="s">
        <v>134</v>
      </c>
      <c r="K5" t="s">
        <v>174</v>
      </c>
      <c r="L5" t="s">
        <v>170</v>
      </c>
      <c r="M5" t="s">
        <v>15</v>
      </c>
      <c r="N5" t="s">
        <v>15</v>
      </c>
    </row>
    <row r="6" spans="1:14" x14ac:dyDescent="0.25">
      <c r="A6" t="s">
        <v>30</v>
      </c>
      <c r="B6" t="s">
        <v>16</v>
      </c>
      <c r="C6" t="s">
        <v>31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</row>
    <row r="7" spans="1:14" x14ac:dyDescent="0.25">
      <c r="A7" t="s">
        <v>30</v>
      </c>
      <c r="B7" t="s">
        <v>28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126</v>
      </c>
      <c r="I7" t="s">
        <v>127</v>
      </c>
      <c r="J7" t="s">
        <v>135</v>
      </c>
      <c r="K7" t="s">
        <v>175</v>
      </c>
      <c r="L7" t="s">
        <v>176</v>
      </c>
      <c r="M7" t="s">
        <v>29</v>
      </c>
      <c r="N7" t="s">
        <v>29</v>
      </c>
    </row>
    <row r="8" spans="1:14" x14ac:dyDescent="0.25">
      <c r="A8" t="s">
        <v>52</v>
      </c>
      <c r="B8" t="s">
        <v>14</v>
      </c>
      <c r="C8" t="s">
        <v>128</v>
      </c>
      <c r="D8" t="s">
        <v>136</v>
      </c>
      <c r="E8" t="s">
        <v>149</v>
      </c>
      <c r="F8" t="s">
        <v>177</v>
      </c>
      <c r="G8" t="s">
        <v>178</v>
      </c>
      <c r="H8" t="s">
        <v>189</v>
      </c>
      <c r="I8" t="s">
        <v>190</v>
      </c>
      <c r="J8" t="s">
        <v>150</v>
      </c>
      <c r="K8" t="s">
        <v>165</v>
      </c>
      <c r="L8" t="s">
        <v>179</v>
      </c>
      <c r="M8" t="s">
        <v>214</v>
      </c>
      <c r="N8" t="s">
        <v>215</v>
      </c>
    </row>
    <row r="9" spans="1:14" x14ac:dyDescent="0.25">
      <c r="A9" t="s">
        <v>52</v>
      </c>
      <c r="B9" t="s">
        <v>16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104</v>
      </c>
    </row>
    <row r="10" spans="1:14" x14ac:dyDescent="0.25">
      <c r="A10" t="s">
        <v>52</v>
      </c>
      <c r="B10" t="s">
        <v>28</v>
      </c>
      <c r="C10" t="s">
        <v>129</v>
      </c>
      <c r="D10" t="s">
        <v>137</v>
      </c>
      <c r="E10" t="s">
        <v>151</v>
      </c>
      <c r="F10" t="s">
        <v>180</v>
      </c>
      <c r="G10" t="s">
        <v>152</v>
      </c>
      <c r="H10" t="s">
        <v>191</v>
      </c>
      <c r="I10" t="s">
        <v>153</v>
      </c>
      <c r="J10" t="s">
        <v>154</v>
      </c>
      <c r="K10" t="s">
        <v>155</v>
      </c>
      <c r="L10" t="s">
        <v>168</v>
      </c>
      <c r="M10" t="s">
        <v>216</v>
      </c>
      <c r="N10" t="s">
        <v>217</v>
      </c>
    </row>
    <row r="11" spans="1:14" x14ac:dyDescent="0.25">
      <c r="A11" t="s">
        <v>64</v>
      </c>
      <c r="B11" t="s">
        <v>14</v>
      </c>
      <c r="C11" t="s">
        <v>130</v>
      </c>
      <c r="D11" t="s">
        <v>138</v>
      </c>
      <c r="E11" t="s">
        <v>156</v>
      </c>
      <c r="F11" t="s">
        <v>181</v>
      </c>
      <c r="G11" t="s">
        <v>182</v>
      </c>
      <c r="H11" t="s">
        <v>192</v>
      </c>
      <c r="I11" t="s">
        <v>193</v>
      </c>
      <c r="J11" t="s">
        <v>157</v>
      </c>
      <c r="K11" t="s">
        <v>166</v>
      </c>
      <c r="L11" t="s">
        <v>183</v>
      </c>
      <c r="M11" t="s">
        <v>218</v>
      </c>
      <c r="N11" t="s">
        <v>219</v>
      </c>
    </row>
    <row r="12" spans="1:14" x14ac:dyDescent="0.25">
      <c r="A12" t="s">
        <v>64</v>
      </c>
      <c r="B12" t="s">
        <v>16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105</v>
      </c>
    </row>
    <row r="13" spans="1:14" x14ac:dyDescent="0.25">
      <c r="A13" t="s">
        <v>64</v>
      </c>
      <c r="B13" t="s">
        <v>28</v>
      </c>
      <c r="C13" t="s">
        <v>131</v>
      </c>
      <c r="D13" t="s">
        <v>139</v>
      </c>
      <c r="E13" t="s">
        <v>158</v>
      </c>
      <c r="F13" t="s">
        <v>184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169</v>
      </c>
      <c r="M13" t="s">
        <v>220</v>
      </c>
      <c r="N1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4A0D-A20A-4110-92B4-E5DB9DAB292D}">
  <dimension ref="A1:I17"/>
  <sheetViews>
    <sheetView workbookViewId="0">
      <selection activeCell="A2" sqref="A2:H17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5.140625" bestFit="1" customWidth="1"/>
    <col min="4" max="4" width="6.85546875" bestFit="1" customWidth="1"/>
    <col min="5" max="6" width="29.7109375" bestFit="1" customWidth="1"/>
    <col min="7" max="7" width="9.5703125" bestFit="1" customWidth="1"/>
    <col min="8" max="8" width="35" bestFit="1" customWidth="1"/>
    <col min="9" max="9" width="29.85546875" customWidth="1"/>
  </cols>
  <sheetData>
    <row r="1" spans="1:9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9" x14ac:dyDescent="0.25">
      <c r="A2" t="s">
        <v>13</v>
      </c>
      <c r="B2" t="s">
        <v>86</v>
      </c>
      <c r="C2" t="s">
        <v>87</v>
      </c>
      <c r="D2" t="s">
        <v>185</v>
      </c>
      <c r="E2" t="s">
        <v>194</v>
      </c>
      <c r="F2" t="s">
        <v>222</v>
      </c>
      <c r="G2" t="s">
        <v>223</v>
      </c>
      <c r="H2" t="s">
        <v>211</v>
      </c>
      <c r="I2" t="str">
        <f>A2&amp;B2</f>
        <v>Gross profitNortheast Region</v>
      </c>
    </row>
    <row r="3" spans="1:9" x14ac:dyDescent="0.25">
      <c r="A3" t="s">
        <v>13</v>
      </c>
      <c r="B3" t="s">
        <v>88</v>
      </c>
      <c r="C3" t="s">
        <v>89</v>
      </c>
      <c r="D3" t="s">
        <v>186</v>
      </c>
      <c r="E3" t="s">
        <v>196</v>
      </c>
      <c r="F3" t="s">
        <v>224</v>
      </c>
      <c r="G3" t="s">
        <v>225</v>
      </c>
      <c r="H3" t="s">
        <v>211</v>
      </c>
      <c r="I3" t="str">
        <f t="shared" ref="I3:I17" si="0">A3&amp;B3</f>
        <v>Gross profitPacific Region</v>
      </c>
    </row>
    <row r="4" spans="1:9" x14ac:dyDescent="0.25">
      <c r="A4" t="s">
        <v>13</v>
      </c>
      <c r="B4" t="s">
        <v>90</v>
      </c>
      <c r="C4" t="s">
        <v>91</v>
      </c>
      <c r="D4" t="s">
        <v>92</v>
      </c>
      <c r="E4" t="s">
        <v>197</v>
      </c>
      <c r="F4" t="s">
        <v>226</v>
      </c>
      <c r="G4" t="s">
        <v>227</v>
      </c>
      <c r="H4" t="s">
        <v>211</v>
      </c>
      <c r="I4" t="str">
        <f t="shared" si="0"/>
        <v>Gross profitCentral Region</v>
      </c>
    </row>
    <row r="5" spans="1:9" x14ac:dyDescent="0.25">
      <c r="A5" t="s">
        <v>13</v>
      </c>
      <c r="B5" t="s">
        <v>83</v>
      </c>
      <c r="C5" t="s">
        <v>84</v>
      </c>
      <c r="D5" t="s">
        <v>85</v>
      </c>
      <c r="E5" t="s">
        <v>195</v>
      </c>
      <c r="F5" t="s">
        <v>228</v>
      </c>
      <c r="G5" t="s">
        <v>229</v>
      </c>
      <c r="H5" t="s">
        <v>211</v>
      </c>
      <c r="I5" t="str">
        <f t="shared" si="0"/>
        <v>Gross profitSoutheast Region</v>
      </c>
    </row>
    <row r="6" spans="1:9" x14ac:dyDescent="0.25">
      <c r="A6" t="s">
        <v>30</v>
      </c>
      <c r="B6" t="s">
        <v>83</v>
      </c>
      <c r="C6" t="s">
        <v>84</v>
      </c>
      <c r="D6" t="s">
        <v>85</v>
      </c>
      <c r="E6" t="s">
        <v>198</v>
      </c>
      <c r="F6" t="s">
        <v>15</v>
      </c>
      <c r="G6" t="s">
        <v>29</v>
      </c>
      <c r="H6" t="s">
        <v>15</v>
      </c>
      <c r="I6" t="str">
        <f t="shared" si="0"/>
        <v>Fixed absorptionSoutheast Region</v>
      </c>
    </row>
    <row r="7" spans="1:9" x14ac:dyDescent="0.25">
      <c r="A7" t="s">
        <v>30</v>
      </c>
      <c r="B7" t="s">
        <v>90</v>
      </c>
      <c r="C7" t="s">
        <v>91</v>
      </c>
      <c r="D7" t="s">
        <v>92</v>
      </c>
      <c r="E7" t="s">
        <v>199</v>
      </c>
      <c r="F7" t="s">
        <v>15</v>
      </c>
      <c r="G7" t="s">
        <v>29</v>
      </c>
      <c r="H7" t="s">
        <v>15</v>
      </c>
      <c r="I7" t="str">
        <f t="shared" si="0"/>
        <v>Fixed absorptionCentral Region</v>
      </c>
    </row>
    <row r="8" spans="1:9" x14ac:dyDescent="0.25">
      <c r="A8" t="s">
        <v>30</v>
      </c>
      <c r="B8" t="s">
        <v>86</v>
      </c>
      <c r="C8" t="s">
        <v>87</v>
      </c>
      <c r="D8" t="s">
        <v>185</v>
      </c>
      <c r="E8" t="s">
        <v>200</v>
      </c>
      <c r="F8" t="s">
        <v>15</v>
      </c>
      <c r="G8" t="s">
        <v>29</v>
      </c>
      <c r="H8" t="s">
        <v>15</v>
      </c>
      <c r="I8" t="str">
        <f t="shared" si="0"/>
        <v>Fixed absorptionNortheast Region</v>
      </c>
    </row>
    <row r="9" spans="1:9" x14ac:dyDescent="0.25">
      <c r="A9" t="s">
        <v>30</v>
      </c>
      <c r="B9" t="s">
        <v>88</v>
      </c>
      <c r="C9" t="s">
        <v>89</v>
      </c>
      <c r="D9" t="s">
        <v>186</v>
      </c>
      <c r="E9" t="s">
        <v>201</v>
      </c>
      <c r="F9" t="s">
        <v>15</v>
      </c>
      <c r="G9" t="s">
        <v>29</v>
      </c>
      <c r="H9" t="s">
        <v>15</v>
      </c>
      <c r="I9" t="str">
        <f t="shared" si="0"/>
        <v>Fixed absorptionPacific Region</v>
      </c>
    </row>
    <row r="10" spans="1:9" x14ac:dyDescent="0.25">
      <c r="A10" t="s">
        <v>52</v>
      </c>
      <c r="B10" t="s">
        <v>86</v>
      </c>
      <c r="C10" t="s">
        <v>87</v>
      </c>
      <c r="D10" t="s">
        <v>185</v>
      </c>
      <c r="E10" t="s">
        <v>203</v>
      </c>
      <c r="F10" t="s">
        <v>230</v>
      </c>
      <c r="G10" t="s">
        <v>231</v>
      </c>
      <c r="H10" t="s">
        <v>215</v>
      </c>
      <c r="I10" t="str">
        <f t="shared" si="0"/>
        <v>Parts ProfitNortheast Region</v>
      </c>
    </row>
    <row r="11" spans="1:9" x14ac:dyDescent="0.25">
      <c r="A11" t="s">
        <v>52</v>
      </c>
      <c r="B11" t="s">
        <v>83</v>
      </c>
      <c r="C11" t="s">
        <v>84</v>
      </c>
      <c r="D11" t="s">
        <v>85</v>
      </c>
      <c r="E11" t="s">
        <v>205</v>
      </c>
      <c r="F11" t="s">
        <v>232</v>
      </c>
      <c r="G11" t="s">
        <v>233</v>
      </c>
      <c r="H11" t="s">
        <v>215</v>
      </c>
      <c r="I11" t="str">
        <f t="shared" si="0"/>
        <v>Parts ProfitSoutheast Region</v>
      </c>
    </row>
    <row r="12" spans="1:9" x14ac:dyDescent="0.25">
      <c r="A12" t="s">
        <v>52</v>
      </c>
      <c r="B12" t="s">
        <v>90</v>
      </c>
      <c r="C12" t="s">
        <v>91</v>
      </c>
      <c r="D12" t="s">
        <v>92</v>
      </c>
      <c r="E12" t="s">
        <v>204</v>
      </c>
      <c r="F12" t="s">
        <v>234</v>
      </c>
      <c r="G12" t="s">
        <v>235</v>
      </c>
      <c r="H12" t="s">
        <v>215</v>
      </c>
      <c r="I12" t="str">
        <f t="shared" si="0"/>
        <v>Parts ProfitCentral Region</v>
      </c>
    </row>
    <row r="13" spans="1:9" x14ac:dyDescent="0.25">
      <c r="A13" t="s">
        <v>52</v>
      </c>
      <c r="B13" t="s">
        <v>88</v>
      </c>
      <c r="C13" t="s">
        <v>89</v>
      </c>
      <c r="D13" t="s">
        <v>186</v>
      </c>
      <c r="E13" t="s">
        <v>202</v>
      </c>
      <c r="F13" t="s">
        <v>236</v>
      </c>
      <c r="G13" t="s">
        <v>237</v>
      </c>
      <c r="H13" t="s">
        <v>215</v>
      </c>
      <c r="I13" t="str">
        <f t="shared" si="0"/>
        <v>Parts ProfitPacific Region</v>
      </c>
    </row>
    <row r="14" spans="1:9" x14ac:dyDescent="0.25">
      <c r="A14" t="s">
        <v>64</v>
      </c>
      <c r="B14" t="s">
        <v>88</v>
      </c>
      <c r="C14" t="s">
        <v>89</v>
      </c>
      <c r="D14" t="s">
        <v>186</v>
      </c>
      <c r="E14" t="s">
        <v>207</v>
      </c>
      <c r="F14" t="s">
        <v>238</v>
      </c>
      <c r="G14" t="s">
        <v>239</v>
      </c>
      <c r="H14" t="s">
        <v>219</v>
      </c>
      <c r="I14" t="str">
        <f t="shared" si="0"/>
        <v>Labor ProfitPacific Region</v>
      </c>
    </row>
    <row r="15" spans="1:9" x14ac:dyDescent="0.25">
      <c r="A15" t="s">
        <v>64</v>
      </c>
      <c r="B15" t="s">
        <v>83</v>
      </c>
      <c r="C15" t="s">
        <v>84</v>
      </c>
      <c r="D15" t="s">
        <v>85</v>
      </c>
      <c r="E15" t="s">
        <v>209</v>
      </c>
      <c r="F15" t="s">
        <v>240</v>
      </c>
      <c r="G15" t="s">
        <v>241</v>
      </c>
      <c r="H15" t="s">
        <v>219</v>
      </c>
      <c r="I15" t="str">
        <f t="shared" si="0"/>
        <v>Labor ProfitSoutheast Region</v>
      </c>
    </row>
    <row r="16" spans="1:9" x14ac:dyDescent="0.25">
      <c r="A16" t="s">
        <v>64</v>
      </c>
      <c r="B16" t="s">
        <v>90</v>
      </c>
      <c r="C16" t="s">
        <v>91</v>
      </c>
      <c r="D16" t="s">
        <v>92</v>
      </c>
      <c r="E16" t="s">
        <v>206</v>
      </c>
      <c r="F16" t="s">
        <v>242</v>
      </c>
      <c r="G16" t="s">
        <v>243</v>
      </c>
      <c r="H16" t="s">
        <v>219</v>
      </c>
      <c r="I16" t="str">
        <f t="shared" si="0"/>
        <v>Labor ProfitCentral Region</v>
      </c>
    </row>
    <row r="17" spans="1:9" x14ac:dyDescent="0.25">
      <c r="A17" t="s">
        <v>64</v>
      </c>
      <c r="B17" t="s">
        <v>86</v>
      </c>
      <c r="C17" t="s">
        <v>87</v>
      </c>
      <c r="D17" t="s">
        <v>185</v>
      </c>
      <c r="E17" t="s">
        <v>208</v>
      </c>
      <c r="F17" t="s">
        <v>244</v>
      </c>
      <c r="G17" t="s">
        <v>245</v>
      </c>
      <c r="H17" t="s">
        <v>219</v>
      </c>
      <c r="I17" t="str">
        <f t="shared" si="0"/>
        <v>Labor ProfitNortheast Region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53F1-E541-4FBF-9B94-F37DA1190C29}">
  <dimension ref="A1:F73"/>
  <sheetViews>
    <sheetView tabSelected="1" workbookViewId="0">
      <selection activeCell="B2" sqref="B2:B73"/>
    </sheetView>
  </sheetViews>
  <sheetFormatPr defaultRowHeight="15" x14ac:dyDescent="0.25"/>
  <cols>
    <col min="1" max="1" width="47.140625" customWidth="1"/>
    <col min="2" max="2" width="27.42578125" customWidth="1"/>
    <col min="3" max="3" width="30.42578125" customWidth="1"/>
    <col min="6" max="6" width="11.28515625" bestFit="1" customWidth="1"/>
  </cols>
  <sheetData>
    <row r="1" spans="1:6" ht="15.75" thickBot="1" x14ac:dyDescent="0.3">
      <c r="A1" s="2" t="s">
        <v>93</v>
      </c>
      <c r="B1" s="7" t="s">
        <v>102</v>
      </c>
      <c r="F1" s="8" t="str">
        <f ca="1">TEXT(F4,"MMM-YY")</f>
        <v>Dec-21</v>
      </c>
    </row>
    <row r="2" spans="1:6" ht="15.75" thickBot="1" x14ac:dyDescent="0.3">
      <c r="A2" s="3" t="s">
        <v>94</v>
      </c>
      <c r="B2" s="3" t="str">
        <f ca="1">INDEX('Monthly trends'!A:N,2,MATCH(Data!F1,'Monthly trends'!A1:N1,0))</f>
        <v>$25,815,802</v>
      </c>
      <c r="F2" s="8"/>
    </row>
    <row r="3" spans="1:6" ht="15.75" thickBot="1" x14ac:dyDescent="0.3">
      <c r="A3" s="3" t="s">
        <v>95</v>
      </c>
      <c r="B3" s="3" t="str">
        <f ca="1">INDEX('Monthly trends'!A:N,3,MATCH(Data!F$1,'Monthly trends'!A$1:N$1,0))</f>
        <v>$41,258,889</v>
      </c>
    </row>
    <row r="4" spans="1:6" ht="15.75" thickBot="1" x14ac:dyDescent="0.3">
      <c r="A4" s="3" t="s">
        <v>96</v>
      </c>
      <c r="B4" s="3" t="str">
        <f ca="1">INDEX('Monthly trends'!A:N,4,MATCH(Data!F$1,'Monthly trends'!A$1:N$1,0))</f>
        <v>(37.43%)</v>
      </c>
      <c r="F4" s="8">
        <f ca="1">TODAY()-10</f>
        <v>44540</v>
      </c>
    </row>
    <row r="5" spans="1:6" ht="15.75" thickBot="1" x14ac:dyDescent="0.3">
      <c r="A5" s="3" t="s">
        <v>64</v>
      </c>
      <c r="B5" s="3" t="str">
        <f ca="1">INDEX('Monthly trends'!A:N,11,MATCH(Data!F$1,'Monthly trends'!A$1:N$1,0))</f>
        <v>$18,232,812</v>
      </c>
    </row>
    <row r="6" spans="1:6" ht="15.75" thickBot="1" x14ac:dyDescent="0.3">
      <c r="A6" s="3" t="s">
        <v>95</v>
      </c>
      <c r="B6" s="3" t="str">
        <f ca="1">INDEX('Monthly trends'!A:N,12,MATCH(Data!F$1,'Monthly trends'!A$1:N$1,0))</f>
        <v>$29,041,226</v>
      </c>
    </row>
    <row r="7" spans="1:6" ht="15.75" thickBot="1" x14ac:dyDescent="0.3">
      <c r="A7" s="3" t="s">
        <v>96</v>
      </c>
      <c r="B7" s="3" t="str">
        <f ca="1">INDEX('Monthly trends'!A:N,13,MATCH(Data!F$1,'Monthly trends'!A$1:N$1,0))</f>
        <v>(37.22%)</v>
      </c>
    </row>
    <row r="8" spans="1:6" ht="15.75" thickBot="1" x14ac:dyDescent="0.3">
      <c r="A8" s="3" t="s">
        <v>52</v>
      </c>
      <c r="B8" s="3" t="str">
        <f ca="1">INDEX('Monthly trends'!A:N,8,MATCH(Data!F$1,'Monthly trends'!A$1:N$1,0))</f>
        <v>$7,582,990</v>
      </c>
    </row>
    <row r="9" spans="1:6" ht="15.75" thickBot="1" x14ac:dyDescent="0.3">
      <c r="A9" s="3" t="s">
        <v>95</v>
      </c>
      <c r="B9" s="3" t="str">
        <f ca="1">INDEX('Monthly trends'!A:N,9,MATCH(Data!F$1,'Monthly trends'!A$1:N$1,0))</f>
        <v>$12,217,663</v>
      </c>
    </row>
    <row r="10" spans="1:6" ht="15.75" thickBot="1" x14ac:dyDescent="0.3">
      <c r="A10" s="3" t="s">
        <v>96</v>
      </c>
      <c r="B10" s="3" t="str">
        <f ca="1">INDEX('Monthly trends'!A:N,10,MATCH(Data!F$1,'Monthly trends'!A$1:N$1,0))</f>
        <v>(37.93%)</v>
      </c>
    </row>
    <row r="11" spans="1:6" ht="15.75" thickBot="1" x14ac:dyDescent="0.3">
      <c r="A11" s="3" t="s">
        <v>97</v>
      </c>
      <c r="B11" s="3" t="str">
        <f ca="1">INDEX('Monthly trends'!A:N,5,MATCH(Data!F$1,'Monthly trends'!A$1:N$1,0))</f>
        <v>-</v>
      </c>
    </row>
    <row r="12" spans="1:6" ht="15.75" thickBot="1" x14ac:dyDescent="0.3">
      <c r="A12" s="3" t="s">
        <v>95</v>
      </c>
      <c r="B12" s="3" t="str">
        <f ca="1">INDEX('Monthly trends'!A:N,6,MATCH(Data!F$1,'Monthly trends'!A$1:N$1,0))</f>
        <v>58.50%</v>
      </c>
    </row>
    <row r="13" spans="1:6" ht="15.75" thickBot="1" x14ac:dyDescent="0.3">
      <c r="A13" s="3" t="s">
        <v>96</v>
      </c>
      <c r="B13" s="3" t="str">
        <f ca="1">INDEX('Monthly trends'!A:N,7,MATCH(Data!F$1,'Monthly trends'!A$1:N$1,0))</f>
        <v>(100.00%)</v>
      </c>
    </row>
    <row r="14" spans="1:6" ht="15.75" thickBot="1" x14ac:dyDescent="0.3">
      <c r="A14" s="4"/>
      <c r="B14" s="4"/>
    </row>
    <row r="15" spans="1:6" ht="15.75" thickBot="1" x14ac:dyDescent="0.3">
      <c r="A15" s="2" t="s">
        <v>98</v>
      </c>
      <c r="B15" s="6"/>
    </row>
    <row r="16" spans="1:6" ht="15.75" thickBot="1" x14ac:dyDescent="0.3">
      <c r="A16" s="2" t="s">
        <v>94</v>
      </c>
      <c r="B16" s="6"/>
    </row>
    <row r="17" spans="1:3" ht="15.75" thickBot="1" x14ac:dyDescent="0.3">
      <c r="A17" s="3" t="s">
        <v>86</v>
      </c>
      <c r="B17" s="3" t="str">
        <f>INDEX(YOY!A:H,MATCH(C17,YOY!I:I,0),6)</f>
        <v>$6,445,408</v>
      </c>
      <c r="C17" t="s">
        <v>118</v>
      </c>
    </row>
    <row r="18" spans="1:3" ht="15.75" thickBot="1" x14ac:dyDescent="0.3">
      <c r="A18" s="3" t="s">
        <v>99</v>
      </c>
      <c r="B18" s="3" t="str">
        <f>INDEX(YOY!A:H,MATCH(C18,YOY!I:I,0),7)</f>
        <v>(38.27%)</v>
      </c>
      <c r="C18" t="s">
        <v>118</v>
      </c>
    </row>
    <row r="19" spans="1:3" ht="15.75" thickBot="1" x14ac:dyDescent="0.3">
      <c r="A19" s="3" t="s">
        <v>100</v>
      </c>
      <c r="B19" s="3" t="str">
        <f>INDEX(YOY!A:H,MATCH(C19,YOY!I:I,0),8)</f>
        <v>$25,815,802</v>
      </c>
      <c r="C19" t="s">
        <v>118</v>
      </c>
    </row>
    <row r="20" spans="1:3" ht="15.75" thickBot="1" x14ac:dyDescent="0.3">
      <c r="A20" s="3" t="s">
        <v>88</v>
      </c>
      <c r="B20" s="3" t="str">
        <f>INDEX(YOY!A:H,MATCH(C20,YOY!I:I,0),6)</f>
        <v>$6,101,527</v>
      </c>
      <c r="C20" t="s">
        <v>119</v>
      </c>
    </row>
    <row r="21" spans="1:3" ht="15.75" thickBot="1" x14ac:dyDescent="0.3">
      <c r="A21" s="3" t="s">
        <v>99</v>
      </c>
      <c r="B21" s="3" t="str">
        <f>INDEX(YOY!A:H,MATCH(C21,YOY!I:I,0),7)</f>
        <v>(37.05%)</v>
      </c>
      <c r="C21" t="s">
        <v>119</v>
      </c>
    </row>
    <row r="22" spans="1:3" ht="15.75" thickBot="1" x14ac:dyDescent="0.3">
      <c r="A22" s="3" t="s">
        <v>100</v>
      </c>
      <c r="B22" s="3" t="str">
        <f>INDEX(YOY!A:H,MATCH(C22,YOY!I:I,0),8)</f>
        <v>$25,815,802</v>
      </c>
      <c r="C22" t="s">
        <v>119</v>
      </c>
    </row>
    <row r="23" spans="1:3" ht="15.75" thickBot="1" x14ac:dyDescent="0.3">
      <c r="A23" s="3" t="s">
        <v>83</v>
      </c>
      <c r="B23" s="3" t="str">
        <f>INDEX(YOY!A:H,MATCH(C23,YOY!I:I,0),6)</f>
        <v>$6,957,334</v>
      </c>
      <c r="C23" t="s">
        <v>120</v>
      </c>
    </row>
    <row r="24" spans="1:3" ht="15.75" thickBot="1" x14ac:dyDescent="0.3">
      <c r="A24" s="3" t="s">
        <v>99</v>
      </c>
      <c r="B24" s="3" t="str">
        <f>INDEX(YOY!A:H,MATCH(C24,YOY!I:I,0),7)</f>
        <v>(38.49%)</v>
      </c>
      <c r="C24" t="s">
        <v>120</v>
      </c>
    </row>
    <row r="25" spans="1:3" ht="15.75" thickBot="1" x14ac:dyDescent="0.3">
      <c r="A25" s="3" t="s">
        <v>100</v>
      </c>
      <c r="B25" s="3" t="str">
        <f>INDEX(YOY!A:H,MATCH(C25,YOY!I:I,0),8)</f>
        <v>$25,815,802</v>
      </c>
      <c r="C25" t="s">
        <v>120</v>
      </c>
    </row>
    <row r="26" spans="1:3" ht="15.75" thickBot="1" x14ac:dyDescent="0.3">
      <c r="A26" s="3" t="s">
        <v>90</v>
      </c>
      <c r="B26" s="3" t="str">
        <f>INDEX(YOY!A:H,MATCH(C26,YOY!I:I,0),6)</f>
        <v>$6,311,533</v>
      </c>
      <c r="C26" t="s">
        <v>121</v>
      </c>
    </row>
    <row r="27" spans="1:3" ht="15.75" thickBot="1" x14ac:dyDescent="0.3">
      <c r="A27" s="3" t="s">
        <v>99</v>
      </c>
      <c r="B27" s="3" t="str">
        <f>INDEX(YOY!A:H,MATCH(C27,YOY!I:I,0),7)</f>
        <v>(35.69%)</v>
      </c>
      <c r="C27" t="s">
        <v>121</v>
      </c>
    </row>
    <row r="28" spans="1:3" ht="15.75" thickBot="1" x14ac:dyDescent="0.3">
      <c r="A28" s="3" t="s">
        <v>100</v>
      </c>
      <c r="B28" s="3" t="str">
        <f>INDEX(YOY!A:H,MATCH(C28,YOY!I:I,0),8)</f>
        <v>$25,815,802</v>
      </c>
      <c r="C28" t="s">
        <v>121</v>
      </c>
    </row>
    <row r="29" spans="1:3" ht="15.75" thickBot="1" x14ac:dyDescent="0.3">
      <c r="A29" s="4"/>
      <c r="B29" s="4"/>
    </row>
    <row r="30" spans="1:3" ht="15.75" thickBot="1" x14ac:dyDescent="0.3">
      <c r="A30" s="2" t="s">
        <v>98</v>
      </c>
      <c r="B30" s="6"/>
    </row>
    <row r="31" spans="1:3" ht="15.75" thickBot="1" x14ac:dyDescent="0.3">
      <c r="A31" s="2" t="s">
        <v>64</v>
      </c>
      <c r="B31" s="6"/>
    </row>
    <row r="32" spans="1:3" ht="15.75" thickBot="1" x14ac:dyDescent="0.3">
      <c r="A32" s="3" t="s">
        <v>86</v>
      </c>
      <c r="B32" s="3" t="str">
        <f>INDEX(YOY!A:H,MATCH(C32,YOY!I:I,0),6)</f>
        <v>$4,657,904</v>
      </c>
      <c r="C32" t="s">
        <v>106</v>
      </c>
    </row>
    <row r="33" spans="1:3" ht="15.75" thickBot="1" x14ac:dyDescent="0.3">
      <c r="A33" s="3" t="s">
        <v>99</v>
      </c>
      <c r="B33" s="3" t="str">
        <f>INDEX(YOY!A:H,MATCH(C33,YOY!I:I,0),7)</f>
        <v>(37.09%)</v>
      </c>
      <c r="C33" t="str">
        <f t="shared" ref="C33:C34" si="0">C32</f>
        <v>Labor ProfitNortheast Region</v>
      </c>
    </row>
    <row r="34" spans="1:3" ht="15.75" thickBot="1" x14ac:dyDescent="0.3">
      <c r="A34" s="3" t="s">
        <v>100</v>
      </c>
      <c r="B34" s="3" t="str">
        <f>INDEX(YOY!A:H,MATCH(C34,YOY!I:I,0),8)</f>
        <v>$18,232,812</v>
      </c>
      <c r="C34" t="str">
        <f t="shared" si="0"/>
        <v>Labor ProfitNortheast Region</v>
      </c>
    </row>
    <row r="35" spans="1:3" ht="15.75" thickBot="1" x14ac:dyDescent="0.3">
      <c r="A35" s="3" t="s">
        <v>88</v>
      </c>
      <c r="B35" s="3" t="str">
        <f>INDEX(YOY!A:H,MATCH(C35,YOY!I:I,0),6)</f>
        <v>$4,413,717</v>
      </c>
      <c r="C35" t="s">
        <v>107</v>
      </c>
    </row>
    <row r="36" spans="1:3" ht="15.75" thickBot="1" x14ac:dyDescent="0.3">
      <c r="A36" s="3" t="s">
        <v>99</v>
      </c>
      <c r="B36" s="3" t="str">
        <f>INDEX(YOY!A:H,MATCH(C36,YOY!I:I,0),7)</f>
        <v>(37.28%)</v>
      </c>
      <c r="C36" t="str">
        <f t="shared" ref="C36:C37" si="1">C35</f>
        <v>Labor ProfitPacific Region</v>
      </c>
    </row>
    <row r="37" spans="1:3" ht="15.75" thickBot="1" x14ac:dyDescent="0.3">
      <c r="A37" s="3" t="s">
        <v>100</v>
      </c>
      <c r="B37" s="3" t="str">
        <f>INDEX(YOY!A:H,MATCH(C37,YOY!I:I,0),8)</f>
        <v>$18,232,812</v>
      </c>
      <c r="C37" t="str">
        <f t="shared" si="1"/>
        <v>Labor ProfitPacific Region</v>
      </c>
    </row>
    <row r="38" spans="1:3" ht="15.75" thickBot="1" x14ac:dyDescent="0.3">
      <c r="A38" s="3" t="s">
        <v>83</v>
      </c>
      <c r="B38" s="3" t="str">
        <f>INDEX(YOY!A:H,MATCH(C38,YOY!I:I,0),6)</f>
        <v>$4,795,706</v>
      </c>
      <c r="C38" t="s">
        <v>108</v>
      </c>
    </row>
    <row r="39" spans="1:3" ht="15.75" thickBot="1" x14ac:dyDescent="0.3">
      <c r="A39" s="3" t="s">
        <v>99</v>
      </c>
      <c r="B39" s="3" t="str">
        <f>INDEX(YOY!A:H,MATCH(C39,YOY!I:I,0),7)</f>
        <v>(38.73%)</v>
      </c>
      <c r="C39" t="str">
        <f t="shared" ref="C39:C40" si="2">C38</f>
        <v>Labor ProfitSoutheast Region</v>
      </c>
    </row>
    <row r="40" spans="1:3" ht="15.75" thickBot="1" x14ac:dyDescent="0.3">
      <c r="A40" s="3" t="s">
        <v>100</v>
      </c>
      <c r="B40" s="3" t="str">
        <f>INDEX(YOY!A:H,MATCH(C40,YOY!I:I,0),8)</f>
        <v>$18,232,812</v>
      </c>
      <c r="C40" t="str">
        <f t="shared" si="2"/>
        <v>Labor ProfitSoutheast Region</v>
      </c>
    </row>
    <row r="41" spans="1:3" ht="15.75" thickBot="1" x14ac:dyDescent="0.3">
      <c r="A41" s="3" t="s">
        <v>90</v>
      </c>
      <c r="B41" s="3" t="str">
        <f>INDEX(YOY!A:H,MATCH(C41,YOY!I:I,0),6)</f>
        <v>$4,365,485</v>
      </c>
      <c r="C41" t="s">
        <v>109</v>
      </c>
    </row>
    <row r="42" spans="1:3" ht="15.75" thickBot="1" x14ac:dyDescent="0.3">
      <c r="A42" s="3" t="s">
        <v>99</v>
      </c>
      <c r="B42" s="3" t="str">
        <f>INDEX(YOY!A:H,MATCH(C42,YOY!I:I,0),7)</f>
        <v>(35.53%)</v>
      </c>
      <c r="C42" t="str">
        <f t="shared" ref="C42:C43" si="3">C41</f>
        <v>Labor ProfitCentral Region</v>
      </c>
    </row>
    <row r="43" spans="1:3" ht="15.75" thickBot="1" x14ac:dyDescent="0.3">
      <c r="A43" s="3" t="s">
        <v>100</v>
      </c>
      <c r="B43" s="3" t="str">
        <f>INDEX(YOY!A:H,MATCH(C43,YOY!I:I,0),8)</f>
        <v>$18,232,812</v>
      </c>
      <c r="C43" t="str">
        <f t="shared" si="3"/>
        <v>Labor ProfitCentral Region</v>
      </c>
    </row>
    <row r="44" spans="1:3" ht="15.75" thickBot="1" x14ac:dyDescent="0.3">
      <c r="A44" s="3"/>
      <c r="B44" s="4"/>
    </row>
    <row r="45" spans="1:3" ht="15.75" thickBot="1" x14ac:dyDescent="0.3">
      <c r="A45" s="2" t="s">
        <v>98</v>
      </c>
      <c r="B45" s="6"/>
    </row>
    <row r="46" spans="1:3" ht="15.75" thickBot="1" x14ac:dyDescent="0.3">
      <c r="A46" s="2" t="s">
        <v>52</v>
      </c>
      <c r="B46" s="6"/>
    </row>
    <row r="47" spans="1:3" ht="15.75" thickBot="1" x14ac:dyDescent="0.3">
      <c r="A47" s="3" t="s">
        <v>86</v>
      </c>
      <c r="B47" s="3" t="str">
        <f>INDEX(YOY!A:H,MATCH(C47,YOY!I:I,0),6)</f>
        <v>$1,787,504</v>
      </c>
      <c r="C47" t="s">
        <v>110</v>
      </c>
    </row>
    <row r="48" spans="1:3" ht="15.75" thickBot="1" x14ac:dyDescent="0.3">
      <c r="A48" s="3" t="s">
        <v>99</v>
      </c>
      <c r="B48" s="3" t="str">
        <f>INDEX(YOY!A:H,MATCH(C48,YOY!I:I,0),7)</f>
        <v>(41.14%)</v>
      </c>
      <c r="C48" t="str">
        <f t="shared" ref="C48:C49" si="4">C47</f>
        <v>Parts ProfitNortheast Region</v>
      </c>
    </row>
    <row r="49" spans="1:3" ht="15.75" thickBot="1" x14ac:dyDescent="0.3">
      <c r="A49" s="3" t="s">
        <v>100</v>
      </c>
      <c r="B49" s="3" t="str">
        <f>INDEX(YOY!A:H,MATCH(C49,YOY!I:I,0),8)</f>
        <v>$7,582,990</v>
      </c>
      <c r="C49" t="str">
        <f t="shared" si="4"/>
        <v>Parts ProfitNortheast Region</v>
      </c>
    </row>
    <row r="50" spans="1:3" ht="15.75" thickBot="1" x14ac:dyDescent="0.3">
      <c r="A50" s="3" t="s">
        <v>88</v>
      </c>
      <c r="B50" s="3" t="str">
        <f>INDEX(YOY!A:H,MATCH(C50,YOY!I:I,0),6)</f>
        <v>$1,687,810</v>
      </c>
      <c r="C50" t="s">
        <v>111</v>
      </c>
    </row>
    <row r="51" spans="1:3" ht="15.75" thickBot="1" x14ac:dyDescent="0.3">
      <c r="A51" s="3" t="s">
        <v>99</v>
      </c>
      <c r="B51" s="3" t="str">
        <f>INDEX(YOY!A:H,MATCH(C51,YOY!I:I,0),7)</f>
        <v>(36.42%)</v>
      </c>
      <c r="C51" t="str">
        <f t="shared" ref="C51:C52" si="5">C50</f>
        <v>Parts ProfitPacific Region</v>
      </c>
    </row>
    <row r="52" spans="1:3" ht="15.75" thickBot="1" x14ac:dyDescent="0.3">
      <c r="A52" s="3" t="s">
        <v>100</v>
      </c>
      <c r="B52" s="3" t="str">
        <f>INDEX(YOY!A:H,MATCH(C52,YOY!I:I,0),8)</f>
        <v>$7,582,990</v>
      </c>
      <c r="C52" t="str">
        <f t="shared" si="5"/>
        <v>Parts ProfitPacific Region</v>
      </c>
    </row>
    <row r="53" spans="1:3" ht="15.75" thickBot="1" x14ac:dyDescent="0.3">
      <c r="A53" s="3" t="s">
        <v>83</v>
      </c>
      <c r="B53" s="3" t="str">
        <f>INDEX(YOY!A:H,MATCH(C53,YOY!I:I,0),6)</f>
        <v>$2,161,628</v>
      </c>
      <c r="C53" t="s">
        <v>112</v>
      </c>
    </row>
    <row r="54" spans="1:3" ht="15.75" thickBot="1" x14ac:dyDescent="0.3">
      <c r="A54" s="3" t="s">
        <v>99</v>
      </c>
      <c r="B54" s="3" t="str">
        <f>INDEX(YOY!A:H,MATCH(C54,YOY!I:I,0),7)</f>
        <v>(37.95%)</v>
      </c>
      <c r="C54" t="str">
        <f t="shared" ref="C54:C55" si="6">C53</f>
        <v>Parts ProfitSoutheast Region</v>
      </c>
    </row>
    <row r="55" spans="1:3" ht="15.75" thickBot="1" x14ac:dyDescent="0.3">
      <c r="A55" s="3" t="s">
        <v>100</v>
      </c>
      <c r="B55" s="3" t="str">
        <f>INDEX(YOY!A:H,MATCH(C55,YOY!I:I,0),8)</f>
        <v>$7,582,990</v>
      </c>
      <c r="C55" t="str">
        <f t="shared" si="6"/>
        <v>Parts ProfitSoutheast Region</v>
      </c>
    </row>
    <row r="56" spans="1:3" ht="15.75" thickBot="1" x14ac:dyDescent="0.3">
      <c r="A56" s="3" t="s">
        <v>90</v>
      </c>
      <c r="B56" s="3" t="str">
        <f>INDEX(YOY!A:H,MATCH(C56,YOY!I:I,0),6)</f>
        <v>$1,946,048</v>
      </c>
      <c r="C56" t="s">
        <v>113</v>
      </c>
    </row>
    <row r="57" spans="1:3" ht="15.75" thickBot="1" x14ac:dyDescent="0.3">
      <c r="A57" s="3" t="s">
        <v>99</v>
      </c>
      <c r="B57" s="3" t="str">
        <f>INDEX(YOY!A:H,MATCH(C57,YOY!I:I,0),7)</f>
        <v>(36.03%)</v>
      </c>
      <c r="C57" t="str">
        <f t="shared" ref="C57:C58" si="7">C56</f>
        <v>Parts ProfitCentral Region</v>
      </c>
    </row>
    <row r="58" spans="1:3" ht="15.75" thickBot="1" x14ac:dyDescent="0.3">
      <c r="A58" s="3" t="s">
        <v>100</v>
      </c>
      <c r="B58" s="3" t="str">
        <f>INDEX(YOY!A:H,MATCH(C58,YOY!I:I,0),8)</f>
        <v>$7,582,990</v>
      </c>
      <c r="C58" t="str">
        <f t="shared" si="7"/>
        <v>Parts ProfitCentral Region</v>
      </c>
    </row>
    <row r="59" spans="1:3" ht="15.75" thickBot="1" x14ac:dyDescent="0.3">
      <c r="A59" s="5"/>
      <c r="B59" s="4"/>
    </row>
    <row r="60" spans="1:3" ht="15.75" thickBot="1" x14ac:dyDescent="0.3">
      <c r="A60" s="2" t="s">
        <v>98</v>
      </c>
      <c r="B60" s="6"/>
    </row>
    <row r="61" spans="1:3" ht="15.75" thickBot="1" x14ac:dyDescent="0.3">
      <c r="A61" s="2" t="s">
        <v>97</v>
      </c>
      <c r="B61" s="6"/>
    </row>
    <row r="62" spans="1:3" ht="15.75" thickBot="1" x14ac:dyDescent="0.3">
      <c r="A62" s="3" t="s">
        <v>86</v>
      </c>
      <c r="B62" s="3" t="str">
        <f>INDEX(YOY!A:H,MATCH(C62,YOY!I:I,0),6)</f>
        <v>-</v>
      </c>
      <c r="C62" t="s">
        <v>114</v>
      </c>
    </row>
    <row r="63" spans="1:3" ht="15.75" thickBot="1" x14ac:dyDescent="0.3">
      <c r="A63" s="3" t="s">
        <v>99</v>
      </c>
      <c r="B63" s="3" t="str">
        <f>INDEX(YOY!A:H,MATCH(C63,YOY!I:I,0),7)</f>
        <v>(100.00%)</v>
      </c>
      <c r="C63" t="str">
        <f t="shared" ref="C63:C64" si="8">C62</f>
        <v>Fixed AbsorptionNortheast Region</v>
      </c>
    </row>
    <row r="64" spans="1:3" ht="15.75" thickBot="1" x14ac:dyDescent="0.3">
      <c r="A64" s="3" t="s">
        <v>101</v>
      </c>
      <c r="B64" s="3" t="str">
        <f>INDEX(YOY!A:H,MATCH(C64,YOY!I:I,0),8)</f>
        <v>-</v>
      </c>
      <c r="C64" t="str">
        <f t="shared" si="8"/>
        <v>Fixed AbsorptionNortheast Region</v>
      </c>
    </row>
    <row r="65" spans="1:3" ht="15.75" thickBot="1" x14ac:dyDescent="0.3">
      <c r="A65" s="3" t="s">
        <v>88</v>
      </c>
      <c r="B65" s="3" t="str">
        <f>INDEX(YOY!A:H,MATCH(C65,YOY!I:I,0),6)</f>
        <v>-</v>
      </c>
      <c r="C65" t="s">
        <v>115</v>
      </c>
    </row>
    <row r="66" spans="1:3" ht="15.75" thickBot="1" x14ac:dyDescent="0.3">
      <c r="A66" s="3" t="s">
        <v>99</v>
      </c>
      <c r="B66" s="3" t="str">
        <f>INDEX(YOY!A:H,MATCH(C66,YOY!I:I,0),7)</f>
        <v>(100.00%)</v>
      </c>
      <c r="C66" t="str">
        <f t="shared" ref="C66:C67" si="9">C65</f>
        <v>Fixed AbsorptionPacific Region</v>
      </c>
    </row>
    <row r="67" spans="1:3" ht="15.75" thickBot="1" x14ac:dyDescent="0.3">
      <c r="A67" s="3" t="s">
        <v>101</v>
      </c>
      <c r="B67" s="3" t="str">
        <f>INDEX(YOY!A:H,MATCH(C67,YOY!I:I,0),8)</f>
        <v>-</v>
      </c>
      <c r="C67" t="str">
        <f t="shared" si="9"/>
        <v>Fixed AbsorptionPacific Region</v>
      </c>
    </row>
    <row r="68" spans="1:3" ht="15.75" thickBot="1" x14ac:dyDescent="0.3">
      <c r="A68" s="3" t="s">
        <v>83</v>
      </c>
      <c r="B68" s="3" t="str">
        <f>INDEX(YOY!A:H,MATCH(C68,YOY!I:I,0),6)</f>
        <v>-</v>
      </c>
      <c r="C68" t="s">
        <v>116</v>
      </c>
    </row>
    <row r="69" spans="1:3" ht="15.75" thickBot="1" x14ac:dyDescent="0.3">
      <c r="A69" s="3" t="s">
        <v>99</v>
      </c>
      <c r="B69" s="3" t="str">
        <f>INDEX(YOY!A:H,MATCH(C69,YOY!I:I,0),7)</f>
        <v>(100.00%)</v>
      </c>
      <c r="C69" t="str">
        <f t="shared" ref="C69:C70" si="10">C68</f>
        <v>Fixed AbsorptionSoutheast Region</v>
      </c>
    </row>
    <row r="70" spans="1:3" ht="15.75" thickBot="1" x14ac:dyDescent="0.3">
      <c r="A70" s="3" t="s">
        <v>101</v>
      </c>
      <c r="B70" s="3" t="str">
        <f>INDEX(YOY!A:H,MATCH(C70,YOY!I:I,0),8)</f>
        <v>-</v>
      </c>
      <c r="C70" t="str">
        <f t="shared" si="10"/>
        <v>Fixed AbsorptionSoutheast Region</v>
      </c>
    </row>
    <row r="71" spans="1:3" ht="15.75" thickBot="1" x14ac:dyDescent="0.3">
      <c r="A71" s="3" t="s">
        <v>90</v>
      </c>
      <c r="B71" s="3" t="str">
        <f>INDEX(YOY!A:H,MATCH(C71,YOY!I:I,0),6)</f>
        <v>-</v>
      </c>
      <c r="C71" t="s">
        <v>117</v>
      </c>
    </row>
    <row r="72" spans="1:3" ht="15.75" thickBot="1" x14ac:dyDescent="0.3">
      <c r="A72" s="3" t="s">
        <v>99</v>
      </c>
      <c r="B72" s="3" t="str">
        <f>INDEX(YOY!A:H,MATCH(C72,YOY!I:I,0),7)</f>
        <v>(100.00%)</v>
      </c>
      <c r="C72" t="str">
        <f t="shared" ref="C72:C73" si="11">C71</f>
        <v>Fixed AbsorptionCentral Region</v>
      </c>
    </row>
    <row r="73" spans="1:3" ht="15.75" thickBot="1" x14ac:dyDescent="0.3">
      <c r="A73" s="3" t="s">
        <v>101</v>
      </c>
      <c r="B73" s="3" t="str">
        <f>INDEX(YOY!A:H,MATCH(C73,YOY!I:I,0),8)</f>
        <v>-</v>
      </c>
      <c r="C73" t="str">
        <f t="shared" si="11"/>
        <v>Fixed AbsorptionCentral Region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trends</vt:lpstr>
      <vt:lpstr>YOY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2021-12-20T11:21:24Z</dcterms:modified>
</cp:coreProperties>
</file>