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C877EE54-4B42-41AE-A0F9-1098FC7E5231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ar" sheetId="1" r:id="rId1"/>
    <sheet name="Lorenz Attractor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69" i="3" l="1"/>
  <c r="H59" i="3"/>
  <c r="H46" i="3"/>
  <c r="I175" i="1"/>
  <c r="I169" i="1"/>
  <c r="I167" i="1"/>
  <c r="I157" i="1"/>
  <c r="G171" i="1"/>
  <c r="G167" i="1"/>
  <c r="G169" i="1"/>
  <c r="G135" i="1"/>
  <c r="I151" i="1"/>
  <c r="I149" i="1"/>
  <c r="G139" i="1"/>
  <c r="I139" i="1"/>
  <c r="I133" i="1"/>
  <c r="I131" i="1"/>
  <c r="G133" i="1"/>
  <c r="G131" i="1"/>
  <c r="I123" i="1"/>
  <c r="G123" i="1"/>
  <c r="E123" i="1"/>
  <c r="E133" i="1"/>
  <c r="E131" i="1"/>
  <c r="G17" i="3"/>
  <c r="G15" i="3"/>
  <c r="G11" i="3"/>
  <c r="G7" i="3"/>
  <c r="G249" i="1"/>
  <c r="I108" i="1"/>
  <c r="G108" i="1"/>
  <c r="E108" i="1"/>
  <c r="G76" i="1"/>
  <c r="C76" i="1"/>
  <c r="C55" i="1"/>
  <c r="C51" i="1"/>
  <c r="C53" i="1"/>
  <c r="C59" i="1"/>
  <c r="G243" i="1"/>
  <c r="G206" i="1"/>
  <c r="G74" i="1"/>
  <c r="C74" i="1"/>
  <c r="G72" i="1"/>
  <c r="C72" i="1"/>
  <c r="G70" i="1"/>
  <c r="C70" i="1"/>
  <c r="G68" i="1"/>
  <c r="C68" i="1"/>
  <c r="C57" i="1"/>
  <c r="G59" i="1"/>
  <c r="G57" i="1"/>
  <c r="G55" i="1"/>
  <c r="G53" i="1"/>
  <c r="G51" i="1"/>
  <c r="C108" i="1"/>
  <c r="C106" i="1"/>
  <c r="G25" i="3"/>
  <c r="G106" i="3"/>
  <c r="H57" i="3"/>
  <c r="H55" i="3"/>
  <c r="H53" i="3"/>
  <c r="H51" i="3"/>
  <c r="H41" i="3"/>
  <c r="G209" i="1"/>
  <c r="G212" i="1"/>
  <c r="I106" i="1"/>
  <c r="E59" i="1"/>
  <c r="G106" i="1"/>
  <c r="E57" i="1"/>
  <c r="E106" i="1"/>
  <c r="G114" i="3"/>
  <c r="H71" i="3"/>
  <c r="G108" i="3"/>
  <c r="G102" i="3"/>
  <c r="G100" i="3"/>
  <c r="G98" i="3"/>
  <c r="G19" i="3"/>
  <c r="H63" i="3"/>
  <c r="H68" i="3"/>
  <c r="H65" i="3"/>
  <c r="H48" i="3"/>
  <c r="H43" i="3"/>
  <c r="I118" i="1"/>
  <c r="I116" i="1"/>
  <c r="G120" i="1"/>
  <c r="G118" i="1"/>
  <c r="G116" i="1"/>
  <c r="E118" i="1"/>
  <c r="E120" i="1"/>
  <c r="E116" i="1"/>
  <c r="C120" i="1"/>
  <c r="C118" i="1"/>
  <c r="C116" i="1"/>
  <c r="G98" i="1"/>
  <c r="G96" i="1"/>
  <c r="I98" i="1"/>
  <c r="I96" i="1"/>
  <c r="I100" i="1"/>
  <c r="K103" i="1"/>
  <c r="K98" i="1"/>
  <c r="K96" i="1"/>
  <c r="C100" i="1"/>
  <c r="I103" i="1"/>
  <c r="E103" i="1"/>
  <c r="G103" i="1"/>
  <c r="G100" i="1"/>
  <c r="E100" i="1"/>
  <c r="E98" i="1"/>
  <c r="E96" i="1"/>
  <c r="C98" i="1"/>
  <c r="C96" i="1"/>
  <c r="G234" i="1"/>
  <c r="G228" i="1"/>
  <c r="G222" i="1"/>
  <c r="E55" i="1"/>
  <c r="B197" i="1"/>
  <c r="G197" i="1"/>
  <c r="G194" i="1"/>
  <c r="G191" i="1"/>
  <c r="G188" i="1"/>
  <c r="G185" i="1"/>
  <c r="B39" i="1"/>
  <c r="D55" i="1"/>
  <c r="E53" i="1"/>
  <c r="E51" i="1"/>
</calcChain>
</file>

<file path=xl/sharedStrings.xml><?xml version="1.0" encoding="utf-8"?>
<sst xmlns="http://schemas.openxmlformats.org/spreadsheetml/2006/main" count="486" uniqueCount="260">
  <si>
    <t>1) Full info, RTSNet converges to RTS</t>
  </si>
  <si>
    <t>2x2, H=I, Trajectory Length T=100, Dataset size: N_E=1000, N_CV=100, N_T=200</t>
  </si>
  <si>
    <t>v = 0 dB</t>
  </si>
  <si>
    <t>1/r2 [dB], 1/q2 [dB]</t>
  </si>
  <si>
    <t>[-10,-10]</t>
  </si>
  <si>
    <t>[0,0]</t>
  </si>
  <si>
    <t>[10,10]</t>
  </si>
  <si>
    <t>[20,20]</t>
  </si>
  <si>
    <t>[30,30]</t>
  </si>
  <si>
    <t>Observation [dB]</t>
  </si>
  <si>
    <t>Observation std [dB]</t>
  </si>
  <si>
    <t>KF true [dB]</t>
  </si>
  <si>
    <t>KF std [dB]</t>
  </si>
  <si>
    <t>RTS true [dB]</t>
  </si>
  <si>
    <t>RTS std [dB]</t>
  </si>
  <si>
    <t xml:space="preserve">RTSNet true [dB] </t>
  </si>
  <si>
    <t>RTSNet std [dB]</t>
  </si>
  <si>
    <t>v = -10 dB</t>
  </si>
  <si>
    <t>[-10,0]</t>
  </si>
  <si>
    <t>[0,10]</t>
  </si>
  <si>
    <t>[10,20]</t>
  </si>
  <si>
    <t>[20,30]</t>
  </si>
  <si>
    <t>[30,40]</t>
  </si>
  <si>
    <t>RTSNet true [dB] (n_Epochs=1000, n_Batch=10, learningRate=1E-3, weightDecay=1E-3)</t>
  </si>
  <si>
    <t>v = -20 dB</t>
  </si>
  <si>
    <t>[-10,10]</t>
  </si>
  <si>
    <t>[0,20]</t>
  </si>
  <si>
    <t>10,30</t>
  </si>
  <si>
    <t>20,40</t>
  </si>
  <si>
    <t>30,50</t>
  </si>
  <si>
    <t>RTSNet true [dB] (n_Epochs=500, n_Batch=30, learningRate=1E-3, weightDecay=1E-9)</t>
  </si>
  <si>
    <t>2) Gneralization (change date 8.7)</t>
  </si>
  <si>
    <t>Trajectory Length</t>
  </si>
  <si>
    <t>N_E=1000, N_CV=100, N_T=200, 2x2, H=I</t>
  </si>
  <si>
    <t>1/r2 [dB], 1/q2 [dB] = [0,20]</t>
  </si>
  <si>
    <t xml:space="preserve"> T_train = 100, T_test = 100</t>
  </si>
  <si>
    <t>Gneralization to long sequence (T_train = 100, T_test = 1000)</t>
  </si>
  <si>
    <t>Gneralization to long sequence (T_train = 100, T_test ~ U[100,1000])</t>
  </si>
  <si>
    <t>std [dB]</t>
  </si>
  <si>
    <t>Initial Conditions</t>
  </si>
  <si>
    <t>Generalization to Random initial conditions(x1 and x2 both uniformly distributed on [0,100) )</t>
  </si>
  <si>
    <t>T= 100, N_E=1000, N_CV=100, N_T=200, 2x2, H=I</t>
  </si>
  <si>
    <t>Trained on fixed &amp; Tested on fixed</t>
  </si>
  <si>
    <t>Trained on fixed &amp; Tested on random</t>
  </si>
  <si>
    <t>Trained on Random &amp; Tested on Random</t>
  </si>
  <si>
    <t>NA</t>
  </si>
  <si>
    <t>KF mismatch(fed with false init state [0,0] and false init variance=0) [dB]</t>
  </si>
  <si>
    <t>RTS mismatch(fed with false init state [0,0] and false init variance=0) [dB]</t>
  </si>
  <si>
    <t>KF (test on random init, feed with init=[50,50], P0 = [100^2/12, 0; 0, 100^2/12]) [dB]</t>
  </si>
  <si>
    <t>RTS (test on random init, feed with init=[50,50], P0 = [100^2/12, 0; 0, 100^2/12]) [dB]</t>
  </si>
  <si>
    <t xml:space="preserve">RTSNet mismatch (trained on fixed init state = [0,0], test on random init but feed with false init state = [0,0] still) [dB] </t>
  </si>
  <si>
    <t xml:space="preserve">RTSNet std [dB] </t>
  </si>
  <si>
    <t>Generalization to 5x5, 10x10, 20x20, 40x40</t>
  </si>
  <si>
    <t>N_E=1000, N_CV=100, N_T=200</t>
  </si>
  <si>
    <t xml:space="preserve">T=20, T_test=20 (Trajectory Length) 1/r2 [dB], 1/q2 [dB]=[0,20] </t>
  </si>
  <si>
    <t>MSE2x2(H=I)</t>
  </si>
  <si>
    <t>MSE 5x5</t>
  </si>
  <si>
    <t>MSE 10x10</t>
  </si>
  <si>
    <t>MSE 20x20</t>
  </si>
  <si>
    <t>MSE 40x40</t>
  </si>
  <si>
    <t>RTSNet [dB] (n_Epochs=5000, n_Batch=5, learningRate=1E-4, weightDecay=1E-3)</t>
  </si>
  <si>
    <t>RTSNet (reduced parameters) [dB]</t>
  </si>
  <si>
    <t>Vanilla [dB]</t>
  </si>
  <si>
    <t>Hybrid [dB]</t>
  </si>
  <si>
    <t>MSE2x2</t>
  </si>
  <si>
    <t xml:space="preserve">4) Model Mismatch and learning parts of the model in a supervised way </t>
  </si>
  <si>
    <t xml:space="preserve">Observation mismatch  </t>
  </si>
  <si>
    <t>T=100 (Trajectory Length) 2x2, N_E=1000, N_CV=100, N_T=200, v = -20 [dB]</t>
  </si>
  <si>
    <t>KF full std [dB]</t>
  </si>
  <si>
    <t>KF partial(H=I) [dB]</t>
  </si>
  <si>
    <t>KF H=I std [dB]</t>
  </si>
  <si>
    <t>RTS full std [dB]</t>
  </si>
  <si>
    <t>RTS partial(H=I) [dB]</t>
  </si>
  <si>
    <t>RTS H=I std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</si>
  <si>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</si>
  <si>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</si>
  <si>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</si>
  <si>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</si>
  <si>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</si>
  <si>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</si>
  <si>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Vanilla full [dB]</t>
  </si>
  <si>
    <t>Vanilla full std [dB]</t>
  </si>
  <si>
    <t>Hybrid full [dB]</t>
  </si>
  <si>
    <t>Hybrid full std [dB]</t>
  </si>
  <si>
    <t>Hybrid partial(H=I) [dB]</t>
  </si>
  <si>
    <t>Hybrid partial(H=I) std [dB]</t>
  </si>
  <si>
    <t>True H: [[ 0.9848, -0.1736],[ 0.1736,  0.9848]]</t>
  </si>
  <si>
    <t>Estimated  H: [[ 0.9848, -0.1732],[ 0.1739,  0.9795]]</t>
  </si>
  <si>
    <t xml:space="preserve">State evolution model mismatch </t>
  </si>
  <si>
    <t>T=20 (Trajectory Length) 2x2, N_E=1000, N_CV=100, N_T=1000, v = -20 [dB]</t>
  </si>
  <si>
    <t>KF full [dB]</t>
  </si>
  <si>
    <t>KF partial(F = I) [dB]</t>
  </si>
  <si>
    <t>KF partial std [dB]</t>
  </si>
  <si>
    <t>RTS full [dB]</t>
  </si>
  <si>
    <t>RTS partial(F = I) [dB]</t>
  </si>
  <si>
    <t>RTS partial std [dB]</t>
  </si>
  <si>
    <t>RTSNet partial(F = I) (n_Epochs=2000, n_Batch=1, learningRate=1E-3, weightDecay=1E-9)[dB]</t>
  </si>
  <si>
    <t>RTSNet partial std [dB]</t>
  </si>
  <si>
    <t>RTSNet F_hat [dB]</t>
  </si>
  <si>
    <t>RTSNet F_hat std [dB]</t>
  </si>
  <si>
    <t xml:space="preserve">True  F: [[1.1585, 0.8112],[0.1736, 0.9848]]
</t>
  </si>
  <si>
    <t>Estimated  F: [[1.1598, 0.8093],[0.1755, 0.9803]]</t>
  </si>
  <si>
    <t>5) Decimation for linear</t>
  </si>
  <si>
    <t>6) fixed q^2 (change date:5.19 colored red)</t>
  </si>
  <si>
    <t>1/q^2 = -10 dB</t>
  </si>
  <si>
    <t>2x2, H=I, Trajectory Length T=100, Dataset size: N_T=1000</t>
  </si>
  <si>
    <t>1/r2 [dB]</t>
  </si>
  <si>
    <t>1/q^2 = 10 dB</t>
  </si>
  <si>
    <t>RTS on dataset [dB]</t>
  </si>
  <si>
    <t>concat RTS(using the -8.1674 as input) [dB]</t>
  </si>
  <si>
    <t>T=100 (train and test both on T=100)</t>
  </si>
  <si>
    <t>H = I_rot1</t>
  </si>
  <si>
    <t>[1/r2 [dB], 1/q^2 [dB]]</t>
  </si>
  <si>
    <t>[0, 20]</t>
  </si>
  <si>
    <t>Inference Time s/traj</t>
  </si>
  <si>
    <t>upper bound (observation * H_inv) [dB]</t>
  </si>
  <si>
    <t xml:space="preserve">EKF full [dB] </t>
  </si>
  <si>
    <t>EKF  partial(H=I) [dB]</t>
  </si>
  <si>
    <t>ERTS full[dB]</t>
  </si>
  <si>
    <t>ERTS  partial(H=I) [dB]</t>
  </si>
  <si>
    <t>PS full[dB]</t>
  </si>
  <si>
    <t>PS  partial(H=I) [dB]</t>
  </si>
  <si>
    <t xml:space="preserve">RTSNet full [dB] </t>
  </si>
  <si>
    <t xml:space="preserve">RTSNet partial [dB] </t>
  </si>
  <si>
    <t>RTSNet estimated H  [dB]</t>
  </si>
  <si>
    <t xml:space="preserve">True Observation matrix H: ([[ 0.9997, -0.0171,  0.0178],
        [ 0.0174,  0.9997, -0.0171],
        [-0.0175,  0.0174,  0.9997]])
</t>
  </si>
  <si>
    <t>Estimated Observation matrix H: ([[ 0.9999, -0.0170,  0.0177],
        [ 0.0172,  0.9996, -0.0171],
        [-0.0170,  0.0170,  0.9997]])</t>
  </si>
  <si>
    <t>traj length T=3000, delta_t=0.02</t>
  </si>
  <si>
    <t>1/r2[dB]</t>
  </si>
  <si>
    <t>Obs [dB]</t>
  </si>
  <si>
    <t>Obs std [dB]</t>
  </si>
  <si>
    <t>EKF J=5, optimized q [dB]</t>
    <phoneticPr fontId="1" type="noConversion"/>
  </si>
  <si>
    <t>EKF J=5 std [dB]</t>
  </si>
  <si>
    <t>ERTS J=5, optimized q [dB]</t>
  </si>
  <si>
    <t>ERTS J=5 std, optimized q [dB]</t>
  </si>
  <si>
    <t>optimal 1/q2 [dB]</t>
    <phoneticPr fontId="1" type="noConversion"/>
  </si>
  <si>
    <t>EKF J=2, optimized q [dB]</t>
    <phoneticPr fontId="1" type="noConversion"/>
  </si>
  <si>
    <t>ERTS J=2, optimized q [dB]</t>
  </si>
  <si>
    <t>ERTS J=2 std, optimized q [dB]</t>
  </si>
  <si>
    <t>PF J=5 std [dB]</t>
  </si>
  <si>
    <t>PF J=2 [dB]</t>
  </si>
  <si>
    <t>PF J=2 std [dB]</t>
  </si>
  <si>
    <t>PS J=5 std [dB]</t>
  </si>
  <si>
    <t>PS J=2 [dB]</t>
  </si>
  <si>
    <t>PS J=2 std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</si>
  <si>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</si>
  <si>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</si>
  <si>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std</t>
  </si>
  <si>
    <t>RTSNet new arch J=2 [dB], train on T=3000 (n_Epochs=1000, n_Batch=1, learningRate=1e-3, weightDecay=1e-4)</t>
  </si>
  <si>
    <t>On our dataset: -15.4361</t>
  </si>
  <si>
    <t xml:space="preserve">RTSNet 2 pass </t>
  </si>
  <si>
    <t>On our dataset: -16.8031</t>
  </si>
  <si>
    <t>Hybrid</t>
  </si>
  <si>
    <t>dataset with obs noise -15.5dB</t>
  </si>
  <si>
    <t>±0.0299</t>
  </si>
  <si>
    <t>first-pass</t>
  </si>
  <si>
    <t>±0.3289</t>
  </si>
  <si>
    <t>second-pass(train and test on dataset with obs noise -15.5dB)</t>
  </si>
  <si>
    <t>±0.1831</t>
  </si>
  <si>
    <t>concat two trained RTSNets</t>
  </si>
  <si>
    <t>±0.276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</si>
  <si>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</si>
  <si>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</si>
  <si>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±0.3006</t>
  </si>
  <si>
    <t>3) NL observation (change date 6.29)</t>
  </si>
  <si>
    <t>T=20, v = 0 dB</t>
  </si>
  <si>
    <t>h(x) returns spherical coordinates of x</t>
  </si>
  <si>
    <t>[0, 0]</t>
  </si>
  <si>
    <t>10,10</t>
  </si>
  <si>
    <t>20,20</t>
  </si>
  <si>
    <t>30,30</t>
  </si>
  <si>
    <t>lower bound: ERTS with H=I [dB]</t>
  </si>
  <si>
    <t>URTS full [dB]</t>
  </si>
  <si>
    <t xml:space="preserve">RTSNet full Composition Loss(alpha=0.5)[dB] </t>
  </si>
  <si>
    <t>converge to approx 22 then to NaN</t>
  </si>
  <si>
    <t>Composition Loss change to h(x)-h(x_hat)</t>
  </si>
  <si>
    <t xml:space="preserve">RTSNet 2pass[dB] </t>
  </si>
  <si>
    <t>LMMSE baseline</t>
  </si>
  <si>
    <t>N_T = 100, m=n=3, T=500, q=-inf</t>
  </si>
  <si>
    <t>MSE(x_hat-x)</t>
  </si>
  <si>
    <t>r=-inf [dB]</t>
  </si>
  <si>
    <t>r=0 [dB]</t>
  </si>
  <si>
    <t>H = I [dB]</t>
  </si>
  <si>
    <t>(0 [linear])-inf</t>
  </si>
  <si>
    <t>h = spherical [dB]</t>
  </si>
  <si>
    <t>h(x)=sinx [dB]</t>
  </si>
  <si>
    <t>Check Jacobian for linear H(not I): Good</t>
  </si>
  <si>
    <t>prior: truex+q</t>
  </si>
  <si>
    <t>N_T = 200, m=n=3, T=100 (same dataset as 1) obs mismatch and 3) NL obs )</t>
  </si>
  <si>
    <t xml:space="preserve">r,q =[0,20] </t>
  </si>
  <si>
    <t>Linear H = I_rot1 [dB]</t>
  </si>
  <si>
    <t xml:space="preserve">r,q =[0,0] </t>
  </si>
  <si>
    <t>h^-1 method</t>
  </si>
  <si>
    <t>Vanilla J=2 [dB]</t>
  </si>
  <si>
    <t>PS full [dB] (N100 M10)</t>
  </si>
  <si>
    <t>Vanilla partial(F=I) [dB]</t>
  </si>
  <si>
    <t>Vanilla partial(F=I) std [dB]</t>
  </si>
  <si>
    <t>Hybrid partial(F=I) [dB]</t>
  </si>
  <si>
    <t>Hybrid partial(F=I) std [dB]</t>
  </si>
  <si>
    <t xml:space="preserve">dB:-12.0894 </t>
  </si>
  <si>
    <t>RTSNet(reduced parameters) std [dB]</t>
  </si>
  <si>
    <t>InferTime (s/traj) (colab pro+ CPU, high RAM)</t>
  </si>
  <si>
    <t>InferTime for 2x2 (s/traj) (colab pro+ CPU, high RAM)</t>
  </si>
  <si>
    <t>InferTime for 5x5 (s/traj) (colab pro+ CPU, high RAM)</t>
  </si>
  <si>
    <t>InferTime for10x10 (s/traj) (colab pro+ CPU, high RAM)</t>
  </si>
  <si>
    <t>InferTime for 20x20 (s/traj) (colab pro+ CPU, high RAM)</t>
  </si>
  <si>
    <t>InferTime for 40x40 (s/traj) (colab pro+ CPU, high RAM)</t>
  </si>
  <si>
    <t>InferTime/traj  (s) (colab pro+ CPU, high RAM)</t>
  </si>
  <si>
    <t>InferTime/traj  (s) (colab pro+ CPU, high RAM for all)</t>
  </si>
  <si>
    <t>Vanilla std [dB]</t>
  </si>
  <si>
    <t>Legend</t>
  </si>
  <si>
    <t>T: the length for each sequence in the training/CV dataset</t>
  </si>
  <si>
    <t>N_E: number of sequences in training dataset</t>
  </si>
  <si>
    <t>N_CV: number of sequences in cross-validation dataset</t>
  </si>
  <si>
    <t>N_T: number of sequences in testing dataset</t>
  </si>
  <si>
    <t>v: the ratio between r^2 and q^2</t>
  </si>
  <si>
    <t>T_test: the length for each sequence in the testing dataset</t>
  </si>
  <si>
    <t>H = I_(rotate theta=10)</t>
  </si>
  <si>
    <t>KF full(H=I_rot10) [dB]</t>
  </si>
  <si>
    <t>RTS full(H=I_rot10) [dB]</t>
  </si>
  <si>
    <t>F = F_(rotate theta=10), where F is 2x2 canonical form</t>
  </si>
  <si>
    <t>PS: Particle Smoother</t>
  </si>
  <si>
    <t>3) Scaling towards large models (Change date:8.16)</t>
  </si>
  <si>
    <t>N_E=10000, N_CV=10, N_T=200</t>
  </si>
  <si>
    <t>T_train = 20, T_cv = 200, T_test = 200</t>
  </si>
  <si>
    <t>Fixed init conditions</t>
  </si>
  <si>
    <t>(n_Epochs=10000, n_Batch=50, learningRate=1E-4, weightDecay=1E-3)</t>
  </si>
  <si>
    <t>n_Epochs=10000, n_Batch=50, learningRate=1E-3, weightDecay=1E-3</t>
  </si>
  <si>
    <t>T_train = 20, T_cv = 200, T_test =200</t>
  </si>
  <si>
    <t>learning parameters</t>
  </si>
  <si>
    <t>(n_Epochs=1000, n_Batch=10, learningRate=1E-4, weightDecay=1E-3)</t>
  </si>
  <si>
    <t xml:space="preserve">RTSNet true reduced parameter [dB] </t>
  </si>
  <si>
    <t>(n_Epochs=10000, n_Batch=50, learningRate=1E-5, weightDecay=1E-3)</t>
  </si>
  <si>
    <t>Train fixed(cv random), test random</t>
  </si>
  <si>
    <t>Train random, test random</t>
  </si>
  <si>
    <t>T_train=20(T_CV=20), T_test=200</t>
  </si>
  <si>
    <t>(n_Epochs=3000, n_Batch=10, learningRate=1E-4, weightDecay=1E-3)</t>
  </si>
  <si>
    <t>T_train = 50, T_cv = 200, T_test =200</t>
  </si>
  <si>
    <t>N_E=1000, N_CV=10, N_T=200</t>
  </si>
  <si>
    <t>RTSNet does not generalize well, is the reason on fixed init of trainset?</t>
  </si>
  <si>
    <t>No, the reason is not on fixed init of trainset. Maybe T_train=20 is too short, consider longer T_train = 50, T_test=200</t>
  </si>
  <si>
    <t>(n_Epochs=10000, n_Batch=10, learningRate=1E-5, weightDecay=1E-3)</t>
  </si>
  <si>
    <t>EKF J=2 std, optimized q [dB]</t>
  </si>
  <si>
    <t>PF J=5 [dB] (N_particles=100)</t>
  </si>
  <si>
    <t>PS J=5 [dB] (N_particles=100, M_Bwtrajectories=10)</t>
  </si>
  <si>
    <t>Hybrid std</t>
  </si>
  <si>
    <t>Trainable parameters</t>
  </si>
  <si>
    <t>trainable parameters(KNet_in_mult = 1, KNet_out_mult = 1, RTSNet_in_mult = 1, RTSNet_out_mult = 1)</t>
  </si>
  <si>
    <t>trainable parameters(KNet_in_mult = 5, KNet_out_mult = 40, RTSNet_in_mult = 5, RTSNet_out_mult = 40)</t>
  </si>
  <si>
    <t xml:space="preserve"> trainable parameters(KNet_in_mult = 1, KNet_out_mult = 1, RTSNet_in_mult = 1, RTSNet_out_mult = 1)</t>
  </si>
  <si>
    <t>Hybrid full [dB](trainable parameters:40947)</t>
  </si>
  <si>
    <t>RTSNet true [dB] (trainable parameters:7370)</t>
  </si>
  <si>
    <t>Vanilla [dB] (trainable parameters:7964)</t>
  </si>
  <si>
    <t>Hybrid [dB] (trainable parameters:40947)</t>
  </si>
  <si>
    <t>trainable parameters</t>
  </si>
  <si>
    <t>N_E=100, N_CV=5, N_T = 10, all decimated from T=6E6 with q=0&amp;delta_t=1E-5, add observation noise r</t>
  </si>
  <si>
    <t>2) Decimation (change data:9.8 in red)</t>
  </si>
  <si>
    <t>On our dataset:-16.4785</t>
  </si>
  <si>
    <t>1) Observation mismatch Discrete-Time (change date 9.15: add hybrid full)</t>
  </si>
  <si>
    <t>dt_gen=1e-3, dt=1e-1, T_gen=10000, T=100, H observe only position, r=0dB, q_gen=0dB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</si>
</sst>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  <font>
      <sz val="7"/>
      <color rgb="FF212121"/>
      <name val="Courier New"/>
      <family val="3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07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Alignment="1">
      <alignment horizontal="center"/>
    </xf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4" fillId="0" borderId="0" xfId="0" applyFont="1"/>
    <xf numFmtId="0" fontId="3" fillId="0" borderId="0" xfId="0" applyFont="1"/>
    <xf numFmtId="0" fontId="3" fillId="0" borderId="2" xfId="0" applyFont="1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11" fontId="3" fillId="0" borderId="0" xfId="0" applyNumberFormat="1" applyFont="1" applyAlignment="1">
      <alignment horizontal="center"/>
    </xf>
    <xf numFmtId="11" fontId="3" fillId="0" borderId="0" xfId="0" applyNumberFormat="1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5" xfId="0" applyBorder="1" applyAlignment="1">
      <alignment horizontal="center"/>
    </xf>
    <xf numFmtId="11" fontId="0" fillId="0" borderId="0" xfId="0" applyNumberFormat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4" borderId="4" xfId="0" applyFill="1" applyBorder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3" fillId="0" borderId="0" xfId="0" applyFont="1" applyAlignment="1">
      <alignment horizontal="center" vertical="center"/>
    </xf>
    <xf numFmtId="0" fontId="4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6" borderId="4" xfId="0" applyFill="1" applyBorder="1"/>
    <xf numFmtId="0" fontId="3" fillId="6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7" borderId="4" xfId="0" applyFill="1" applyBorder="1"/>
    <xf numFmtId="0" fontId="3" fillId="7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0" fillId="8" borderId="0" xfId="0" applyFill="1"/>
    <xf numFmtId="0" fontId="3" fillId="9" borderId="4" xfId="0" applyFont="1" applyFill="1" applyBorder="1"/>
    <xf numFmtId="0" fontId="3" fillId="9" borderId="6" xfId="0" applyFont="1" applyFill="1" applyBorder="1"/>
    <xf numFmtId="2" fontId="9" fillId="9" borderId="0" xfId="0" applyNumberFormat="1" applyFont="1" applyFill="1" applyAlignment="1">
      <alignment horizontal="center"/>
    </xf>
    <xf numFmtId="2" fontId="9" fillId="9" borderId="7" xfId="0" applyNumberFormat="1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2" fontId="3" fillId="9" borderId="0" xfId="0" applyNumberFormat="1" applyFont="1" applyFill="1" applyAlignment="1">
      <alignment horizontal="center"/>
    </xf>
    <xf numFmtId="2" fontId="3" fillId="9" borderId="7" xfId="0" applyNumberFormat="1" applyFont="1" applyFill="1" applyBorder="1" applyAlignment="1">
      <alignment horizontal="center"/>
    </xf>
    <xf numFmtId="0" fontId="0" fillId="9" borderId="4" xfId="0" applyFill="1" applyBorder="1"/>
    <xf numFmtId="0" fontId="3" fillId="9" borderId="5" xfId="0" applyFont="1" applyFill="1" applyBorder="1" applyAlignment="1">
      <alignment horizontal="center"/>
    </xf>
    <xf numFmtId="11" fontId="3" fillId="9" borderId="0" xfId="0" applyNumberFormat="1" applyFont="1" applyFill="1" applyAlignment="1">
      <alignment horizontal="center"/>
    </xf>
    <xf numFmtId="0" fontId="0" fillId="9" borderId="6" xfId="0" applyFill="1" applyBorder="1"/>
    <xf numFmtId="0" fontId="3" fillId="9" borderId="7" xfId="0" applyFont="1" applyFill="1" applyBorder="1" applyAlignment="1">
      <alignment horizontal="center"/>
    </xf>
    <xf numFmtId="0" fontId="3" fillId="9" borderId="8" xfId="0" applyFont="1" applyFill="1" applyBorder="1" applyAlignment="1">
      <alignment horizontal="center"/>
    </xf>
    <xf numFmtId="2" fontId="9" fillId="9" borderId="5" xfId="0" applyNumberFormat="1" applyFont="1" applyFill="1" applyBorder="1" applyAlignment="1">
      <alignment horizontal="center"/>
    </xf>
    <xf numFmtId="2" fontId="7" fillId="0" borderId="0" xfId="0" applyNumberFormat="1" applyFont="1" applyAlignment="1">
      <alignment horizontal="center"/>
    </xf>
    <xf numFmtId="2" fontId="9" fillId="9" borderId="8" xfId="0" applyNumberFormat="1" applyFont="1" applyFill="1" applyBorder="1" applyAlignment="1">
      <alignment horizontal="center"/>
    </xf>
    <xf numFmtId="0" fontId="3" fillId="9" borderId="4" xfId="0" applyFont="1" applyFill="1" applyBorder="1" applyAlignment="1">
      <alignment horizontal="left"/>
    </xf>
    <xf numFmtId="0" fontId="3" fillId="9" borderId="6" xfId="0" applyFont="1" applyFill="1" applyBorder="1" applyAlignment="1">
      <alignment horizontal="left"/>
    </xf>
    <xf numFmtId="0" fontId="3" fillId="4" borderId="4" xfId="0" applyFont="1" applyFill="1" applyBorder="1"/>
    <xf numFmtId="2" fontId="3" fillId="4" borderId="0" xfId="0" applyNumberFormat="1" applyFont="1" applyFill="1" applyAlignment="1">
      <alignment horizontal="center"/>
    </xf>
    <xf numFmtId="2" fontId="9" fillId="4" borderId="0" xfId="0" applyNumberFormat="1" applyFont="1" applyFill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10" borderId="4" xfId="0" applyFill="1" applyBorder="1"/>
    <xf numFmtId="0" fontId="0" fillId="10" borderId="0" xfId="0" applyFill="1" applyAlignment="1">
      <alignment horizontal="center"/>
    </xf>
    <xf numFmtId="0" fontId="3" fillId="10" borderId="0" xfId="0" applyFont="1" applyFill="1" applyAlignment="1">
      <alignment horizontal="center" vertical="center"/>
    </xf>
    <xf numFmtId="0" fontId="3" fillId="10" borderId="5" xfId="0" applyFont="1" applyFill="1" applyBorder="1" applyAlignment="1">
      <alignment horizontal="center" vertical="center"/>
    </xf>
    <xf numFmtId="0" fontId="3" fillId="10" borderId="0" xfId="0" applyFont="1" applyFill="1" applyAlignment="1">
      <alignment horizontal="center"/>
    </xf>
    <xf numFmtId="0" fontId="0" fillId="4" borderId="6" xfId="0" applyFill="1" applyBorder="1"/>
    <xf numFmtId="0" fontId="3" fillId="4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4" fillId="5" borderId="2" xfId="0" applyFont="1" applyFill="1" applyBorder="1"/>
    <xf numFmtId="0" fontId="3" fillId="7" borderId="4" xfId="0" applyFont="1" applyFill="1" applyBorder="1"/>
    <xf numFmtId="0" fontId="3" fillId="10" borderId="4" xfId="0" applyFont="1" applyFill="1" applyBorder="1"/>
    <xf numFmtId="0" fontId="3" fillId="6" borderId="4" xfId="0" applyFont="1" applyFill="1" applyBorder="1"/>
    <xf numFmtId="0" fontId="3" fillId="7" borderId="4" xfId="0" applyFont="1" applyFill="1" applyBorder="1" applyAlignment="1">
      <alignment horizontal="left"/>
    </xf>
    <xf numFmtId="0" fontId="3" fillId="10" borderId="4" xfId="0" applyFont="1" applyFill="1" applyBorder="1" applyAlignment="1">
      <alignment horizontal="left"/>
    </xf>
    <xf numFmtId="0" fontId="3" fillId="10" borderId="5" xfId="0" applyFont="1" applyFill="1" applyBorder="1" applyAlignment="1">
      <alignment horizontal="center"/>
    </xf>
    <xf numFmtId="0" fontId="3" fillId="6" borderId="4" xfId="0" applyFont="1" applyFill="1" applyBorder="1" applyAlignment="1">
      <alignment horizontal="left"/>
    </xf>
    <xf numFmtId="0" fontId="3" fillId="6" borderId="5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left"/>
    </xf>
    <xf numFmtId="0" fontId="3" fillId="6" borderId="7" xfId="0" applyFont="1" applyFill="1" applyBorder="1" applyAlignment="1">
      <alignment horizontal="center"/>
    </xf>
    <xf numFmtId="11" fontId="3" fillId="6" borderId="8" xfId="0" applyNumberFormat="1" applyFont="1" applyFill="1" applyBorder="1" applyAlignment="1">
      <alignment horizontal="center"/>
    </xf>
    <xf numFmtId="0" fontId="3" fillId="6" borderId="6" xfId="0" applyFont="1" applyFill="1" applyBorder="1"/>
    <xf numFmtId="0" fontId="3" fillId="4" borderId="5" xfId="0" applyFont="1" applyFill="1" applyBorder="1" applyAlignment="1">
      <alignment horizontal="center"/>
    </xf>
    <xf numFmtId="0" fontId="5" fillId="6" borderId="0" xfId="0" applyFont="1" applyFill="1" applyAlignment="1">
      <alignment horizontal="center"/>
    </xf>
    <xf numFmtId="0" fontId="4" fillId="9" borderId="0" xfId="0" applyFont="1" applyFill="1" applyAlignment="1">
      <alignment horizontal="center"/>
    </xf>
    <xf numFmtId="2" fontId="9" fillId="4" borderId="5" xfId="0" applyNumberFormat="1" applyFont="1" applyFill="1" applyBorder="1" applyAlignment="1">
      <alignment horizontal="center"/>
    </xf>
    <xf numFmtId="2" fontId="3" fillId="6" borderId="4" xfId="0" applyNumberFormat="1" applyFont="1" applyFill="1" applyBorder="1"/>
    <xf numFmtId="2" fontId="3" fillId="6" borderId="0" xfId="0" applyNumberFormat="1" applyFont="1" applyFill="1" applyAlignment="1">
      <alignment horizontal="center"/>
    </xf>
    <xf numFmtId="2" fontId="3" fillId="6" borderId="5" xfId="0" applyNumberFormat="1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10" borderId="5" xfId="0" applyFont="1" applyFill="1" applyBorder="1" applyAlignment="1">
      <alignment horizontal="center"/>
    </xf>
    <xf numFmtId="11" fontId="3" fillId="6" borderId="0" xfId="0" applyNumberFormat="1" applyFont="1" applyFill="1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0" fillId="11" borderId="4" xfId="0" applyFill="1" applyBorder="1"/>
    <xf numFmtId="0" fontId="3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0" fillId="10" borderId="5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3" fillId="9" borderId="0" xfId="0" applyFont="1" applyFill="1" applyAlignment="1">
      <alignment horizontal="center" vertical="center"/>
    </xf>
    <xf numFmtId="0" fontId="3" fillId="9" borderId="5" xfId="0" applyFont="1" applyFill="1" applyBorder="1" applyAlignment="1">
      <alignment horizontal="center" vertical="center"/>
    </xf>
    <xf numFmtId="0" fontId="3" fillId="9" borderId="7" xfId="0" applyFont="1" applyFill="1" applyBorder="1" applyAlignment="1">
      <alignment horizontal="center" vertical="center"/>
    </xf>
    <xf numFmtId="0" fontId="3" fillId="9" borderId="8" xfId="0" applyFont="1" applyFill="1" applyBorder="1" applyAlignment="1">
      <alignment horizontal="center" vertical="center"/>
    </xf>
    <xf numFmtId="11" fontId="3" fillId="4" borderId="0" xfId="0" applyNumberFormat="1" applyFont="1" applyFill="1" applyAlignment="1">
      <alignment horizontal="center"/>
    </xf>
    <xf numFmtId="0" fontId="4" fillId="9" borderId="7" xfId="0" applyFont="1" applyFill="1" applyBorder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0" borderId="0" xfId="0" applyFont="1" applyBorder="1"/>
    <xf numFmtId="0" fontId="0" fillId="0" borderId="0" xfId="0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11" fontId="3" fillId="7" borderId="5" xfId="0" applyNumberFormat="1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11" fontId="3" fillId="10" borderId="5" xfId="0" applyNumberFormat="1" applyFont="1" applyFill="1" applyBorder="1" applyAlignment="1">
      <alignment horizontal="center"/>
    </xf>
    <xf numFmtId="0" fontId="3" fillId="6" borderId="0" xfId="0" applyFont="1" applyFill="1" applyBorder="1" applyAlignment="1">
      <alignment horizontal="center"/>
    </xf>
    <xf numFmtId="0" fontId="3" fillId="12" borderId="4" xfId="0" applyFont="1" applyFill="1" applyBorder="1"/>
    <xf numFmtId="0" fontId="3" fillId="12" borderId="0" xfId="0" applyFont="1" applyFill="1" applyAlignment="1">
      <alignment horizontal="center"/>
    </xf>
    <xf numFmtId="0" fontId="3" fillId="12" borderId="5" xfId="0" applyFont="1" applyFill="1" applyBorder="1" applyAlignment="1">
      <alignment horizontal="center"/>
    </xf>
    <xf numFmtId="2" fontId="7" fillId="0" borderId="0" xfId="0" applyNumberFormat="1" applyFont="1" applyFill="1"/>
    <xf numFmtId="0" fontId="4" fillId="6" borderId="0" xfId="0" applyFont="1" applyFill="1" applyAlignment="1">
      <alignment horizontal="center"/>
    </xf>
    <xf numFmtId="0" fontId="3" fillId="6" borderId="8" xfId="0" applyFon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/>
    </xf>
    <xf numFmtId="0" fontId="3" fillId="10" borderId="0" xfId="0" applyFont="1" applyFill="1" applyBorder="1" applyAlignment="1">
      <alignment horizontal="center" vertical="center"/>
    </xf>
    <xf numFmtId="0" fontId="3" fillId="11" borderId="0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 wrapText="1"/>
    </xf>
    <xf numFmtId="0" fontId="0" fillId="0" borderId="3" xfId="0" applyBorder="1"/>
    <xf numFmtId="0" fontId="0" fillId="7" borderId="5" xfId="0" applyFill="1" applyBorder="1"/>
    <xf numFmtId="0" fontId="0" fillId="10" borderId="5" xfId="0" applyFill="1" applyBorder="1"/>
    <xf numFmtId="0" fontId="0" fillId="11" borderId="5" xfId="0" applyFill="1" applyBorder="1"/>
    <xf numFmtId="0" fontId="0" fillId="6" borderId="5" xfId="0" applyFill="1" applyBorder="1"/>
    <xf numFmtId="0" fontId="0" fillId="4" borderId="8" xfId="0" applyFill="1" applyBorder="1"/>
    <xf numFmtId="0" fontId="3" fillId="12" borderId="0" xfId="0" applyFont="1" applyFill="1" applyBorder="1" applyAlignment="1">
      <alignment horizontal="center"/>
    </xf>
    <xf numFmtId="2" fontId="3" fillId="6" borderId="0" xfId="0" applyNumberFormat="1" applyFont="1" applyFill="1" applyBorder="1" applyAlignment="1">
      <alignment horizontal="center"/>
    </xf>
    <xf numFmtId="2" fontId="3" fillId="6" borderId="6" xfId="0" applyNumberFormat="1" applyFont="1" applyFill="1" applyBorder="1"/>
    <xf numFmtId="2" fontId="3" fillId="6" borderId="7" xfId="0" applyNumberFormat="1" applyFont="1" applyFill="1" applyBorder="1" applyAlignment="1">
      <alignment horizontal="center"/>
    </xf>
    <xf numFmtId="2" fontId="3" fillId="6" borderId="8" xfId="0" applyNumberFormat="1" applyFont="1" applyFill="1" applyBorder="1" applyAlignment="1">
      <alignment horizontal="center"/>
    </xf>
    <xf numFmtId="2" fontId="4" fillId="6" borderId="0" xfId="0" applyNumberFormat="1" applyFont="1" applyFill="1" applyBorder="1" applyAlignment="1">
      <alignment horizontal="center"/>
    </xf>
    <xf numFmtId="0" fontId="0" fillId="0" borderId="0" xfId="0" applyBorder="1"/>
    <xf numFmtId="0" fontId="0" fillId="0" borderId="8" xfId="0" applyBorder="1"/>
    <xf numFmtId="2" fontId="4" fillId="9" borderId="0" xfId="0" applyNumberFormat="1" applyFont="1" applyFill="1" applyAlignment="1">
      <alignment horizontal="center"/>
    </xf>
    <xf numFmtId="0" fontId="3" fillId="6" borderId="0" xfId="0" applyNumberFormat="1" applyFont="1" applyFill="1" applyAlignment="1">
      <alignment horizontal="center"/>
    </xf>
    <xf numFmtId="0" fontId="3" fillId="9" borderId="0" xfId="0" applyNumberFormat="1" applyFont="1" applyFill="1" applyAlignment="1">
      <alignment horizontal="center"/>
    </xf>
    <xf numFmtId="0" fontId="9" fillId="9" borderId="0" xfId="0" applyNumberFormat="1" applyFont="1" applyFill="1" applyAlignment="1">
      <alignment horizontal="center"/>
    </xf>
    <xf numFmtId="0" fontId="9" fillId="9" borderId="5" xfId="0" applyNumberFormat="1" applyFont="1" applyFill="1" applyBorder="1" applyAlignment="1">
      <alignment horizontal="center"/>
    </xf>
    <xf numFmtId="0" fontId="4" fillId="12" borderId="0" xfId="0" applyFont="1" applyFill="1" applyBorder="1" applyAlignment="1">
      <alignment horizontal="center"/>
    </xf>
    <xf numFmtId="0" fontId="3" fillId="6" borderId="0" xfId="0" applyNumberFormat="1" applyFont="1" applyFill="1" applyBorder="1" applyAlignment="1">
      <alignment horizontal="center"/>
    </xf>
    <xf numFmtId="0" fontId="10" fillId="0" borderId="0" xfId="0" applyFont="1"/>
    <xf numFmtId="0" fontId="10" fillId="7" borderId="0" xfId="0" applyFont="1" applyFill="1"/>
    <xf numFmtId="0" fontId="0" fillId="0" borderId="0" xfId="0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12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4" fillId="6" borderId="0" xfId="0" applyFont="1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13" borderId="0" xfId="0" applyFont="1" applyFill="1" applyBorder="1" applyAlignment="1">
      <alignment horizontal="center"/>
    </xf>
    <xf numFmtId="0" fontId="3" fillId="9" borderId="0" xfId="0" applyFont="1" applyFill="1" applyBorder="1" applyAlignment="1">
      <alignment horizontal="center"/>
    </xf>
    <xf numFmtId="0" fontId="4" fillId="9" borderId="0" xfId="0" applyFont="1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7" borderId="5" xfId="0" applyFill="1" applyBorder="1" applyAlignment="1">
      <alignment horizontal="center"/>
    </xf>
    <xf numFmtId="0" fontId="0" fillId="12" borderId="4" xfId="0" applyFill="1" applyBorder="1"/>
    <xf numFmtId="0" fontId="0" fillId="12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4" xfId="0" applyFill="1" applyBorder="1"/>
    <xf numFmtId="0" fontId="4" fillId="13" borderId="5" xfId="0" applyFont="1" applyFill="1" applyBorder="1" applyAlignment="1">
      <alignment horizontal="center"/>
    </xf>
    <xf numFmtId="0" fontId="0" fillId="9" borderId="7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2"/>
  <sheetViews>
    <sheetView tabSelected="1" topLeftCell="A255" zoomScale="85" zoomScaleNormal="85" workbookViewId="0">
      <selection activeCell="C263" sqref="C263"/>
    </sheetView>
  </sheetViews>
  <sheetFormatPr defaultRowHeight="14.5" x14ac:dyDescent="0.35"/>
  <cols>
    <col min="1" max="1" width="22.453125" customWidth="1"/>
    <col min="2" max="2" width="27.1796875" customWidth="1"/>
    <col min="3" max="3" width="20.453125" customWidth="1"/>
    <col min="4" max="4" width="31.81640625" customWidth="1"/>
    <col min="6" max="6" width="23.7265625" customWidth="1"/>
    <col min="7" max="7" width="15.453125" customWidth="1"/>
    <col min="8" max="8" width="35.1796875" customWidth="1"/>
    <col min="10" max="10" width="33" customWidth="1"/>
  </cols>
  <sheetData>
    <row r="1" spans="1:6" ht="15" thickBot="1" x14ac:dyDescent="0.4">
      <c r="A1" t="s">
        <v>210</v>
      </c>
    </row>
    <row r="2" spans="1:6" x14ac:dyDescent="0.35">
      <c r="A2" s="12" t="s">
        <v>212</v>
      </c>
      <c r="B2" s="13" t="s">
        <v>213</v>
      </c>
      <c r="C2" s="13" t="s">
        <v>214</v>
      </c>
      <c r="D2" s="163"/>
    </row>
    <row r="3" spans="1:6" x14ac:dyDescent="0.35">
      <c r="A3" s="4" t="s">
        <v>211</v>
      </c>
      <c r="B3" s="175" t="s">
        <v>216</v>
      </c>
      <c r="C3" s="175"/>
      <c r="D3" s="18"/>
    </row>
    <row r="4" spans="1:6" x14ac:dyDescent="0.35">
      <c r="A4" s="4" t="s">
        <v>215</v>
      </c>
      <c r="B4" s="175"/>
      <c r="C4" s="175"/>
      <c r="D4" s="18"/>
    </row>
    <row r="5" spans="1:6" x14ac:dyDescent="0.35">
      <c r="A5" s="4" t="s">
        <v>221</v>
      </c>
      <c r="B5" s="175"/>
      <c r="C5" s="175"/>
      <c r="D5" s="18"/>
    </row>
    <row r="6" spans="1:6" x14ac:dyDescent="0.35">
      <c r="A6" s="4"/>
      <c r="B6" s="175"/>
      <c r="C6" s="175"/>
      <c r="D6" s="18"/>
    </row>
    <row r="7" spans="1:6" ht="15" thickBot="1" x14ac:dyDescent="0.4">
      <c r="A7" s="5"/>
      <c r="B7" s="19"/>
      <c r="C7" s="19"/>
      <c r="D7" s="176"/>
    </row>
    <row r="9" spans="1:6" x14ac:dyDescent="0.35">
      <c r="A9" s="6" t="s">
        <v>0</v>
      </c>
    </row>
    <row r="10" spans="1:6" x14ac:dyDescent="0.35">
      <c r="A10" t="s">
        <v>1</v>
      </c>
    </row>
    <row r="11" spans="1:6" ht="15" thickBot="1" x14ac:dyDescent="0.4">
      <c r="A11" s="14" t="s">
        <v>2</v>
      </c>
    </row>
    <row r="12" spans="1:6" x14ac:dyDescent="0.35">
      <c r="A12" s="2" t="s">
        <v>3</v>
      </c>
      <c r="B12" s="3" t="s">
        <v>4</v>
      </c>
      <c r="C12" s="3" t="s">
        <v>5</v>
      </c>
      <c r="D12" s="3" t="s">
        <v>6</v>
      </c>
      <c r="E12" s="3" t="s">
        <v>7</v>
      </c>
      <c r="F12" s="17" t="s">
        <v>8</v>
      </c>
    </row>
    <row r="13" spans="1:6" x14ac:dyDescent="0.35">
      <c r="A13" s="28" t="s">
        <v>9</v>
      </c>
      <c r="B13" s="22">
        <v>10.022600000000001</v>
      </c>
      <c r="C13" s="22">
        <v>5.4199999999999998E-2</v>
      </c>
      <c r="D13" s="22">
        <v>-10.002700000000001</v>
      </c>
      <c r="E13" s="22">
        <v>-19.947399999999998</v>
      </c>
      <c r="F13" s="31">
        <v>-29.9617</v>
      </c>
    </row>
    <row r="14" spans="1:6" x14ac:dyDescent="0.35">
      <c r="A14" s="28" t="s">
        <v>10</v>
      </c>
      <c r="B14" s="22">
        <v>0.42399999999999999</v>
      </c>
      <c r="C14" s="22">
        <v>0.4476</v>
      </c>
      <c r="D14" s="22">
        <v>0.42730000000000001</v>
      </c>
      <c r="E14" s="22">
        <v>0.41070000000000001</v>
      </c>
      <c r="F14" s="31">
        <v>0.42949999999999999</v>
      </c>
    </row>
    <row r="15" spans="1:6" x14ac:dyDescent="0.35">
      <c r="A15" s="105" t="s">
        <v>11</v>
      </c>
      <c r="B15" s="65">
        <v>8.0853999999999999</v>
      </c>
      <c r="C15" s="65">
        <v>-1.8268</v>
      </c>
      <c r="D15" s="65">
        <v>-11.8804</v>
      </c>
      <c r="E15" s="65">
        <v>-21.902799999999999</v>
      </c>
      <c r="F15" s="90">
        <v>-31.885899999999999</v>
      </c>
    </row>
    <row r="16" spans="1:6" x14ac:dyDescent="0.35">
      <c r="A16" s="105" t="s">
        <v>12</v>
      </c>
      <c r="B16" s="65">
        <v>0.50170000000000003</v>
      </c>
      <c r="C16" s="65">
        <v>0.5252</v>
      </c>
      <c r="D16" s="65">
        <v>0.46360000000000001</v>
      </c>
      <c r="E16" s="65">
        <v>0.4194</v>
      </c>
      <c r="F16" s="90">
        <v>0.51370000000000005</v>
      </c>
    </row>
    <row r="17" spans="1:7" x14ac:dyDescent="0.35">
      <c r="A17" s="106" t="s">
        <v>13</v>
      </c>
      <c r="B17" s="96">
        <v>6.2152000000000003</v>
      </c>
      <c r="C17" s="96">
        <v>-3.7103999999999999</v>
      </c>
      <c r="D17" s="96">
        <v>-13.7761</v>
      </c>
      <c r="E17" s="96">
        <v>-23.750499999999999</v>
      </c>
      <c r="F17" s="107">
        <v>-33.749099999999999</v>
      </c>
      <c r="G17" s="15"/>
    </row>
    <row r="18" spans="1:7" x14ac:dyDescent="0.35">
      <c r="A18" s="106" t="s">
        <v>14</v>
      </c>
      <c r="B18" s="96">
        <v>0.4869</v>
      </c>
      <c r="C18" s="96">
        <v>0.53500000000000003</v>
      </c>
      <c r="D18" s="96">
        <v>0.4657</v>
      </c>
      <c r="E18" s="96">
        <v>0.51919999999999999</v>
      </c>
      <c r="F18" s="107">
        <v>0.50760000000000005</v>
      </c>
      <c r="G18" s="15"/>
    </row>
    <row r="19" spans="1:7" x14ac:dyDescent="0.35">
      <c r="A19" s="108" t="s">
        <v>15</v>
      </c>
      <c r="B19" s="62">
        <v>6.2251000000000003</v>
      </c>
      <c r="C19" s="62">
        <v>-3.6951999999999998</v>
      </c>
      <c r="D19" s="62">
        <v>-13.7377</v>
      </c>
      <c r="E19" s="62">
        <v>-23.7318</v>
      </c>
      <c r="F19" s="109">
        <v>-33.697800000000001</v>
      </c>
      <c r="G19" s="15"/>
    </row>
    <row r="20" spans="1:7" ht="15" thickBot="1" x14ac:dyDescent="0.4">
      <c r="A20" s="110" t="s">
        <v>16</v>
      </c>
      <c r="B20" s="111">
        <v>0.48709999999999998</v>
      </c>
      <c r="C20" s="111">
        <v>0.53669999999999995</v>
      </c>
      <c r="D20" s="111">
        <v>0.46279999999999999</v>
      </c>
      <c r="E20" s="111">
        <v>0.51170000000000004</v>
      </c>
      <c r="F20" s="112">
        <v>0.50549999999999995</v>
      </c>
      <c r="G20" s="15"/>
    </row>
    <row r="21" spans="1:7" x14ac:dyDescent="0.35">
      <c r="A21" s="15"/>
      <c r="B21" s="8"/>
      <c r="C21" s="8"/>
      <c r="D21" s="8"/>
      <c r="E21" s="8"/>
      <c r="F21" s="20"/>
      <c r="G21" s="15"/>
    </row>
    <row r="22" spans="1:7" ht="15" thickBot="1" x14ac:dyDescent="0.4">
      <c r="A22" s="14" t="s">
        <v>17</v>
      </c>
      <c r="G22" s="15"/>
    </row>
    <row r="23" spans="1:7" x14ac:dyDescent="0.35">
      <c r="A23" s="2" t="s">
        <v>3</v>
      </c>
      <c r="B23" s="3" t="s">
        <v>18</v>
      </c>
      <c r="C23" s="3" t="s">
        <v>19</v>
      </c>
      <c r="D23" s="3" t="s">
        <v>20</v>
      </c>
      <c r="E23" s="3" t="s">
        <v>21</v>
      </c>
      <c r="F23" s="17" t="s">
        <v>22</v>
      </c>
      <c r="G23" s="15"/>
    </row>
    <row r="24" spans="1:7" x14ac:dyDescent="0.35">
      <c r="A24" s="28" t="s">
        <v>9</v>
      </c>
      <c r="B24" s="22">
        <v>10.004300000000001</v>
      </c>
      <c r="C24" s="32">
        <v>-8.4907000000000005E-5</v>
      </c>
      <c r="D24" s="22">
        <v>-10.0288</v>
      </c>
      <c r="E24" s="22">
        <v>-19.9815</v>
      </c>
      <c r="F24" s="31">
        <v>-29.968599999999999</v>
      </c>
      <c r="G24" s="15"/>
    </row>
    <row r="25" spans="1:7" x14ac:dyDescent="0.35">
      <c r="A25" s="28" t="s">
        <v>10</v>
      </c>
      <c r="B25" s="22">
        <v>0.41909999999999997</v>
      </c>
      <c r="C25" s="22">
        <v>0.39150000000000001</v>
      </c>
      <c r="D25" s="22">
        <v>0.43099999999999999</v>
      </c>
      <c r="E25" s="22">
        <v>0.40439999999999998</v>
      </c>
      <c r="F25" s="31">
        <v>0.43509999999999999</v>
      </c>
      <c r="G25" s="15"/>
    </row>
    <row r="26" spans="1:7" x14ac:dyDescent="0.35">
      <c r="A26" s="102" t="s">
        <v>11</v>
      </c>
      <c r="B26" s="65">
        <v>5.2991000000000001</v>
      </c>
      <c r="C26" s="65">
        <v>-4.7026000000000003</v>
      </c>
      <c r="D26" s="65">
        <v>-14.756</v>
      </c>
      <c r="E26" s="65">
        <v>-24.680399999999999</v>
      </c>
      <c r="F26" s="90">
        <v>-34.730899999999998</v>
      </c>
      <c r="G26" s="15"/>
    </row>
    <row r="27" spans="1:7" x14ac:dyDescent="0.35">
      <c r="A27" s="102" t="s">
        <v>12</v>
      </c>
      <c r="B27" s="65">
        <v>0.70950000000000002</v>
      </c>
      <c r="C27" s="65">
        <v>0.66279999999999994</v>
      </c>
      <c r="D27" s="65">
        <v>0.67449999999999999</v>
      </c>
      <c r="E27" s="65">
        <v>0.59619999999999995</v>
      </c>
      <c r="F27" s="90">
        <v>0.69599999999999995</v>
      </c>
      <c r="G27" s="15"/>
    </row>
    <row r="28" spans="1:7" x14ac:dyDescent="0.35">
      <c r="A28" s="103" t="s">
        <v>13</v>
      </c>
      <c r="B28" s="96">
        <v>1.8344</v>
      </c>
      <c r="C28" s="96">
        <v>-8.2195999999999998</v>
      </c>
      <c r="D28" s="96">
        <v>-18.179099999999998</v>
      </c>
      <c r="E28" s="96">
        <v>-28.098099999999999</v>
      </c>
      <c r="F28" s="107">
        <v>-38.235599999999998</v>
      </c>
      <c r="G28" s="15"/>
    </row>
    <row r="29" spans="1:7" x14ac:dyDescent="0.35">
      <c r="A29" s="103" t="s">
        <v>14</v>
      </c>
      <c r="B29" s="96">
        <v>0.79410000000000003</v>
      </c>
      <c r="C29" s="96">
        <v>0.7208</v>
      </c>
      <c r="D29" s="96">
        <v>0.77839999999999998</v>
      </c>
      <c r="E29" s="96">
        <v>0.72609999999999997</v>
      </c>
      <c r="F29" s="107">
        <v>0.83679999999999999</v>
      </c>
    </row>
    <row r="30" spans="1:7" x14ac:dyDescent="0.35">
      <c r="A30" s="104" t="s">
        <v>23</v>
      </c>
      <c r="B30" s="62">
        <v>1.8805000000000001</v>
      </c>
      <c r="C30" s="62">
        <v>-8.1684999999999999</v>
      </c>
      <c r="D30" s="62">
        <v>-18.091699999999999</v>
      </c>
      <c r="E30" s="62">
        <v>-27.875299999999999</v>
      </c>
      <c r="F30" s="109">
        <v>-38.1828</v>
      </c>
    </row>
    <row r="31" spans="1:7" ht="15" thickBot="1" x14ac:dyDescent="0.4">
      <c r="A31" s="113" t="s">
        <v>16</v>
      </c>
      <c r="B31" s="111">
        <v>0.79549999999999998</v>
      </c>
      <c r="C31" s="111">
        <v>0.72040000000000004</v>
      </c>
      <c r="D31" s="111">
        <v>0.79720000000000002</v>
      </c>
      <c r="E31" s="111">
        <v>0.74619999999999997</v>
      </c>
      <c r="F31" s="112">
        <v>0.83630000000000004</v>
      </c>
    </row>
    <row r="32" spans="1:7" x14ac:dyDescent="0.35">
      <c r="A32" s="15"/>
      <c r="B32" s="15"/>
      <c r="C32" s="15"/>
      <c r="D32" s="15"/>
      <c r="E32" s="15"/>
      <c r="F32" s="21"/>
    </row>
    <row r="33" spans="1:7" ht="15" thickBot="1" x14ac:dyDescent="0.4">
      <c r="A33" s="14" t="s">
        <v>24</v>
      </c>
    </row>
    <row r="34" spans="1:7" x14ac:dyDescent="0.35">
      <c r="A34" s="2" t="s">
        <v>3</v>
      </c>
      <c r="B34" s="3" t="s">
        <v>25</v>
      </c>
      <c r="C34" s="3" t="s">
        <v>26</v>
      </c>
      <c r="D34" s="3" t="s">
        <v>27</v>
      </c>
      <c r="E34" s="3" t="s">
        <v>28</v>
      </c>
      <c r="F34" s="17" t="s">
        <v>29</v>
      </c>
      <c r="G34" s="138"/>
    </row>
    <row r="35" spans="1:7" x14ac:dyDescent="0.35">
      <c r="A35" s="28" t="s">
        <v>9</v>
      </c>
      <c r="B35" s="141">
        <v>10.011900000000001</v>
      </c>
      <c r="C35" s="141">
        <v>-8.3000000000000001E-3</v>
      </c>
      <c r="D35" s="141">
        <v>-10.004200000000001</v>
      </c>
      <c r="E35" s="141">
        <v>-19.976700000000001</v>
      </c>
      <c r="F35" s="31">
        <v>-30.0029</v>
      </c>
      <c r="G35" s="138"/>
    </row>
    <row r="36" spans="1:7" x14ac:dyDescent="0.35">
      <c r="A36" s="28" t="s">
        <v>10</v>
      </c>
      <c r="B36" s="141">
        <v>0.39750000000000002</v>
      </c>
      <c r="C36" s="141">
        <v>0.43390000000000001</v>
      </c>
      <c r="D36" s="141">
        <v>0.44819999999999999</v>
      </c>
      <c r="E36" s="141">
        <v>0.4158</v>
      </c>
      <c r="F36" s="31">
        <v>0.42849999999999999</v>
      </c>
      <c r="G36" s="138"/>
    </row>
    <row r="37" spans="1:7" x14ac:dyDescent="0.35">
      <c r="A37" s="102" t="s">
        <v>11</v>
      </c>
      <c r="B37" s="142">
        <v>2.7555999999999998</v>
      </c>
      <c r="C37" s="142">
        <v>-7.2537000000000003</v>
      </c>
      <c r="D37" s="142">
        <v>-17.338799999999999</v>
      </c>
      <c r="E37" s="142">
        <v>-27.194199999999999</v>
      </c>
      <c r="F37" s="90">
        <v>-37.323900000000002</v>
      </c>
      <c r="G37" s="139"/>
    </row>
    <row r="38" spans="1:7" x14ac:dyDescent="0.35">
      <c r="A38" s="102" t="s">
        <v>12</v>
      </c>
      <c r="B38" s="142">
        <v>1.0863</v>
      </c>
      <c r="C38" s="142">
        <v>1.0122</v>
      </c>
      <c r="D38" s="142">
        <v>0.96650000000000003</v>
      </c>
      <c r="E38" s="142">
        <v>1.0107999999999999</v>
      </c>
      <c r="F38" s="143">
        <v>0.96260000000000001</v>
      </c>
      <c r="G38" s="139"/>
    </row>
    <row r="39" spans="1:7" x14ac:dyDescent="0.35">
      <c r="A39" s="103" t="s">
        <v>13</v>
      </c>
      <c r="B39" s="144">
        <f>-1.7902</f>
        <v>-1.7902</v>
      </c>
      <c r="C39" s="144">
        <v>-11.8467</v>
      </c>
      <c r="D39" s="144">
        <v>-21.738299999999999</v>
      </c>
      <c r="E39" s="144">
        <v>-31.619900000000001</v>
      </c>
      <c r="F39" s="107">
        <v>-41.830800000000004</v>
      </c>
      <c r="G39" s="139"/>
    </row>
    <row r="40" spans="1:7" x14ac:dyDescent="0.35">
      <c r="A40" s="103" t="s">
        <v>14</v>
      </c>
      <c r="B40" s="144">
        <v>1.2419</v>
      </c>
      <c r="C40" s="144">
        <v>1.1898</v>
      </c>
      <c r="D40" s="144">
        <v>1.2814000000000001</v>
      </c>
      <c r="E40" s="144">
        <v>1.1073</v>
      </c>
      <c r="F40" s="145">
        <v>1.2888999999999999</v>
      </c>
      <c r="G40" s="139"/>
    </row>
    <row r="41" spans="1:7" x14ac:dyDescent="0.35">
      <c r="A41" s="104" t="s">
        <v>30</v>
      </c>
      <c r="B41" s="146">
        <v>-1.64</v>
      </c>
      <c r="C41" s="146">
        <v>-11.7531</v>
      </c>
      <c r="D41" s="146">
        <v>-21.543399999999998</v>
      </c>
      <c r="E41" s="146">
        <v>-31.816700000000001</v>
      </c>
      <c r="F41" s="109">
        <v>-41.504600000000003</v>
      </c>
      <c r="G41" s="139"/>
    </row>
    <row r="42" spans="1:7" ht="15" thickBot="1" x14ac:dyDescent="0.4">
      <c r="A42" s="113" t="s">
        <v>16</v>
      </c>
      <c r="B42" s="111">
        <v>1.1987000000000001</v>
      </c>
      <c r="C42" s="111">
        <v>1.1817</v>
      </c>
      <c r="D42" s="111">
        <v>1.2788999999999999</v>
      </c>
      <c r="E42" s="111">
        <v>1.1524000000000001</v>
      </c>
      <c r="F42" s="112">
        <v>1.2285999999999999</v>
      </c>
      <c r="G42" s="139"/>
    </row>
    <row r="43" spans="1:7" x14ac:dyDescent="0.35">
      <c r="A43" s="15"/>
      <c r="B43" s="15"/>
      <c r="C43" s="15"/>
      <c r="D43" s="15"/>
      <c r="E43" s="15"/>
      <c r="F43" s="15"/>
      <c r="G43" s="140"/>
    </row>
    <row r="44" spans="1:7" x14ac:dyDescent="0.35">
      <c r="A44" s="15"/>
      <c r="B44" s="15"/>
      <c r="C44" s="15"/>
      <c r="D44" s="15"/>
      <c r="E44" s="15"/>
      <c r="F44" s="15"/>
      <c r="G44" s="15"/>
    </row>
    <row r="45" spans="1:7" x14ac:dyDescent="0.35">
      <c r="A45" s="6" t="s">
        <v>31</v>
      </c>
      <c r="B45" s="15"/>
      <c r="C45" s="15"/>
      <c r="D45" s="15"/>
      <c r="E45" s="15"/>
      <c r="F45" s="15"/>
      <c r="G45" s="15"/>
    </row>
    <row r="46" spans="1:7" x14ac:dyDescent="0.35">
      <c r="A46" s="6" t="s">
        <v>32</v>
      </c>
      <c r="B46" s="15"/>
      <c r="C46" s="15"/>
      <c r="D46" s="15"/>
      <c r="E46" s="15"/>
      <c r="F46" s="15"/>
      <c r="G46" s="15"/>
    </row>
    <row r="47" spans="1:7" ht="15" thickBot="1" x14ac:dyDescent="0.4">
      <c r="A47" s="15" t="s">
        <v>33</v>
      </c>
      <c r="B47" s="15"/>
      <c r="C47" s="15"/>
      <c r="D47" s="15"/>
      <c r="E47" s="15"/>
      <c r="F47" s="15"/>
      <c r="G47" s="15"/>
    </row>
    <row r="48" spans="1:7" x14ac:dyDescent="0.35">
      <c r="A48" s="2" t="s">
        <v>34</v>
      </c>
      <c r="B48" s="101" t="s">
        <v>35</v>
      </c>
      <c r="C48" s="16" t="s">
        <v>201</v>
      </c>
      <c r="D48" s="101" t="s">
        <v>36</v>
      </c>
      <c r="E48" s="13" t="s">
        <v>201</v>
      </c>
      <c r="F48" s="101" t="s">
        <v>37</v>
      </c>
      <c r="G48" s="34" t="s">
        <v>201</v>
      </c>
    </row>
    <row r="49" spans="1:7" x14ac:dyDescent="0.35">
      <c r="A49" s="38" t="s">
        <v>9</v>
      </c>
      <c r="B49" s="22">
        <v>-8.3000000000000001E-3</v>
      </c>
      <c r="C49" s="8"/>
      <c r="D49" s="8">
        <v>-1.0699999999999999E-2</v>
      </c>
      <c r="E49" s="8"/>
      <c r="F49" s="8">
        <v>1.52E-2</v>
      </c>
      <c r="G49" s="23"/>
    </row>
    <row r="50" spans="1:7" x14ac:dyDescent="0.35">
      <c r="A50" s="38" t="s">
        <v>10</v>
      </c>
      <c r="B50" s="22">
        <v>0.43390000000000001</v>
      </c>
      <c r="C50" s="8"/>
      <c r="D50" s="8">
        <v>0.1323</v>
      </c>
      <c r="E50" s="8"/>
      <c r="F50" s="8">
        <v>0.22670000000000001</v>
      </c>
      <c r="G50" s="23"/>
    </row>
    <row r="51" spans="1:7" x14ac:dyDescent="0.35">
      <c r="A51" s="102" t="s">
        <v>11</v>
      </c>
      <c r="B51" s="65">
        <v>-7.2537000000000003</v>
      </c>
      <c r="C51" s="65">
        <f>1.98526382446289/200</f>
        <v>9.9263191223144497E-3</v>
      </c>
      <c r="D51" s="65">
        <v>-7.1620999999999997</v>
      </c>
      <c r="E51" s="65">
        <f>19.1064960956573/200</f>
        <v>9.5532480478286497E-2</v>
      </c>
      <c r="F51" s="65">
        <v>-7.2404999999999999</v>
      </c>
      <c r="G51" s="90">
        <f>9.09574961662292/200</f>
        <v>4.5478748083114598E-2</v>
      </c>
    </row>
    <row r="52" spans="1:7" x14ac:dyDescent="0.35">
      <c r="A52" s="102" t="s">
        <v>12</v>
      </c>
      <c r="B52" s="65">
        <v>1.0122</v>
      </c>
      <c r="C52" s="65"/>
      <c r="D52" s="65">
        <v>0.3347</v>
      </c>
      <c r="E52" s="65"/>
      <c r="F52" s="65">
        <v>0.54310000000000003</v>
      </c>
      <c r="G52" s="90"/>
    </row>
    <row r="53" spans="1:7" x14ac:dyDescent="0.35">
      <c r="A53" s="103" t="s">
        <v>13</v>
      </c>
      <c r="B53" s="96">
        <v>-11.8467</v>
      </c>
      <c r="C53" s="96">
        <f xml:space="preserve"> 4.0415232181549/200</f>
        <v>2.02076160907745E-2</v>
      </c>
      <c r="D53" s="96">
        <v>-11.8101</v>
      </c>
      <c r="E53" s="96">
        <f>39.3029329776763/200</f>
        <v>0.19651466488838149</v>
      </c>
      <c r="F53" s="96">
        <v>-11.852600000000001</v>
      </c>
      <c r="G53" s="107">
        <f>19.0591733455657/200</f>
        <v>9.5295866727828499E-2</v>
      </c>
    </row>
    <row r="54" spans="1:7" x14ac:dyDescent="0.35">
      <c r="A54" s="103" t="s">
        <v>14</v>
      </c>
      <c r="B54" s="96">
        <v>1.1898</v>
      </c>
      <c r="C54" s="96"/>
      <c r="D54" s="96">
        <v>0.45019999999999999</v>
      </c>
      <c r="E54" s="96"/>
      <c r="F54" s="96">
        <v>0.68740000000000001</v>
      </c>
      <c r="G54" s="107"/>
    </row>
    <row r="55" spans="1:7" x14ac:dyDescent="0.35">
      <c r="A55" s="104" t="s">
        <v>251</v>
      </c>
      <c r="B55" s="62">
        <v>-11.7531</v>
      </c>
      <c r="C55" s="62">
        <f xml:space="preserve"> 40.4890623092651/200</f>
        <v>0.2024453115463255</v>
      </c>
      <c r="D55" s="62">
        <f>(-11.7224-11.7828)/2</f>
        <v>-11.752600000000001</v>
      </c>
      <c r="E55" s="62">
        <f>297.675692081451/200</f>
        <v>1.4883784604072552</v>
      </c>
      <c r="F55" s="62">
        <v>-11.773</v>
      </c>
      <c r="G55" s="109">
        <f>221.406227111816/200</f>
        <v>1.1070311355590801</v>
      </c>
    </row>
    <row r="56" spans="1:7" ht="12" customHeight="1" x14ac:dyDescent="0.35">
      <c r="A56" s="104" t="s">
        <v>16</v>
      </c>
      <c r="B56" s="62">
        <v>1.1817</v>
      </c>
      <c r="C56" s="62"/>
      <c r="D56" s="62">
        <v>0.44900000000000001</v>
      </c>
      <c r="E56" s="62"/>
      <c r="F56" s="62">
        <v>0.68469999999999998</v>
      </c>
      <c r="G56" s="109"/>
    </row>
    <row r="57" spans="1:7" x14ac:dyDescent="0.35">
      <c r="A57" s="87" t="s">
        <v>252</v>
      </c>
      <c r="B57" s="63">
        <v>22.277200000000001</v>
      </c>
      <c r="C57" s="63">
        <f>22.5544655323028/200</f>
        <v>0.112772327661514</v>
      </c>
      <c r="D57" s="63">
        <v>54.954599999999999</v>
      </c>
      <c r="E57" s="63">
        <f>218.836300849914/200</f>
        <v>1.0941815042495699</v>
      </c>
      <c r="F57" s="63">
        <v>48.389899999999997</v>
      </c>
      <c r="G57" s="114">
        <f>113.630818605422/200</f>
        <v>0.56815409302710995</v>
      </c>
    </row>
    <row r="58" spans="1:7" x14ac:dyDescent="0.35">
      <c r="A58" s="87" t="s">
        <v>38</v>
      </c>
      <c r="B58" s="63">
        <v>5.1904000000000003</v>
      </c>
      <c r="C58" s="63"/>
      <c r="D58" s="63">
        <v>4.4188999999999998</v>
      </c>
      <c r="E58" s="63"/>
      <c r="F58" s="63">
        <v>5.4363999999999999</v>
      </c>
      <c r="G58" s="114"/>
    </row>
    <row r="59" spans="1:7" x14ac:dyDescent="0.35">
      <c r="A59" s="69" t="s">
        <v>253</v>
      </c>
      <c r="B59" s="73">
        <v>-11.432700000000001</v>
      </c>
      <c r="C59" s="73">
        <f>25.735360622406/200</f>
        <v>0.12867680311203</v>
      </c>
      <c r="D59" s="73">
        <v>-11.6624</v>
      </c>
      <c r="E59" s="73">
        <f>65.06352186203/200</f>
        <v>0.32531760931015002</v>
      </c>
      <c r="F59" s="73">
        <v>-11.6868</v>
      </c>
      <c r="G59" s="77">
        <f>51.758457660675/200</f>
        <v>0.25879228830337497</v>
      </c>
    </row>
    <row r="60" spans="1:7" ht="15" thickBot="1" x14ac:dyDescent="0.4">
      <c r="A60" s="70" t="s">
        <v>38</v>
      </c>
      <c r="B60" s="80">
        <v>1.1657</v>
      </c>
      <c r="C60" s="80"/>
      <c r="D60" s="80">
        <v>0.44800000000000001</v>
      </c>
      <c r="E60" s="80"/>
      <c r="F60" s="137">
        <v>1.7402</v>
      </c>
      <c r="G60" s="81"/>
    </row>
    <row r="61" spans="1:7" x14ac:dyDescent="0.35">
      <c r="A61" s="15"/>
      <c r="B61" s="15"/>
      <c r="C61" s="15"/>
      <c r="D61" s="15"/>
      <c r="E61" s="15"/>
      <c r="F61" s="15"/>
      <c r="G61" s="15"/>
    </row>
    <row r="62" spans="1:7" x14ac:dyDescent="0.35">
      <c r="A62" s="6" t="s">
        <v>39</v>
      </c>
      <c r="B62" s="15"/>
      <c r="C62" s="15"/>
      <c r="D62" s="15"/>
      <c r="E62" s="15"/>
      <c r="F62" s="15"/>
      <c r="G62" s="15"/>
    </row>
    <row r="63" spans="1:7" x14ac:dyDescent="0.35">
      <c r="A63" s="14" t="s">
        <v>40</v>
      </c>
      <c r="B63" s="15"/>
      <c r="C63" s="15"/>
      <c r="D63" s="15"/>
      <c r="E63" s="15"/>
      <c r="F63" s="15"/>
      <c r="G63" s="15"/>
    </row>
    <row r="64" spans="1:7" ht="15" thickBot="1" x14ac:dyDescent="0.4">
      <c r="A64" s="15" t="s">
        <v>41</v>
      </c>
      <c r="B64" s="15"/>
      <c r="C64" s="15"/>
      <c r="D64" s="15"/>
      <c r="E64" s="15"/>
      <c r="F64" s="15"/>
      <c r="G64" s="15"/>
    </row>
    <row r="65" spans="1:7" x14ac:dyDescent="0.35">
      <c r="A65" s="2" t="s">
        <v>34</v>
      </c>
      <c r="B65" s="101" t="s">
        <v>42</v>
      </c>
      <c r="C65" s="16" t="s">
        <v>201</v>
      </c>
      <c r="D65" s="101" t="s">
        <v>43</v>
      </c>
      <c r="E65" s="13" t="s">
        <v>201</v>
      </c>
      <c r="F65" s="101" t="s">
        <v>44</v>
      </c>
      <c r="G65" s="34" t="s">
        <v>201</v>
      </c>
    </row>
    <row r="66" spans="1:7" x14ac:dyDescent="0.35">
      <c r="A66" s="38" t="s">
        <v>9</v>
      </c>
      <c r="B66" s="22">
        <v>-8.3000000000000001E-3</v>
      </c>
      <c r="C66" s="8"/>
      <c r="D66" s="8" t="s">
        <v>45</v>
      </c>
      <c r="E66" s="22"/>
      <c r="F66" s="91">
        <v>-1.8499999999999999E-2</v>
      </c>
      <c r="G66" s="23"/>
    </row>
    <row r="67" spans="1:7" x14ac:dyDescent="0.35">
      <c r="A67" s="38" t="s">
        <v>10</v>
      </c>
      <c r="B67" s="22">
        <v>0.43390000000000001</v>
      </c>
      <c r="C67" s="8"/>
      <c r="D67" s="8" t="s">
        <v>45</v>
      </c>
      <c r="E67" s="22"/>
      <c r="F67" s="91">
        <v>0.36009999999999998</v>
      </c>
      <c r="G67" s="23"/>
    </row>
    <row r="68" spans="1:7" x14ac:dyDescent="0.35">
      <c r="A68" s="102" t="s">
        <v>11</v>
      </c>
      <c r="B68" s="65">
        <v>-7.2537000000000003</v>
      </c>
      <c r="C68" s="65">
        <f>2.06810355186462/200</f>
        <v>1.03405177593231E-2</v>
      </c>
      <c r="D68" s="100" t="s">
        <v>45</v>
      </c>
      <c r="E68" s="65"/>
      <c r="F68" s="65">
        <v>-7.4257999999999997</v>
      </c>
      <c r="G68" s="90">
        <f>2.06810355186462/200</f>
        <v>1.03405177593231E-2</v>
      </c>
    </row>
    <row r="69" spans="1:7" x14ac:dyDescent="0.35">
      <c r="A69" s="102" t="s">
        <v>12</v>
      </c>
      <c r="B69" s="65">
        <v>1.0122</v>
      </c>
      <c r="C69" s="65"/>
      <c r="D69" s="100" t="s">
        <v>45</v>
      </c>
      <c r="E69" s="65"/>
      <c r="F69" s="65">
        <v>0.96319999999999995</v>
      </c>
      <c r="G69" s="90"/>
    </row>
    <row r="70" spans="1:7" x14ac:dyDescent="0.35">
      <c r="A70" s="103" t="s">
        <v>13</v>
      </c>
      <c r="B70" s="96">
        <v>-11.8467</v>
      </c>
      <c r="C70" s="96">
        <f xml:space="preserve"> 4.27267003059387/200</f>
        <v>2.1363350152969352E-2</v>
      </c>
      <c r="D70" s="93" t="s">
        <v>45</v>
      </c>
      <c r="E70" s="96"/>
      <c r="F70" s="96">
        <v>-12.0245</v>
      </c>
      <c r="G70" s="107">
        <f>4.27267003059387/200</f>
        <v>2.1363350152969352E-2</v>
      </c>
    </row>
    <row r="71" spans="1:7" x14ac:dyDescent="0.35">
      <c r="A71" s="103" t="s">
        <v>14</v>
      </c>
      <c r="B71" s="96">
        <v>1.1898</v>
      </c>
      <c r="C71" s="96"/>
      <c r="D71" s="93" t="s">
        <v>45</v>
      </c>
      <c r="E71" s="96"/>
      <c r="F71" s="96">
        <v>1.2376</v>
      </c>
      <c r="G71" s="107"/>
    </row>
    <row r="72" spans="1:7" x14ac:dyDescent="0.35">
      <c r="A72" s="104" t="s">
        <v>251</v>
      </c>
      <c r="B72" s="62">
        <v>-11.7531</v>
      </c>
      <c r="C72" s="62">
        <f>45.0683450698852/200</f>
        <v>0.22534172534942598</v>
      </c>
      <c r="D72" s="62">
        <v>-11.756600000000001</v>
      </c>
      <c r="E72" s="62"/>
      <c r="F72" s="115">
        <v>-11.7013</v>
      </c>
      <c r="G72" s="109">
        <f>45.0683450698852/200</f>
        <v>0.22534172534942598</v>
      </c>
    </row>
    <row r="73" spans="1:7" x14ac:dyDescent="0.35">
      <c r="A73" s="104" t="s">
        <v>16</v>
      </c>
      <c r="B73" s="62">
        <v>1.1817</v>
      </c>
      <c r="C73" s="62"/>
      <c r="D73" s="62">
        <v>1.1865000000000001</v>
      </c>
      <c r="E73" s="62"/>
      <c r="F73" s="115">
        <v>1.2141</v>
      </c>
      <c r="G73" s="109"/>
    </row>
    <row r="74" spans="1:7" x14ac:dyDescent="0.35">
      <c r="A74" s="87" t="s">
        <v>252</v>
      </c>
      <c r="B74" s="63">
        <v>22.277200000000001</v>
      </c>
      <c r="C74" s="63">
        <f>22.5544655323028/200</f>
        <v>0.112772327661514</v>
      </c>
      <c r="D74" s="63">
        <v>37.280900000000003</v>
      </c>
      <c r="E74" s="63"/>
      <c r="F74" s="63">
        <v>26.606100000000001</v>
      </c>
      <c r="G74" s="114">
        <f>22.5544655323028/200</f>
        <v>0.112772327661514</v>
      </c>
    </row>
    <row r="75" spans="1:7" x14ac:dyDescent="0.35">
      <c r="A75" s="87" t="s">
        <v>38</v>
      </c>
      <c r="B75" s="63">
        <v>5.1904000000000003</v>
      </c>
      <c r="C75" s="63"/>
      <c r="D75" s="63">
        <v>2.0032999999999999</v>
      </c>
      <c r="E75" s="63"/>
      <c r="F75" s="63">
        <v>3.5470000000000002</v>
      </c>
      <c r="G75" s="114"/>
    </row>
    <row r="76" spans="1:7" x14ac:dyDescent="0.35">
      <c r="A76" s="69" t="s">
        <v>253</v>
      </c>
      <c r="B76" s="73">
        <v>-11.432700000000001</v>
      </c>
      <c r="C76" s="73">
        <f>25.735360622406/200</f>
        <v>0.12867680311203</v>
      </c>
      <c r="D76" s="116">
        <v>-10.6547</v>
      </c>
      <c r="E76" s="73"/>
      <c r="F76" s="73">
        <v>-11.3819</v>
      </c>
      <c r="G76" s="77">
        <f>25.735360622406/200</f>
        <v>0.12867680311203</v>
      </c>
    </row>
    <row r="77" spans="1:7" ht="15" thickBot="1" x14ac:dyDescent="0.4">
      <c r="A77" s="70" t="s">
        <v>38</v>
      </c>
      <c r="B77" s="80">
        <v>1.1657</v>
      </c>
      <c r="C77" s="80"/>
      <c r="D77" s="80">
        <v>1.2186999999999999</v>
      </c>
      <c r="E77" s="80"/>
      <c r="F77" s="80">
        <v>1.1642999999999999</v>
      </c>
      <c r="G77" s="81"/>
    </row>
    <row r="78" spans="1:7" x14ac:dyDescent="0.35">
      <c r="A78" s="15"/>
      <c r="B78" s="15"/>
      <c r="C78" s="15"/>
      <c r="D78" s="15"/>
      <c r="E78" s="15"/>
      <c r="F78" s="15"/>
      <c r="G78" s="15"/>
    </row>
    <row r="79" spans="1:7" ht="15" thickBot="1" x14ac:dyDescent="0.4">
      <c r="A79" s="15"/>
      <c r="B79" s="15"/>
      <c r="C79" s="15"/>
      <c r="D79" s="15"/>
      <c r="E79" s="15"/>
      <c r="F79" s="15"/>
      <c r="G79" s="15"/>
    </row>
    <row r="80" spans="1:7" x14ac:dyDescent="0.35">
      <c r="A80" s="33" t="s">
        <v>46</v>
      </c>
      <c r="B80" s="34">
        <v>30.081099999999999</v>
      </c>
      <c r="C80" s="26"/>
    </row>
    <row r="81" spans="1:11" x14ac:dyDescent="0.35">
      <c r="A81" s="10" t="s">
        <v>47</v>
      </c>
      <c r="B81" s="7">
        <v>26.237500000000001</v>
      </c>
      <c r="C81" s="26"/>
    </row>
    <row r="82" spans="1:11" x14ac:dyDescent="0.35">
      <c r="A82" s="38"/>
      <c r="B82" s="7"/>
      <c r="C82" s="26"/>
    </row>
    <row r="83" spans="1:11" x14ac:dyDescent="0.35">
      <c r="A83" s="10" t="s">
        <v>48</v>
      </c>
      <c r="B83" s="7">
        <v>-6.7626999999999997</v>
      </c>
      <c r="C83" s="8"/>
    </row>
    <row r="84" spans="1:11" x14ac:dyDescent="0.35">
      <c r="A84" s="10" t="s">
        <v>12</v>
      </c>
      <c r="B84" s="7">
        <v>0.88480000000000003</v>
      </c>
      <c r="C84" s="8"/>
    </row>
    <row r="85" spans="1:11" x14ac:dyDescent="0.35">
      <c r="A85" s="10" t="s">
        <v>49</v>
      </c>
      <c r="B85" s="7">
        <v>-11.523199999999999</v>
      </c>
      <c r="C85" s="8"/>
    </row>
    <row r="86" spans="1:11" x14ac:dyDescent="0.35">
      <c r="A86" s="10" t="s">
        <v>14</v>
      </c>
      <c r="B86" s="7">
        <v>1.1852</v>
      </c>
      <c r="C86" s="8"/>
    </row>
    <row r="87" spans="1:11" x14ac:dyDescent="0.35">
      <c r="A87" s="10" t="s">
        <v>50</v>
      </c>
      <c r="B87" s="7">
        <v>9.0884</v>
      </c>
      <c r="C87" s="15"/>
    </row>
    <row r="88" spans="1:11" ht="15" thickBot="1" x14ac:dyDescent="0.4">
      <c r="A88" s="11" t="s">
        <v>51</v>
      </c>
      <c r="B88" s="9">
        <v>2.7212000000000001</v>
      </c>
      <c r="C88" s="15"/>
    </row>
    <row r="89" spans="1:11" x14ac:dyDescent="0.35">
      <c r="A89" s="15"/>
      <c r="B89" s="15"/>
      <c r="C89" s="15"/>
      <c r="D89" s="15"/>
    </row>
    <row r="90" spans="1:11" x14ac:dyDescent="0.35">
      <c r="A90" s="15"/>
      <c r="B90" s="15"/>
      <c r="C90" s="15"/>
      <c r="D90" s="15"/>
      <c r="E90" s="15"/>
      <c r="F90" s="15"/>
      <c r="G90" s="15"/>
    </row>
    <row r="91" spans="1:11" x14ac:dyDescent="0.35">
      <c r="A91" s="6" t="s">
        <v>222</v>
      </c>
      <c r="B91" s="15"/>
      <c r="C91" s="15"/>
      <c r="D91" s="15"/>
      <c r="E91" s="15"/>
      <c r="F91" s="15"/>
      <c r="G91" s="15"/>
    </row>
    <row r="92" spans="1:11" x14ac:dyDescent="0.35">
      <c r="A92" s="14" t="s">
        <v>52</v>
      </c>
      <c r="D92" s="15"/>
    </row>
    <row r="93" spans="1:11" x14ac:dyDescent="0.35">
      <c r="A93" s="15" t="s">
        <v>53</v>
      </c>
      <c r="D93" s="15"/>
    </row>
    <row r="94" spans="1:11" ht="15" thickBot="1" x14ac:dyDescent="0.4">
      <c r="A94" s="1" t="s">
        <v>54</v>
      </c>
      <c r="B94" s="1"/>
      <c r="F94" s="15"/>
    </row>
    <row r="95" spans="1:11" x14ac:dyDescent="0.35">
      <c r="A95" s="42"/>
      <c r="B95" s="43" t="s">
        <v>55</v>
      </c>
      <c r="C95" s="16" t="s">
        <v>202</v>
      </c>
      <c r="D95" s="43" t="s">
        <v>56</v>
      </c>
      <c r="E95" s="16" t="s">
        <v>203</v>
      </c>
      <c r="F95" s="43" t="s">
        <v>57</v>
      </c>
      <c r="G95" s="16" t="s">
        <v>204</v>
      </c>
      <c r="H95" s="43" t="s">
        <v>58</v>
      </c>
      <c r="I95" s="16" t="s">
        <v>205</v>
      </c>
      <c r="J95" s="43" t="s">
        <v>59</v>
      </c>
      <c r="K95" s="34" t="s">
        <v>206</v>
      </c>
    </row>
    <row r="96" spans="1:11" x14ac:dyDescent="0.35">
      <c r="A96" s="102" t="s">
        <v>11</v>
      </c>
      <c r="B96" s="65">
        <v>-7.7907000000000002</v>
      </c>
      <c r="C96" s="65">
        <f>0.38149070739746/200</f>
        <v>1.9074535369873E-3</v>
      </c>
      <c r="D96" s="65">
        <v>-10.930999999999999</v>
      </c>
      <c r="E96" s="65">
        <f>0.393565416336059/200</f>
        <v>1.967827081680295E-3</v>
      </c>
      <c r="F96" s="65">
        <v>-11.0616</v>
      </c>
      <c r="G96" s="65">
        <f>1.41515588760375/200</f>
        <v>7.0757794380187497E-3</v>
      </c>
      <c r="H96" s="65">
        <v>-11.5398</v>
      </c>
      <c r="I96" s="65">
        <f>1.7515857219696/200</f>
        <v>8.7579286098480001E-3</v>
      </c>
      <c r="J96" s="65">
        <v>-11.533899999999999</v>
      </c>
      <c r="K96" s="90">
        <f>1.83847570419311/200</f>
        <v>9.1923785209655495E-3</v>
      </c>
    </row>
    <row r="97" spans="1:11" x14ac:dyDescent="0.35">
      <c r="A97" s="102" t="s">
        <v>12</v>
      </c>
      <c r="B97" s="65">
        <v>2.2039</v>
      </c>
      <c r="C97" s="65"/>
      <c r="D97" s="65">
        <v>1.4112</v>
      </c>
      <c r="E97" s="65"/>
      <c r="F97" s="65">
        <v>0.95120000000000005</v>
      </c>
      <c r="G97" s="65"/>
      <c r="H97" s="65">
        <v>0.77070000000000005</v>
      </c>
      <c r="I97" s="65"/>
      <c r="J97" s="65">
        <v>0.59950000000000003</v>
      </c>
      <c r="K97" s="90"/>
    </row>
    <row r="98" spans="1:11" x14ac:dyDescent="0.35">
      <c r="A98" s="103" t="s">
        <v>13</v>
      </c>
      <c r="B98" s="96">
        <v>-11.7315</v>
      </c>
      <c r="C98" s="96">
        <f>0.743644952774047/200</f>
        <v>3.7182247638702349E-3</v>
      </c>
      <c r="D98" s="96">
        <v>-12.350300000000001</v>
      </c>
      <c r="E98" s="96">
        <f>0.808241128921508/200</f>
        <v>4.0412056446075401E-3</v>
      </c>
      <c r="F98" s="96">
        <v>-12.4358</v>
      </c>
      <c r="G98" s="96">
        <f xml:space="preserve"> 2.81512689590454/200</f>
        <v>1.4075634479522701E-2</v>
      </c>
      <c r="H98" s="96">
        <v>-12.7623</v>
      </c>
      <c r="I98" s="96">
        <f>3.38718914985656/200</f>
        <v>1.69359457492828E-2</v>
      </c>
      <c r="J98" s="96">
        <v>-12.7544</v>
      </c>
      <c r="K98" s="107">
        <f>3.5751347541809/200</f>
        <v>1.7875673770904502E-2</v>
      </c>
    </row>
    <row r="99" spans="1:11" ht="16.5" customHeight="1" x14ac:dyDescent="0.35">
      <c r="A99" s="103" t="s">
        <v>14</v>
      </c>
      <c r="B99" s="96">
        <v>2.4887999999999999</v>
      </c>
      <c r="C99" s="96"/>
      <c r="D99" s="96">
        <v>1.5609</v>
      </c>
      <c r="E99" s="96"/>
      <c r="F99" s="96">
        <v>1.0578000000000001</v>
      </c>
      <c r="G99" s="96"/>
      <c r="H99" s="96">
        <v>0.8075</v>
      </c>
      <c r="I99" s="96"/>
      <c r="J99" s="96">
        <v>0.63580000000000003</v>
      </c>
      <c r="K99" s="107"/>
    </row>
    <row r="100" spans="1:11" x14ac:dyDescent="0.35">
      <c r="A100" s="147" t="s">
        <v>60</v>
      </c>
      <c r="B100" s="148">
        <v>-11.2082</v>
      </c>
      <c r="C100" s="148">
        <f>8.5537621974945/200</f>
        <v>4.2768810987472497E-2</v>
      </c>
      <c r="D100" s="148">
        <v>-11.9427</v>
      </c>
      <c r="E100" s="148">
        <f>8.43400382995605/200</f>
        <v>4.2170019149780247E-2</v>
      </c>
      <c r="F100" s="148">
        <v>-11.933199999999999</v>
      </c>
      <c r="G100" s="148">
        <f>10.424521446228/200</f>
        <v>5.2122607231140004E-2</v>
      </c>
      <c r="H100" s="148" t="s">
        <v>199</v>
      </c>
      <c r="I100" s="148">
        <f>13.5266025066375/200</f>
        <v>6.76330125331875E-2</v>
      </c>
      <c r="J100" s="148"/>
      <c r="K100" s="149"/>
    </row>
    <row r="101" spans="1:11" x14ac:dyDescent="0.35">
      <c r="A101" s="147" t="s">
        <v>248</v>
      </c>
      <c r="B101" s="148"/>
      <c r="C101" s="148"/>
      <c r="D101" s="148">
        <v>237950</v>
      </c>
      <c r="E101" s="148"/>
      <c r="F101" s="148">
        <v>3636450</v>
      </c>
      <c r="G101" s="148"/>
      <c r="H101" s="148">
        <v>57085100</v>
      </c>
      <c r="I101" s="148"/>
      <c r="J101" s="148"/>
      <c r="K101" s="149"/>
    </row>
    <row r="102" spans="1:11" ht="14.15" customHeight="1" x14ac:dyDescent="0.35">
      <c r="A102" s="147" t="s">
        <v>51</v>
      </c>
      <c r="B102" s="148">
        <v>2.4382999999999999</v>
      </c>
      <c r="C102" s="148"/>
      <c r="D102" s="148">
        <v>1.5407</v>
      </c>
      <c r="E102" s="148"/>
      <c r="F102" s="148">
        <v>1.0585</v>
      </c>
      <c r="G102" s="148"/>
      <c r="H102" s="148">
        <v>0.79690000000000005</v>
      </c>
      <c r="I102" s="148"/>
      <c r="J102" s="148"/>
      <c r="K102" s="149"/>
    </row>
    <row r="103" spans="1:11" s="41" customFormat="1" x14ac:dyDescent="0.35">
      <c r="A103" s="118" t="s">
        <v>61</v>
      </c>
      <c r="B103" s="119"/>
      <c r="C103" s="119"/>
      <c r="D103" s="119">
        <v>-11.9725</v>
      </c>
      <c r="E103" s="119">
        <f>8.48960757255554/200</f>
        <v>4.2448037862777704E-2</v>
      </c>
      <c r="F103" s="119">
        <v>-12.023099999999999</v>
      </c>
      <c r="G103" s="119">
        <f>9.56008505821228/200</f>
        <v>4.7800425291061405E-2</v>
      </c>
      <c r="H103" s="119">
        <v>-12.275499999999999</v>
      </c>
      <c r="I103" s="119">
        <f>11.0999789237976/200</f>
        <v>5.5499894618988001E-2</v>
      </c>
      <c r="J103" s="119">
        <v>-11.183999999999999</v>
      </c>
      <c r="K103" s="120">
        <f>12.9774138927459/200</f>
        <v>6.4887069463729505E-2</v>
      </c>
    </row>
    <row r="104" spans="1:11" s="41" customFormat="1" x14ac:dyDescent="0.35">
      <c r="A104" s="118" t="s">
        <v>247</v>
      </c>
      <c r="B104" s="119"/>
      <c r="C104" s="119"/>
      <c r="D104" s="178">
        <v>28285</v>
      </c>
      <c r="E104" s="119"/>
      <c r="F104" s="178">
        <v>416070</v>
      </c>
      <c r="G104" s="119"/>
      <c r="H104" s="178">
        <v>6428140</v>
      </c>
      <c r="I104" s="119"/>
      <c r="J104" s="178">
        <v>101264280</v>
      </c>
      <c r="K104" s="120"/>
    </row>
    <row r="105" spans="1:11" s="41" customFormat="1" x14ac:dyDescent="0.35">
      <c r="A105" s="118" t="s">
        <v>200</v>
      </c>
      <c r="B105" s="119"/>
      <c r="C105" s="119"/>
      <c r="D105" s="119">
        <v>1.597</v>
      </c>
      <c r="E105" s="119"/>
      <c r="F105" s="119">
        <v>1.0552999999999999</v>
      </c>
      <c r="G105" s="119"/>
      <c r="H105" s="119">
        <v>0.82789999999999997</v>
      </c>
      <c r="I105" s="119"/>
      <c r="J105" s="119">
        <v>0.61240000000000006</v>
      </c>
      <c r="K105" s="120"/>
    </row>
    <row r="106" spans="1:11" s="150" customFormat="1" x14ac:dyDescent="0.35">
      <c r="A106" s="87" t="s">
        <v>62</v>
      </c>
      <c r="B106" s="63">
        <v>3.2885</v>
      </c>
      <c r="C106" s="63">
        <f>4.08125257492065/200</f>
        <v>2.0406262874603249E-2</v>
      </c>
      <c r="D106" s="63">
        <v>4.2609000000000004</v>
      </c>
      <c r="E106" s="63">
        <f>5.91765332221984/200</f>
        <v>2.9588266611099198E-2</v>
      </c>
      <c r="F106" s="63">
        <v>5.5805999999999996</v>
      </c>
      <c r="G106" s="63">
        <f>6.13172888755798/200</f>
        <v>3.06586444377899E-2</v>
      </c>
      <c r="H106" s="88">
        <v>3.7422</v>
      </c>
      <c r="I106" s="88">
        <f>30.4122395515441/200</f>
        <v>0.15206119775772051</v>
      </c>
      <c r="J106" s="89"/>
      <c r="K106" s="117"/>
    </row>
    <row r="107" spans="1:11" s="150" customFormat="1" x14ac:dyDescent="0.35">
      <c r="A107" s="87" t="s">
        <v>38</v>
      </c>
      <c r="B107" s="63">
        <v>4.4954000000000001</v>
      </c>
      <c r="C107" s="63"/>
      <c r="D107" s="63">
        <v>4.7234999999999996</v>
      </c>
      <c r="E107" s="63"/>
      <c r="F107" s="63">
        <v>4.5526</v>
      </c>
      <c r="G107" s="63"/>
      <c r="H107" s="88">
        <v>4.4161000000000001</v>
      </c>
      <c r="I107" s="88"/>
      <c r="J107" s="89"/>
      <c r="K107" s="117"/>
    </row>
    <row r="108" spans="1:11" s="83" customFormat="1" x14ac:dyDescent="0.35">
      <c r="A108" s="85" t="s">
        <v>63</v>
      </c>
      <c r="B108" s="116">
        <v>-10.0159</v>
      </c>
      <c r="C108" s="73">
        <f>20.0625014305114/200</f>
        <v>0.100312507152557</v>
      </c>
      <c r="D108" s="116">
        <v>-9.0280000000000005</v>
      </c>
      <c r="E108" s="73">
        <f>20.7345972061157/200</f>
        <v>0.10367298603057851</v>
      </c>
      <c r="F108" s="116">
        <v>-8.6739999999999995</v>
      </c>
      <c r="G108" s="73">
        <f>20.7005150318145/200</f>
        <v>0.1035025751590725</v>
      </c>
      <c r="H108" s="177">
        <v>-8.5569000000000006</v>
      </c>
      <c r="I108" s="74">
        <f>21.5411388874053/200</f>
        <v>0.1077056944370265</v>
      </c>
      <c r="J108" s="71"/>
      <c r="K108" s="82"/>
    </row>
    <row r="109" spans="1:11" s="83" customFormat="1" x14ac:dyDescent="0.35">
      <c r="A109" s="85" t="s">
        <v>254</v>
      </c>
      <c r="B109" s="179">
        <v>40947</v>
      </c>
      <c r="C109" s="179"/>
      <c r="D109" s="179">
        <v>41814</v>
      </c>
      <c r="E109" s="179"/>
      <c r="F109" s="179">
        <v>43259</v>
      </c>
      <c r="G109" s="179"/>
      <c r="H109" s="179">
        <v>46149</v>
      </c>
      <c r="I109" s="179"/>
      <c r="J109" s="180"/>
      <c r="K109" s="181"/>
    </row>
    <row r="110" spans="1:11" s="83" customFormat="1" ht="15" thickBot="1" x14ac:dyDescent="0.4">
      <c r="A110" s="86" t="s">
        <v>38</v>
      </c>
      <c r="B110" s="80">
        <v>2.3308</v>
      </c>
      <c r="C110" s="80"/>
      <c r="D110" s="80">
        <v>1.3118000000000001</v>
      </c>
      <c r="E110" s="80"/>
      <c r="F110" s="80">
        <v>0.80279999999999996</v>
      </c>
      <c r="G110" s="80"/>
      <c r="H110" s="75">
        <v>0.60309999999999997</v>
      </c>
      <c r="I110" s="75"/>
      <c r="J110" s="72"/>
      <c r="K110" s="84"/>
    </row>
    <row r="111" spans="1:11" x14ac:dyDescent="0.35">
      <c r="D111" s="22"/>
      <c r="F111" s="22"/>
      <c r="H111" s="22"/>
      <c r="J111" s="22"/>
    </row>
    <row r="112" spans="1:11" x14ac:dyDescent="0.35">
      <c r="A112" s="14" t="s">
        <v>225</v>
      </c>
      <c r="D112" s="22"/>
      <c r="F112" s="22"/>
      <c r="H112" s="22"/>
      <c r="J112" s="22"/>
    </row>
    <row r="113" spans="1:11" x14ac:dyDescent="0.35">
      <c r="A113" s="14" t="s">
        <v>235</v>
      </c>
      <c r="D113" s="22"/>
      <c r="F113" s="22"/>
      <c r="H113" s="22"/>
      <c r="J113" s="22"/>
    </row>
    <row r="114" spans="1:11" ht="15" thickBot="1" x14ac:dyDescent="0.4">
      <c r="A114" t="s">
        <v>53</v>
      </c>
      <c r="B114" s="14"/>
      <c r="C114" s="15"/>
      <c r="D114" s="15"/>
      <c r="E114" s="15"/>
      <c r="F114" s="15"/>
      <c r="G114" s="15"/>
      <c r="H114" s="15"/>
      <c r="I114" s="15"/>
      <c r="J114" s="15"/>
    </row>
    <row r="115" spans="1:11" x14ac:dyDescent="0.35">
      <c r="A115" s="42"/>
      <c r="B115" s="43" t="s">
        <v>64</v>
      </c>
      <c r="C115" s="16" t="s">
        <v>202</v>
      </c>
      <c r="D115" s="43" t="s">
        <v>56</v>
      </c>
      <c r="E115" s="16" t="s">
        <v>203</v>
      </c>
      <c r="F115" s="43" t="s">
        <v>57</v>
      </c>
      <c r="G115" s="16" t="s">
        <v>204</v>
      </c>
      <c r="H115" s="43" t="s">
        <v>58</v>
      </c>
      <c r="I115" s="34" t="s">
        <v>205</v>
      </c>
      <c r="J115" s="44"/>
    </row>
    <row r="116" spans="1:11" x14ac:dyDescent="0.35">
      <c r="A116" s="102" t="s">
        <v>11</v>
      </c>
      <c r="B116" s="142">
        <v>-7.2732999999999999</v>
      </c>
      <c r="C116" s="142">
        <f>3.30510807037353/200</f>
        <v>1.6525540351867648E-2</v>
      </c>
      <c r="D116" s="142">
        <v>-9.4646000000000008</v>
      </c>
      <c r="E116" s="142">
        <f>3.73610782623291/200</f>
        <v>1.8680539131164551E-2</v>
      </c>
      <c r="F116" s="142">
        <v>-9.5103000000000009</v>
      </c>
      <c r="G116" s="142">
        <f>3.9412202835083/200</f>
        <v>1.9706101417541498E-2</v>
      </c>
      <c r="H116" s="142">
        <v>-9.6827000000000005</v>
      </c>
      <c r="I116" s="90">
        <f>4.63441228866577/200</f>
        <v>2.317206144332885E-2</v>
      </c>
      <c r="J116" s="8"/>
      <c r="K116" s="22"/>
    </row>
    <row r="117" spans="1:11" x14ac:dyDescent="0.35">
      <c r="A117" s="102" t="s">
        <v>12</v>
      </c>
      <c r="B117" s="142">
        <v>0.66759999999999997</v>
      </c>
      <c r="C117" s="142"/>
      <c r="D117" s="142">
        <v>0.6905</v>
      </c>
      <c r="E117" s="142"/>
      <c r="F117" s="142">
        <v>0.68589999999999995</v>
      </c>
      <c r="G117" s="142"/>
      <c r="H117" s="142">
        <v>0.49120000000000003</v>
      </c>
      <c r="I117" s="90"/>
      <c r="J117" s="8"/>
      <c r="K117" s="22"/>
    </row>
    <row r="118" spans="1:11" x14ac:dyDescent="0.35">
      <c r="A118" s="103" t="s">
        <v>13</v>
      </c>
      <c r="B118" s="144">
        <v>-11.763400000000001</v>
      </c>
      <c r="C118" s="144">
        <f>6.93132138252258/200</f>
        <v>3.4656606912612901E-2</v>
      </c>
      <c r="D118" s="144">
        <v>-12.1273</v>
      </c>
      <c r="E118" s="144">
        <f>8.01621603965759/200</f>
        <v>4.0081080198287947E-2</v>
      </c>
      <c r="F118" s="144">
        <v>-12.002599999999999</v>
      </c>
      <c r="G118" s="144">
        <f>8.17840385437011/200</f>
        <v>4.0892019271850551E-2</v>
      </c>
      <c r="H118" s="144">
        <v>-12.107100000000001</v>
      </c>
      <c r="I118" s="107">
        <f>9.89218688011169/200</f>
        <v>4.9460934400558453E-2</v>
      </c>
      <c r="J118" s="8"/>
      <c r="K118" s="22"/>
    </row>
    <row r="119" spans="1:11" x14ac:dyDescent="0.35">
      <c r="A119" s="103" t="s">
        <v>14</v>
      </c>
      <c r="B119" s="144">
        <v>0.9052</v>
      </c>
      <c r="C119" s="144"/>
      <c r="D119" s="144">
        <v>0.71509999999999996</v>
      </c>
      <c r="E119" s="144"/>
      <c r="F119" s="144">
        <v>0.66969999999999996</v>
      </c>
      <c r="G119" s="144"/>
      <c r="H119" s="144">
        <v>0.52600000000000002</v>
      </c>
      <c r="I119" s="107"/>
      <c r="J119" s="8"/>
      <c r="K119" s="22"/>
    </row>
    <row r="120" spans="1:11" x14ac:dyDescent="0.35">
      <c r="A120" s="147" t="s">
        <v>15</v>
      </c>
      <c r="B120" s="169">
        <v>-11.6623</v>
      </c>
      <c r="C120" s="169">
        <f>80.5346596240997/200</f>
        <v>0.40267329812049851</v>
      </c>
      <c r="D120" s="169">
        <v>-11.852600000000001</v>
      </c>
      <c r="E120" s="169">
        <f>85.9917159080505/200</f>
        <v>0.42995857954025246</v>
      </c>
      <c r="F120" s="169">
        <v>-11.3972</v>
      </c>
      <c r="G120" s="169">
        <f xml:space="preserve"> 102.554239511489/200</f>
        <v>0.51277119755744505</v>
      </c>
      <c r="H120" s="182"/>
      <c r="I120" s="149"/>
      <c r="J120" s="8"/>
      <c r="K120" s="22"/>
    </row>
    <row r="121" spans="1:11" x14ac:dyDescent="0.35">
      <c r="A121" s="147" t="s">
        <v>248</v>
      </c>
      <c r="B121" s="169"/>
      <c r="C121" s="169"/>
      <c r="D121" s="169">
        <v>237950</v>
      </c>
      <c r="E121" s="169"/>
      <c r="F121" s="169">
        <v>3636450</v>
      </c>
      <c r="G121" s="169"/>
      <c r="H121" s="169">
        <v>57085100</v>
      </c>
      <c r="I121" s="149"/>
      <c r="J121" s="8"/>
      <c r="K121" s="22"/>
    </row>
    <row r="122" spans="1:11" x14ac:dyDescent="0.35">
      <c r="A122" s="147" t="s">
        <v>51</v>
      </c>
      <c r="B122" s="169">
        <v>0.89839999999999998</v>
      </c>
      <c r="C122" s="169"/>
      <c r="D122" s="169">
        <v>0.70909999999999995</v>
      </c>
      <c r="E122" s="169"/>
      <c r="F122" s="169">
        <v>0.80679999999999996</v>
      </c>
      <c r="G122" s="169"/>
      <c r="H122" s="169"/>
      <c r="I122" s="149"/>
      <c r="J122" s="15"/>
    </row>
    <row r="123" spans="1:11" x14ac:dyDescent="0.35">
      <c r="A123" s="118" t="s">
        <v>61</v>
      </c>
      <c r="B123" s="170"/>
      <c r="C123" s="170"/>
      <c r="D123" s="174">
        <v>-10.5314</v>
      </c>
      <c r="E123" s="170">
        <f xml:space="preserve"> 85.4526362419128/200</f>
        <v>0.42726318120956397</v>
      </c>
      <c r="F123" s="174">
        <v>-9.5747</v>
      </c>
      <c r="G123" s="170">
        <f>94.9916498661041/200</f>
        <v>0.4749582493305205</v>
      </c>
      <c r="H123" s="174">
        <v>-10.0825</v>
      </c>
      <c r="I123" s="120">
        <f xml:space="preserve"> 135.115339517593/200</f>
        <v>0.6755766975879649</v>
      </c>
      <c r="J123" s="15"/>
    </row>
    <row r="124" spans="1:11" x14ac:dyDescent="0.35">
      <c r="A124" s="118" t="s">
        <v>249</v>
      </c>
      <c r="B124" s="170"/>
      <c r="C124" s="170"/>
      <c r="D124" s="183">
        <v>28285</v>
      </c>
      <c r="E124" s="170"/>
      <c r="F124" s="178">
        <v>416070</v>
      </c>
      <c r="G124" s="119"/>
      <c r="H124" s="178">
        <v>6428140</v>
      </c>
      <c r="I124" s="120"/>
      <c r="J124" s="15"/>
    </row>
    <row r="125" spans="1:11" ht="15" thickBot="1" x14ac:dyDescent="0.4">
      <c r="A125" s="171" t="s">
        <v>200</v>
      </c>
      <c r="B125" s="172"/>
      <c r="C125" s="172"/>
      <c r="D125" s="172">
        <v>1.3239000000000001</v>
      </c>
      <c r="E125" s="172"/>
      <c r="F125" s="172">
        <v>1.8480000000000001</v>
      </c>
      <c r="G125" s="172"/>
      <c r="H125" s="172">
        <v>1.3221000000000001</v>
      </c>
      <c r="I125" s="173"/>
      <c r="J125" s="15"/>
    </row>
    <row r="126" spans="1:11" x14ac:dyDescent="0.35">
      <c r="A126" s="15"/>
      <c r="B126" s="15"/>
      <c r="C126" s="15"/>
      <c r="D126" s="15"/>
      <c r="E126" s="15"/>
      <c r="F126" s="15"/>
      <c r="G126" s="15"/>
      <c r="H126" s="15"/>
      <c r="I126" s="15"/>
      <c r="J126" s="15"/>
    </row>
    <row r="127" spans="1:11" x14ac:dyDescent="0.35">
      <c r="A127" s="14" t="s">
        <v>233</v>
      </c>
      <c r="B127" s="15"/>
      <c r="C127" s="15"/>
      <c r="D127" s="15"/>
      <c r="E127" s="15"/>
      <c r="F127" s="15"/>
      <c r="G127" s="15"/>
      <c r="H127" s="15"/>
      <c r="I127" s="15"/>
      <c r="J127" s="15"/>
    </row>
    <row r="128" spans="1:11" x14ac:dyDescent="0.35">
      <c r="A128" s="14" t="s">
        <v>224</v>
      </c>
      <c r="B128" s="15"/>
      <c r="C128" s="15"/>
      <c r="D128" s="15"/>
      <c r="E128" s="15"/>
      <c r="F128" s="15"/>
      <c r="G128" s="15"/>
      <c r="H128" s="15"/>
      <c r="I128" s="15"/>
      <c r="J128" s="15"/>
    </row>
    <row r="129" spans="1:10" ht="15" thickBot="1" x14ac:dyDescent="0.4">
      <c r="A129" s="15" t="s">
        <v>223</v>
      </c>
      <c r="B129" s="15"/>
      <c r="C129" s="15"/>
      <c r="D129" s="15"/>
      <c r="E129" s="15"/>
      <c r="F129" s="15"/>
      <c r="G129" s="15"/>
      <c r="H129" s="15"/>
      <c r="I129" s="15"/>
      <c r="J129" s="15"/>
    </row>
    <row r="130" spans="1:10" x14ac:dyDescent="0.35">
      <c r="A130" s="42"/>
      <c r="B130" s="43" t="s">
        <v>64</v>
      </c>
      <c r="C130" s="16" t="s">
        <v>202</v>
      </c>
      <c r="D130" s="43" t="s">
        <v>56</v>
      </c>
      <c r="E130" s="16" t="s">
        <v>203</v>
      </c>
      <c r="F130" s="43" t="s">
        <v>57</v>
      </c>
      <c r="G130" s="16" t="s">
        <v>204</v>
      </c>
      <c r="H130" s="43" t="s">
        <v>58</v>
      </c>
      <c r="I130" s="34" t="s">
        <v>205</v>
      </c>
      <c r="J130" s="44"/>
    </row>
    <row r="131" spans="1:10" x14ac:dyDescent="0.35">
      <c r="A131" s="102" t="s">
        <v>11</v>
      </c>
      <c r="B131" s="65"/>
      <c r="C131" s="65"/>
      <c r="D131" s="65">
        <v>-9.3298000000000005</v>
      </c>
      <c r="E131" s="65">
        <f>4.61362957954406/200</f>
        <v>2.3068147897720302E-2</v>
      </c>
      <c r="F131" s="65">
        <v>-9.5364000000000004</v>
      </c>
      <c r="G131" s="65">
        <f xml:space="preserve"> 4.90840125083923/200</f>
        <v>2.4542006254196148E-2</v>
      </c>
      <c r="H131" s="65">
        <v>-9.5292999999999992</v>
      </c>
      <c r="I131" s="90">
        <f>5.54813742637634/200</f>
        <v>2.77406871318817E-2</v>
      </c>
      <c r="J131" s="8"/>
    </row>
    <row r="132" spans="1:10" x14ac:dyDescent="0.35">
      <c r="A132" s="102" t="s">
        <v>12</v>
      </c>
      <c r="B132" s="65"/>
      <c r="C132" s="65"/>
      <c r="D132" s="65">
        <v>0.73380000000000001</v>
      </c>
      <c r="E132" s="65"/>
      <c r="F132" s="65">
        <v>0.56469999999999998</v>
      </c>
      <c r="G132" s="65"/>
      <c r="H132" s="65">
        <v>0.64890000000000003</v>
      </c>
      <c r="I132" s="90"/>
      <c r="J132" s="8"/>
    </row>
    <row r="133" spans="1:10" x14ac:dyDescent="0.35">
      <c r="A133" s="103" t="s">
        <v>13</v>
      </c>
      <c r="B133" s="96"/>
      <c r="C133" s="96"/>
      <c r="D133" s="96">
        <v>-12.109400000000001</v>
      </c>
      <c r="E133" s="96">
        <f>9.65320825576782/200</f>
        <v>4.82660412788391E-2</v>
      </c>
      <c r="F133" s="96">
        <v>-11.987</v>
      </c>
      <c r="G133" s="96">
        <f>9.94651079177856/200</f>
        <v>4.9732553958892797E-2</v>
      </c>
      <c r="H133" s="96">
        <v>-12.0116</v>
      </c>
      <c r="I133" s="107">
        <f>11.6503002643585/200</f>
        <v>5.8251501321792493E-2</v>
      </c>
      <c r="J133" s="8"/>
    </row>
    <row r="134" spans="1:10" x14ac:dyDescent="0.35">
      <c r="A134" s="103" t="s">
        <v>14</v>
      </c>
      <c r="B134" s="96"/>
      <c r="C134" s="96"/>
      <c r="D134" s="96">
        <v>0.69810000000000005</v>
      </c>
      <c r="E134" s="96"/>
      <c r="F134" s="96">
        <v>0.63590000000000002</v>
      </c>
      <c r="G134" s="96"/>
      <c r="H134" s="96">
        <v>0.67379999999999995</v>
      </c>
      <c r="I134" s="107"/>
      <c r="J134" s="8"/>
    </row>
    <row r="135" spans="1:10" x14ac:dyDescent="0.35">
      <c r="A135" s="147" t="s">
        <v>15</v>
      </c>
      <c r="B135" s="169"/>
      <c r="C135" s="169"/>
      <c r="D135" s="169"/>
      <c r="E135" s="169"/>
      <c r="F135" s="182">
        <v>-10.7936</v>
      </c>
      <c r="G135" s="169">
        <f>109.463745832443/200</f>
        <v>0.54731872916221502</v>
      </c>
      <c r="H135" s="182"/>
      <c r="I135" s="149"/>
      <c r="J135" s="8"/>
    </row>
    <row r="136" spans="1:10" x14ac:dyDescent="0.35">
      <c r="A136" s="147" t="s">
        <v>229</v>
      </c>
      <c r="B136" s="169"/>
      <c r="C136" s="169"/>
      <c r="D136" s="169"/>
      <c r="E136" s="169"/>
      <c r="F136" s="169" t="s">
        <v>226</v>
      </c>
      <c r="G136" s="169"/>
      <c r="H136" s="182"/>
      <c r="I136" s="149"/>
      <c r="J136" s="8"/>
    </row>
    <row r="137" spans="1:10" x14ac:dyDescent="0.35">
      <c r="A137" s="147" t="s">
        <v>248</v>
      </c>
      <c r="B137" s="169"/>
      <c r="C137" s="169"/>
      <c r="D137" s="169">
        <v>237950</v>
      </c>
      <c r="E137" s="169"/>
      <c r="F137" s="169">
        <v>3636450</v>
      </c>
      <c r="G137" s="169"/>
      <c r="H137" s="169">
        <v>57085100</v>
      </c>
      <c r="I137" s="149"/>
      <c r="J137" s="8"/>
    </row>
    <row r="138" spans="1:10" x14ac:dyDescent="0.35">
      <c r="A138" s="147" t="s">
        <v>51</v>
      </c>
      <c r="B138" s="169"/>
      <c r="C138" s="169"/>
      <c r="D138" s="169"/>
      <c r="E138" s="169"/>
      <c r="F138" s="169">
        <v>0.93430000000000002</v>
      </c>
      <c r="G138" s="169"/>
      <c r="H138" s="169"/>
      <c r="I138" s="149"/>
      <c r="J138" s="8"/>
    </row>
    <row r="139" spans="1:10" x14ac:dyDescent="0.35">
      <c r="A139" s="104" t="s">
        <v>231</v>
      </c>
      <c r="B139" s="62"/>
      <c r="C139" s="62"/>
      <c r="D139" s="151">
        <v>-10.521699999999999</v>
      </c>
      <c r="E139" s="151"/>
      <c r="F139" s="151">
        <v>-10.267799999999999</v>
      </c>
      <c r="G139" s="62">
        <f>91.1126794815063/200</f>
        <v>0.45556339740753155</v>
      </c>
      <c r="H139" s="151">
        <v>-10.556900000000001</v>
      </c>
      <c r="I139" s="109">
        <f>151.370889186859/200</f>
        <v>0.75685444593429496</v>
      </c>
      <c r="J139" s="8"/>
    </row>
    <row r="140" spans="1:10" x14ac:dyDescent="0.35">
      <c r="A140" s="104" t="s">
        <v>229</v>
      </c>
      <c r="B140" s="62"/>
      <c r="C140" s="62"/>
      <c r="D140" s="62" t="s">
        <v>232</v>
      </c>
      <c r="E140" s="62"/>
      <c r="F140" s="62" t="s">
        <v>232</v>
      </c>
      <c r="G140" s="62"/>
      <c r="H140" s="62" t="s">
        <v>236</v>
      </c>
      <c r="I140" s="109"/>
      <c r="J140" s="8"/>
    </row>
    <row r="141" spans="1:10" x14ac:dyDescent="0.35">
      <c r="A141" s="104" t="s">
        <v>247</v>
      </c>
      <c r="B141" s="62"/>
      <c r="C141" s="62"/>
      <c r="D141" s="178">
        <v>28285</v>
      </c>
      <c r="E141" s="119"/>
      <c r="F141" s="178">
        <v>416070</v>
      </c>
      <c r="G141" s="119"/>
      <c r="H141" s="178">
        <v>6428140</v>
      </c>
      <c r="I141" s="109"/>
      <c r="J141" s="8"/>
    </row>
    <row r="142" spans="1:10" ht="15" thickBot="1" x14ac:dyDescent="0.4">
      <c r="A142" s="113" t="s">
        <v>51</v>
      </c>
      <c r="B142" s="111"/>
      <c r="C142" s="111"/>
      <c r="D142" s="111">
        <v>1.3944000000000001</v>
      </c>
      <c r="E142" s="111"/>
      <c r="F142" s="111">
        <v>1.2695000000000001</v>
      </c>
      <c r="G142" s="111"/>
      <c r="H142" s="111">
        <v>1.1557999999999999</v>
      </c>
      <c r="I142" s="152"/>
      <c r="J142" s="15"/>
    </row>
    <row r="143" spans="1:10" x14ac:dyDescent="0.35">
      <c r="A143" s="15"/>
      <c r="B143" s="15"/>
      <c r="C143" s="15"/>
      <c r="D143" s="15" t="s">
        <v>226</v>
      </c>
      <c r="E143" s="15"/>
      <c r="F143" s="15" t="s">
        <v>227</v>
      </c>
      <c r="G143" s="15"/>
      <c r="H143" s="15"/>
      <c r="I143" s="15"/>
      <c r="J143" s="15"/>
    </row>
    <row r="144" spans="1:10" x14ac:dyDescent="0.35">
      <c r="A144" s="15" t="s">
        <v>239</v>
      </c>
      <c r="B144" s="15"/>
      <c r="C144" s="15"/>
      <c r="D144" s="15"/>
      <c r="E144" s="15"/>
      <c r="F144" s="15"/>
      <c r="G144" s="15"/>
      <c r="H144" s="15"/>
      <c r="I144" s="15"/>
      <c r="J144" s="15"/>
    </row>
    <row r="145" spans="1:10" x14ac:dyDescent="0.35">
      <c r="A145" s="14" t="s">
        <v>234</v>
      </c>
      <c r="B145" s="15"/>
      <c r="C145" s="15"/>
      <c r="D145" s="15"/>
      <c r="E145" s="15"/>
      <c r="F145" s="15"/>
      <c r="G145" s="15"/>
      <c r="H145" s="15"/>
      <c r="I145" s="15"/>
      <c r="J145" s="15"/>
    </row>
    <row r="146" spans="1:10" x14ac:dyDescent="0.35">
      <c r="A146" s="14" t="s">
        <v>228</v>
      </c>
      <c r="B146" s="15"/>
      <c r="C146" s="15"/>
      <c r="D146" s="15"/>
      <c r="E146" s="15"/>
      <c r="F146" s="15"/>
      <c r="G146" s="15"/>
      <c r="H146" s="15"/>
      <c r="I146" s="15"/>
      <c r="J146" s="15"/>
    </row>
    <row r="147" spans="1:10" ht="15" thickBot="1" x14ac:dyDescent="0.4">
      <c r="A147" s="15" t="s">
        <v>223</v>
      </c>
      <c r="B147" s="15"/>
      <c r="C147" s="15"/>
      <c r="D147" s="15"/>
      <c r="E147" s="15"/>
      <c r="F147" s="15"/>
      <c r="G147" s="15"/>
      <c r="H147" s="15"/>
      <c r="I147" s="15"/>
      <c r="J147" s="15"/>
    </row>
    <row r="148" spans="1:10" x14ac:dyDescent="0.35">
      <c r="A148" s="42"/>
      <c r="B148" s="43" t="s">
        <v>64</v>
      </c>
      <c r="C148" s="16" t="s">
        <v>202</v>
      </c>
      <c r="D148" s="43" t="s">
        <v>56</v>
      </c>
      <c r="E148" s="16" t="s">
        <v>203</v>
      </c>
      <c r="F148" s="43" t="s">
        <v>57</v>
      </c>
      <c r="G148" s="16" t="s">
        <v>204</v>
      </c>
      <c r="H148" s="43" t="s">
        <v>58</v>
      </c>
      <c r="I148" s="34" t="s">
        <v>205</v>
      </c>
      <c r="J148" s="15"/>
    </row>
    <row r="149" spans="1:10" x14ac:dyDescent="0.35">
      <c r="A149" s="102" t="s">
        <v>11</v>
      </c>
      <c r="B149" s="65"/>
      <c r="C149" s="65"/>
      <c r="D149" s="65"/>
      <c r="E149" s="65"/>
      <c r="F149" s="65"/>
      <c r="G149" s="65"/>
      <c r="H149" s="65">
        <v>-9.5565999999999995</v>
      </c>
      <c r="I149" s="90">
        <f>5.60732340812683/200</f>
        <v>2.8036617040634152E-2</v>
      </c>
      <c r="J149" s="15"/>
    </row>
    <row r="150" spans="1:10" x14ac:dyDescent="0.35">
      <c r="A150" s="102" t="s">
        <v>12</v>
      </c>
      <c r="B150" s="65"/>
      <c r="C150" s="65"/>
      <c r="D150" s="65"/>
      <c r="E150" s="65"/>
      <c r="F150" s="65"/>
      <c r="G150" s="65"/>
      <c r="H150" s="65">
        <v>0.54879999999999995</v>
      </c>
      <c r="I150" s="90"/>
      <c r="J150" s="15"/>
    </row>
    <row r="151" spans="1:10" x14ac:dyDescent="0.35">
      <c r="A151" s="103" t="s">
        <v>13</v>
      </c>
      <c r="B151" s="96"/>
      <c r="C151" s="96"/>
      <c r="D151" s="96"/>
      <c r="E151" s="96"/>
      <c r="F151" s="96"/>
      <c r="G151" s="96"/>
      <c r="H151" s="96">
        <v>-12.122199999999999</v>
      </c>
      <c r="I151" s="107">
        <f>11.8538968563079/200</f>
        <v>5.9269484281539497E-2</v>
      </c>
      <c r="J151" s="15"/>
    </row>
    <row r="152" spans="1:10" x14ac:dyDescent="0.35">
      <c r="A152" s="103" t="s">
        <v>14</v>
      </c>
      <c r="B152" s="96"/>
      <c r="C152" s="96"/>
      <c r="D152" s="96"/>
      <c r="E152" s="96"/>
      <c r="F152" s="96"/>
      <c r="G152" s="96"/>
      <c r="H152" s="96">
        <v>0.5645</v>
      </c>
      <c r="I152" s="107"/>
      <c r="J152" s="15"/>
    </row>
    <row r="153" spans="1:10" x14ac:dyDescent="0.35">
      <c r="A153" s="147" t="s">
        <v>15</v>
      </c>
      <c r="B153" s="169"/>
      <c r="C153" s="169"/>
      <c r="D153" s="169"/>
      <c r="E153" s="169"/>
      <c r="F153" s="169"/>
      <c r="G153" s="169"/>
      <c r="H153" s="182"/>
      <c r="I153" s="149"/>
      <c r="J153" s="15"/>
    </row>
    <row r="154" spans="1:10" x14ac:dyDescent="0.35">
      <c r="A154" s="147" t="s">
        <v>229</v>
      </c>
      <c r="B154" s="169"/>
      <c r="C154" s="169"/>
      <c r="D154" s="169"/>
      <c r="E154" s="169"/>
      <c r="F154" s="169"/>
      <c r="G154" s="169"/>
      <c r="H154" s="182"/>
      <c r="I154" s="149"/>
      <c r="J154" s="15"/>
    </row>
    <row r="155" spans="1:10" x14ac:dyDescent="0.35">
      <c r="A155" s="147" t="s">
        <v>248</v>
      </c>
      <c r="B155" s="169"/>
      <c r="C155" s="169"/>
      <c r="D155" s="169"/>
      <c r="E155" s="169"/>
      <c r="F155" s="169"/>
      <c r="G155" s="169"/>
      <c r="H155" s="169">
        <v>57085100</v>
      </c>
      <c r="I155" s="149"/>
      <c r="J155" s="15"/>
    </row>
    <row r="156" spans="1:10" x14ac:dyDescent="0.35">
      <c r="A156" s="147" t="s">
        <v>51</v>
      </c>
      <c r="B156" s="169"/>
      <c r="C156" s="169"/>
      <c r="D156" s="169"/>
      <c r="E156" s="169"/>
      <c r="F156" s="169"/>
      <c r="G156" s="169"/>
      <c r="H156" s="169"/>
      <c r="I156" s="149"/>
      <c r="J156" s="15"/>
    </row>
    <row r="157" spans="1:10" x14ac:dyDescent="0.35">
      <c r="A157" s="104" t="s">
        <v>231</v>
      </c>
      <c r="B157" s="62"/>
      <c r="C157" s="62"/>
      <c r="D157" s="151"/>
      <c r="E157" s="151"/>
      <c r="F157" s="151"/>
      <c r="G157" s="62"/>
      <c r="H157" s="151">
        <v>-9.9488000000000003</v>
      </c>
      <c r="I157" s="109">
        <f>123.339440107345/200</f>
        <v>0.61669720053672494</v>
      </c>
      <c r="J157" s="15"/>
    </row>
    <row r="158" spans="1:10" x14ac:dyDescent="0.35">
      <c r="A158" s="104" t="s">
        <v>229</v>
      </c>
      <c r="B158" s="62"/>
      <c r="C158" s="62"/>
      <c r="D158" s="151"/>
      <c r="E158" s="151"/>
      <c r="F158" s="151"/>
      <c r="G158" s="62"/>
      <c r="H158" s="62" t="s">
        <v>230</v>
      </c>
      <c r="I158" s="109"/>
      <c r="J158" s="15"/>
    </row>
    <row r="159" spans="1:10" x14ac:dyDescent="0.35">
      <c r="A159" s="104" t="s">
        <v>247</v>
      </c>
      <c r="B159" s="62"/>
      <c r="C159" s="62"/>
      <c r="D159" s="178"/>
      <c r="E159" s="119"/>
      <c r="F159" s="178"/>
      <c r="G159" s="119"/>
      <c r="H159" s="178">
        <v>6428140</v>
      </c>
      <c r="I159" s="109"/>
      <c r="J159" s="15"/>
    </row>
    <row r="160" spans="1:10" ht="15" thickBot="1" x14ac:dyDescent="0.4">
      <c r="A160" s="113" t="s">
        <v>51</v>
      </c>
      <c r="B160" s="111"/>
      <c r="C160" s="111"/>
      <c r="D160" s="111"/>
      <c r="E160" s="111"/>
      <c r="F160" s="111"/>
      <c r="G160" s="111"/>
      <c r="H160" s="111">
        <v>1.3848</v>
      </c>
      <c r="I160" s="152"/>
      <c r="J160" s="15"/>
    </row>
    <row r="161" spans="1:10" x14ac:dyDescent="0.35">
      <c r="A161" s="15"/>
      <c r="B161" s="15"/>
      <c r="C161" s="15"/>
      <c r="D161" s="15"/>
      <c r="E161" s="15"/>
      <c r="F161" s="15"/>
      <c r="G161" s="15"/>
      <c r="H161" s="15"/>
      <c r="I161" s="15"/>
      <c r="J161" s="15"/>
    </row>
    <row r="162" spans="1:10" x14ac:dyDescent="0.35">
      <c r="A162" s="15" t="s">
        <v>240</v>
      </c>
      <c r="B162" s="15"/>
      <c r="C162" s="15"/>
      <c r="D162" s="15"/>
      <c r="E162" s="15"/>
      <c r="F162" s="15"/>
      <c r="G162" s="15"/>
      <c r="H162" s="15"/>
      <c r="I162" s="15"/>
      <c r="J162" s="15"/>
    </row>
    <row r="163" spans="1:10" x14ac:dyDescent="0.35">
      <c r="A163" s="14" t="s">
        <v>233</v>
      </c>
      <c r="B163" s="15"/>
      <c r="C163" s="15"/>
      <c r="D163" s="15"/>
      <c r="E163" s="15"/>
      <c r="F163" s="15"/>
      <c r="G163" s="15"/>
      <c r="H163" s="15"/>
      <c r="I163" s="15"/>
      <c r="J163" s="15"/>
    </row>
    <row r="164" spans="1:10" x14ac:dyDescent="0.35">
      <c r="A164" s="14" t="s">
        <v>237</v>
      </c>
      <c r="B164" s="15"/>
      <c r="C164" s="15"/>
      <c r="D164" s="15"/>
      <c r="E164" s="15"/>
      <c r="F164" s="15"/>
      <c r="G164" s="15"/>
      <c r="H164" s="15"/>
      <c r="I164" s="15"/>
      <c r="J164" s="15"/>
    </row>
    <row r="165" spans="1:10" ht="15" thickBot="1" x14ac:dyDescent="0.4">
      <c r="A165" s="15" t="s">
        <v>238</v>
      </c>
      <c r="B165" s="15"/>
      <c r="C165" s="15"/>
      <c r="D165" s="184"/>
      <c r="E165" s="15"/>
      <c r="F165" s="15"/>
      <c r="G165" s="15"/>
      <c r="H165" s="15"/>
      <c r="I165" s="15"/>
      <c r="J165" s="15"/>
    </row>
    <row r="166" spans="1:10" x14ac:dyDescent="0.35">
      <c r="A166" s="42"/>
      <c r="B166" s="43" t="s">
        <v>64</v>
      </c>
      <c r="C166" s="16" t="s">
        <v>202</v>
      </c>
      <c r="D166" s="43" t="s">
        <v>56</v>
      </c>
      <c r="E166" s="16" t="s">
        <v>203</v>
      </c>
      <c r="F166" s="43" t="s">
        <v>57</v>
      </c>
      <c r="G166" s="16" t="s">
        <v>204</v>
      </c>
      <c r="H166" s="43" t="s">
        <v>58</v>
      </c>
      <c r="I166" s="34" t="s">
        <v>205</v>
      </c>
      <c r="J166" s="15"/>
    </row>
    <row r="167" spans="1:10" x14ac:dyDescent="0.35">
      <c r="A167" s="102" t="s">
        <v>11</v>
      </c>
      <c r="B167" s="65"/>
      <c r="C167" s="65"/>
      <c r="D167" s="185"/>
      <c r="E167" s="65"/>
      <c r="F167" s="65">
        <v>-9.5183999999999997</v>
      </c>
      <c r="G167" s="65">
        <f>4.10931730270385/200</f>
        <v>2.054658651351925E-2</v>
      </c>
      <c r="H167" s="65">
        <v>-9.6638000000000002</v>
      </c>
      <c r="I167" s="90">
        <f>5.48985815048217/200</f>
        <v>2.744929075241085E-2</v>
      </c>
      <c r="J167" s="15"/>
    </row>
    <row r="168" spans="1:10" x14ac:dyDescent="0.35">
      <c r="A168" s="102" t="s">
        <v>12</v>
      </c>
      <c r="B168" s="65"/>
      <c r="C168" s="65"/>
      <c r="D168" s="65"/>
      <c r="E168" s="65"/>
      <c r="F168" s="65">
        <v>0.61860000000000004</v>
      </c>
      <c r="G168" s="65"/>
      <c r="H168" s="65">
        <v>0.5272</v>
      </c>
      <c r="I168" s="90"/>
      <c r="J168" s="15"/>
    </row>
    <row r="169" spans="1:10" x14ac:dyDescent="0.35">
      <c r="A169" s="103" t="s">
        <v>13</v>
      </c>
      <c r="B169" s="96"/>
      <c r="C169" s="96"/>
      <c r="D169" s="96"/>
      <c r="E169" s="96"/>
      <c r="F169" s="96">
        <v>-11.9293</v>
      </c>
      <c r="G169" s="96">
        <f>9.5921242237091/200</f>
        <v>4.7960621118545495E-2</v>
      </c>
      <c r="H169" s="96">
        <v>-12.1305</v>
      </c>
      <c r="I169" s="107">
        <f>11.4853453636169/200</f>
        <v>5.74267268180845E-2</v>
      </c>
      <c r="J169" s="15"/>
    </row>
    <row r="170" spans="1:10" x14ac:dyDescent="0.35">
      <c r="A170" s="103" t="s">
        <v>14</v>
      </c>
      <c r="B170" s="96"/>
      <c r="C170" s="96"/>
      <c r="D170" s="96"/>
      <c r="E170" s="96"/>
      <c r="F170" s="96">
        <v>0.64929999999999999</v>
      </c>
      <c r="G170" s="96"/>
      <c r="H170" s="96">
        <v>0.49719999999999998</v>
      </c>
      <c r="I170" s="107"/>
      <c r="J170" s="15"/>
    </row>
    <row r="171" spans="1:10" x14ac:dyDescent="0.35">
      <c r="A171" s="147" t="s">
        <v>15</v>
      </c>
      <c r="B171" s="169"/>
      <c r="C171" s="169"/>
      <c r="D171" s="169"/>
      <c r="E171" s="169"/>
      <c r="F171" s="182">
        <v>-11.186999999999999</v>
      </c>
      <c r="G171" s="169">
        <f>96.7549309730529/200</f>
        <v>0.48377465486526444</v>
      </c>
      <c r="H171" s="169"/>
      <c r="I171" s="149"/>
      <c r="J171" s="15"/>
    </row>
    <row r="172" spans="1:10" x14ac:dyDescent="0.35">
      <c r="A172" s="147" t="s">
        <v>229</v>
      </c>
      <c r="B172" s="169"/>
      <c r="C172" s="169"/>
      <c r="D172" s="169"/>
      <c r="E172" s="169"/>
      <c r="F172" s="169"/>
      <c r="G172" s="169"/>
      <c r="H172" s="169" t="s">
        <v>241</v>
      </c>
      <c r="I172" s="149"/>
      <c r="J172" s="15"/>
    </row>
    <row r="173" spans="1:10" x14ac:dyDescent="0.35">
      <c r="A173" s="147" t="s">
        <v>248</v>
      </c>
      <c r="B173" s="169"/>
      <c r="C173" s="169"/>
      <c r="D173" s="169">
        <v>237950</v>
      </c>
      <c r="E173" s="169"/>
      <c r="F173" s="169">
        <v>3636450</v>
      </c>
      <c r="G173" s="169"/>
      <c r="H173" s="169">
        <v>57085100</v>
      </c>
      <c r="I173" s="149"/>
      <c r="J173" s="15"/>
    </row>
    <row r="174" spans="1:10" x14ac:dyDescent="0.35">
      <c r="A174" s="147" t="s">
        <v>51</v>
      </c>
      <c r="B174" s="169"/>
      <c r="C174" s="169"/>
      <c r="D174" s="169"/>
      <c r="E174" s="169"/>
      <c r="F174" s="169">
        <v>0.8609</v>
      </c>
      <c r="G174" s="169"/>
      <c r="H174" s="169"/>
      <c r="I174" s="149"/>
      <c r="J174" s="15"/>
    </row>
    <row r="175" spans="1:10" x14ac:dyDescent="0.35">
      <c r="A175" s="104" t="s">
        <v>231</v>
      </c>
      <c r="B175" s="62"/>
      <c r="C175" s="62"/>
      <c r="D175" s="151"/>
      <c r="E175" s="151"/>
      <c r="F175" s="151"/>
      <c r="G175" s="62"/>
      <c r="H175" s="151">
        <v>-11.028700000000001</v>
      </c>
      <c r="I175" s="109">
        <f>175.570959329605/200</f>
        <v>0.8778547966480249</v>
      </c>
      <c r="J175" s="15"/>
    </row>
    <row r="176" spans="1:10" x14ac:dyDescent="0.35">
      <c r="A176" s="104" t="s">
        <v>229</v>
      </c>
      <c r="B176" s="62"/>
      <c r="C176" s="62"/>
      <c r="D176" s="62"/>
      <c r="E176" s="62"/>
      <c r="F176" s="62"/>
      <c r="G176" s="62"/>
      <c r="H176" s="62" t="s">
        <v>236</v>
      </c>
      <c r="I176" s="109"/>
      <c r="J176" s="15"/>
    </row>
    <row r="177" spans="1:10" x14ac:dyDescent="0.35">
      <c r="A177" s="104" t="s">
        <v>247</v>
      </c>
      <c r="B177" s="62"/>
      <c r="C177" s="62"/>
      <c r="D177" s="178">
        <v>28285</v>
      </c>
      <c r="E177" s="119"/>
      <c r="F177" s="178">
        <v>416070</v>
      </c>
      <c r="G177" s="119"/>
      <c r="H177" s="178">
        <v>6428140</v>
      </c>
      <c r="I177" s="109"/>
      <c r="J177" s="15"/>
    </row>
    <row r="178" spans="1:10" ht="15" thickBot="1" x14ac:dyDescent="0.4">
      <c r="A178" s="113" t="s">
        <v>51</v>
      </c>
      <c r="B178" s="111"/>
      <c r="C178" s="111"/>
      <c r="D178" s="111"/>
      <c r="E178" s="111"/>
      <c r="F178" s="111"/>
      <c r="G178" s="111"/>
      <c r="H178" s="111">
        <v>1.1087</v>
      </c>
      <c r="I178" s="152"/>
      <c r="J178" s="15"/>
    </row>
    <row r="180" spans="1:10" x14ac:dyDescent="0.35">
      <c r="A180" s="6" t="s">
        <v>65</v>
      </c>
    </row>
    <row r="181" spans="1:10" x14ac:dyDescent="0.35">
      <c r="A181" s="14" t="s">
        <v>66</v>
      </c>
    </row>
    <row r="182" spans="1:10" x14ac:dyDescent="0.35">
      <c r="A182" s="15" t="s">
        <v>217</v>
      </c>
    </row>
    <row r="183" spans="1:10" ht="15" thickBot="1" x14ac:dyDescent="0.4">
      <c r="A183" t="s">
        <v>67</v>
      </c>
    </row>
    <row r="184" spans="1:10" x14ac:dyDescent="0.35">
      <c r="A184" s="12" t="s">
        <v>3</v>
      </c>
      <c r="B184" s="27" t="s">
        <v>25</v>
      </c>
      <c r="C184" s="27" t="s">
        <v>26</v>
      </c>
      <c r="D184" s="27" t="s">
        <v>27</v>
      </c>
      <c r="E184" s="27" t="s">
        <v>28</v>
      </c>
      <c r="F184" s="27" t="s">
        <v>29</v>
      </c>
      <c r="G184" s="35" t="s">
        <v>207</v>
      </c>
    </row>
    <row r="185" spans="1:10" x14ac:dyDescent="0.35">
      <c r="A185" s="64" t="s">
        <v>218</v>
      </c>
      <c r="B185" s="65">
        <v>2.7021000000000002</v>
      </c>
      <c r="C185" s="65">
        <v>-7.3941999999999997</v>
      </c>
      <c r="D185" s="65">
        <v>-17.366499999999998</v>
      </c>
      <c r="E185" s="65">
        <v>-27.2926</v>
      </c>
      <c r="F185" s="65">
        <v>-37.272500000000001</v>
      </c>
      <c r="G185" s="90">
        <f>1.87291026115417/200</f>
        <v>9.3645513057708501E-3</v>
      </c>
    </row>
    <row r="186" spans="1:10" x14ac:dyDescent="0.35">
      <c r="A186" s="64" t="s">
        <v>68</v>
      </c>
      <c r="B186" s="65">
        <v>0.88500000000000001</v>
      </c>
      <c r="C186" s="65">
        <v>0.90100000000000002</v>
      </c>
      <c r="D186" s="65">
        <v>0.95669999999999999</v>
      </c>
      <c r="E186" s="65">
        <v>0.96560000000000001</v>
      </c>
      <c r="F186" s="65">
        <v>1.0293000000000001</v>
      </c>
      <c r="G186" s="121"/>
    </row>
    <row r="187" spans="1:10" x14ac:dyDescent="0.35">
      <c r="A187" s="4"/>
      <c r="B187" s="37"/>
      <c r="C187" s="8"/>
      <c r="D187" s="8"/>
      <c r="E187" s="8"/>
      <c r="F187" s="8"/>
      <c r="G187" s="36"/>
    </row>
    <row r="188" spans="1:10" x14ac:dyDescent="0.35">
      <c r="A188" s="64" t="s">
        <v>69</v>
      </c>
      <c r="B188" s="65">
        <v>11.153700000000001</v>
      </c>
      <c r="C188" s="65">
        <v>0.92630000000000001</v>
      </c>
      <c r="D188" s="65">
        <v>-9.1595999999999993</v>
      </c>
      <c r="E188" s="65">
        <v>-18.4282</v>
      </c>
      <c r="F188" s="65">
        <v>-28.785699999999999</v>
      </c>
      <c r="G188" s="90">
        <f>1.73989057540893/200</f>
        <v>8.6994528770446503E-3</v>
      </c>
    </row>
    <row r="189" spans="1:10" x14ac:dyDescent="0.35">
      <c r="A189" s="64" t="s">
        <v>70</v>
      </c>
      <c r="B189" s="65">
        <v>3.0234000000000001</v>
      </c>
      <c r="C189" s="65">
        <v>3.0640999999999998</v>
      </c>
      <c r="D189" s="65">
        <v>3.6509</v>
      </c>
      <c r="E189" s="65">
        <v>3.2534000000000001</v>
      </c>
      <c r="F189" s="65">
        <v>3.3008000000000002</v>
      </c>
      <c r="G189" s="121"/>
    </row>
    <row r="190" spans="1:10" x14ac:dyDescent="0.35">
      <c r="A190" s="4"/>
      <c r="B190" s="37"/>
      <c r="C190" s="8"/>
      <c r="D190" s="8"/>
      <c r="E190" s="8"/>
      <c r="F190" s="8"/>
      <c r="G190" s="36"/>
    </row>
    <row r="191" spans="1:10" x14ac:dyDescent="0.35">
      <c r="A191" s="92" t="s">
        <v>219</v>
      </c>
      <c r="B191" s="96">
        <v>-1.8754</v>
      </c>
      <c r="C191" s="96">
        <v>-11.879799999999999</v>
      </c>
      <c r="D191" s="96">
        <v>-21.812200000000001</v>
      </c>
      <c r="E191" s="96">
        <v>-31.9605</v>
      </c>
      <c r="F191" s="96">
        <v>-41.809899999999999</v>
      </c>
      <c r="G191" s="107">
        <f>3.64388179779052/200</f>
        <v>1.82194089889526E-2</v>
      </c>
    </row>
    <row r="192" spans="1:10" x14ac:dyDescent="0.35">
      <c r="A192" s="92" t="s">
        <v>71</v>
      </c>
      <c r="B192" s="96">
        <v>1.2853000000000001</v>
      </c>
      <c r="C192" s="96">
        <v>1.2719</v>
      </c>
      <c r="D192" s="96">
        <v>1.1487000000000001</v>
      </c>
      <c r="E192" s="96">
        <v>1.2646999999999999</v>
      </c>
      <c r="F192" s="96">
        <v>1.1558999999999999</v>
      </c>
      <c r="G192" s="107"/>
    </row>
    <row r="193" spans="1:7" x14ac:dyDescent="0.35">
      <c r="A193" s="4"/>
      <c r="B193" s="37"/>
      <c r="C193" s="8"/>
      <c r="D193" s="8"/>
      <c r="E193" s="8"/>
      <c r="F193" s="8"/>
      <c r="G193" s="23"/>
    </row>
    <row r="194" spans="1:7" x14ac:dyDescent="0.35">
      <c r="A194" s="92" t="s">
        <v>72</v>
      </c>
      <c r="B194" s="96">
        <v>5.5016999999999996</v>
      </c>
      <c r="C194" s="96">
        <v>-4.8254000000000001</v>
      </c>
      <c r="D194" s="96">
        <v>-15.061500000000001</v>
      </c>
      <c r="E194" s="96">
        <v>-24.198</v>
      </c>
      <c r="F194" s="96">
        <v>-34.591799999999999</v>
      </c>
      <c r="G194" s="107">
        <f>3.63707900047302/200</f>
        <v>1.8185395002365098E-2</v>
      </c>
    </row>
    <row r="195" spans="1:7" x14ac:dyDescent="0.35">
      <c r="A195" s="92" t="s">
        <v>73</v>
      </c>
      <c r="B195" s="96">
        <v>2.9416000000000002</v>
      </c>
      <c r="C195" s="96">
        <v>3.2046000000000001</v>
      </c>
      <c r="D195" s="96">
        <v>3.4399000000000002</v>
      </c>
      <c r="E195" s="96">
        <v>3.1190000000000002</v>
      </c>
      <c r="F195" s="96">
        <v>3.133</v>
      </c>
      <c r="G195" s="122"/>
    </row>
    <row r="196" spans="1:7" x14ac:dyDescent="0.35">
      <c r="A196" s="4"/>
      <c r="B196" s="37"/>
      <c r="C196" s="37"/>
      <c r="D196" s="37"/>
      <c r="E196" s="37"/>
      <c r="F196" s="37"/>
      <c r="G196" s="36"/>
    </row>
    <row r="197" spans="1:7" x14ac:dyDescent="0.35">
      <c r="A197" s="61" t="s">
        <v>74</v>
      </c>
      <c r="B197" s="62">
        <f>-1.7902</f>
        <v>-1.7902</v>
      </c>
      <c r="C197" s="62">
        <v>-11.8467</v>
      </c>
      <c r="D197" s="62">
        <v>-21.738299999999999</v>
      </c>
      <c r="E197" s="62">
        <v>-31.619900000000001</v>
      </c>
      <c r="F197" s="62">
        <v>-41.830800000000004</v>
      </c>
      <c r="G197" s="109">
        <f>43.5942468643188/200</f>
        <v>0.21797123432159399</v>
      </c>
    </row>
    <row r="198" spans="1:7" x14ac:dyDescent="0.35">
      <c r="A198" s="61" t="s">
        <v>75</v>
      </c>
      <c r="B198" s="62">
        <v>1.2419</v>
      </c>
      <c r="C198" s="62">
        <v>1.1898</v>
      </c>
      <c r="D198" s="62">
        <v>1.2814000000000001</v>
      </c>
      <c r="E198" s="62">
        <v>1.1073</v>
      </c>
      <c r="F198" s="123">
        <v>1.2888999999999999</v>
      </c>
      <c r="G198" s="109"/>
    </row>
    <row r="199" spans="1:7" x14ac:dyDescent="0.35">
      <c r="A199" s="4"/>
      <c r="B199" s="8"/>
      <c r="C199" s="8"/>
      <c r="D199" s="8"/>
      <c r="E199" s="8"/>
      <c r="F199" s="8"/>
      <c r="G199" s="23"/>
    </row>
    <row r="200" spans="1:7" x14ac:dyDescent="0.35">
      <c r="A200" s="61" t="s">
        <v>76</v>
      </c>
      <c r="B200" s="62">
        <v>-0.77390000000000003</v>
      </c>
      <c r="C200" s="62">
        <v>-10.8522</v>
      </c>
      <c r="D200" s="62">
        <v>-21.103899999999999</v>
      </c>
      <c r="E200" s="62">
        <v>-29.667200000000001</v>
      </c>
      <c r="F200" s="62">
        <v>-38.0655</v>
      </c>
      <c r="G200" s="109"/>
    </row>
    <row r="201" spans="1:7" x14ac:dyDescent="0.35">
      <c r="A201" s="61" t="s">
        <v>77</v>
      </c>
      <c r="B201" s="62">
        <v>1.2433000000000001</v>
      </c>
      <c r="C201" s="62">
        <v>1.1579999999999999</v>
      </c>
      <c r="D201" s="62">
        <v>1.2155</v>
      </c>
      <c r="E201" s="62">
        <v>1.2145999999999999</v>
      </c>
      <c r="F201" s="62">
        <v>1.1361000000000001</v>
      </c>
      <c r="G201" s="109"/>
    </row>
    <row r="202" spans="1:7" x14ac:dyDescent="0.35">
      <c r="A202" s="4"/>
      <c r="B202" s="8"/>
      <c r="C202" s="8"/>
      <c r="D202" s="8"/>
      <c r="E202" s="8"/>
      <c r="F202" s="8"/>
      <c r="G202" s="23"/>
    </row>
    <row r="203" spans="1:7" x14ac:dyDescent="0.35">
      <c r="A203" s="61" t="s">
        <v>78</v>
      </c>
      <c r="B203" s="62">
        <v>-1.7432000000000001</v>
      </c>
      <c r="C203" s="62">
        <v>-11.6966</v>
      </c>
      <c r="D203" s="62">
        <v>-21.720500000000001</v>
      </c>
      <c r="E203" s="62">
        <v>-31.185500000000001</v>
      </c>
      <c r="F203" s="62">
        <v>-40.300899999999999</v>
      </c>
      <c r="G203" s="109"/>
    </row>
    <row r="204" spans="1:7" x14ac:dyDescent="0.35">
      <c r="A204" s="61" t="s">
        <v>79</v>
      </c>
      <c r="B204" s="62">
        <v>1.2693000000000001</v>
      </c>
      <c r="C204" s="62">
        <v>1.2414000000000001</v>
      </c>
      <c r="D204" s="62">
        <v>1.1528</v>
      </c>
      <c r="E204" s="62">
        <v>1.2195</v>
      </c>
      <c r="F204" s="62">
        <v>1.1687000000000001</v>
      </c>
      <c r="G204" s="109"/>
    </row>
    <row r="205" spans="1:7" x14ac:dyDescent="0.35">
      <c r="A205" s="4"/>
      <c r="B205" s="8"/>
      <c r="C205" s="8"/>
      <c r="D205" s="8"/>
      <c r="E205" s="8"/>
      <c r="F205" s="8"/>
      <c r="G205" s="23"/>
    </row>
    <row r="206" spans="1:7" x14ac:dyDescent="0.35">
      <c r="A206" s="39" t="s">
        <v>62</v>
      </c>
      <c r="B206" s="63">
        <v>33.490099999999998</v>
      </c>
      <c r="C206" s="63">
        <v>22.119900000000001</v>
      </c>
      <c r="D206" s="63">
        <v>13.523099999999999</v>
      </c>
      <c r="E206" s="63">
        <v>4.0576999999999996</v>
      </c>
      <c r="F206" s="63">
        <v>-5.8764000000000003</v>
      </c>
      <c r="G206" s="114">
        <f>20.7785394191741/200</f>
        <v>0.1038926970958705</v>
      </c>
    </row>
    <row r="207" spans="1:7" x14ac:dyDescent="0.35">
      <c r="A207" s="39" t="s">
        <v>209</v>
      </c>
      <c r="B207" s="63">
        <v>4.4901999999999997</v>
      </c>
      <c r="C207" s="63">
        <v>4.8079999999999998</v>
      </c>
      <c r="D207" s="63">
        <v>5.3342999999999998</v>
      </c>
      <c r="E207" s="63">
        <v>4.5425000000000004</v>
      </c>
      <c r="F207" s="63">
        <v>4.4208999999999996</v>
      </c>
      <c r="G207" s="114"/>
    </row>
    <row r="208" spans="1:7" x14ac:dyDescent="0.35">
      <c r="A208" s="4"/>
      <c r="B208" s="8"/>
      <c r="C208" s="8"/>
      <c r="D208" s="8"/>
      <c r="E208" s="8"/>
      <c r="F208" s="8"/>
      <c r="G208" s="23"/>
    </row>
    <row r="209" spans="1:7" x14ac:dyDescent="0.35">
      <c r="A209" s="76" t="s">
        <v>250</v>
      </c>
      <c r="B209" s="73">
        <v>-1.4168000000000001</v>
      </c>
      <c r="C209" s="73">
        <v>-11.396699999999999</v>
      </c>
      <c r="D209" s="73">
        <v>-21.3826</v>
      </c>
      <c r="E209" s="73">
        <v>-31.544599999999999</v>
      </c>
      <c r="F209" s="73">
        <v>-41.395099999999999</v>
      </c>
      <c r="G209" s="77">
        <f>25.1783559322357/200</f>
        <v>0.12589177966117851</v>
      </c>
    </row>
    <row r="210" spans="1:7" x14ac:dyDescent="0.35">
      <c r="A210" s="76" t="s">
        <v>83</v>
      </c>
      <c r="B210" s="73">
        <v>1.2444</v>
      </c>
      <c r="C210" s="73">
        <v>1.2481</v>
      </c>
      <c r="D210" s="73">
        <v>1.1476999999999999</v>
      </c>
      <c r="E210" s="73">
        <v>1.2519</v>
      </c>
      <c r="F210" s="78">
        <v>1.1996</v>
      </c>
      <c r="G210" s="77"/>
    </row>
    <row r="211" spans="1:7" x14ac:dyDescent="0.35">
      <c r="A211" s="4"/>
      <c r="B211" s="8"/>
      <c r="C211" s="8"/>
      <c r="D211" s="8"/>
      <c r="E211" s="8"/>
      <c r="F211" s="8"/>
      <c r="G211" s="23"/>
    </row>
    <row r="212" spans="1:7" x14ac:dyDescent="0.35">
      <c r="A212" s="76" t="s">
        <v>84</v>
      </c>
      <c r="B212" s="73">
        <v>-0.9889</v>
      </c>
      <c r="C212" s="73">
        <v>-11.123100000000001</v>
      </c>
      <c r="D212" s="73">
        <v>-20.864799999999999</v>
      </c>
      <c r="E212" s="73">
        <v>-30.079599999999999</v>
      </c>
      <c r="F212" s="73">
        <v>-38.1736</v>
      </c>
      <c r="G212" s="77">
        <f>25.390638589859/200</f>
        <v>0.126953192949295</v>
      </c>
    </row>
    <row r="213" spans="1:7" ht="15" thickBot="1" x14ac:dyDescent="0.4">
      <c r="A213" s="79" t="s">
        <v>85</v>
      </c>
      <c r="B213" s="80">
        <v>1.2228000000000001</v>
      </c>
      <c r="C213" s="80">
        <v>1.2425999999999999</v>
      </c>
      <c r="D213" s="80">
        <v>1.5871999999999999</v>
      </c>
      <c r="E213" s="80">
        <v>1.3541000000000001</v>
      </c>
      <c r="F213" s="80">
        <v>2.6240999999999999</v>
      </c>
      <c r="G213" s="81"/>
    </row>
    <row r="214" spans="1:7" x14ac:dyDescent="0.35">
      <c r="B214" t="s">
        <v>86</v>
      </c>
      <c r="D214" s="14"/>
      <c r="E214" s="14"/>
      <c r="F214" s="14"/>
      <c r="G214" s="14"/>
    </row>
    <row r="215" spans="1:7" x14ac:dyDescent="0.35">
      <c r="B215" s="15" t="s">
        <v>87</v>
      </c>
      <c r="C215" s="15"/>
      <c r="D215" s="14"/>
      <c r="E215" s="14"/>
      <c r="F215" s="14"/>
      <c r="G215" s="14"/>
    </row>
    <row r="218" spans="1:7" x14ac:dyDescent="0.35">
      <c r="A218" s="14" t="s">
        <v>88</v>
      </c>
      <c r="C218" s="14"/>
    </row>
    <row r="219" spans="1:7" x14ac:dyDescent="0.35">
      <c r="A219" t="s">
        <v>220</v>
      </c>
    </row>
    <row r="220" spans="1:7" ht="15" thickBot="1" x14ac:dyDescent="0.4">
      <c r="A220" t="s">
        <v>89</v>
      </c>
    </row>
    <row r="221" spans="1:7" x14ac:dyDescent="0.35">
      <c r="A221" s="12" t="s">
        <v>3</v>
      </c>
      <c r="B221" s="27" t="s">
        <v>25</v>
      </c>
      <c r="C221" s="27" t="s">
        <v>26</v>
      </c>
      <c r="D221" s="27" t="s">
        <v>27</v>
      </c>
      <c r="E221" s="27" t="s">
        <v>28</v>
      </c>
      <c r="F221" s="27" t="s">
        <v>29</v>
      </c>
      <c r="G221" s="35" t="s">
        <v>208</v>
      </c>
    </row>
    <row r="222" spans="1:7" x14ac:dyDescent="0.35">
      <c r="A222" s="64" t="s">
        <v>90</v>
      </c>
      <c r="B222" s="65">
        <v>3.4502999999999999</v>
      </c>
      <c r="C222" s="65">
        <v>-6.5942999999999996</v>
      </c>
      <c r="D222" s="65">
        <v>-16.561499999999999</v>
      </c>
      <c r="E222" s="65">
        <v>-26.6008</v>
      </c>
      <c r="F222" s="65">
        <v>-36.565199999999997</v>
      </c>
      <c r="G222" s="90">
        <f>1.81720042228698/1000</f>
        <v>1.8172004222869801E-3</v>
      </c>
    </row>
    <row r="223" spans="1:7" x14ac:dyDescent="0.35">
      <c r="A223" s="64" t="s">
        <v>68</v>
      </c>
      <c r="B223" s="65">
        <v>1.8456999999999999</v>
      </c>
      <c r="C223" s="65">
        <v>1.8831</v>
      </c>
      <c r="D223" s="65">
        <v>1.8754999999999999</v>
      </c>
      <c r="E223" s="65">
        <v>1.9067000000000001</v>
      </c>
      <c r="F223" s="65">
        <v>1.8309</v>
      </c>
      <c r="G223" s="121"/>
    </row>
    <row r="224" spans="1:7" x14ac:dyDescent="0.35">
      <c r="A224" s="4"/>
      <c r="B224" s="37"/>
      <c r="C224" s="8"/>
      <c r="D224" s="8"/>
      <c r="E224" s="8"/>
      <c r="F224" s="8"/>
      <c r="G224" s="36"/>
    </row>
    <row r="225" spans="1:7" x14ac:dyDescent="0.35">
      <c r="A225" s="64" t="s">
        <v>91</v>
      </c>
      <c r="B225" s="65">
        <v>33.961399999999998</v>
      </c>
      <c r="C225" s="65">
        <v>23.832799999999999</v>
      </c>
      <c r="D225" s="65">
        <v>13.8483</v>
      </c>
      <c r="E225" s="65">
        <v>4.1989999999999998</v>
      </c>
      <c r="F225" s="65">
        <v>-6.4336000000000002</v>
      </c>
      <c r="G225" s="90"/>
    </row>
    <row r="226" spans="1:7" x14ac:dyDescent="0.35">
      <c r="A226" s="64" t="s">
        <v>92</v>
      </c>
      <c r="B226" s="65">
        <v>3.9329999999999998</v>
      </c>
      <c r="C226" s="65">
        <v>3.8573</v>
      </c>
      <c r="D226" s="65">
        <v>3.6829000000000001</v>
      </c>
      <c r="E226" s="65">
        <v>3.8494999999999999</v>
      </c>
      <c r="F226" s="65">
        <v>3.8119000000000001</v>
      </c>
      <c r="G226" s="121"/>
    </row>
    <row r="227" spans="1:7" x14ac:dyDescent="0.35">
      <c r="A227" s="4"/>
      <c r="B227" s="37"/>
      <c r="C227" s="8"/>
      <c r="D227" s="8"/>
      <c r="E227" s="8"/>
      <c r="F227" s="8"/>
      <c r="G227" s="36"/>
    </row>
    <row r="228" spans="1:7" x14ac:dyDescent="0.35">
      <c r="A228" s="92" t="s">
        <v>93</v>
      </c>
      <c r="B228" s="96">
        <v>-3.8433999999999999</v>
      </c>
      <c r="C228" s="96">
        <v>-13.9133</v>
      </c>
      <c r="D228" s="96">
        <v>-23.5916</v>
      </c>
      <c r="E228" s="96">
        <v>-33.8613</v>
      </c>
      <c r="F228" s="96">
        <v>-43.593000000000004</v>
      </c>
      <c r="G228" s="107">
        <f>3.73042225837707/1000</f>
        <v>3.7304222583770699E-3</v>
      </c>
    </row>
    <row r="229" spans="1:7" x14ac:dyDescent="0.35">
      <c r="A229" s="92" t="s">
        <v>71</v>
      </c>
      <c r="B229" s="96">
        <v>2.6547999999999998</v>
      </c>
      <c r="C229" s="96">
        <v>2.7086999999999999</v>
      </c>
      <c r="D229" s="96">
        <v>2.7507000000000001</v>
      </c>
      <c r="E229" s="96">
        <v>2.7532999999999999</v>
      </c>
      <c r="F229" s="96">
        <v>2.7458</v>
      </c>
      <c r="G229" s="107"/>
    </row>
    <row r="230" spans="1:7" x14ac:dyDescent="0.35">
      <c r="A230" s="4"/>
      <c r="B230" s="37"/>
      <c r="C230" s="8"/>
      <c r="D230" s="8"/>
      <c r="E230" s="8"/>
      <c r="F230" s="8"/>
      <c r="G230" s="23"/>
    </row>
    <row r="231" spans="1:7" x14ac:dyDescent="0.35">
      <c r="A231" s="92" t="s">
        <v>94</v>
      </c>
      <c r="B231" s="96">
        <v>32.962600000000002</v>
      </c>
      <c r="C231" s="96">
        <v>22.838000000000001</v>
      </c>
      <c r="D231" s="96">
        <v>12.853400000000001</v>
      </c>
      <c r="E231" s="96">
        <v>3.2014</v>
      </c>
      <c r="F231" s="96">
        <v>-7.4305000000000003</v>
      </c>
      <c r="G231" s="107"/>
    </row>
    <row r="232" spans="1:7" x14ac:dyDescent="0.35">
      <c r="A232" s="92" t="s">
        <v>95</v>
      </c>
      <c r="B232" s="96">
        <v>3.9333999999999998</v>
      </c>
      <c r="C232" s="96">
        <v>3.859</v>
      </c>
      <c r="D232" s="96">
        <v>3.6848999999999998</v>
      </c>
      <c r="E232" s="96">
        <v>3.851</v>
      </c>
      <c r="F232" s="96">
        <v>3.8092000000000001</v>
      </c>
      <c r="G232" s="122"/>
    </row>
    <row r="233" spans="1:7" x14ac:dyDescent="0.35">
      <c r="A233" s="4"/>
      <c r="B233" s="37"/>
      <c r="C233" s="37"/>
      <c r="D233" s="37"/>
      <c r="E233" s="37"/>
      <c r="F233" s="37"/>
      <c r="G233" s="36"/>
    </row>
    <row r="234" spans="1:7" x14ac:dyDescent="0.35">
      <c r="A234" s="61" t="s">
        <v>74</v>
      </c>
      <c r="B234" s="62">
        <v>-3.3506</v>
      </c>
      <c r="C234" s="62">
        <v>-13.5854</v>
      </c>
      <c r="D234" s="62">
        <v>-23.3325</v>
      </c>
      <c r="E234" s="62">
        <v>-33.126199999999997</v>
      </c>
      <c r="F234" s="62">
        <v>-43.1599</v>
      </c>
      <c r="G234" s="109">
        <f>44.6756930351257/1000</f>
        <v>4.4675693035125696E-2</v>
      </c>
    </row>
    <row r="235" spans="1:7" x14ac:dyDescent="0.35">
      <c r="A235" s="61" t="s">
        <v>75</v>
      </c>
      <c r="B235" s="62">
        <v>2.6993</v>
      </c>
      <c r="C235" s="62">
        <v>2.6728000000000001</v>
      </c>
      <c r="D235" s="62">
        <v>2.6707000000000001</v>
      </c>
      <c r="E235" s="62">
        <v>2.6284000000000001</v>
      </c>
      <c r="F235" s="62">
        <v>2.6488</v>
      </c>
      <c r="G235" s="109"/>
    </row>
    <row r="236" spans="1:7" x14ac:dyDescent="0.35">
      <c r="A236" s="4"/>
      <c r="B236" s="8"/>
      <c r="C236" s="8"/>
      <c r="D236" s="8"/>
      <c r="E236" s="8"/>
      <c r="F236" s="8"/>
      <c r="G236" s="23"/>
    </row>
    <row r="237" spans="1:7" x14ac:dyDescent="0.35">
      <c r="A237" s="61" t="s">
        <v>96</v>
      </c>
      <c r="B237" s="62">
        <v>10.5525</v>
      </c>
      <c r="C237" s="62">
        <v>-2.0112999999999999</v>
      </c>
      <c r="D237" s="62">
        <v>-10.688499999999999</v>
      </c>
      <c r="E237" s="62">
        <v>-21.682500000000001</v>
      </c>
      <c r="F237" s="62">
        <v>-31.886700000000001</v>
      </c>
      <c r="G237" s="109"/>
    </row>
    <row r="238" spans="1:7" x14ac:dyDescent="0.35">
      <c r="A238" s="61" t="s">
        <v>97</v>
      </c>
      <c r="B238" s="62">
        <v>3.1505999999999998</v>
      </c>
      <c r="C238" s="62">
        <v>1.9450000000000001</v>
      </c>
      <c r="D238" s="62">
        <v>1.9343999999999999</v>
      </c>
      <c r="E238" s="62">
        <v>1.6428</v>
      </c>
      <c r="F238" s="62">
        <v>1.2435</v>
      </c>
      <c r="G238" s="109"/>
    </row>
    <row r="239" spans="1:7" x14ac:dyDescent="0.35">
      <c r="A239" s="4"/>
      <c r="B239" s="8"/>
      <c r="C239" s="8"/>
      <c r="D239" s="8"/>
      <c r="E239" s="8"/>
      <c r="F239" s="8"/>
      <c r="G239" s="23"/>
    </row>
    <row r="240" spans="1:7" x14ac:dyDescent="0.35">
      <c r="A240" s="61" t="s">
        <v>98</v>
      </c>
      <c r="B240" s="62">
        <v>-3.4333999999999998</v>
      </c>
      <c r="C240" s="62">
        <v>-12.944599999999999</v>
      </c>
      <c r="D240" s="62">
        <v>-23.013100000000001</v>
      </c>
      <c r="E240" s="62">
        <v>-32.932000000000002</v>
      </c>
      <c r="F240" s="62">
        <v>-41.863900000000001</v>
      </c>
      <c r="G240" s="109"/>
    </row>
    <row r="241" spans="1:7" x14ac:dyDescent="0.35">
      <c r="A241" s="61" t="s">
        <v>99</v>
      </c>
      <c r="B241" s="62">
        <v>2.6326999999999998</v>
      </c>
      <c r="C241" s="62">
        <v>2.6817000000000002</v>
      </c>
      <c r="D241" s="62">
        <v>2.7978000000000001</v>
      </c>
      <c r="E241" s="62">
        <v>2.4706999999999999</v>
      </c>
      <c r="F241" s="62">
        <v>2.6570999999999998</v>
      </c>
      <c r="G241" s="109"/>
    </row>
    <row r="242" spans="1:7" x14ac:dyDescent="0.35">
      <c r="A242" s="4"/>
      <c r="B242" s="8"/>
      <c r="C242" s="8"/>
      <c r="D242" s="8"/>
      <c r="E242" s="8"/>
      <c r="F242" s="8"/>
      <c r="G242" s="23"/>
    </row>
    <row r="243" spans="1:7" x14ac:dyDescent="0.35">
      <c r="A243" s="39" t="s">
        <v>80</v>
      </c>
      <c r="B243" s="63">
        <v>40.915399999999998</v>
      </c>
      <c r="C243" s="63">
        <v>30.732500000000002</v>
      </c>
      <c r="D243" s="63">
        <v>23.270099999999999</v>
      </c>
      <c r="E243" s="63">
        <v>13.8062</v>
      </c>
      <c r="F243" s="63">
        <v>3.5001000000000002</v>
      </c>
      <c r="G243" s="114">
        <f>24.0265157222747/1000</f>
        <v>2.40265157222747E-2</v>
      </c>
    </row>
    <row r="244" spans="1:7" x14ac:dyDescent="0.35">
      <c r="A244" s="39" t="s">
        <v>81</v>
      </c>
      <c r="B244" s="63">
        <v>5.0331999999999999</v>
      </c>
      <c r="C244" s="63">
        <v>5.3064</v>
      </c>
      <c r="D244" s="63">
        <v>3.8382000000000001</v>
      </c>
      <c r="E244" s="63">
        <v>3.8883000000000001</v>
      </c>
      <c r="F244" s="136">
        <v>3.8117000000000001</v>
      </c>
      <c r="G244" s="114"/>
    </row>
    <row r="245" spans="1:7" x14ac:dyDescent="0.35">
      <c r="A245" s="4"/>
      <c r="B245" s="8"/>
      <c r="C245" s="8"/>
      <c r="D245" s="8"/>
      <c r="E245" s="8"/>
      <c r="F245" s="8"/>
      <c r="G245" s="23"/>
    </row>
    <row r="246" spans="1:7" x14ac:dyDescent="0.35">
      <c r="A246" s="39" t="s">
        <v>195</v>
      </c>
      <c r="B246" s="63">
        <v>41.056899999999999</v>
      </c>
      <c r="C246" s="63">
        <v>30.7135</v>
      </c>
      <c r="D246" s="63">
        <v>20.7958</v>
      </c>
      <c r="E246" s="63">
        <v>12.5932</v>
      </c>
      <c r="F246" s="63">
        <v>2.4106000000000001</v>
      </c>
      <c r="G246" s="114"/>
    </row>
    <row r="247" spans="1:7" x14ac:dyDescent="0.35">
      <c r="A247" s="39" t="s">
        <v>196</v>
      </c>
      <c r="B247" s="63">
        <v>4.8727</v>
      </c>
      <c r="C247" s="63">
        <v>5.3170000000000002</v>
      </c>
      <c r="D247" s="63">
        <v>4.9549000000000003</v>
      </c>
      <c r="E247" s="63">
        <v>4.2808999999999999</v>
      </c>
      <c r="F247" s="63">
        <v>4.0693000000000001</v>
      </c>
      <c r="G247" s="114"/>
    </row>
    <row r="248" spans="1:7" x14ac:dyDescent="0.35">
      <c r="A248" s="4"/>
      <c r="B248" s="8"/>
      <c r="C248" s="8"/>
      <c r="D248" s="8"/>
      <c r="E248" s="8"/>
      <c r="F248" s="8"/>
      <c r="G248" s="23"/>
    </row>
    <row r="249" spans="1:7" x14ac:dyDescent="0.35">
      <c r="A249" s="76" t="s">
        <v>82</v>
      </c>
      <c r="B249" s="73">
        <v>-1.9752000000000001</v>
      </c>
      <c r="C249" s="73">
        <v>-11.8498</v>
      </c>
      <c r="D249" s="73">
        <v>-21.4025</v>
      </c>
      <c r="E249" s="73">
        <v>-30.5792</v>
      </c>
      <c r="F249" s="73">
        <v>-41.015500000000003</v>
      </c>
      <c r="G249" s="77">
        <f>100.647241592407/1000</f>
        <v>0.100647241592407</v>
      </c>
    </row>
    <row r="250" spans="1:7" x14ac:dyDescent="0.35">
      <c r="A250" s="76" t="s">
        <v>83</v>
      </c>
      <c r="B250" s="73">
        <v>2.5485000000000002</v>
      </c>
      <c r="C250" s="73">
        <v>3.3689</v>
      </c>
      <c r="D250" s="73">
        <v>2.5642</v>
      </c>
      <c r="E250" s="73">
        <v>2.5480999999999998</v>
      </c>
      <c r="F250" s="78">
        <v>2.6815000000000002</v>
      </c>
      <c r="G250" s="77"/>
    </row>
    <row r="251" spans="1:7" x14ac:dyDescent="0.35">
      <c r="A251" s="4"/>
      <c r="B251" s="8"/>
      <c r="C251" s="8"/>
      <c r="D251" s="8"/>
      <c r="E251" s="8"/>
      <c r="F251" s="8"/>
      <c r="G251" s="23"/>
    </row>
    <row r="252" spans="1:7" x14ac:dyDescent="0.35">
      <c r="A252" s="76" t="s">
        <v>197</v>
      </c>
      <c r="B252" s="73">
        <v>12.1501</v>
      </c>
      <c r="C252" s="73">
        <v>-1.1515</v>
      </c>
      <c r="D252" s="73">
        <v>-5.0422000000000002</v>
      </c>
      <c r="E252" s="73">
        <v>-10.9504</v>
      </c>
      <c r="F252" s="73">
        <v>-26.153500000000001</v>
      </c>
      <c r="G252" s="77"/>
    </row>
    <row r="253" spans="1:7" ht="15" thickBot="1" x14ac:dyDescent="0.4">
      <c r="A253" s="79" t="s">
        <v>198</v>
      </c>
      <c r="B253" s="80">
        <v>4.2146999999999997</v>
      </c>
      <c r="C253" s="80">
        <v>6.2397</v>
      </c>
      <c r="D253" s="80">
        <v>4.2721</v>
      </c>
      <c r="E253" s="80">
        <v>2.7898999999999998</v>
      </c>
      <c r="F253" s="80">
        <v>3.968</v>
      </c>
      <c r="G253" s="81"/>
    </row>
    <row r="254" spans="1:7" x14ac:dyDescent="0.35">
      <c r="B254" s="22"/>
      <c r="C254" s="22"/>
      <c r="D254" s="22"/>
      <c r="E254" s="22"/>
      <c r="F254" s="22"/>
      <c r="G254" s="22"/>
    </row>
    <row r="255" spans="1:7" x14ac:dyDescent="0.35">
      <c r="B255" t="s">
        <v>100</v>
      </c>
    </row>
    <row r="256" spans="1:7" x14ac:dyDescent="0.35">
      <c r="B256" t="s">
        <v>101</v>
      </c>
    </row>
    <row r="259" spans="1:7" x14ac:dyDescent="0.35">
      <c r="A259" s="6" t="s">
        <v>102</v>
      </c>
    </row>
    <row r="260" spans="1:7" x14ac:dyDescent="0.35">
      <c r="A260" t="s">
        <v>259</v>
      </c>
    </row>
    <row r="265" spans="1:7" x14ac:dyDescent="0.35">
      <c r="A265" s="6" t="s">
        <v>103</v>
      </c>
    </row>
    <row r="266" spans="1:7" x14ac:dyDescent="0.35">
      <c r="A266" s="15" t="s">
        <v>104</v>
      </c>
      <c r="B266" s="15"/>
      <c r="C266" s="15"/>
      <c r="D266" s="15"/>
      <c r="E266" s="15"/>
      <c r="F266" s="15"/>
      <c r="G266" s="15"/>
    </row>
    <row r="267" spans="1:7" ht="15" thickBot="1" x14ac:dyDescent="0.4">
      <c r="A267" s="15" t="s">
        <v>105</v>
      </c>
      <c r="B267" s="15"/>
      <c r="C267" s="15"/>
      <c r="D267" s="15"/>
      <c r="E267" s="15"/>
      <c r="F267" s="15"/>
      <c r="G267" s="15"/>
    </row>
    <row r="268" spans="1:7" x14ac:dyDescent="0.35">
      <c r="A268" s="42" t="s">
        <v>106</v>
      </c>
      <c r="B268" s="43">
        <v>-10</v>
      </c>
      <c r="C268" s="43">
        <v>0</v>
      </c>
      <c r="D268" s="43">
        <v>10</v>
      </c>
      <c r="E268" s="50">
        <v>20</v>
      </c>
      <c r="F268" s="44"/>
      <c r="G268" s="44"/>
    </row>
    <row r="269" spans="1:7" x14ac:dyDescent="0.35">
      <c r="A269" s="51" t="s">
        <v>9</v>
      </c>
      <c r="B269" s="8">
        <v>10.021800000000001</v>
      </c>
      <c r="C269" s="8">
        <v>-1E-4</v>
      </c>
      <c r="D269" s="8">
        <v>-10.0009</v>
      </c>
      <c r="E269" s="23">
        <v>-20.009399999999999</v>
      </c>
      <c r="F269" s="8"/>
      <c r="G269" s="15"/>
    </row>
    <row r="270" spans="1:7" x14ac:dyDescent="0.35">
      <c r="A270" s="51" t="s">
        <v>10</v>
      </c>
      <c r="B270" s="8">
        <v>0.40789999999999998</v>
      </c>
      <c r="C270" s="8">
        <v>0.41980000000000001</v>
      </c>
      <c r="D270" s="8">
        <v>0.42220000000000002</v>
      </c>
      <c r="E270" s="23">
        <v>0.41310000000000002</v>
      </c>
      <c r="F270" s="8"/>
      <c r="G270" s="15"/>
    </row>
    <row r="271" spans="1:7" x14ac:dyDescent="0.35">
      <c r="A271" s="29" t="s">
        <v>11</v>
      </c>
      <c r="B271" s="8">
        <v>8.0785</v>
      </c>
      <c r="C271" s="8">
        <v>-0.36620000000000003</v>
      </c>
      <c r="D271" s="8">
        <v>-10.040800000000001</v>
      </c>
      <c r="E271" s="23">
        <v>-20.0139</v>
      </c>
      <c r="F271" s="8"/>
      <c r="G271" s="15"/>
    </row>
    <row r="272" spans="1:7" x14ac:dyDescent="0.35">
      <c r="A272" s="29" t="s">
        <v>12</v>
      </c>
      <c r="B272" s="8">
        <v>0.4738</v>
      </c>
      <c r="C272" s="8">
        <v>0.41570000000000001</v>
      </c>
      <c r="D272" s="8">
        <v>0.42080000000000001</v>
      </c>
      <c r="E272" s="23">
        <v>0.41360000000000002</v>
      </c>
      <c r="F272" s="8"/>
      <c r="G272" s="15"/>
    </row>
    <row r="273" spans="1:7" x14ac:dyDescent="0.35">
      <c r="A273" s="29" t="s">
        <v>13</v>
      </c>
      <c r="B273" s="8">
        <v>6.2323000000000004</v>
      </c>
      <c r="C273" s="8">
        <v>-0.8518</v>
      </c>
      <c r="D273" s="8">
        <v>-10.102499999999999</v>
      </c>
      <c r="E273" s="23">
        <v>-20.0198</v>
      </c>
      <c r="F273" s="8"/>
      <c r="G273" s="15"/>
    </row>
    <row r="274" spans="1:7" ht="15" thickBot="1" x14ac:dyDescent="0.4">
      <c r="A274" s="30" t="s">
        <v>14</v>
      </c>
      <c r="B274" s="24">
        <v>0.49349999999999999</v>
      </c>
      <c r="C274" s="24">
        <v>0.41720000000000002</v>
      </c>
      <c r="D274" s="24">
        <v>0.42209999999999998</v>
      </c>
      <c r="E274" s="25">
        <v>0.41389999999999999</v>
      </c>
      <c r="F274" s="8"/>
      <c r="G274" s="15"/>
    </row>
    <row r="275" spans="1:7" x14ac:dyDescent="0.35">
      <c r="A275" s="15"/>
      <c r="B275" s="15"/>
      <c r="C275" s="15"/>
      <c r="D275" s="15"/>
      <c r="E275" s="15"/>
      <c r="F275" s="15"/>
      <c r="G275" s="15"/>
    </row>
    <row r="276" spans="1:7" x14ac:dyDescent="0.35">
      <c r="A276" s="15"/>
      <c r="B276" s="15"/>
      <c r="C276" s="15"/>
      <c r="D276" s="15"/>
      <c r="E276" s="15"/>
      <c r="F276" s="15"/>
      <c r="G276" s="15"/>
    </row>
    <row r="277" spans="1:7" ht="15" thickBot="1" x14ac:dyDescent="0.4">
      <c r="A277" s="15" t="s">
        <v>107</v>
      </c>
      <c r="B277" s="15"/>
      <c r="C277" s="15"/>
      <c r="D277" s="15"/>
      <c r="E277" s="15"/>
      <c r="F277" s="15"/>
      <c r="G277" s="15"/>
    </row>
    <row r="278" spans="1:7" x14ac:dyDescent="0.35">
      <c r="A278" s="42" t="s">
        <v>106</v>
      </c>
      <c r="B278" s="43">
        <v>-10</v>
      </c>
      <c r="C278" s="43">
        <v>0</v>
      </c>
      <c r="D278" s="43">
        <v>10</v>
      </c>
      <c r="E278" s="43">
        <v>20</v>
      </c>
      <c r="F278" s="50">
        <v>30</v>
      </c>
      <c r="G278" s="15"/>
    </row>
    <row r="279" spans="1:7" x14ac:dyDescent="0.35">
      <c r="A279" s="51" t="s">
        <v>9</v>
      </c>
      <c r="B279" s="8">
        <v>9.9992999999999999</v>
      </c>
      <c r="C279" s="8">
        <v>9.2999999999999992E-3</v>
      </c>
      <c r="D279" s="8">
        <v>-9.9928000000000008</v>
      </c>
      <c r="E279" s="8">
        <v>-20.0136</v>
      </c>
      <c r="F279" s="23">
        <v>-30.004000000000001</v>
      </c>
      <c r="G279" s="15"/>
    </row>
    <row r="280" spans="1:7" x14ac:dyDescent="0.35">
      <c r="A280" s="51" t="s">
        <v>10</v>
      </c>
      <c r="B280" s="8">
        <v>0.41639999999999999</v>
      </c>
      <c r="C280" s="8">
        <v>0.4022</v>
      </c>
      <c r="D280" s="8">
        <v>0.4098</v>
      </c>
      <c r="E280" s="8">
        <v>0.42599999999999999</v>
      </c>
      <c r="F280" s="23">
        <v>0.39079999999999998</v>
      </c>
      <c r="G280" s="15"/>
    </row>
    <row r="281" spans="1:7" x14ac:dyDescent="0.35">
      <c r="A281" s="29" t="s">
        <v>11</v>
      </c>
      <c r="B281" s="8">
        <v>2.6894</v>
      </c>
      <c r="C281" s="8">
        <v>-4.6473000000000004</v>
      </c>
      <c r="D281" s="8">
        <v>-11.911799999999999</v>
      </c>
      <c r="E281" s="8">
        <v>-20.385999999999999</v>
      </c>
      <c r="F281" s="23">
        <v>-30.0456</v>
      </c>
      <c r="G281" s="15"/>
    </row>
    <row r="282" spans="1:7" x14ac:dyDescent="0.35">
      <c r="A282" s="29" t="s">
        <v>12</v>
      </c>
      <c r="B282" s="8">
        <v>0.94330000000000003</v>
      </c>
      <c r="C282" s="8">
        <v>0.70750000000000002</v>
      </c>
      <c r="D282" s="8">
        <v>0.48320000000000002</v>
      </c>
      <c r="E282" s="8">
        <v>0.42049999999999998</v>
      </c>
      <c r="F282" s="23">
        <v>0.39340000000000003</v>
      </c>
      <c r="G282" s="15"/>
    </row>
    <row r="283" spans="1:7" x14ac:dyDescent="0.35">
      <c r="A283" s="29" t="s">
        <v>13</v>
      </c>
      <c r="B283" s="8">
        <v>-1.7606999999999999</v>
      </c>
      <c r="C283" s="8">
        <v>-8.1674000000000007</v>
      </c>
      <c r="D283" s="8">
        <v>-13.776999999999999</v>
      </c>
      <c r="E283" s="8">
        <v>-20.873999999999999</v>
      </c>
      <c r="F283" s="23">
        <v>-30.104199999999999</v>
      </c>
      <c r="G283" s="15"/>
    </row>
    <row r="284" spans="1:7" ht="15" thickBot="1" x14ac:dyDescent="0.4">
      <c r="A284" s="30" t="s">
        <v>14</v>
      </c>
      <c r="B284" s="24">
        <v>1.2151000000000001</v>
      </c>
      <c r="C284" s="24">
        <v>0.77839999999999998</v>
      </c>
      <c r="D284" s="24">
        <v>0.49209999999999998</v>
      </c>
      <c r="E284" s="24">
        <v>0.41810000000000003</v>
      </c>
      <c r="F284" s="25">
        <v>0.3926</v>
      </c>
      <c r="G284" s="15"/>
    </row>
    <row r="285" spans="1:7" x14ac:dyDescent="0.35">
      <c r="A285" s="15"/>
      <c r="B285" s="15"/>
      <c r="C285" s="15"/>
      <c r="D285" s="15"/>
      <c r="E285" s="15"/>
      <c r="F285" s="15"/>
      <c r="G285" s="15"/>
    </row>
    <row r="286" spans="1:7" ht="15" thickBot="1" x14ac:dyDescent="0.4"/>
    <row r="287" spans="1:7" x14ac:dyDescent="0.35">
      <c r="A287" s="52" t="s">
        <v>9</v>
      </c>
      <c r="B287" s="13"/>
      <c r="C287" s="53">
        <v>-8.1576000000000004</v>
      </c>
    </row>
    <row r="288" spans="1:7" x14ac:dyDescent="0.35">
      <c r="A288" s="51" t="s">
        <v>10</v>
      </c>
      <c r="C288" s="36">
        <v>0.40889999999999999</v>
      </c>
    </row>
    <row r="289" spans="1:3" x14ac:dyDescent="0.35">
      <c r="A289" s="29" t="s">
        <v>108</v>
      </c>
      <c r="C289" s="36">
        <v>-12.7606</v>
      </c>
    </row>
    <row r="290" spans="1:3" x14ac:dyDescent="0.35">
      <c r="A290" s="29" t="s">
        <v>14</v>
      </c>
      <c r="C290" s="36">
        <v>0.50029999999999997</v>
      </c>
    </row>
    <row r="291" spans="1:3" x14ac:dyDescent="0.35">
      <c r="A291" s="29" t="s">
        <v>109</v>
      </c>
      <c r="C291" s="36">
        <v>-8.1062999999999992</v>
      </c>
    </row>
    <row r="292" spans="1:3" ht="15" thickBot="1" x14ac:dyDescent="0.4">
      <c r="A292" s="30" t="s">
        <v>14</v>
      </c>
      <c r="B292" s="19"/>
      <c r="C292" s="54">
        <v>0.77159999999999995</v>
      </c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I136"/>
  <sheetViews>
    <sheetView topLeftCell="A31" zoomScale="85" zoomScaleNormal="85" workbookViewId="0">
      <selection activeCell="E29" sqref="E29"/>
    </sheetView>
  </sheetViews>
  <sheetFormatPr defaultRowHeight="14.5" x14ac:dyDescent="0.35"/>
  <cols>
    <col min="1" max="1" width="37.1796875" customWidth="1"/>
    <col min="2" max="2" width="29.1796875" customWidth="1"/>
    <col min="3" max="3" width="24.54296875" customWidth="1"/>
    <col min="4" max="6" width="11.81640625" bestFit="1" customWidth="1"/>
  </cols>
  <sheetData>
    <row r="1" spans="1:7" x14ac:dyDescent="0.35">
      <c r="A1" s="6" t="s">
        <v>258</v>
      </c>
    </row>
    <row r="2" spans="1:7" x14ac:dyDescent="0.35">
      <c r="A2" t="s">
        <v>110</v>
      </c>
      <c r="B2" t="s">
        <v>53</v>
      </c>
    </row>
    <row r="3" spans="1:7" ht="15" thickBot="1" x14ac:dyDescent="0.4">
      <c r="A3" t="s">
        <v>111</v>
      </c>
    </row>
    <row r="4" spans="1:7" x14ac:dyDescent="0.35">
      <c r="A4" s="12" t="s">
        <v>112</v>
      </c>
      <c r="B4" s="27" t="s">
        <v>25</v>
      </c>
      <c r="C4" s="27" t="s">
        <v>113</v>
      </c>
      <c r="D4" s="27" t="s">
        <v>27</v>
      </c>
      <c r="E4" s="27" t="s">
        <v>28</v>
      </c>
      <c r="F4" s="27" t="s">
        <v>29</v>
      </c>
      <c r="G4" s="163" t="s">
        <v>114</v>
      </c>
    </row>
    <row r="5" spans="1:7" x14ac:dyDescent="0.35">
      <c r="A5" s="4" t="s">
        <v>115</v>
      </c>
      <c r="B5" s="141">
        <v>10.016999999999999</v>
      </c>
      <c r="C5" s="141">
        <v>5.1999999999999998E-3</v>
      </c>
      <c r="D5" s="141">
        <v>-10.0108</v>
      </c>
      <c r="E5" s="141">
        <v>-19.941700000000001</v>
      </c>
      <c r="F5" s="141">
        <v>-29.985800000000001</v>
      </c>
      <c r="G5" s="18"/>
    </row>
    <row r="6" spans="1:7" x14ac:dyDescent="0.35">
      <c r="A6" s="4" t="s">
        <v>38</v>
      </c>
      <c r="B6" s="141">
        <v>0.33400000000000002</v>
      </c>
      <c r="C6" s="141">
        <v>0.37640000000000001</v>
      </c>
      <c r="D6" s="141">
        <v>0.36840000000000001</v>
      </c>
      <c r="E6" s="141">
        <v>0.34689999999999999</v>
      </c>
      <c r="F6" s="141">
        <v>0.35389999999999999</v>
      </c>
      <c r="G6" s="18"/>
    </row>
    <row r="7" spans="1:7" x14ac:dyDescent="0.35">
      <c r="A7" s="64" t="s">
        <v>116</v>
      </c>
      <c r="B7" s="153">
        <v>-0.29899999999999999</v>
      </c>
      <c r="C7" s="154">
        <v>-10.532999999999999</v>
      </c>
      <c r="D7" s="154">
        <v>-20.492699999999999</v>
      </c>
      <c r="E7" s="154">
        <v>-30.348199999999999</v>
      </c>
      <c r="F7" s="154">
        <v>-40.4833</v>
      </c>
      <c r="G7" s="164">
        <f>43.8708796501159/200</f>
        <v>0.21935439825057951</v>
      </c>
    </row>
    <row r="8" spans="1:7" x14ac:dyDescent="0.35">
      <c r="A8" s="64" t="s">
        <v>38</v>
      </c>
      <c r="B8" s="153">
        <v>1.0844</v>
      </c>
      <c r="C8" s="154">
        <v>1.016</v>
      </c>
      <c r="D8" s="154">
        <v>0.96919999999999995</v>
      </c>
      <c r="E8" s="154">
        <v>1.0161</v>
      </c>
      <c r="F8" s="154">
        <v>0.99170000000000003</v>
      </c>
      <c r="G8" s="164"/>
    </row>
    <row r="9" spans="1:7" x14ac:dyDescent="0.35">
      <c r="A9" s="64" t="s">
        <v>117</v>
      </c>
      <c r="B9" s="153">
        <v>-0.25769999999999998</v>
      </c>
      <c r="C9" s="154">
        <v>-9.7469999999999999</v>
      </c>
      <c r="D9" s="154">
        <v>-15.945</v>
      </c>
      <c r="E9" s="154">
        <v>-17.548500000000001</v>
      </c>
      <c r="F9" s="154">
        <v>-17.7516</v>
      </c>
      <c r="G9" s="164"/>
    </row>
    <row r="10" spans="1:7" x14ac:dyDescent="0.35">
      <c r="A10" s="64" t="s">
        <v>38</v>
      </c>
      <c r="B10" s="153">
        <v>1.0732999999999999</v>
      </c>
      <c r="C10" s="154">
        <v>0.98750000000000004</v>
      </c>
      <c r="D10" s="154">
        <v>0.76859999999999995</v>
      </c>
      <c r="E10" s="154">
        <v>0.32450000000000001</v>
      </c>
      <c r="F10" s="154">
        <v>0.1086</v>
      </c>
      <c r="G10" s="164"/>
    </row>
    <row r="11" spans="1:7" x14ac:dyDescent="0.35">
      <c r="A11" s="92" t="s">
        <v>118</v>
      </c>
      <c r="B11" s="155">
        <v>-3.8923999999999999</v>
      </c>
      <c r="C11" s="156">
        <v>-13.7515</v>
      </c>
      <c r="D11" s="156">
        <v>-23.868400000000001</v>
      </c>
      <c r="E11" s="156">
        <v>-33.743299999999998</v>
      </c>
      <c r="F11" s="156">
        <v>-43.755000000000003</v>
      </c>
      <c r="G11" s="165">
        <f>86.8899774551391/200</f>
        <v>0.4344498872756955</v>
      </c>
    </row>
    <row r="12" spans="1:7" x14ac:dyDescent="0.35">
      <c r="A12" s="92" t="s">
        <v>38</v>
      </c>
      <c r="B12" s="155">
        <v>0.99550000000000005</v>
      </c>
      <c r="C12" s="156">
        <v>1.161</v>
      </c>
      <c r="D12" s="156">
        <v>1.0254000000000001</v>
      </c>
      <c r="E12" s="156">
        <v>1.0127999999999999</v>
      </c>
      <c r="F12" s="156">
        <v>1.1445000000000001</v>
      </c>
      <c r="G12" s="165"/>
    </row>
    <row r="13" spans="1:7" x14ac:dyDescent="0.35">
      <c r="A13" s="92" t="s">
        <v>119</v>
      </c>
      <c r="B13" s="155">
        <v>-3.8243</v>
      </c>
      <c r="C13" s="156">
        <v>-12.9322</v>
      </c>
      <c r="D13" s="156">
        <v>-18.9573</v>
      </c>
      <c r="E13" s="156">
        <v>-20.362500000000001</v>
      </c>
      <c r="F13" s="156">
        <v>-20.562799999999999</v>
      </c>
      <c r="G13" s="165"/>
    </row>
    <row r="14" spans="1:7" x14ac:dyDescent="0.35">
      <c r="A14" s="92" t="s">
        <v>38</v>
      </c>
      <c r="B14" s="144">
        <v>0.97599999999999998</v>
      </c>
      <c r="C14" s="156">
        <v>1.1217999999999999</v>
      </c>
      <c r="D14" s="156">
        <v>0.85319999999999996</v>
      </c>
      <c r="E14" s="156">
        <v>0.36549999999999999</v>
      </c>
      <c r="F14" s="156">
        <v>0.12570000000000001</v>
      </c>
      <c r="G14" s="165"/>
    </row>
    <row r="15" spans="1:7" x14ac:dyDescent="0.35">
      <c r="A15" s="126" t="s">
        <v>120</v>
      </c>
      <c r="B15" s="157">
        <v>-2.8523000000000001</v>
      </c>
      <c r="C15" s="158">
        <v>-12.755000000000001</v>
      </c>
      <c r="D15" s="158">
        <v>-22.7438</v>
      </c>
      <c r="E15" s="158">
        <v>-32.667700000000004</v>
      </c>
      <c r="F15" s="158">
        <v>-42.713900000000002</v>
      </c>
      <c r="G15" s="166">
        <f>4919.47551560401/200</f>
        <v>24.597377578020051</v>
      </c>
    </row>
    <row r="16" spans="1:7" x14ac:dyDescent="0.35">
      <c r="A16" s="126" t="s">
        <v>38</v>
      </c>
      <c r="B16" s="157">
        <v>1.2004999999999999</v>
      </c>
      <c r="C16" s="158">
        <v>1.5216000000000001</v>
      </c>
      <c r="D16" s="158">
        <v>1.0882000000000001</v>
      </c>
      <c r="E16" s="158">
        <v>1.1649</v>
      </c>
      <c r="F16" s="158">
        <v>1.4356</v>
      </c>
      <c r="G16" s="166"/>
    </row>
    <row r="17" spans="1:7" x14ac:dyDescent="0.35">
      <c r="A17" s="126" t="s">
        <v>121</v>
      </c>
      <c r="B17" s="157">
        <v>-2.7115</v>
      </c>
      <c r="C17" s="158">
        <v>-11.785299999999999</v>
      </c>
      <c r="D17" s="158">
        <v>-17.593299999999999</v>
      </c>
      <c r="E17" s="158">
        <v>-14.699400000000001</v>
      </c>
      <c r="F17" s="158">
        <v>-14.6525</v>
      </c>
      <c r="G17" s="166">
        <f>4846.82680487632/200</f>
        <v>24.2341340243816</v>
      </c>
    </row>
    <row r="18" spans="1:7" x14ac:dyDescent="0.35">
      <c r="A18" s="126" t="s">
        <v>38</v>
      </c>
      <c r="B18" s="157">
        <v>1.2109000000000001</v>
      </c>
      <c r="C18" s="158">
        <v>1.3564000000000001</v>
      </c>
      <c r="D18" s="158">
        <v>2.7330999999999999</v>
      </c>
      <c r="E18" s="158">
        <v>2.9472</v>
      </c>
      <c r="F18" s="158">
        <v>2.1282000000000001</v>
      </c>
      <c r="G18" s="166"/>
    </row>
    <row r="19" spans="1:7" x14ac:dyDescent="0.35">
      <c r="A19" s="61" t="s">
        <v>122</v>
      </c>
      <c r="B19" s="146">
        <v>-2.3456000000000001</v>
      </c>
      <c r="C19" s="159">
        <v>-13.049799999999999</v>
      </c>
      <c r="D19" s="159">
        <v>-22.5517</v>
      </c>
      <c r="E19" s="159">
        <v>-32.542200000000001</v>
      </c>
      <c r="F19" s="159">
        <v>-42.238599999999998</v>
      </c>
      <c r="G19" s="167">
        <f>58.9917361736297/200</f>
        <v>0.29495868086814847</v>
      </c>
    </row>
    <row r="20" spans="1:7" x14ac:dyDescent="0.35">
      <c r="A20" s="61" t="s">
        <v>38</v>
      </c>
      <c r="B20" s="146">
        <v>0.94630000000000003</v>
      </c>
      <c r="C20" s="159">
        <v>1.1852</v>
      </c>
      <c r="D20" s="159">
        <v>1.0452999999999999</v>
      </c>
      <c r="E20" s="159">
        <v>1.0355000000000001</v>
      </c>
      <c r="F20" s="159">
        <v>1.044</v>
      </c>
      <c r="G20" s="167"/>
    </row>
    <row r="21" spans="1:7" x14ac:dyDescent="0.35">
      <c r="A21" s="61" t="s">
        <v>123</v>
      </c>
      <c r="B21" s="146">
        <v>-2.1879</v>
      </c>
      <c r="C21" s="159">
        <v>-12.495900000000001</v>
      </c>
      <c r="D21" s="159">
        <v>-22.084499999999998</v>
      </c>
      <c r="E21" s="159">
        <v>-30.325099999999999</v>
      </c>
      <c r="F21" s="159">
        <v>-36.4617</v>
      </c>
      <c r="G21" s="167"/>
    </row>
    <row r="22" spans="1:7" x14ac:dyDescent="0.35">
      <c r="A22" s="61" t="s">
        <v>38</v>
      </c>
      <c r="B22" s="146">
        <v>1.0165999999999999</v>
      </c>
      <c r="C22" s="159">
        <v>1.0869</v>
      </c>
      <c r="D22" s="159">
        <v>1.0253000000000001</v>
      </c>
      <c r="E22" s="159">
        <v>1.0752999999999999</v>
      </c>
      <c r="F22" s="159">
        <v>0.84219999999999995</v>
      </c>
      <c r="G22" s="167"/>
    </row>
    <row r="23" spans="1:7" x14ac:dyDescent="0.35">
      <c r="A23" s="61" t="s">
        <v>124</v>
      </c>
      <c r="B23" s="146">
        <v>-2.3359999999999999</v>
      </c>
      <c r="C23" s="159">
        <v>-12.340199999999999</v>
      </c>
      <c r="D23" s="159">
        <v>-23.157599999999999</v>
      </c>
      <c r="E23" s="159">
        <v>-31.374500000000001</v>
      </c>
      <c r="F23" s="159">
        <v>-40.850499999999997</v>
      </c>
      <c r="G23" s="167"/>
    </row>
    <row r="24" spans="1:7" x14ac:dyDescent="0.35">
      <c r="A24" s="61" t="s">
        <v>38</v>
      </c>
      <c r="B24" s="146">
        <v>1.0219</v>
      </c>
      <c r="C24" s="159">
        <v>1.1998</v>
      </c>
      <c r="D24" s="159">
        <v>1.0428999999999999</v>
      </c>
      <c r="E24" s="159">
        <v>1.1060000000000001</v>
      </c>
      <c r="F24" s="159">
        <v>1.0668</v>
      </c>
      <c r="G24" s="167"/>
    </row>
    <row r="25" spans="1:7" x14ac:dyDescent="0.35">
      <c r="A25" s="39" t="s">
        <v>84</v>
      </c>
      <c r="B25" s="160">
        <v>-1.9206000000000001</v>
      </c>
      <c r="C25" s="161">
        <v>-11.959300000000001</v>
      </c>
      <c r="D25" s="161">
        <v>-18.723600000000001</v>
      </c>
      <c r="E25" s="162">
        <v>-23.0761</v>
      </c>
      <c r="F25" s="161">
        <v>-23.3506</v>
      </c>
      <c r="G25" s="40">
        <f>250.258969783782/200</f>
        <v>1.25129484891891</v>
      </c>
    </row>
    <row r="26" spans="1:7" x14ac:dyDescent="0.35">
      <c r="A26" s="39" t="s">
        <v>38</v>
      </c>
      <c r="B26" s="160">
        <v>0.96150000000000002</v>
      </c>
      <c r="C26" s="161">
        <v>1.3083</v>
      </c>
      <c r="D26" s="161">
        <v>0.87119999999999997</v>
      </c>
      <c r="E26" s="161">
        <v>0.74319999999999997</v>
      </c>
      <c r="F26" s="161">
        <v>0.47189999999999999</v>
      </c>
      <c r="G26" s="40"/>
    </row>
    <row r="27" spans="1:7" x14ac:dyDescent="0.35">
      <c r="A27" s="39" t="s">
        <v>82</v>
      </c>
      <c r="B27" s="160">
        <v>-2.2633999999999999</v>
      </c>
      <c r="C27" s="161">
        <v>-12.3977</v>
      </c>
      <c r="D27" s="161">
        <v>-22.412800000000001</v>
      </c>
      <c r="E27" s="161">
        <v>-31.040400000000002</v>
      </c>
      <c r="F27" s="161">
        <v>-42.368200000000002</v>
      </c>
      <c r="G27" s="40"/>
    </row>
    <row r="28" spans="1:7" ht="15" thickBot="1" x14ac:dyDescent="0.4">
      <c r="A28" s="97" t="s">
        <v>38</v>
      </c>
      <c r="B28" s="98">
        <v>1.1125</v>
      </c>
      <c r="C28" s="99">
        <v>1.1817</v>
      </c>
      <c r="D28" s="99">
        <v>1.0755999999999999</v>
      </c>
      <c r="E28" s="99">
        <v>1.046</v>
      </c>
      <c r="F28" s="99">
        <v>1.2556</v>
      </c>
      <c r="G28" s="168"/>
    </row>
    <row r="29" spans="1:7" x14ac:dyDescent="0.35">
      <c r="B29" s="8"/>
      <c r="C29" s="56"/>
      <c r="D29" s="56"/>
      <c r="E29" s="56"/>
      <c r="F29" s="56"/>
    </row>
    <row r="31" spans="1:7" ht="72.5" x14ac:dyDescent="0.35">
      <c r="B31" s="55" t="s">
        <v>125</v>
      </c>
    </row>
    <row r="32" spans="1:7" ht="58" x14ac:dyDescent="0.35">
      <c r="B32" s="55" t="s">
        <v>126</v>
      </c>
    </row>
    <row r="35" spans="1:8" x14ac:dyDescent="0.35">
      <c r="A35" s="6" t="s">
        <v>256</v>
      </c>
    </row>
    <row r="36" spans="1:8" x14ac:dyDescent="0.35">
      <c r="A36" t="s">
        <v>255</v>
      </c>
    </row>
    <row r="37" spans="1:8" ht="15" thickBot="1" x14ac:dyDescent="0.4">
      <c r="A37" t="s">
        <v>127</v>
      </c>
    </row>
    <row r="38" spans="1:8" x14ac:dyDescent="0.35">
      <c r="A38" s="198" t="s">
        <v>128</v>
      </c>
      <c r="B38" s="199">
        <v>-10</v>
      </c>
      <c r="C38" s="199">
        <v>0</v>
      </c>
      <c r="D38" s="199">
        <v>10</v>
      </c>
      <c r="E38" s="199">
        <v>20</v>
      </c>
      <c r="F38" s="199">
        <v>30</v>
      </c>
      <c r="G38" s="199">
        <v>40</v>
      </c>
      <c r="H38" s="163" t="s">
        <v>114</v>
      </c>
    </row>
    <row r="39" spans="1:8" x14ac:dyDescent="0.35">
      <c r="A39" s="4" t="s">
        <v>129</v>
      </c>
      <c r="B39" s="186"/>
      <c r="C39" s="141">
        <v>-2.3699999999999999E-2</v>
      </c>
      <c r="D39" s="186"/>
      <c r="E39" s="186"/>
      <c r="F39" s="186"/>
      <c r="G39" s="186"/>
      <c r="H39" s="31"/>
    </row>
    <row r="40" spans="1:8" x14ac:dyDescent="0.35">
      <c r="A40" s="4" t="s">
        <v>130</v>
      </c>
      <c r="B40" s="186"/>
      <c r="C40" s="141">
        <v>4.9099999999999998E-2</v>
      </c>
      <c r="D40" s="186"/>
      <c r="E40" s="186"/>
      <c r="F40" s="186"/>
      <c r="G40" s="186"/>
      <c r="H40" s="31"/>
    </row>
    <row r="41" spans="1:8" x14ac:dyDescent="0.35">
      <c r="A41" s="64" t="s">
        <v>131</v>
      </c>
      <c r="B41" s="153">
        <v>0.64659999999999995</v>
      </c>
      <c r="C41" s="153">
        <v>-6.3156999999999996</v>
      </c>
      <c r="D41" s="153">
        <v>-13.3081</v>
      </c>
      <c r="E41" s="153">
        <v>-21.162199999999999</v>
      </c>
      <c r="F41" s="153">
        <v>-30.135000000000002</v>
      </c>
      <c r="G41" s="153">
        <v>-39.999699999999997</v>
      </c>
      <c r="H41" s="200">
        <f>62.6411426067352/10</f>
        <v>6.2641142606735203</v>
      </c>
    </row>
    <row r="42" spans="1:8" x14ac:dyDescent="0.35">
      <c r="A42" s="64" t="s">
        <v>132</v>
      </c>
      <c r="B42" s="153"/>
      <c r="C42" s="153">
        <v>0.13519999999999999</v>
      </c>
      <c r="D42" s="153"/>
      <c r="E42" s="153"/>
      <c r="F42" s="153"/>
      <c r="G42" s="153"/>
      <c r="H42" s="200"/>
    </row>
    <row r="43" spans="1:8" x14ac:dyDescent="0.35">
      <c r="A43" s="92" t="s">
        <v>133</v>
      </c>
      <c r="B43" s="155"/>
      <c r="C43" s="144">
        <v>-10.0745</v>
      </c>
      <c r="D43" s="155"/>
      <c r="E43" s="155"/>
      <c r="F43" s="155"/>
      <c r="G43" s="155"/>
      <c r="H43" s="107">
        <f>103.243407487869/10</f>
        <v>10.3243407487869</v>
      </c>
    </row>
    <row r="44" spans="1:8" x14ac:dyDescent="0.35">
      <c r="A44" s="92" t="s">
        <v>134</v>
      </c>
      <c r="B44" s="155"/>
      <c r="C44" s="144">
        <v>0.19120000000000001</v>
      </c>
      <c r="D44" s="155"/>
      <c r="E44" s="155"/>
      <c r="F44" s="155"/>
      <c r="G44" s="155"/>
      <c r="H44" s="130"/>
    </row>
    <row r="45" spans="1:8" x14ac:dyDescent="0.35">
      <c r="A45" s="39" t="s">
        <v>135</v>
      </c>
      <c r="B45" s="187">
        <v>3.8721999999999999</v>
      </c>
      <c r="C45" s="187">
        <v>8.2391000000000005</v>
      </c>
      <c r="D45" s="187">
        <v>11.548999999999999</v>
      </c>
      <c r="E45" s="187">
        <v>15.2288</v>
      </c>
      <c r="F45" s="187">
        <v>16.989699999999999</v>
      </c>
      <c r="G45" s="187">
        <v>15.2288</v>
      </c>
      <c r="H45" s="31"/>
    </row>
    <row r="46" spans="1:8" x14ac:dyDescent="0.35">
      <c r="A46" s="64" t="s">
        <v>136</v>
      </c>
      <c r="B46" s="153">
        <v>0.68859999999999999</v>
      </c>
      <c r="C46" s="194">
        <v>-6.2901999999999996</v>
      </c>
      <c r="D46" s="153">
        <v>-13.2858</v>
      </c>
      <c r="E46" s="153">
        <v>-21.145</v>
      </c>
      <c r="F46" s="153">
        <v>-30.131799999999998</v>
      </c>
      <c r="G46" s="153">
        <v>-39.999499999999998</v>
      </c>
      <c r="H46" s="121">
        <f>43.5832846164703/10</f>
        <v>4.3583284616470301</v>
      </c>
    </row>
    <row r="47" spans="1:8" x14ac:dyDescent="0.35">
      <c r="A47" s="64" t="s">
        <v>242</v>
      </c>
      <c r="B47" s="153"/>
      <c r="C47" s="194">
        <v>0.1356</v>
      </c>
      <c r="D47" s="153"/>
      <c r="E47" s="153"/>
      <c r="F47" s="153"/>
      <c r="G47" s="153"/>
      <c r="H47" s="200"/>
    </row>
    <row r="48" spans="1:8" x14ac:dyDescent="0.35">
      <c r="A48" s="92" t="s">
        <v>137</v>
      </c>
      <c r="B48" s="155"/>
      <c r="C48" s="144">
        <v>-10.035600000000001</v>
      </c>
      <c r="D48" s="155"/>
      <c r="E48" s="155"/>
      <c r="F48" s="155"/>
      <c r="G48" s="155"/>
      <c r="H48" s="107">
        <f>65.1636457443237/10</f>
        <v>6.5163645744323704</v>
      </c>
    </row>
    <row r="49" spans="1:8" x14ac:dyDescent="0.35">
      <c r="A49" s="92" t="s">
        <v>138</v>
      </c>
      <c r="B49" s="155"/>
      <c r="C49" s="144">
        <v>0.19500000000000001</v>
      </c>
      <c r="D49" s="155"/>
      <c r="E49" s="155"/>
      <c r="F49" s="155"/>
      <c r="G49" s="155"/>
      <c r="H49" s="130"/>
    </row>
    <row r="50" spans="1:8" x14ac:dyDescent="0.35">
      <c r="A50" s="39" t="s">
        <v>135</v>
      </c>
      <c r="B50" s="187">
        <v>3.9794</v>
      </c>
      <c r="C50" s="187">
        <v>8.2391000000000005</v>
      </c>
      <c r="D50" s="187">
        <v>11.548999999999999</v>
      </c>
      <c r="E50" s="187">
        <v>15.2288</v>
      </c>
      <c r="F50" s="187">
        <v>16.989699999999999</v>
      </c>
      <c r="G50" s="187">
        <v>15.2288</v>
      </c>
      <c r="H50" s="31"/>
    </row>
    <row r="51" spans="1:8" x14ac:dyDescent="0.35">
      <c r="A51" s="201" t="s">
        <v>243</v>
      </c>
      <c r="B51" s="188"/>
      <c r="C51" s="188">
        <v>-5.3327999999999998</v>
      </c>
      <c r="D51" s="188"/>
      <c r="E51" s="188"/>
      <c r="F51" s="188"/>
      <c r="G51" s="188"/>
      <c r="H51" s="202">
        <f xml:space="preserve"> 716.548827409744/10</f>
        <v>71.654882740974401</v>
      </c>
    </row>
    <row r="52" spans="1:8" x14ac:dyDescent="0.35">
      <c r="A52" s="201" t="s">
        <v>139</v>
      </c>
      <c r="B52" s="188"/>
      <c r="C52" s="188">
        <v>0.1361</v>
      </c>
      <c r="D52" s="188"/>
      <c r="E52" s="188"/>
      <c r="F52" s="188"/>
      <c r="G52" s="188"/>
      <c r="H52" s="202"/>
    </row>
    <row r="53" spans="1:8" x14ac:dyDescent="0.35">
      <c r="A53" s="201" t="s">
        <v>140</v>
      </c>
      <c r="B53" s="188"/>
      <c r="C53" s="188">
        <v>-5.2450000000000001</v>
      </c>
      <c r="D53" s="188"/>
      <c r="E53" s="188"/>
      <c r="F53" s="188"/>
      <c r="G53" s="188"/>
      <c r="H53" s="202">
        <f>454.791240692138/10</f>
        <v>45.479124069213796</v>
      </c>
    </row>
    <row r="54" spans="1:8" x14ac:dyDescent="0.35">
      <c r="A54" s="201" t="s">
        <v>141</v>
      </c>
      <c r="B54" s="188"/>
      <c r="C54" s="188">
        <v>0.16539999999999999</v>
      </c>
      <c r="D54" s="188"/>
      <c r="E54" s="188"/>
      <c r="F54" s="188"/>
      <c r="G54" s="188"/>
      <c r="H54" s="202"/>
    </row>
    <row r="55" spans="1:8" x14ac:dyDescent="0.35">
      <c r="A55" s="126" t="s">
        <v>244</v>
      </c>
      <c r="B55" s="189"/>
      <c r="C55" s="189">
        <v>-7.2214999999999998</v>
      </c>
      <c r="D55" s="189"/>
      <c r="E55" s="189"/>
      <c r="F55" s="189"/>
      <c r="G55" s="189"/>
      <c r="H55" s="203">
        <f>7239.32049274444/10</f>
        <v>723.93204927444401</v>
      </c>
    </row>
    <row r="56" spans="1:8" x14ac:dyDescent="0.35">
      <c r="A56" s="126" t="s">
        <v>142</v>
      </c>
      <c r="B56" s="189"/>
      <c r="C56" s="189">
        <v>0.2016</v>
      </c>
      <c r="D56" s="189"/>
      <c r="E56" s="189"/>
      <c r="F56" s="189"/>
      <c r="G56" s="189"/>
      <c r="H56" s="203"/>
    </row>
    <row r="57" spans="1:8" x14ac:dyDescent="0.35">
      <c r="A57" s="126" t="s">
        <v>143</v>
      </c>
      <c r="B57" s="189"/>
      <c r="C57" s="189">
        <v>-7.3093000000000004</v>
      </c>
      <c r="D57" s="189"/>
      <c r="E57" s="189"/>
      <c r="F57" s="189"/>
      <c r="G57" s="189"/>
      <c r="H57" s="203">
        <f>4528.51257133483/10</f>
        <v>452.85125713348299</v>
      </c>
    </row>
    <row r="58" spans="1:8" x14ac:dyDescent="0.35">
      <c r="A58" s="126" t="s">
        <v>144</v>
      </c>
      <c r="B58" s="189"/>
      <c r="C58" s="189">
        <v>0.22800000000000001</v>
      </c>
      <c r="D58" s="189"/>
      <c r="E58" s="189"/>
      <c r="F58" s="189"/>
      <c r="G58" s="189"/>
      <c r="H58" s="203"/>
    </row>
    <row r="59" spans="1:8" x14ac:dyDescent="0.35">
      <c r="A59" s="204" t="s">
        <v>145</v>
      </c>
      <c r="B59" s="193"/>
      <c r="C59" s="195">
        <v>-11.105499999999999</v>
      </c>
      <c r="D59" s="193"/>
      <c r="E59" s="193"/>
      <c r="F59" s="193"/>
      <c r="G59" s="193"/>
      <c r="H59" s="205">
        <f>49.225562095642/10</f>
        <v>4.9225562095641999</v>
      </c>
    </row>
    <row r="60" spans="1:8" x14ac:dyDescent="0.35">
      <c r="A60" s="204" t="s">
        <v>246</v>
      </c>
      <c r="B60" s="193"/>
      <c r="C60" s="195">
        <v>23928</v>
      </c>
      <c r="D60" s="193"/>
      <c r="E60" s="193"/>
      <c r="F60" s="193"/>
      <c r="G60" s="193"/>
      <c r="H60" s="205"/>
    </row>
    <row r="61" spans="1:8" x14ac:dyDescent="0.35">
      <c r="A61" s="204" t="s">
        <v>147</v>
      </c>
      <c r="B61" s="193"/>
      <c r="C61" s="195">
        <v>0.224</v>
      </c>
      <c r="D61" s="193"/>
      <c r="E61" s="193"/>
      <c r="F61" s="193"/>
      <c r="G61" s="193"/>
      <c r="H61" s="205"/>
    </row>
    <row r="62" spans="1:8" x14ac:dyDescent="0.35">
      <c r="A62" s="4" t="s">
        <v>146</v>
      </c>
      <c r="B62" s="141"/>
      <c r="C62" s="141">
        <v>-7.2462999999999997</v>
      </c>
      <c r="D62" s="141"/>
      <c r="E62" s="141"/>
      <c r="F62" s="141"/>
      <c r="G62" s="141"/>
      <c r="H62" s="31"/>
    </row>
    <row r="63" spans="1:8" x14ac:dyDescent="0.35">
      <c r="A63" s="39" t="s">
        <v>193</v>
      </c>
      <c r="B63" s="187"/>
      <c r="C63" s="160">
        <v>-2.3424</v>
      </c>
      <c r="D63" s="160"/>
      <c r="E63" s="160"/>
      <c r="F63" s="160"/>
      <c r="G63" s="160"/>
      <c r="H63" s="114">
        <f>37.5523734092712/10</f>
        <v>3.7552373409271196</v>
      </c>
    </row>
    <row r="64" spans="1:8" x14ac:dyDescent="0.35">
      <c r="A64" s="39" t="s">
        <v>147</v>
      </c>
      <c r="B64" s="187"/>
      <c r="C64" s="160">
        <v>9.2100000000000001E-2</v>
      </c>
      <c r="D64" s="160"/>
      <c r="E64" s="160"/>
      <c r="F64" s="160"/>
      <c r="G64" s="160"/>
      <c r="H64" s="114"/>
    </row>
    <row r="65" spans="1:9" x14ac:dyDescent="0.35">
      <c r="A65" s="61" t="s">
        <v>148</v>
      </c>
      <c r="B65" s="190"/>
      <c r="C65" s="146" t="s">
        <v>149</v>
      </c>
      <c r="D65" s="146"/>
      <c r="E65" s="146"/>
      <c r="F65" s="146"/>
      <c r="G65" s="146"/>
      <c r="H65" s="109">
        <f>73.5869255065917/10</f>
        <v>7.3586925506591694</v>
      </c>
    </row>
    <row r="66" spans="1:9" x14ac:dyDescent="0.35">
      <c r="A66" s="61" t="s">
        <v>246</v>
      </c>
      <c r="B66" s="190"/>
      <c r="C66" s="191">
        <v>33270</v>
      </c>
      <c r="D66" s="146"/>
      <c r="E66" s="146"/>
      <c r="F66" s="146"/>
      <c r="G66" s="146"/>
      <c r="H66" s="109"/>
    </row>
    <row r="67" spans="1:9" x14ac:dyDescent="0.35">
      <c r="A67" s="61" t="s">
        <v>147</v>
      </c>
      <c r="B67" s="190"/>
      <c r="C67" s="146">
        <v>0.32890000000000003</v>
      </c>
      <c r="D67" s="146"/>
      <c r="E67" s="146"/>
      <c r="F67" s="146"/>
      <c r="G67" s="146"/>
      <c r="H67" s="109"/>
    </row>
    <row r="68" spans="1:9" x14ac:dyDescent="0.35">
      <c r="A68" s="61" t="s">
        <v>150</v>
      </c>
      <c r="B68" s="190"/>
      <c r="C68" s="146" t="s">
        <v>151</v>
      </c>
      <c r="D68" s="146"/>
      <c r="E68" s="146"/>
      <c r="F68" s="146"/>
      <c r="G68" s="146"/>
      <c r="H68" s="109">
        <f>146.174109458923/10</f>
        <v>14.617410945892299</v>
      </c>
    </row>
    <row r="69" spans="1:9" x14ac:dyDescent="0.35">
      <c r="A69" s="61" t="s">
        <v>246</v>
      </c>
      <c r="B69" s="190"/>
      <c r="C69" s="191">
        <f>33270*2</f>
        <v>66540</v>
      </c>
      <c r="D69" s="146"/>
      <c r="E69" s="146"/>
      <c r="F69" s="146"/>
      <c r="G69" s="146"/>
      <c r="H69" s="109"/>
    </row>
    <row r="70" spans="1:9" x14ac:dyDescent="0.35">
      <c r="A70" s="61" t="s">
        <v>147</v>
      </c>
      <c r="B70" s="190"/>
      <c r="C70" s="146">
        <v>0.30059999999999998</v>
      </c>
      <c r="D70" s="146"/>
      <c r="E70" s="146"/>
      <c r="F70" s="146"/>
      <c r="G70" s="146"/>
      <c r="H70" s="109"/>
    </row>
    <row r="71" spans="1:9" x14ac:dyDescent="0.35">
      <c r="A71" s="76" t="s">
        <v>152</v>
      </c>
      <c r="B71" s="192"/>
      <c r="C71" s="197" t="s">
        <v>257</v>
      </c>
      <c r="D71" s="196"/>
      <c r="E71" s="196"/>
      <c r="F71" s="196"/>
      <c r="G71" s="196"/>
      <c r="H71" s="77">
        <f>254.527338504791/10</f>
        <v>25.452733850479099</v>
      </c>
      <c r="I71" s="14"/>
    </row>
    <row r="72" spans="1:9" x14ac:dyDescent="0.35">
      <c r="A72" s="76" t="s">
        <v>246</v>
      </c>
      <c r="B72" s="192"/>
      <c r="C72" s="197">
        <v>41236</v>
      </c>
      <c r="D72" s="196"/>
      <c r="E72" s="196"/>
      <c r="F72" s="196"/>
      <c r="G72" s="196"/>
      <c r="H72" s="77"/>
      <c r="I72" s="14"/>
    </row>
    <row r="73" spans="1:9" ht="15" thickBot="1" x14ac:dyDescent="0.4">
      <c r="A73" s="79" t="s">
        <v>245</v>
      </c>
      <c r="B73" s="206"/>
      <c r="C73" s="137">
        <v>0.35239999999999999</v>
      </c>
      <c r="D73" s="80"/>
      <c r="E73" s="80"/>
      <c r="F73" s="80"/>
      <c r="G73" s="80"/>
      <c r="H73" s="81"/>
      <c r="I73" s="14"/>
    </row>
    <row r="75" spans="1:9" ht="15" thickBot="1" x14ac:dyDescent="0.4"/>
    <row r="76" spans="1:9" x14ac:dyDescent="0.35">
      <c r="B76" s="48" t="s">
        <v>153</v>
      </c>
      <c r="C76" s="49">
        <v>-15.4787</v>
      </c>
      <c r="D76" s="15"/>
      <c r="E76" s="15"/>
    </row>
    <row r="77" spans="1:9" x14ac:dyDescent="0.35">
      <c r="B77" s="29" t="s">
        <v>147</v>
      </c>
      <c r="C77" s="46" t="s">
        <v>154</v>
      </c>
      <c r="D77" s="15"/>
      <c r="E77" s="15"/>
    </row>
    <row r="78" spans="1:9" x14ac:dyDescent="0.35">
      <c r="B78" s="29"/>
      <c r="C78" s="46"/>
      <c r="D78" s="15"/>
      <c r="E78" s="15"/>
    </row>
    <row r="79" spans="1:9" x14ac:dyDescent="0.35">
      <c r="B79" s="29" t="s">
        <v>155</v>
      </c>
      <c r="C79" s="46">
        <v>-15.4361</v>
      </c>
      <c r="D79" s="15"/>
      <c r="E79" s="15"/>
    </row>
    <row r="80" spans="1:9" x14ac:dyDescent="0.35">
      <c r="B80" s="29" t="s">
        <v>147</v>
      </c>
      <c r="C80" s="46" t="s">
        <v>156</v>
      </c>
      <c r="D80" s="15"/>
      <c r="E80" s="15"/>
    </row>
    <row r="81" spans="1:5" x14ac:dyDescent="0.35">
      <c r="B81" s="29"/>
      <c r="C81" s="46"/>
      <c r="D81" s="15"/>
      <c r="E81" s="15"/>
    </row>
    <row r="82" spans="1:5" x14ac:dyDescent="0.35">
      <c r="B82" s="29" t="s">
        <v>157</v>
      </c>
      <c r="C82" s="46">
        <v>-26.090299999999999</v>
      </c>
      <c r="D82" s="15"/>
      <c r="E82" s="15"/>
    </row>
    <row r="83" spans="1:5" x14ac:dyDescent="0.35">
      <c r="B83" s="29" t="s">
        <v>147</v>
      </c>
      <c r="C83" s="46" t="s">
        <v>158</v>
      </c>
      <c r="D83" s="15"/>
      <c r="E83" s="15"/>
    </row>
    <row r="84" spans="1:5" x14ac:dyDescent="0.35">
      <c r="B84" s="29"/>
      <c r="C84" s="46"/>
      <c r="D84" s="15"/>
      <c r="E84" s="15"/>
    </row>
    <row r="85" spans="1:5" x14ac:dyDescent="0.35">
      <c r="B85" s="29" t="s">
        <v>159</v>
      </c>
      <c r="C85" s="46">
        <v>-15.9239</v>
      </c>
      <c r="D85" s="15"/>
      <c r="E85" s="15"/>
    </row>
    <row r="86" spans="1:5" ht="15" thickBot="1" x14ac:dyDescent="0.4">
      <c r="B86" s="30" t="s">
        <v>147</v>
      </c>
      <c r="C86" s="47" t="s">
        <v>160</v>
      </c>
      <c r="D86" s="15"/>
      <c r="E86" s="15"/>
    </row>
    <row r="87" spans="1:5" x14ac:dyDescent="0.35">
      <c r="B87" s="45" t="s">
        <v>161</v>
      </c>
      <c r="C87" s="45"/>
      <c r="D87" s="15"/>
      <c r="E87" s="15"/>
    </row>
    <row r="88" spans="1:5" x14ac:dyDescent="0.35">
      <c r="B88" s="45" t="s">
        <v>162</v>
      </c>
      <c r="C88" s="15"/>
      <c r="D88" s="15"/>
      <c r="E88" s="15"/>
    </row>
    <row r="89" spans="1:5" x14ac:dyDescent="0.35">
      <c r="B89" s="29" t="s">
        <v>159</v>
      </c>
      <c r="C89" s="57">
        <v>-16.803100000000001</v>
      </c>
      <c r="D89" s="15"/>
      <c r="E89" s="15"/>
    </row>
    <row r="90" spans="1:5" ht="15" thickBot="1" x14ac:dyDescent="0.4">
      <c r="B90" s="30" t="s">
        <v>147</v>
      </c>
      <c r="C90" s="47" t="s">
        <v>163</v>
      </c>
      <c r="D90" s="15"/>
      <c r="E90" s="15"/>
    </row>
    <row r="91" spans="1:5" x14ac:dyDescent="0.35">
      <c r="B91" s="15"/>
      <c r="C91" s="15"/>
      <c r="D91" s="15"/>
      <c r="E91" s="15"/>
    </row>
    <row r="94" spans="1:5" x14ac:dyDescent="0.35">
      <c r="A94" s="6" t="s">
        <v>164</v>
      </c>
    </row>
    <row r="95" spans="1:5" x14ac:dyDescent="0.35">
      <c r="A95" t="s">
        <v>165</v>
      </c>
      <c r="B95" t="s">
        <v>53</v>
      </c>
    </row>
    <row r="96" spans="1:5" ht="15" thickBot="1" x14ac:dyDescent="0.4">
      <c r="A96" t="s">
        <v>166</v>
      </c>
    </row>
    <row r="97" spans="1:7" x14ac:dyDescent="0.35">
      <c r="A97" s="12" t="s">
        <v>112</v>
      </c>
      <c r="B97" s="27" t="s">
        <v>4</v>
      </c>
      <c r="C97" s="27" t="s">
        <v>167</v>
      </c>
      <c r="D97" s="27" t="s">
        <v>168</v>
      </c>
      <c r="E97" s="27" t="s">
        <v>169</v>
      </c>
      <c r="F97" s="35" t="s">
        <v>170</v>
      </c>
      <c r="G97" t="s">
        <v>114</v>
      </c>
    </row>
    <row r="98" spans="1:7" x14ac:dyDescent="0.35">
      <c r="A98" s="92" t="s">
        <v>171</v>
      </c>
      <c r="B98" s="96">
        <v>6.5773000000000001</v>
      </c>
      <c r="C98" s="93">
        <v>-3.4483999999999999</v>
      </c>
      <c r="D98" s="93">
        <v>-13.467700000000001</v>
      </c>
      <c r="E98" s="93">
        <v>-23.496300000000002</v>
      </c>
      <c r="F98" s="130">
        <v>-33.437199999999997</v>
      </c>
      <c r="G98" s="15">
        <f>14.5102045536041/200</f>
        <v>7.2551022768020501E-2</v>
      </c>
    </row>
    <row r="99" spans="1:7" x14ac:dyDescent="0.35">
      <c r="A99" s="92" t="s">
        <v>38</v>
      </c>
      <c r="B99" s="96">
        <v>0.76670000000000005</v>
      </c>
      <c r="C99" s="93">
        <v>0.87109999999999999</v>
      </c>
      <c r="D99" s="93">
        <v>0.85460000000000003</v>
      </c>
      <c r="E99" s="93">
        <v>0.83240000000000003</v>
      </c>
      <c r="F99" s="130">
        <v>0.88029999999999997</v>
      </c>
      <c r="G99" s="15"/>
    </row>
    <row r="100" spans="1:7" x14ac:dyDescent="0.35">
      <c r="A100" s="64" t="s">
        <v>116</v>
      </c>
      <c r="B100" s="65">
        <v>24.692499999999999</v>
      </c>
      <c r="C100" s="66">
        <v>12.1965</v>
      </c>
      <c r="D100" s="66">
        <v>-6.3433000000000002</v>
      </c>
      <c r="E100" s="66">
        <v>-15.574299999999999</v>
      </c>
      <c r="F100" s="67">
        <v>-26.417899999999999</v>
      </c>
      <c r="G100" s="15">
        <f>10.0126116275787/200</f>
        <v>5.0063058137893496E-2</v>
      </c>
    </row>
    <row r="101" spans="1:7" x14ac:dyDescent="0.35">
      <c r="A101" s="64" t="s">
        <v>38</v>
      </c>
      <c r="B101" s="65">
        <v>4.1466000000000003</v>
      </c>
      <c r="C101" s="66">
        <v>8.0610999999999997</v>
      </c>
      <c r="D101" s="66">
        <v>1.9612000000000001</v>
      </c>
      <c r="E101" s="66">
        <v>3.4508000000000001</v>
      </c>
      <c r="F101" s="67">
        <v>1.7428999999999999</v>
      </c>
      <c r="G101" s="15"/>
    </row>
    <row r="102" spans="1:7" x14ac:dyDescent="0.35">
      <c r="A102" s="92" t="s">
        <v>118</v>
      </c>
      <c r="B102" s="96">
        <v>24.7393</v>
      </c>
      <c r="C102" s="94">
        <v>12.0449</v>
      </c>
      <c r="D102" s="94">
        <v>-7.6127000000000002</v>
      </c>
      <c r="E102" s="94">
        <v>-16.134399999999999</v>
      </c>
      <c r="F102" s="95">
        <v>-28.211300000000001</v>
      </c>
      <c r="G102" s="15">
        <f>18.9219133853912/200</f>
        <v>9.4609566926956004E-2</v>
      </c>
    </row>
    <row r="103" spans="1:7" x14ac:dyDescent="0.35">
      <c r="A103" s="92" t="s">
        <v>38</v>
      </c>
      <c r="B103" s="96">
        <v>4.3129999999999997</v>
      </c>
      <c r="C103" s="94">
        <v>8.2604000000000006</v>
      </c>
      <c r="D103" s="94">
        <v>2.4744000000000002</v>
      </c>
      <c r="E103" s="94">
        <v>5.1573000000000002</v>
      </c>
      <c r="F103" s="95">
        <v>1.5481</v>
      </c>
    </row>
    <row r="104" spans="1:7" x14ac:dyDescent="0.35">
      <c r="A104" s="4" t="s">
        <v>172</v>
      </c>
      <c r="B104" s="22"/>
      <c r="C104" s="56"/>
      <c r="D104" s="56"/>
      <c r="E104" s="56"/>
      <c r="F104" s="58"/>
    </row>
    <row r="105" spans="1:7" x14ac:dyDescent="0.35">
      <c r="A105" s="4" t="s">
        <v>38</v>
      </c>
      <c r="B105" s="8"/>
      <c r="C105" s="56"/>
      <c r="D105" s="56"/>
      <c r="E105" s="56"/>
      <c r="F105" s="58"/>
    </row>
    <row r="106" spans="1:7" x14ac:dyDescent="0.35">
      <c r="A106" s="126" t="s">
        <v>194</v>
      </c>
      <c r="B106" s="131">
        <v>20.490300000000001</v>
      </c>
      <c r="C106" s="128">
        <v>7.6124000000000001</v>
      </c>
      <c r="D106" s="128">
        <v>-7.0929000000000002</v>
      </c>
      <c r="E106" s="128">
        <v>-17.293199999999999</v>
      </c>
      <c r="F106" s="129">
        <v>-27.138400000000001</v>
      </c>
      <c r="G106">
        <f>1003.49414610862/200</f>
        <v>5.0174707305431001</v>
      </c>
    </row>
    <row r="107" spans="1:7" x14ac:dyDescent="0.35">
      <c r="A107" s="126" t="s">
        <v>38</v>
      </c>
      <c r="B107" s="127">
        <v>6.1867999999999999</v>
      </c>
      <c r="C107" s="128">
        <v>10.071300000000001</v>
      </c>
      <c r="D107" s="128">
        <v>1.8214999999999999</v>
      </c>
      <c r="E107" s="128">
        <v>1.7037</v>
      </c>
      <c r="F107" s="129">
        <v>1.7424999999999999</v>
      </c>
    </row>
    <row r="108" spans="1:7" x14ac:dyDescent="0.35">
      <c r="A108" s="61" t="s">
        <v>122</v>
      </c>
      <c r="B108" s="62">
        <v>21.093800000000002</v>
      </c>
      <c r="C108" s="124">
        <v>10.8035</v>
      </c>
      <c r="D108" s="124">
        <v>-8.0739999999999998</v>
      </c>
      <c r="E108" s="124">
        <v>-17.941099999999999</v>
      </c>
      <c r="F108" s="125">
        <v>-27.476400000000002</v>
      </c>
      <c r="G108">
        <f>12.0926365852355/200</f>
        <v>6.04631829261775E-2</v>
      </c>
    </row>
    <row r="109" spans="1:7" x14ac:dyDescent="0.35">
      <c r="A109" s="61" t="s">
        <v>38</v>
      </c>
      <c r="B109" s="62">
        <v>2.9011</v>
      </c>
      <c r="C109" s="124">
        <v>8.9991000000000003</v>
      </c>
      <c r="D109" s="124">
        <v>1.4996</v>
      </c>
      <c r="E109" s="124">
        <v>1.7119</v>
      </c>
      <c r="F109" s="125">
        <v>1.5530999999999999</v>
      </c>
    </row>
    <row r="110" spans="1:7" x14ac:dyDescent="0.35">
      <c r="A110" s="61" t="s">
        <v>173</v>
      </c>
      <c r="B110" s="62" t="s">
        <v>174</v>
      </c>
      <c r="C110" s="124"/>
      <c r="D110" s="124">
        <v>-7.4996</v>
      </c>
      <c r="E110" s="124"/>
      <c r="F110" s="125"/>
    </row>
    <row r="111" spans="1:7" x14ac:dyDescent="0.35">
      <c r="A111" s="61" t="s">
        <v>38</v>
      </c>
      <c r="B111" s="62"/>
      <c r="C111" s="124"/>
      <c r="D111" s="124">
        <v>1.8466</v>
      </c>
      <c r="E111" s="124"/>
      <c r="F111" s="125"/>
    </row>
    <row r="112" spans="1:7" x14ac:dyDescent="0.35">
      <c r="A112" s="4" t="s">
        <v>175</v>
      </c>
      <c r="B112" s="8"/>
      <c r="C112" s="56"/>
      <c r="D112" s="56">
        <v>-7.8452000000000002</v>
      </c>
      <c r="E112" s="56"/>
      <c r="F112" s="58"/>
    </row>
    <row r="113" spans="1:7" x14ac:dyDescent="0.35">
      <c r="A113" s="4"/>
      <c r="B113" s="8"/>
      <c r="C113" s="56"/>
      <c r="D113" s="56"/>
      <c r="E113" s="56"/>
      <c r="F113" s="58"/>
    </row>
    <row r="114" spans="1:7" x14ac:dyDescent="0.35">
      <c r="A114" s="61" t="s">
        <v>176</v>
      </c>
      <c r="B114" s="62">
        <v>19.848700000000001</v>
      </c>
      <c r="C114" s="124">
        <v>6.1003999999999996</v>
      </c>
      <c r="D114" s="124">
        <v>-8.1217000000000006</v>
      </c>
      <c r="E114" s="124">
        <v>-17.959700000000002</v>
      </c>
      <c r="F114" s="125">
        <v>-27.630199999999999</v>
      </c>
      <c r="G114">
        <f>23.5590772628784/200</f>
        <v>0.117795386314392</v>
      </c>
    </row>
    <row r="115" spans="1:7" x14ac:dyDescent="0.35">
      <c r="A115" s="61" t="s">
        <v>38</v>
      </c>
      <c r="B115" s="62">
        <v>4.1829999999999998</v>
      </c>
      <c r="C115" s="124">
        <v>6.6140999999999996</v>
      </c>
      <c r="D115" s="124">
        <v>1.5213000000000001</v>
      </c>
      <c r="E115" s="124">
        <v>1.6759999999999999</v>
      </c>
      <c r="F115" s="125">
        <v>1.5582</v>
      </c>
    </row>
    <row r="116" spans="1:7" x14ac:dyDescent="0.35">
      <c r="A116" s="76" t="s">
        <v>82</v>
      </c>
      <c r="B116" s="73"/>
      <c r="C116" s="132"/>
      <c r="D116" s="132"/>
      <c r="E116" s="132"/>
      <c r="F116" s="133"/>
    </row>
    <row r="117" spans="1:7" ht="15" thickBot="1" x14ac:dyDescent="0.4">
      <c r="A117" s="79" t="s">
        <v>38</v>
      </c>
      <c r="B117" s="80"/>
      <c r="C117" s="134"/>
      <c r="D117" s="134"/>
      <c r="E117" s="134"/>
      <c r="F117" s="135"/>
    </row>
    <row r="120" spans="1:7" x14ac:dyDescent="0.35">
      <c r="A120" t="s">
        <v>177</v>
      </c>
    </row>
    <row r="121" spans="1:7" ht="15" thickBot="1" x14ac:dyDescent="0.4">
      <c r="A121" t="s">
        <v>178</v>
      </c>
    </row>
    <row r="122" spans="1:7" x14ac:dyDescent="0.35">
      <c r="A122" s="12" t="s">
        <v>179</v>
      </c>
      <c r="B122" s="27" t="s">
        <v>180</v>
      </c>
      <c r="C122" s="35" t="s">
        <v>181</v>
      </c>
    </row>
    <row r="123" spans="1:7" x14ac:dyDescent="0.35">
      <c r="A123" s="4" t="s">
        <v>182</v>
      </c>
      <c r="B123" s="22" t="s">
        <v>183</v>
      </c>
      <c r="C123" s="31">
        <v>-1.1000000000000001E-3</v>
      </c>
    </row>
    <row r="124" spans="1:7" x14ac:dyDescent="0.35">
      <c r="A124" s="4" t="s">
        <v>184</v>
      </c>
      <c r="B124" s="22">
        <v>10.7</v>
      </c>
      <c r="C124" s="31">
        <v>11.33</v>
      </c>
    </row>
    <row r="125" spans="1:7" ht="15" thickBot="1" x14ac:dyDescent="0.4">
      <c r="A125" s="5" t="s">
        <v>185</v>
      </c>
      <c r="B125" s="59">
        <v>45.5</v>
      </c>
      <c r="C125" s="60">
        <v>60.37</v>
      </c>
    </row>
    <row r="126" spans="1:7" x14ac:dyDescent="0.35">
      <c r="A126" s="68" t="s">
        <v>186</v>
      </c>
    </row>
    <row r="127" spans="1:7" x14ac:dyDescent="0.35">
      <c r="A127" t="s">
        <v>187</v>
      </c>
    </row>
    <row r="129" spans="1:3" ht="15" thickBot="1" x14ac:dyDescent="0.4">
      <c r="A129" s="68" t="s">
        <v>188</v>
      </c>
    </row>
    <row r="130" spans="1:3" x14ac:dyDescent="0.35">
      <c r="A130" s="12" t="s">
        <v>179</v>
      </c>
      <c r="B130" s="35" t="s">
        <v>189</v>
      </c>
    </row>
    <row r="131" spans="1:3" x14ac:dyDescent="0.35">
      <c r="A131" s="4" t="s">
        <v>190</v>
      </c>
      <c r="B131" s="31">
        <v>5.1999999999999998E-3</v>
      </c>
    </row>
    <row r="132" spans="1:3" ht="15" thickBot="1" x14ac:dyDescent="0.4">
      <c r="A132" s="5" t="s">
        <v>38</v>
      </c>
      <c r="B132" s="60">
        <v>0.37640000000000001</v>
      </c>
    </row>
    <row r="133" spans="1:3" ht="15" thickBot="1" x14ac:dyDescent="0.4"/>
    <row r="134" spans="1:3" x14ac:dyDescent="0.35">
      <c r="A134" s="12" t="s">
        <v>179</v>
      </c>
      <c r="B134" s="35" t="s">
        <v>191</v>
      </c>
      <c r="C134" s="22" t="s">
        <v>192</v>
      </c>
    </row>
    <row r="135" spans="1:3" x14ac:dyDescent="0.35">
      <c r="A135" s="4" t="s">
        <v>184</v>
      </c>
      <c r="B135" s="31">
        <v>31.4848</v>
      </c>
      <c r="C135" s="22">
        <v>25.6937</v>
      </c>
    </row>
    <row r="136" spans="1:3" ht="15" thickBot="1" x14ac:dyDescent="0.4">
      <c r="A136" s="5" t="s">
        <v>38</v>
      </c>
      <c r="B136" s="60">
        <v>2.2843</v>
      </c>
      <c r="C136" s="22">
        <v>2.0991</v>
      </c>
    </row>
  </sheetData>
  <pageMargins left="0.7" right="0.7" top="0.75" bottom="0.75" header="0.3" footer="0.3"/>
  <pageSetup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F8D5DE11EDD1A49B464B6BF3ADA4F63" ma:contentTypeVersion="0" ma:contentTypeDescription="Ein neues Dokument erstellen." ma:contentTypeScope="" ma:versionID="07a3bf1895d6ac109c44a5f0e94fb83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7ff738b283b7a8cd87d56399fae662c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268FFC7-E0A8-474E-82F2-6EB808EA36C2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7036101-9D85-405B-9E55-4A34C4439FD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2BCF7BB-2741-482F-B9A7-38B0145EE9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Xiaoyong Ni</dc:creator>
  <cp:keywords/>
  <dc:description/>
  <cp:lastModifiedBy>Xiaoyong Ni</cp:lastModifiedBy>
  <cp:revision/>
  <dcterms:created xsi:type="dcterms:W3CDTF">2015-06-05T18:19:34Z</dcterms:created>
  <dcterms:modified xsi:type="dcterms:W3CDTF">2022-09-19T21:07:29Z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0x0101003F8D5DE11EDD1A49B464B6BF3ADA4F63</vt:lpwstr>
  </property>
</Properties>
</file>