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7B07C1A1-5B0E-4A37-A455-9C0A015707B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4" i="1" l="1"/>
  <c r="G147" i="1"/>
  <c r="I103" i="1"/>
  <c r="G103" i="1"/>
  <c r="E103" i="1"/>
  <c r="I101" i="1"/>
  <c r="G63" i="1"/>
  <c r="G49" i="1"/>
  <c r="G101" i="1"/>
  <c r="G61" i="1"/>
  <c r="G47" i="1"/>
  <c r="E101" i="1"/>
  <c r="G98" i="3"/>
  <c r="H57" i="3"/>
  <c r="G92" i="3"/>
  <c r="G86" i="3"/>
  <c r="G84" i="3"/>
  <c r="G82" i="3"/>
  <c r="G15" i="3"/>
  <c r="G11" i="3"/>
  <c r="G7" i="3"/>
  <c r="H51" i="3"/>
  <c r="H55" i="3"/>
  <c r="H53" i="3"/>
  <c r="H40" i="3"/>
  <c r="H36" i="3"/>
  <c r="B28" i="3"/>
  <c r="B27" i="3"/>
  <c r="B26" i="3"/>
  <c r="I112" i="1"/>
  <c r="I110" i="1"/>
  <c r="I108" i="1"/>
  <c r="G112" i="1"/>
  <c r="G110" i="1"/>
  <c r="G108" i="1"/>
  <c r="E110" i="1"/>
  <c r="E112" i="1"/>
  <c r="E108" i="1"/>
  <c r="C112" i="1"/>
  <c r="C110" i="1"/>
  <c r="C108" i="1"/>
  <c r="G95" i="1"/>
  <c r="G93" i="1"/>
  <c r="I95" i="1"/>
  <c r="I93" i="1"/>
  <c r="I97" i="1"/>
  <c r="K99" i="1"/>
  <c r="K95" i="1"/>
  <c r="K93" i="1"/>
  <c r="C97" i="1"/>
  <c r="I99" i="1"/>
  <c r="E99" i="1"/>
  <c r="G99" i="1"/>
  <c r="G97" i="1"/>
  <c r="E97" i="1"/>
  <c r="E95" i="1"/>
  <c r="E93" i="1"/>
  <c r="C95" i="1"/>
  <c r="C93" i="1"/>
  <c r="G169" i="1"/>
  <c r="G163" i="1"/>
  <c r="G157" i="1"/>
  <c r="G45" i="1"/>
  <c r="G59" i="1"/>
  <c r="G57" i="1"/>
  <c r="G55" i="1"/>
  <c r="B135" i="1"/>
  <c r="G135" i="1"/>
  <c r="G132" i="1"/>
  <c r="G129" i="1"/>
  <c r="G126" i="1"/>
  <c r="G123" i="1"/>
  <c r="B31" i="1"/>
  <c r="C45" i="1"/>
  <c r="G43" i="1"/>
  <c r="G41" i="1"/>
  <c r="G33" i="1"/>
  <c r="G31" i="1"/>
  <c r="G29" i="1"/>
</calcChain>
</file>

<file path=xl/sharedStrings.xml><?xml version="1.0" encoding="utf-8"?>
<sst xmlns="http://schemas.openxmlformats.org/spreadsheetml/2006/main" count="372" uniqueCount="221">
  <si>
    <t>N_E=1000, N_CV=100, N_T=200</t>
  </si>
  <si>
    <t>1/r2 [dB], 1/q2 [dB]</t>
  </si>
  <si>
    <t>[-10,10]</t>
  </si>
  <si>
    <t>[0,20]</t>
  </si>
  <si>
    <t>10,30</t>
  </si>
  <si>
    <t>20,40</t>
  </si>
  <si>
    <t>30,50</t>
  </si>
  <si>
    <t>RTS true [dB]</t>
  </si>
  <si>
    <t>RTSNet true [dB] (n_Epochs=500, n_Batch=30, learningRate=1E-3, weightDecay=1E-9)</t>
  </si>
  <si>
    <t>H = H_(theta=10)</t>
  </si>
  <si>
    <t>T=100 (Trajectory Length) 2x2, N_E=1000, N_CV=100, N_T=200, v = -20 [dB]</t>
  </si>
  <si>
    <t>RunTime/traj  (s) (GPU, high RAM for all)</t>
  </si>
  <si>
    <t>KF H=I std [dB]</t>
  </si>
  <si>
    <t>KF full(H=H_rot10) [dB]</t>
  </si>
  <si>
    <t>KF full std [dB]</t>
  </si>
  <si>
    <t>KF partial(H=I)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</si>
  <si>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</si>
  <si>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</si>
  <si>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</si>
  <si>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</si>
  <si>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</si>
  <si>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</si>
  <si>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</si>
  <si>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</si>
  <si>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</si>
  <si>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</si>
  <si>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RTSNet F_hat [dB]</t>
  </si>
  <si>
    <t>RTSNet F_hat std [dB]</t>
  </si>
  <si>
    <t>KF full [dB]</t>
  </si>
  <si>
    <t>KF partial std [dB]</t>
  </si>
  <si>
    <t>RTS full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</si>
  <si>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</si>
  <si>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</si>
  <si>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</si>
  <si>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</si>
  <si>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</si>
  <si>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</si>
  <si>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</si>
  <si>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</si>
  <si>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</si>
  <si>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[1/r2 [dB], 1/q^2 [dB]]</t>
  </si>
  <si>
    <t>[0, 20]</t>
  </si>
  <si>
    <t xml:space="preserve">EKF full [dB] </t>
  </si>
  <si>
    <t>Inference Time(s) T=200 (colab pro's CPU, high RAM )</t>
  </si>
  <si>
    <t>EKF</t>
  </si>
  <si>
    <t>RTSNet</t>
  </si>
  <si>
    <t>MSE 5x5</t>
  </si>
  <si>
    <t>MSE 10x10</t>
  </si>
  <si>
    <t>F = F_(theta=10)</t>
  </si>
  <si>
    <t>2x2, H=I, Trajectory Length T=100, Dataset size: N_E=1000, N_CV=100, N_T=200</t>
  </si>
  <si>
    <t>[-10,-10]</t>
  </si>
  <si>
    <t>[0,0]</t>
  </si>
  <si>
    <t>v = 0 dB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</si>
  <si>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</si>
  <si>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</si>
  <si>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</si>
  <si>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</si>
  <si>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</si>
  <si>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</si>
  <si>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</si>
  <si>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</si>
  <si>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</si>
  <si>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</si>
  <si>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</si>
  <si>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</si>
  <si>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</si>
  <si>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</si>
  <si>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</si>
  <si>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</si>
  <si>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</si>
  <si>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</si>
  <si>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</si>
  <si>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</si>
  <si>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</si>
  <si>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</si>
  <si>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</si>
  <si>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</si>
  <si>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</si>
  <si>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</si>
  <si>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</si>
  <si>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</si>
  <si>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</si>
  <si>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</si>
  <si>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</si>
  <si>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</si>
  <si>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</si>
  <si>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KF partial(F = I) [dB]</t>
  </si>
  <si>
    <t>RTS partial(F = I) [dB]</t>
  </si>
  <si>
    <t>RTSNet partial(F = I) (n_Epochs=2000, n_Batch=1, learningRate=1E-3, weightDecay=1E-9)[dB]</t>
  </si>
  <si>
    <t>Generalization to Random initial conditions(x1 and x2 both uniformly distributed on [0,100) )</t>
  </si>
  <si>
    <t xml:space="preserve">4) Model Mismatch and learning parts of the model in a supervised way </t>
  </si>
  <si>
    <t xml:space="preserve">State evolution model mismatch </t>
  </si>
  <si>
    <t xml:space="preserve">Observation mismatch  </t>
  </si>
  <si>
    <t>5) Decimation for linear</t>
  </si>
  <si>
    <t>Generalization to 5x5, 10x10, 20x20, 40x40</t>
  </si>
  <si>
    <t>RunTime for 10x10 (s)</t>
  </si>
  <si>
    <t>RunTime for 5x5 (s)</t>
  </si>
  <si>
    <t>MSE2x2</t>
  </si>
  <si>
    <t>RunTime for 2x2 (s)</t>
  </si>
  <si>
    <t>MSE 20x20</t>
  </si>
  <si>
    <t>RunTime for 20x20 (s)</t>
  </si>
  <si>
    <t>RTSNet (reduced parameters) [dB]</t>
  </si>
  <si>
    <t>dB: -12.2755 #parameter: 6428140</t>
  </si>
  <si>
    <t>dB: -11.9725 #parameters: 28285</t>
  </si>
  <si>
    <t>dB: -12.0231 #parameters: 416070</t>
  </si>
  <si>
    <t>MSE 40x40</t>
  </si>
  <si>
    <t>RunTime for 40x40 (s)</t>
  </si>
  <si>
    <t>N_CV=5, N_T = 10, all decimated from T=6E6 with q=0&amp;delta_t=1E-5, add observation noise r</t>
  </si>
  <si>
    <t>traj length T=3000, delta_t=0.02</t>
  </si>
  <si>
    <t>1/r2[dB]</t>
  </si>
  <si>
    <t>EKF J=5, optimized q [dB]</t>
    <phoneticPr fontId="1" type="noConversion"/>
  </si>
  <si>
    <t>optimal 1/q2 [dB]</t>
    <phoneticPr fontId="1" type="noConversion"/>
  </si>
  <si>
    <t>EKF J=2, optimized q [dB]</t>
    <phoneticPr fontId="1" type="noConversion"/>
  </si>
  <si>
    <t>PF J=5 [dB]</t>
  </si>
  <si>
    <t>PF J=2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</si>
  <si>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</si>
  <si>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</si>
  <si>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RTSNet new arch J=2 [dB], train on T=3000 (n_Epochs=1000, n_Batch=1, learningRate=1e-3, weightDecay=1e-4)</t>
  </si>
  <si>
    <t>Hybrid</t>
  </si>
  <si>
    <t>dB: -11.1840 #parameters:101264280</t>
  </si>
  <si>
    <t xml:space="preserve">T=20, T_test=20 (Trajectory Length) 1/r2 [dB], 1/q2 [dB]=[0,20] </t>
  </si>
  <si>
    <t>RTSNet [dB] (n_Epochs=5000, n_Batch=5, learningRate=1E-4, weightDecay=1E-3)</t>
  </si>
  <si>
    <t>dB: -11.9332 #parameters: 3636450</t>
  </si>
  <si>
    <t>concat two trained RTSNets</t>
  </si>
  <si>
    <t>first-pass</t>
  </si>
  <si>
    <t>std</t>
  </si>
  <si>
    <t>±0.0299</t>
  </si>
  <si>
    <t>±0.1831</t>
  </si>
  <si>
    <t>±0.276</t>
  </si>
  <si>
    <t>±0.3289</t>
  </si>
  <si>
    <t>dB:-11.9427 #parameters:237950</t>
  </si>
  <si>
    <t>±0.3006</t>
  </si>
  <si>
    <t>dataset with obs noise -15.5dB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</si>
  <si>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</si>
  <si>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</si>
  <si>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second-pass(train and test on dataset with obs noise -15.5dB)</t>
  </si>
  <si>
    <t>T_train=20, T_test=200(N_T=200）</t>
  </si>
  <si>
    <t>dB:-12.0894 #parameters:57085100</t>
  </si>
  <si>
    <t>2x2, H=I, Trajectory Length T=100, Dataset size: N_T=1000</t>
  </si>
  <si>
    <t>1/r2 [dB]</t>
  </si>
  <si>
    <t>6) fixed q^2 (change date:5.19 colored red)</t>
  </si>
  <si>
    <t>1/q^2 = -10 dB</t>
  </si>
  <si>
    <t>1/q^2 = 10 dB</t>
  </si>
  <si>
    <t>KF true [dB]</t>
  </si>
  <si>
    <t>KF mismatch(fed with false init state [0,0] and false init variance=0) [dB]</t>
  </si>
  <si>
    <t>ERTS J=5, optimized q [dB]</t>
  </si>
  <si>
    <t>ERTS J=2, optimized q [dB]</t>
  </si>
  <si>
    <t>ERTS full[dB]</t>
  </si>
  <si>
    <t>ERTS</t>
  </si>
  <si>
    <t>RTS on dataset [dB]</t>
  </si>
  <si>
    <t>concat RTS(using the -8.1674 as input) [dB]</t>
  </si>
  <si>
    <t>EKF  partial(H=I) [dB]</t>
  </si>
  <si>
    <t>ERTS  partial(H=I) [dB]</t>
  </si>
  <si>
    <t>std [dB]</t>
  </si>
  <si>
    <t xml:space="preserve">RTSNet partial [dB] </t>
  </si>
  <si>
    <t xml:space="preserve">RTSNet full [dB] </t>
  </si>
  <si>
    <t>RTSNet estimated H  [dB]</t>
  </si>
  <si>
    <t xml:space="preserve">True Observation matrix H: ([[ 0.9997, -0.0171,  0.0178],
        [ 0.0174,  0.9997, -0.0171],
        [-0.0175,  0.0174,  0.9997]])
</t>
  </si>
  <si>
    <t>T=100 (train and test both on T=100)</t>
  </si>
  <si>
    <t>Estimated Observation matrix H: ([[ 0.9999, -0.0170,  0.0177],
        [ 0.0172,  0.9996, -0.0171],
        [-0.0170,  0.0170,  0.9997]])</t>
  </si>
  <si>
    <t>ERTS J=5 std, optimized q [dB]</t>
  </si>
  <si>
    <t>ERTS J=2 std, optimized q [dB]</t>
  </si>
  <si>
    <t>On our dataset: -15.4361</t>
  </si>
  <si>
    <t xml:space="preserve">RTSNet 2 pass </t>
  </si>
  <si>
    <t>Inference Time s/traj</t>
  </si>
  <si>
    <t>On our dataset: -16.8031</t>
  </si>
  <si>
    <t>RNN J=2 [dB]</t>
  </si>
  <si>
    <t>upper bound (observation * H_inv) [dB]</t>
  </si>
  <si>
    <t>1) Observation mismatch Discrete-Time (change date 6.12)</t>
  </si>
  <si>
    <t>lower bound: ERTS with H=I [dB]</t>
  </si>
  <si>
    <t>URTS full [dB]</t>
  </si>
  <si>
    <t>PS full [dB]</t>
  </si>
  <si>
    <t>Hybrid full [dB]</t>
  </si>
  <si>
    <t>h(x) returns spherical coordinates of x</t>
  </si>
  <si>
    <t>[0, 0]</t>
  </si>
  <si>
    <t>10,10</t>
  </si>
  <si>
    <t>20,20</t>
  </si>
  <si>
    <t>30,30</t>
  </si>
  <si>
    <t>T=20, v = 0 dB</t>
  </si>
  <si>
    <t>On our dataset: -8.47414493560791</t>
  </si>
  <si>
    <t xml:space="preserve">RTSNet 2pass[dB] </t>
  </si>
  <si>
    <t>3) NL observation (change date 6.29)</t>
  </si>
  <si>
    <t>LMMSE baseline</t>
  </si>
  <si>
    <t>MSE(x_hat-x)</t>
  </si>
  <si>
    <t>H = I [dB]</t>
  </si>
  <si>
    <t>h = spherical [dB]</t>
  </si>
  <si>
    <t>h(x)=sinx [dB]</t>
  </si>
  <si>
    <t>(0 [linear])-inf</t>
  </si>
  <si>
    <t xml:space="preserve">RTSNet full Composition Loss(alpha=0.5)[dB] </t>
  </si>
  <si>
    <t>Composition Loss change to h(x)-h(x_hat)</t>
  </si>
  <si>
    <t>converge to approx 22 then to NaN</t>
  </si>
  <si>
    <t>r=-inf [dB]</t>
  </si>
  <si>
    <t>r=0 [dB]</t>
  </si>
  <si>
    <t>N_T = 100, m=n=3, T=500, q=-inf</t>
  </si>
  <si>
    <t>prior: truex+q</t>
  </si>
  <si>
    <t>Check Jacobian for linear H(not I): Good</t>
  </si>
  <si>
    <t>H = I_rot1</t>
  </si>
  <si>
    <t>N_T = 200, m=n=3, T=100 (same dataset as 1) obs mismatch and 3) NL obs )</t>
  </si>
  <si>
    <t>Linear H = I_rot1 [dB]</t>
  </si>
  <si>
    <t xml:space="preserve">r,q =[0,0] </t>
  </si>
  <si>
    <t xml:space="preserve">r,q =[0,20] </t>
  </si>
  <si>
    <t>h^-1 method</t>
  </si>
  <si>
    <t>Vanilla [dB]</t>
  </si>
  <si>
    <t>Hybrid [dB]</t>
  </si>
  <si>
    <t>Vanilla train on fixed init [dB]</t>
  </si>
  <si>
    <t>Hybrid train on fixed init [dB]</t>
  </si>
  <si>
    <t>Vanilla train on rand init [dB]</t>
  </si>
  <si>
    <t>Hybrid train on rand init [dB]</t>
  </si>
  <si>
    <t xml:space="preserve">RTSNet (train on randInit) [dB] </t>
  </si>
  <si>
    <t>RTSNet true [dB] (#parameters:7370)</t>
  </si>
  <si>
    <t>Hybrid [dB] (#parameters:40947)</t>
  </si>
  <si>
    <t>Vanilla [dB] (#parameters:7964)</t>
  </si>
  <si>
    <t>2) Gneralization (change date 7.12)</t>
  </si>
  <si>
    <t>3) Scaling towards large models (Change date:7.12)</t>
  </si>
  <si>
    <t>Hybrid full std [dB]</t>
  </si>
  <si>
    <t>Hybrid partial(H=I) [dB]</t>
  </si>
  <si>
    <t>Hybrid partial(H=I) std [dB]</t>
  </si>
  <si>
    <t>PS J=5 [dB]</t>
  </si>
  <si>
    <t>PF J=5 std [dB]</t>
  </si>
  <si>
    <t>PF J=2 std [dB]</t>
  </si>
  <si>
    <t>2) Decimation (change data:7.26)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</si>
</sst>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4" xfId="0" applyFont="1" applyFill="1" applyBorder="1"/>
    <xf numFmtId="0" fontId="3" fillId="0" borderId="5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 applyAlignment="1">
      <alignment horizontal="center"/>
    </xf>
    <xf numFmtId="2" fontId="9" fillId="0" borderId="4" xfId="0" applyNumberFormat="1" applyFont="1" applyFill="1" applyBorder="1"/>
    <xf numFmtId="2" fontId="9" fillId="0" borderId="0" xfId="0" applyNumberFormat="1" applyFont="1" applyBorder="1"/>
    <xf numFmtId="2" fontId="9" fillId="0" borderId="0" xfId="0" applyNumberFormat="1" applyFont="1" applyFill="1" applyBorder="1" applyAlignment="1">
      <alignment horizontal="center"/>
    </xf>
    <xf numFmtId="2" fontId="9" fillId="0" borderId="5" xfId="0" applyNumberFormat="1" applyFont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7" xfId="0" applyFont="1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4" xfId="0" applyFill="1" applyBorder="1"/>
    <xf numFmtId="0" fontId="3" fillId="5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6" borderId="4" xfId="0" applyFill="1" applyBorder="1"/>
    <xf numFmtId="0" fontId="3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7" borderId="4" xfId="0" applyFill="1" applyBorder="1"/>
    <xf numFmtId="0" fontId="3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 applyBorder="1"/>
    <xf numFmtId="0" fontId="0" fillId="0" borderId="6" xfId="0" applyFill="1" applyBorder="1"/>
    <xf numFmtId="0" fontId="0" fillId="8" borderId="0" xfId="0" applyFill="1"/>
    <xf numFmtId="0" fontId="2" fillId="8" borderId="0" xfId="0" applyFont="1" applyFill="1" applyBorder="1"/>
    <xf numFmtId="0" fontId="3" fillId="9" borderId="4" xfId="0" applyFont="1" applyFill="1" applyBorder="1"/>
    <xf numFmtId="0" fontId="3" fillId="9" borderId="0" xfId="0" applyFont="1" applyFill="1" applyBorder="1"/>
    <xf numFmtId="0" fontId="3" fillId="9" borderId="5" xfId="0" applyFont="1" applyFill="1" applyBorder="1"/>
    <xf numFmtId="0" fontId="3" fillId="9" borderId="6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8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/>
    </xf>
    <xf numFmtId="2" fontId="9" fillId="9" borderId="0" xfId="0" applyNumberFormat="1" applyFont="1" applyFill="1" applyBorder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4" fillId="9" borderId="7" xfId="0" applyFont="1" applyFill="1" applyBorder="1"/>
    <xf numFmtId="0" fontId="4" fillId="9" borderId="5" xfId="0" applyFont="1" applyFill="1" applyBorder="1"/>
    <xf numFmtId="2" fontId="3" fillId="9" borderId="0" xfId="0" applyNumberFormat="1" applyFont="1" applyFill="1" applyBorder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Border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0" fontId="3" fillId="4" borderId="0" xfId="0" applyFont="1" applyFill="1" applyBorder="1"/>
    <xf numFmtId="2" fontId="3" fillId="4" borderId="0" xfId="0" applyNumberFormat="1" applyFont="1" applyFill="1" applyBorder="1" applyAlignment="1">
      <alignment horizontal="center"/>
    </xf>
    <xf numFmtId="2" fontId="9" fillId="4" borderId="0" xfId="0" applyNumberFormat="1" applyFont="1" applyFill="1" applyBorder="1" applyAlignment="1">
      <alignment horizontal="center"/>
    </xf>
    <xf numFmtId="2" fontId="9" fillId="4" borderId="5" xfId="0" applyNumberFormat="1" applyFont="1" applyFill="1" applyBorder="1"/>
    <xf numFmtId="2" fontId="7" fillId="4" borderId="0" xfId="0" applyNumberFormat="1" applyFont="1" applyFill="1"/>
    <xf numFmtId="0" fontId="3" fillId="4" borderId="5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0" fillId="0" borderId="4" xfId="0" applyFill="1" applyBorder="1"/>
    <xf numFmtId="0" fontId="3" fillId="7" borderId="5" xfId="0" applyFont="1" applyFill="1" applyBorder="1" applyAlignment="1">
      <alignment horizontal="center"/>
    </xf>
    <xf numFmtId="0" fontId="0" fillId="10" borderId="4" xfId="0" applyFill="1" applyBorder="1"/>
    <xf numFmtId="0" fontId="3" fillId="10" borderId="0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11" fontId="3" fillId="10" borderId="0" xfId="0" applyNumberFormat="1" applyFont="1" applyFill="1" applyBorder="1" applyAlignment="1">
      <alignment horizontal="center"/>
    </xf>
    <xf numFmtId="0" fontId="0" fillId="7" borderId="0" xfId="0" applyFill="1"/>
    <xf numFmtId="0" fontId="0" fillId="7" borderId="5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6"/>
  <sheetViews>
    <sheetView workbookViewId="0">
      <selection activeCell="B22" sqref="B22"/>
    </sheetView>
  </sheetViews>
  <sheetFormatPr defaultRowHeight="14.5" x14ac:dyDescent="0.35"/>
  <cols>
    <col min="1" max="1" width="22.453125" customWidth="1"/>
    <col min="2" max="2" width="27.08984375" customWidth="1"/>
    <col min="3" max="3" width="8.7265625" customWidth="1"/>
    <col min="6" max="6" width="23.7265625" customWidth="1"/>
    <col min="7" max="7" width="6" customWidth="1"/>
    <col min="8" max="8" width="35.08984375" customWidth="1"/>
    <col min="10" max="10" width="33" customWidth="1"/>
  </cols>
  <sheetData>
    <row r="1" spans="1:7" x14ac:dyDescent="0.35">
      <c r="A1" s="7" t="s">
        <v>33</v>
      </c>
    </row>
    <row r="2" spans="1:7" x14ac:dyDescent="0.35">
      <c r="A2" t="s">
        <v>49</v>
      </c>
    </row>
    <row r="3" spans="1:7" ht="15" thickBot="1" x14ac:dyDescent="0.4">
      <c r="A3" s="18" t="s">
        <v>52</v>
      </c>
    </row>
    <row r="4" spans="1:7" x14ac:dyDescent="0.35">
      <c r="A4" s="2" t="s">
        <v>1</v>
      </c>
      <c r="B4" s="3" t="s">
        <v>50</v>
      </c>
      <c r="C4" s="3" t="s">
        <v>51</v>
      </c>
      <c r="D4" s="3" t="s">
        <v>58</v>
      </c>
      <c r="E4" s="3" t="s">
        <v>59</v>
      </c>
      <c r="F4" s="21" t="s">
        <v>60</v>
      </c>
    </row>
    <row r="5" spans="1:7" x14ac:dyDescent="0.35">
      <c r="A5" s="37" t="s">
        <v>69</v>
      </c>
      <c r="B5" s="40">
        <v>10.022600000000001</v>
      </c>
      <c r="C5" s="40">
        <v>5.4199999999999998E-2</v>
      </c>
      <c r="D5" s="40">
        <v>-10.002700000000001</v>
      </c>
      <c r="E5" s="40">
        <v>-19.947399999999998</v>
      </c>
      <c r="F5" s="42">
        <v>-29.9617</v>
      </c>
    </row>
    <row r="6" spans="1:7" x14ac:dyDescent="0.35">
      <c r="A6" s="37" t="s">
        <v>70</v>
      </c>
      <c r="B6" s="40">
        <v>0.42399999999999999</v>
      </c>
      <c r="C6" s="40">
        <v>0.4476</v>
      </c>
      <c r="D6" s="40">
        <v>0.42730000000000001</v>
      </c>
      <c r="E6" s="40">
        <v>0.41070000000000001</v>
      </c>
      <c r="F6" s="42">
        <v>0.42949999999999999</v>
      </c>
    </row>
    <row r="7" spans="1:7" x14ac:dyDescent="0.35">
      <c r="A7" s="38" t="s">
        <v>143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29">
        <v>-31.885899999999999</v>
      </c>
    </row>
    <row r="8" spans="1:7" x14ac:dyDescent="0.35">
      <c r="A8" s="38" t="s">
        <v>76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29">
        <v>0.51370000000000005</v>
      </c>
    </row>
    <row r="9" spans="1:7" x14ac:dyDescent="0.35">
      <c r="A9" s="38" t="s">
        <v>7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29">
        <v>-33.749099999999999</v>
      </c>
      <c r="G9" s="17"/>
    </row>
    <row r="10" spans="1:7" x14ac:dyDescent="0.35">
      <c r="A10" s="38" t="s">
        <v>53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29">
        <v>0.50760000000000005</v>
      </c>
      <c r="G10" s="17"/>
    </row>
    <row r="11" spans="1:7" x14ac:dyDescent="0.35">
      <c r="A11" s="38" t="s">
        <v>34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29">
        <v>-33.697800000000001</v>
      </c>
      <c r="G11" s="17"/>
    </row>
    <row r="12" spans="1:7" ht="15" thickBot="1" x14ac:dyDescent="0.4">
      <c r="A12" s="39" t="s">
        <v>62</v>
      </c>
      <c r="B12" s="30">
        <v>0.48709999999999998</v>
      </c>
      <c r="C12" s="30">
        <v>0.53669999999999995</v>
      </c>
      <c r="D12" s="30">
        <v>0.46279999999999999</v>
      </c>
      <c r="E12" s="30">
        <v>0.51170000000000004</v>
      </c>
      <c r="F12" s="41">
        <v>0.50549999999999995</v>
      </c>
      <c r="G12" s="17"/>
    </row>
    <row r="13" spans="1:7" x14ac:dyDescent="0.35">
      <c r="A13" s="17"/>
      <c r="B13" s="9"/>
      <c r="C13" s="9"/>
      <c r="D13" s="9"/>
      <c r="E13" s="9"/>
      <c r="F13" s="25"/>
      <c r="G13" s="17"/>
    </row>
    <row r="14" spans="1:7" ht="15" thickBot="1" x14ac:dyDescent="0.4">
      <c r="A14" s="18" t="s">
        <v>63</v>
      </c>
      <c r="G14" s="17"/>
    </row>
    <row r="15" spans="1:7" x14ac:dyDescent="0.35">
      <c r="A15" s="2" t="s">
        <v>1</v>
      </c>
      <c r="B15" s="3" t="s">
        <v>64</v>
      </c>
      <c r="C15" s="3" t="s">
        <v>65</v>
      </c>
      <c r="D15" s="3" t="s">
        <v>66</v>
      </c>
      <c r="E15" s="3" t="s">
        <v>67</v>
      </c>
      <c r="F15" s="21" t="s">
        <v>68</v>
      </c>
      <c r="G15" s="17"/>
    </row>
    <row r="16" spans="1:7" x14ac:dyDescent="0.35">
      <c r="A16" s="37" t="s">
        <v>69</v>
      </c>
      <c r="B16" s="40">
        <v>10.004300000000001</v>
      </c>
      <c r="C16" s="44">
        <v>-8.4907000000000005E-5</v>
      </c>
      <c r="D16" s="40">
        <v>-10.0288</v>
      </c>
      <c r="E16" s="40">
        <v>-19.9815</v>
      </c>
      <c r="F16" s="42">
        <v>-29.968599999999999</v>
      </c>
      <c r="G16" s="17"/>
    </row>
    <row r="17" spans="1:7" x14ac:dyDescent="0.35">
      <c r="A17" s="37" t="s">
        <v>70</v>
      </c>
      <c r="B17" s="40">
        <v>0.41909999999999997</v>
      </c>
      <c r="C17" s="40">
        <v>0.39150000000000001</v>
      </c>
      <c r="D17" s="40">
        <v>0.43099999999999999</v>
      </c>
      <c r="E17" s="40">
        <v>0.40439999999999998</v>
      </c>
      <c r="F17" s="42">
        <v>0.43509999999999999</v>
      </c>
      <c r="G17" s="17"/>
    </row>
    <row r="18" spans="1:7" x14ac:dyDescent="0.35">
      <c r="A18" s="11" t="s">
        <v>143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29">
        <v>-34.730899999999998</v>
      </c>
      <c r="G18" s="17"/>
    </row>
    <row r="19" spans="1:7" x14ac:dyDescent="0.35">
      <c r="A19" s="11" t="s">
        <v>76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29">
        <v>0.69599999999999995</v>
      </c>
      <c r="G19" s="17"/>
    </row>
    <row r="20" spans="1:7" x14ac:dyDescent="0.35">
      <c r="A20" s="11" t="s">
        <v>7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29">
        <v>-38.235599999999998</v>
      </c>
      <c r="G20" s="17"/>
    </row>
    <row r="21" spans="1:7" x14ac:dyDescent="0.35">
      <c r="A21" s="11" t="s">
        <v>53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29">
        <v>0.83679999999999999</v>
      </c>
    </row>
    <row r="22" spans="1:7" x14ac:dyDescent="0.35">
      <c r="A22" s="11" t="s">
        <v>82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29">
        <v>-38.1828</v>
      </c>
    </row>
    <row r="23" spans="1:7" ht="15" thickBot="1" x14ac:dyDescent="0.4">
      <c r="A23" s="12" t="s">
        <v>62</v>
      </c>
      <c r="B23" s="30">
        <v>0.79549999999999998</v>
      </c>
      <c r="C23" s="30">
        <v>0.72040000000000004</v>
      </c>
      <c r="D23" s="30">
        <v>0.79720000000000002</v>
      </c>
      <c r="E23" s="30">
        <v>0.74619999999999997</v>
      </c>
      <c r="F23" s="41">
        <v>0.83630000000000004</v>
      </c>
    </row>
    <row r="24" spans="1:7" x14ac:dyDescent="0.35">
      <c r="A24" s="17"/>
      <c r="B24" s="17"/>
      <c r="C24" s="17"/>
      <c r="D24" s="17"/>
      <c r="E24" s="17"/>
      <c r="F24" s="26"/>
    </row>
    <row r="25" spans="1:7" ht="15" thickBot="1" x14ac:dyDescent="0.4">
      <c r="A25" s="18" t="s">
        <v>61</v>
      </c>
    </row>
    <row r="26" spans="1:7" x14ac:dyDescent="0.35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4" t="s">
        <v>38</v>
      </c>
    </row>
    <row r="27" spans="1:7" x14ac:dyDescent="0.35">
      <c r="A27" s="37" t="s">
        <v>69</v>
      </c>
      <c r="B27" s="40">
        <v>10.011900000000001</v>
      </c>
      <c r="C27" s="40">
        <v>-8.3000000000000001E-3</v>
      </c>
      <c r="D27" s="40">
        <v>-10.004200000000001</v>
      </c>
      <c r="E27" s="40">
        <v>-19.976700000000001</v>
      </c>
      <c r="F27" s="40">
        <v>-30.0029</v>
      </c>
      <c r="G27" s="43"/>
    </row>
    <row r="28" spans="1:7" x14ac:dyDescent="0.35">
      <c r="A28" s="37" t="s">
        <v>70</v>
      </c>
      <c r="B28" s="40">
        <v>0.39750000000000002</v>
      </c>
      <c r="C28" s="40">
        <v>0.43390000000000001</v>
      </c>
      <c r="D28" s="40">
        <v>0.44819999999999999</v>
      </c>
      <c r="E28" s="40">
        <v>0.4158</v>
      </c>
      <c r="F28" s="40">
        <v>0.42849999999999999</v>
      </c>
      <c r="G28" s="43"/>
    </row>
    <row r="29" spans="1:7" x14ac:dyDescent="0.35">
      <c r="A29" s="11" t="s">
        <v>143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29">
        <f>6.41488122940063/200</f>
        <v>3.2074406147003152E-2</v>
      </c>
    </row>
    <row r="30" spans="1:7" x14ac:dyDescent="0.35">
      <c r="A30" s="11" t="s">
        <v>76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5">
        <v>0.96260000000000001</v>
      </c>
      <c r="G30" s="29"/>
    </row>
    <row r="31" spans="1:7" x14ac:dyDescent="0.35">
      <c r="A31" s="11" t="s">
        <v>7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29">
        <f xml:space="preserve"> 13.3679509162902/200</f>
        <v>6.6839754581451E-2</v>
      </c>
    </row>
    <row r="32" spans="1:7" x14ac:dyDescent="0.35">
      <c r="A32" s="11" t="s">
        <v>53</v>
      </c>
      <c r="B32" s="9">
        <v>1.2419</v>
      </c>
      <c r="C32" s="9">
        <v>1.1898</v>
      </c>
      <c r="D32" s="9">
        <v>1.2814000000000001</v>
      </c>
      <c r="E32" s="9">
        <v>1.1073</v>
      </c>
      <c r="F32" s="25">
        <v>1.2888999999999999</v>
      </c>
      <c r="G32" s="29"/>
    </row>
    <row r="33" spans="1:7" x14ac:dyDescent="0.35">
      <c r="A33" s="11" t="s">
        <v>8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29">
        <f>56.4998171329498/200</f>
        <v>0.28249908566474902</v>
      </c>
    </row>
    <row r="34" spans="1:7" ht="15" thickBot="1" x14ac:dyDescent="0.4">
      <c r="A34" s="12" t="s">
        <v>62</v>
      </c>
      <c r="B34" s="30">
        <v>1.1987000000000001</v>
      </c>
      <c r="C34" s="30">
        <v>1.1817</v>
      </c>
      <c r="D34" s="30">
        <v>1.2788999999999999</v>
      </c>
      <c r="E34" s="30">
        <v>1.1524000000000001</v>
      </c>
      <c r="F34" s="33">
        <v>1.2285999999999999</v>
      </c>
      <c r="G34" s="31"/>
    </row>
    <row r="35" spans="1:7" x14ac:dyDescent="0.35">
      <c r="A35" s="17"/>
      <c r="B35" s="17"/>
      <c r="C35" s="17"/>
      <c r="D35" s="17"/>
      <c r="E35" s="17"/>
      <c r="F35" s="17"/>
      <c r="G35" s="17"/>
    </row>
    <row r="36" spans="1:7" x14ac:dyDescent="0.35">
      <c r="A36" s="17"/>
      <c r="B36" s="17"/>
      <c r="C36" s="17"/>
      <c r="D36" s="17"/>
      <c r="E36" s="17"/>
      <c r="F36" s="17"/>
      <c r="G36" s="17"/>
    </row>
    <row r="37" spans="1:7" x14ac:dyDescent="0.35">
      <c r="A37" s="118" t="s">
        <v>212</v>
      </c>
      <c r="B37" s="17"/>
      <c r="C37" s="17"/>
      <c r="D37" s="17"/>
      <c r="E37" s="17"/>
      <c r="F37" s="17"/>
      <c r="G37" s="17"/>
    </row>
    <row r="38" spans="1:7" x14ac:dyDescent="0.35">
      <c r="A38" s="16" t="s">
        <v>37</v>
      </c>
      <c r="B38" s="17"/>
      <c r="C38" s="17"/>
      <c r="D38" s="17"/>
      <c r="E38" s="17"/>
      <c r="F38" s="17"/>
      <c r="G38" s="17"/>
    </row>
    <row r="39" spans="1:7" ht="15" thickBot="1" x14ac:dyDescent="0.4">
      <c r="A39" s="17" t="s">
        <v>35</v>
      </c>
      <c r="B39" s="17"/>
      <c r="C39" s="17"/>
      <c r="D39" s="17"/>
      <c r="E39" s="17"/>
      <c r="F39" s="17"/>
      <c r="G39" s="17"/>
    </row>
    <row r="40" spans="1:7" x14ac:dyDescent="0.35">
      <c r="A40" s="2" t="s">
        <v>1</v>
      </c>
      <c r="B40" s="19"/>
      <c r="C40" s="3" t="s">
        <v>3</v>
      </c>
      <c r="D40" s="19"/>
      <c r="E40" s="19"/>
      <c r="F40" s="19"/>
      <c r="G40" s="4" t="s">
        <v>38</v>
      </c>
    </row>
    <row r="41" spans="1:7" x14ac:dyDescent="0.35">
      <c r="A41" s="11" t="s">
        <v>143</v>
      </c>
      <c r="B41" s="17"/>
      <c r="C41" s="17">
        <v>-7.1620999999999997</v>
      </c>
      <c r="D41" s="17"/>
      <c r="E41" s="17"/>
      <c r="F41" s="17"/>
      <c r="G41" s="8">
        <f>19.1064960956573/200</f>
        <v>9.5532480478286497E-2</v>
      </c>
    </row>
    <row r="42" spans="1:7" x14ac:dyDescent="0.35">
      <c r="A42" s="11" t="s">
        <v>76</v>
      </c>
      <c r="B42" s="17"/>
      <c r="C42" s="17">
        <v>0.3347</v>
      </c>
      <c r="D42" s="17"/>
      <c r="E42" s="17"/>
      <c r="F42" s="17"/>
      <c r="G42" s="8"/>
    </row>
    <row r="43" spans="1:7" x14ac:dyDescent="0.35">
      <c r="A43" s="11" t="s">
        <v>7</v>
      </c>
      <c r="B43" s="17"/>
      <c r="C43" s="17">
        <v>-11.8101</v>
      </c>
      <c r="D43" s="17"/>
      <c r="E43" s="17"/>
      <c r="F43" s="17"/>
      <c r="G43" s="8">
        <f>39.3029329776763/200</f>
        <v>0.19651466488838149</v>
      </c>
    </row>
    <row r="44" spans="1:7" x14ac:dyDescent="0.35">
      <c r="A44" s="11" t="s">
        <v>53</v>
      </c>
      <c r="B44" s="17"/>
      <c r="C44" s="17">
        <v>0.45019999999999999</v>
      </c>
      <c r="D44" s="17"/>
      <c r="E44" s="17"/>
      <c r="F44" s="17"/>
      <c r="G44" s="8"/>
    </row>
    <row r="45" spans="1:7" x14ac:dyDescent="0.35">
      <c r="A45" s="11" t="s">
        <v>209</v>
      </c>
      <c r="B45" s="17"/>
      <c r="C45" s="17">
        <f>(-11.7224-11.7828)/2</f>
        <v>-11.752600000000001</v>
      </c>
      <c r="D45" s="17"/>
      <c r="E45" s="17"/>
      <c r="F45" s="17"/>
      <c r="G45" s="8">
        <f>297.675692081451/200</f>
        <v>1.4883784604072552</v>
      </c>
    </row>
    <row r="46" spans="1:7" ht="16" customHeight="1" x14ac:dyDescent="0.35">
      <c r="A46" s="11" t="s">
        <v>62</v>
      </c>
      <c r="B46" s="17"/>
      <c r="C46" s="17">
        <v>0.44900000000000001</v>
      </c>
      <c r="D46" s="17"/>
      <c r="E46" s="17"/>
      <c r="F46" s="17"/>
      <c r="G46" s="8"/>
    </row>
    <row r="47" spans="1:7" x14ac:dyDescent="0.35">
      <c r="A47" s="146" t="s">
        <v>211</v>
      </c>
      <c r="B47" s="147"/>
      <c r="C47" s="147">
        <v>54.954599999999999</v>
      </c>
      <c r="D47" s="147"/>
      <c r="E47" s="147"/>
      <c r="F47" s="147"/>
      <c r="G47" s="152">
        <f>218.836300849914/200</f>
        <v>1.0941815042495699</v>
      </c>
    </row>
    <row r="48" spans="1:7" x14ac:dyDescent="0.35">
      <c r="A48" s="146" t="s">
        <v>153</v>
      </c>
      <c r="B48" s="147"/>
      <c r="C48" s="147">
        <v>4.4188999999999998</v>
      </c>
      <c r="D48" s="147"/>
      <c r="E48" s="147"/>
      <c r="F48" s="147"/>
      <c r="G48" s="152"/>
    </row>
    <row r="49" spans="1:7" x14ac:dyDescent="0.35">
      <c r="A49" s="119" t="s">
        <v>210</v>
      </c>
      <c r="B49" s="120"/>
      <c r="C49" s="120">
        <v>-11.6624</v>
      </c>
      <c r="D49" s="120"/>
      <c r="E49" s="120"/>
      <c r="F49" s="120"/>
      <c r="G49" s="121">
        <f>65.06352186203/200</f>
        <v>0.32531760931015002</v>
      </c>
    </row>
    <row r="50" spans="1:7" ht="15" thickBot="1" x14ac:dyDescent="0.4">
      <c r="A50" s="122" t="s">
        <v>153</v>
      </c>
      <c r="B50" s="123"/>
      <c r="C50" s="123">
        <v>0.44800000000000001</v>
      </c>
      <c r="D50" s="123"/>
      <c r="E50" s="123"/>
      <c r="F50" s="123"/>
      <c r="G50" s="124"/>
    </row>
    <row r="51" spans="1:7" x14ac:dyDescent="0.35">
      <c r="A51" s="17"/>
      <c r="B51" s="17"/>
      <c r="C51" s="17"/>
      <c r="D51" s="17"/>
      <c r="E51" s="17"/>
      <c r="F51" s="17"/>
      <c r="G51" s="17"/>
    </row>
    <row r="52" spans="1:7" x14ac:dyDescent="0.35">
      <c r="A52" s="16" t="s">
        <v>79</v>
      </c>
      <c r="B52" s="17"/>
      <c r="C52" s="17"/>
      <c r="D52" s="17"/>
      <c r="E52" s="17"/>
      <c r="F52" s="17"/>
      <c r="G52" s="17"/>
    </row>
    <row r="53" spans="1:7" ht="15" thickBot="1" x14ac:dyDescent="0.4">
      <c r="A53" s="17" t="s">
        <v>35</v>
      </c>
      <c r="B53" s="17"/>
      <c r="C53" s="17"/>
      <c r="D53" s="17"/>
      <c r="E53" s="17"/>
      <c r="F53" s="17"/>
      <c r="G53" s="17"/>
    </row>
    <row r="54" spans="1:7" x14ac:dyDescent="0.35">
      <c r="A54" s="2" t="s">
        <v>1</v>
      </c>
      <c r="B54" s="19"/>
      <c r="C54" s="3" t="s">
        <v>3</v>
      </c>
      <c r="D54" s="19"/>
      <c r="E54" s="19"/>
      <c r="F54" s="19"/>
      <c r="G54" s="4" t="s">
        <v>78</v>
      </c>
    </row>
    <row r="55" spans="1:7" x14ac:dyDescent="0.35">
      <c r="A55" s="11" t="s">
        <v>143</v>
      </c>
      <c r="B55" s="17"/>
      <c r="C55" s="17">
        <v>-7.2404999999999999</v>
      </c>
      <c r="D55" s="17"/>
      <c r="E55" s="17"/>
      <c r="F55" s="17"/>
      <c r="G55" s="8">
        <f>9.09574961662292/200</f>
        <v>4.5478748083114598E-2</v>
      </c>
    </row>
    <row r="56" spans="1:7" x14ac:dyDescent="0.35">
      <c r="A56" s="11" t="s">
        <v>76</v>
      </c>
      <c r="B56" s="17"/>
      <c r="C56" s="17">
        <v>0.54310000000000003</v>
      </c>
      <c r="D56" s="17"/>
      <c r="E56" s="17"/>
      <c r="F56" s="17"/>
      <c r="G56" s="8"/>
    </row>
    <row r="57" spans="1:7" x14ac:dyDescent="0.35">
      <c r="A57" s="11" t="s">
        <v>7</v>
      </c>
      <c r="B57" s="17"/>
      <c r="C57" s="17">
        <v>-11.852600000000001</v>
      </c>
      <c r="D57" s="17"/>
      <c r="E57" s="17"/>
      <c r="F57" s="17"/>
      <c r="G57" s="8">
        <f>19.0591733455657/200</f>
        <v>9.5295866727828499E-2</v>
      </c>
    </row>
    <row r="58" spans="1:7" x14ac:dyDescent="0.35">
      <c r="A58" s="11" t="s">
        <v>53</v>
      </c>
      <c r="B58" s="17"/>
      <c r="C58" s="17">
        <v>0.68740000000000001</v>
      </c>
      <c r="D58" s="17"/>
      <c r="E58" s="17"/>
      <c r="F58" s="17"/>
      <c r="G58" s="8"/>
    </row>
    <row r="59" spans="1:7" x14ac:dyDescent="0.35">
      <c r="A59" s="11" t="s">
        <v>80</v>
      </c>
      <c r="B59" s="17"/>
      <c r="C59" s="17">
        <v>-11.773</v>
      </c>
      <c r="D59" s="17"/>
      <c r="E59" s="17"/>
      <c r="F59" s="17"/>
      <c r="G59" s="8">
        <f>221.406227111816/200</f>
        <v>1.1070311355590801</v>
      </c>
    </row>
    <row r="60" spans="1:7" x14ac:dyDescent="0.35">
      <c r="A60" s="11" t="s">
        <v>62</v>
      </c>
      <c r="B60" s="17"/>
      <c r="C60" s="17">
        <v>0.68469999999999998</v>
      </c>
      <c r="D60" s="17"/>
      <c r="E60" s="17"/>
      <c r="F60" s="17"/>
      <c r="G60" s="8"/>
    </row>
    <row r="61" spans="1:7" x14ac:dyDescent="0.35">
      <c r="A61" s="146" t="s">
        <v>202</v>
      </c>
      <c r="B61" s="147"/>
      <c r="C61" s="147">
        <v>48.389899999999997</v>
      </c>
      <c r="D61" s="147"/>
      <c r="E61" s="147"/>
      <c r="F61" s="147"/>
      <c r="G61" s="152">
        <f>113.630818605422/200</f>
        <v>0.56815409302710995</v>
      </c>
    </row>
    <row r="62" spans="1:7" x14ac:dyDescent="0.35">
      <c r="A62" s="146" t="s">
        <v>153</v>
      </c>
      <c r="B62" s="147"/>
      <c r="C62" s="147">
        <v>5.4363999999999999</v>
      </c>
      <c r="D62" s="147"/>
      <c r="E62" s="147"/>
      <c r="F62" s="147"/>
      <c r="G62" s="152"/>
    </row>
    <row r="63" spans="1:7" x14ac:dyDescent="0.35">
      <c r="A63" s="119" t="s">
        <v>203</v>
      </c>
      <c r="B63" s="120"/>
      <c r="C63" s="120">
        <v>-11.6868</v>
      </c>
      <c r="D63" s="120"/>
      <c r="E63" s="120"/>
      <c r="F63" s="120"/>
      <c r="G63" s="121">
        <f>51.758457660675/200</f>
        <v>0.25879228830337497</v>
      </c>
    </row>
    <row r="64" spans="1:7" ht="15" thickBot="1" x14ac:dyDescent="0.4">
      <c r="A64" s="122" t="s">
        <v>153</v>
      </c>
      <c r="B64" s="123"/>
      <c r="C64" s="131">
        <v>1.7402</v>
      </c>
      <c r="D64" s="123"/>
      <c r="E64" s="123"/>
      <c r="F64" s="123"/>
      <c r="G64" s="124"/>
    </row>
    <row r="65" spans="1:9" x14ac:dyDescent="0.35">
      <c r="A65" s="17"/>
      <c r="B65" s="17"/>
      <c r="C65" s="17"/>
      <c r="D65" s="17"/>
      <c r="E65" s="17"/>
      <c r="F65" s="17"/>
      <c r="G65" s="17"/>
    </row>
    <row r="66" spans="1:9" x14ac:dyDescent="0.35">
      <c r="A66" s="16" t="s">
        <v>89</v>
      </c>
      <c r="B66" s="17"/>
      <c r="C66" s="17"/>
      <c r="D66" s="17"/>
      <c r="E66" s="17"/>
      <c r="F66" s="17"/>
      <c r="G66" s="17"/>
    </row>
    <row r="67" spans="1:9" ht="15" thickBot="1" x14ac:dyDescent="0.4">
      <c r="A67" s="17" t="s">
        <v>36</v>
      </c>
      <c r="B67" s="17"/>
      <c r="C67" s="17"/>
      <c r="D67" s="17"/>
      <c r="E67" s="17"/>
      <c r="F67" s="17"/>
      <c r="G67" s="17"/>
    </row>
    <row r="68" spans="1:9" x14ac:dyDescent="0.35">
      <c r="A68" s="2" t="s">
        <v>1</v>
      </c>
      <c r="B68" s="19"/>
      <c r="C68" s="21" t="s">
        <v>3</v>
      </c>
      <c r="D68" s="17"/>
      <c r="E68" s="34"/>
      <c r="F68" s="45" t="s">
        <v>144</v>
      </c>
      <c r="G68" s="46">
        <v>30.081099999999999</v>
      </c>
      <c r="H68" s="35"/>
      <c r="I68" s="32"/>
    </row>
    <row r="69" spans="1:9" x14ac:dyDescent="0.35">
      <c r="A69" s="50" t="s">
        <v>69</v>
      </c>
      <c r="B69" s="17"/>
      <c r="C69" s="126">
        <v>-1.8499999999999999E-2</v>
      </c>
      <c r="D69" s="17"/>
      <c r="E69" s="34"/>
      <c r="F69" s="11" t="s">
        <v>39</v>
      </c>
      <c r="G69" s="8">
        <v>26.237500000000001</v>
      </c>
      <c r="H69" s="35"/>
      <c r="I69" s="32"/>
    </row>
    <row r="70" spans="1:9" x14ac:dyDescent="0.35">
      <c r="A70" s="50" t="s">
        <v>70</v>
      </c>
      <c r="B70" s="17"/>
      <c r="C70" s="126">
        <v>0.36009999999999998</v>
      </c>
      <c r="D70" s="17"/>
      <c r="E70" s="34"/>
      <c r="F70" s="53"/>
      <c r="G70" s="54"/>
      <c r="H70" s="35"/>
      <c r="I70" s="32"/>
    </row>
    <row r="71" spans="1:9" x14ac:dyDescent="0.35">
      <c r="A71" s="11" t="s">
        <v>77</v>
      </c>
      <c r="B71" s="17"/>
      <c r="C71" s="125">
        <v>-7.4257999999999997</v>
      </c>
      <c r="D71" s="17"/>
      <c r="E71" s="34"/>
      <c r="F71" s="11" t="s">
        <v>75</v>
      </c>
      <c r="G71" s="8">
        <v>-6.7626999999999997</v>
      </c>
      <c r="H71" s="9"/>
      <c r="I71" s="32"/>
    </row>
    <row r="72" spans="1:9" x14ac:dyDescent="0.35">
      <c r="A72" s="11" t="s">
        <v>76</v>
      </c>
      <c r="B72" s="17"/>
      <c r="C72" s="125">
        <v>0.96319999999999995</v>
      </c>
      <c r="D72" s="17"/>
      <c r="E72" s="34"/>
      <c r="F72" s="11" t="s">
        <v>76</v>
      </c>
      <c r="G72" s="8">
        <v>0.88480000000000003</v>
      </c>
      <c r="H72" s="9"/>
      <c r="I72" s="32"/>
    </row>
    <row r="73" spans="1:9" x14ac:dyDescent="0.35">
      <c r="A73" s="11" t="s">
        <v>73</v>
      </c>
      <c r="B73" s="17"/>
      <c r="C73" s="125">
        <v>-12.0245</v>
      </c>
      <c r="D73" s="17"/>
      <c r="E73" s="34"/>
      <c r="F73" s="11" t="s">
        <v>74</v>
      </c>
      <c r="G73" s="8">
        <v>-11.523199999999999</v>
      </c>
      <c r="H73" s="9"/>
      <c r="I73" s="32"/>
    </row>
    <row r="74" spans="1:9" x14ac:dyDescent="0.35">
      <c r="A74" s="11" t="s">
        <v>53</v>
      </c>
      <c r="B74" s="17"/>
      <c r="C74" s="125">
        <v>1.2376</v>
      </c>
      <c r="D74" s="17"/>
      <c r="E74" s="34"/>
      <c r="F74" s="11" t="s">
        <v>53</v>
      </c>
      <c r="G74" s="8">
        <v>1.1852</v>
      </c>
      <c r="H74" s="9"/>
      <c r="I74" s="32"/>
    </row>
    <row r="75" spans="1:9" x14ac:dyDescent="0.35">
      <c r="A75" s="51" t="s">
        <v>208</v>
      </c>
      <c r="B75" s="34"/>
      <c r="C75" s="127">
        <v>-11.7013</v>
      </c>
      <c r="D75" s="17"/>
      <c r="E75" s="32"/>
      <c r="F75" s="11" t="s">
        <v>72</v>
      </c>
      <c r="G75" s="8">
        <v>9.0884</v>
      </c>
      <c r="H75" s="34"/>
      <c r="I75" s="32"/>
    </row>
    <row r="76" spans="1:9" ht="15" thickBot="1" x14ac:dyDescent="0.4">
      <c r="A76" s="51" t="s">
        <v>55</v>
      </c>
      <c r="B76" s="34"/>
      <c r="C76" s="127">
        <v>1.2141</v>
      </c>
      <c r="D76" s="17"/>
      <c r="E76" s="34"/>
      <c r="F76" s="12" t="s">
        <v>54</v>
      </c>
      <c r="G76" s="10">
        <v>2.7212000000000001</v>
      </c>
      <c r="H76" s="34"/>
      <c r="I76" s="32"/>
    </row>
    <row r="77" spans="1:9" x14ac:dyDescent="0.35">
      <c r="A77" s="51" t="s">
        <v>71</v>
      </c>
      <c r="B77" s="34"/>
      <c r="C77" s="125">
        <v>-11.756600000000001</v>
      </c>
      <c r="D77" s="17"/>
      <c r="E77" s="34"/>
      <c r="F77" s="34"/>
      <c r="G77" s="34"/>
      <c r="H77" s="34"/>
      <c r="I77" s="32"/>
    </row>
    <row r="78" spans="1:9" ht="15" thickBot="1" x14ac:dyDescent="0.4">
      <c r="A78" s="51" t="s">
        <v>54</v>
      </c>
      <c r="B78" s="34"/>
      <c r="C78" s="125">
        <v>1.1865000000000001</v>
      </c>
      <c r="D78" s="17"/>
      <c r="E78" s="17"/>
      <c r="F78" s="17"/>
      <c r="G78" s="17"/>
      <c r="H78" s="17"/>
    </row>
    <row r="79" spans="1:9" x14ac:dyDescent="0.35">
      <c r="A79" s="153" t="s">
        <v>206</v>
      </c>
      <c r="B79" s="154"/>
      <c r="C79" s="155">
        <v>26.606100000000001</v>
      </c>
      <c r="D79" s="17"/>
      <c r="E79" s="17"/>
      <c r="F79" s="17"/>
      <c r="G79" s="17"/>
      <c r="H79" s="17"/>
    </row>
    <row r="80" spans="1:9" x14ac:dyDescent="0.35">
      <c r="A80" s="146" t="s">
        <v>153</v>
      </c>
      <c r="B80" s="147"/>
      <c r="C80" s="152">
        <v>3.5470000000000002</v>
      </c>
      <c r="D80" s="17"/>
      <c r="E80" s="17"/>
      <c r="F80" s="17"/>
      <c r="G80" s="17"/>
      <c r="H80" s="17"/>
    </row>
    <row r="81" spans="1:11" x14ac:dyDescent="0.35">
      <c r="A81" s="146" t="s">
        <v>204</v>
      </c>
      <c r="B81" s="147"/>
      <c r="C81" s="152">
        <v>37.280900000000003</v>
      </c>
      <c r="D81" s="17"/>
      <c r="E81" s="17"/>
      <c r="F81" s="17"/>
      <c r="G81" s="17"/>
      <c r="H81" s="17"/>
    </row>
    <row r="82" spans="1:11" x14ac:dyDescent="0.35">
      <c r="A82" s="146" t="s">
        <v>153</v>
      </c>
      <c r="B82" s="147"/>
      <c r="C82" s="152">
        <v>2.0032999999999999</v>
      </c>
      <c r="D82" s="17"/>
      <c r="E82" s="17"/>
      <c r="F82" s="17"/>
      <c r="G82" s="17"/>
      <c r="H82" s="17"/>
    </row>
    <row r="83" spans="1:11" x14ac:dyDescent="0.35">
      <c r="A83" s="119" t="s">
        <v>207</v>
      </c>
      <c r="B83" s="120"/>
      <c r="C83" s="121">
        <v>-11.3819</v>
      </c>
      <c r="D83" s="17"/>
      <c r="E83" s="17"/>
      <c r="F83" s="17"/>
      <c r="G83" s="17"/>
      <c r="H83" s="17"/>
    </row>
    <row r="84" spans="1:11" x14ac:dyDescent="0.35">
      <c r="A84" s="119" t="s">
        <v>153</v>
      </c>
      <c r="B84" s="120"/>
      <c r="C84" s="121">
        <v>1.1642999999999999</v>
      </c>
      <c r="D84" s="17"/>
      <c r="E84" s="17"/>
      <c r="F84" s="17"/>
      <c r="G84" s="17"/>
      <c r="H84" s="17"/>
    </row>
    <row r="85" spans="1:11" x14ac:dyDescent="0.35">
      <c r="A85" s="119" t="s">
        <v>205</v>
      </c>
      <c r="B85" s="120"/>
      <c r="C85" s="132">
        <v>-10.6547</v>
      </c>
      <c r="D85" s="17"/>
      <c r="E85" s="17"/>
      <c r="F85" s="17"/>
      <c r="G85" s="17"/>
      <c r="H85" s="17"/>
    </row>
    <row r="86" spans="1:11" ht="15" thickBot="1" x14ac:dyDescent="0.4">
      <c r="A86" s="122" t="s">
        <v>153</v>
      </c>
      <c r="B86" s="123"/>
      <c r="C86" s="124">
        <v>1.2186999999999999</v>
      </c>
      <c r="D86" s="17"/>
      <c r="E86" s="17"/>
      <c r="F86" s="17"/>
      <c r="G86" s="17"/>
      <c r="H86" s="17"/>
    </row>
    <row r="87" spans="1:11" x14ac:dyDescent="0.35">
      <c r="A87" s="17"/>
      <c r="B87" s="17"/>
      <c r="C87" s="17"/>
      <c r="D87" s="17"/>
      <c r="E87" s="17"/>
      <c r="F87" s="17"/>
      <c r="G87" s="17"/>
    </row>
    <row r="88" spans="1:11" x14ac:dyDescent="0.35">
      <c r="A88" s="56" t="s">
        <v>213</v>
      </c>
      <c r="B88" s="17"/>
      <c r="C88" s="17"/>
      <c r="D88" s="17"/>
      <c r="E88" s="17"/>
      <c r="F88" s="17"/>
      <c r="G88" s="17"/>
    </row>
    <row r="89" spans="1:11" x14ac:dyDescent="0.35">
      <c r="A89" s="18" t="s">
        <v>94</v>
      </c>
      <c r="D89" s="27"/>
    </row>
    <row r="90" spans="1:11" x14ac:dyDescent="0.35">
      <c r="A90" s="27" t="s">
        <v>0</v>
      </c>
      <c r="D90" s="27"/>
    </row>
    <row r="91" spans="1:11" ht="15" thickBot="1" x14ac:dyDescent="0.4">
      <c r="A91" s="1" t="s">
        <v>120</v>
      </c>
      <c r="B91" s="1"/>
      <c r="F91" s="27"/>
    </row>
    <row r="92" spans="1:11" x14ac:dyDescent="0.35">
      <c r="A92" s="66"/>
      <c r="B92" s="67" t="s">
        <v>97</v>
      </c>
      <c r="C92" s="19" t="s">
        <v>98</v>
      </c>
      <c r="D92" s="67" t="s">
        <v>46</v>
      </c>
      <c r="E92" s="19" t="s">
        <v>96</v>
      </c>
      <c r="F92" s="67" t="s">
        <v>47</v>
      </c>
      <c r="G92" s="68" t="s">
        <v>95</v>
      </c>
      <c r="H92" s="67" t="s">
        <v>99</v>
      </c>
      <c r="I92" s="68" t="s">
        <v>100</v>
      </c>
      <c r="J92" s="67" t="s">
        <v>105</v>
      </c>
      <c r="K92" s="69" t="s">
        <v>106</v>
      </c>
    </row>
    <row r="93" spans="1:11" x14ac:dyDescent="0.35">
      <c r="A93" s="11" t="s">
        <v>143</v>
      </c>
      <c r="B93" s="9">
        <v>-7.7907000000000002</v>
      </c>
      <c r="C93" s="9">
        <f>0.38149070739746/200</f>
        <v>1.9074535369873E-3</v>
      </c>
      <c r="D93" s="9">
        <v>-10.930999999999999</v>
      </c>
      <c r="E93" s="9">
        <f>0.393565416336059/200</f>
        <v>1.967827081680295E-3</v>
      </c>
      <c r="F93" s="9">
        <v>-11.0616</v>
      </c>
      <c r="G93" s="9">
        <f>1.41515588760375/200</f>
        <v>7.0757794380187497E-3</v>
      </c>
      <c r="H93" s="9">
        <v>-11.5398</v>
      </c>
      <c r="I93" s="9">
        <f>1.7515857219696/200</f>
        <v>8.7579286098480001E-3</v>
      </c>
      <c r="J93" s="9">
        <v>-11.533899999999999</v>
      </c>
      <c r="K93" s="29">
        <f>1.83847570419311/200</f>
        <v>9.1923785209655495E-3</v>
      </c>
    </row>
    <row r="94" spans="1:11" x14ac:dyDescent="0.35">
      <c r="A94" s="11" t="s">
        <v>76</v>
      </c>
      <c r="B94" s="9">
        <v>2.2039</v>
      </c>
      <c r="C94" s="9"/>
      <c r="D94" s="9">
        <v>1.4112</v>
      </c>
      <c r="E94" s="9"/>
      <c r="F94" s="9">
        <v>0.95120000000000005</v>
      </c>
      <c r="G94" s="9"/>
      <c r="H94" s="9">
        <v>0.77070000000000005</v>
      </c>
      <c r="I94" s="9"/>
      <c r="J94" s="9">
        <v>0.59950000000000003</v>
      </c>
      <c r="K94" s="29"/>
    </row>
    <row r="95" spans="1:11" x14ac:dyDescent="0.35">
      <c r="A95" s="11" t="s">
        <v>7</v>
      </c>
      <c r="B95" s="9">
        <v>-11.7315</v>
      </c>
      <c r="C95" s="9">
        <f>0.743644952774047/200</f>
        <v>3.7182247638702349E-3</v>
      </c>
      <c r="D95" s="9">
        <v>-12.350300000000001</v>
      </c>
      <c r="E95" s="9">
        <f>0.808241128921508/200</f>
        <v>4.0412056446075401E-3</v>
      </c>
      <c r="F95" s="9">
        <v>-12.4358</v>
      </c>
      <c r="G95" s="9">
        <f xml:space="preserve"> 2.81512689590454/200</f>
        <v>1.4075634479522701E-2</v>
      </c>
      <c r="H95" s="9">
        <v>-12.7623</v>
      </c>
      <c r="I95" s="9">
        <f>3.38718914985656/200</f>
        <v>1.69359457492828E-2</v>
      </c>
      <c r="J95" s="9">
        <v>-12.7544</v>
      </c>
      <c r="K95" s="29">
        <f>3.5751347541809/200</f>
        <v>1.7875673770904502E-2</v>
      </c>
    </row>
    <row r="96" spans="1:11" ht="16.5" customHeight="1" x14ac:dyDescent="0.35">
      <c r="A96" s="11" t="s">
        <v>53</v>
      </c>
      <c r="B96" s="9">
        <v>2.4887999999999999</v>
      </c>
      <c r="C96" s="9"/>
      <c r="D96" s="9">
        <v>1.5609</v>
      </c>
      <c r="E96" s="9"/>
      <c r="F96" s="9">
        <v>1.0578000000000001</v>
      </c>
      <c r="G96" s="9"/>
      <c r="H96" s="9">
        <v>0.8075</v>
      </c>
      <c r="I96" s="9"/>
      <c r="J96" s="9">
        <v>0.63580000000000003</v>
      </c>
      <c r="K96" s="29"/>
    </row>
    <row r="97" spans="1:11" x14ac:dyDescent="0.35">
      <c r="A97" s="11" t="s">
        <v>121</v>
      </c>
      <c r="B97" s="9">
        <v>-11.2082</v>
      </c>
      <c r="C97" s="9">
        <f>8.5537621974945/200</f>
        <v>4.2768810987472497E-2</v>
      </c>
      <c r="D97" s="9" t="s">
        <v>130</v>
      </c>
      <c r="E97" s="9">
        <f>8.43400382995605/200</f>
        <v>4.2170019149780247E-2</v>
      </c>
      <c r="F97" s="9" t="s">
        <v>122</v>
      </c>
      <c r="G97" s="9">
        <f>10.424521446228/200</f>
        <v>5.2122607231140004E-2</v>
      </c>
      <c r="H97" s="49" t="s">
        <v>137</v>
      </c>
      <c r="I97" s="9">
        <f>13.5266025066375/200</f>
        <v>6.76330125331875E-2</v>
      </c>
      <c r="J97" s="9"/>
      <c r="K97" s="29"/>
    </row>
    <row r="98" spans="1:11" x14ac:dyDescent="0.35">
      <c r="A98" s="11" t="s">
        <v>54</v>
      </c>
      <c r="B98" s="9">
        <v>2.4382999999999999</v>
      </c>
      <c r="C98" s="9"/>
      <c r="D98" s="70">
        <v>1.5407</v>
      </c>
      <c r="E98" s="9"/>
      <c r="F98" s="9">
        <v>1.0585</v>
      </c>
      <c r="G98" s="9"/>
      <c r="H98" s="49">
        <v>0.79690000000000005</v>
      </c>
      <c r="I98" s="17"/>
      <c r="J98" s="17"/>
      <c r="K98" s="8"/>
    </row>
    <row r="99" spans="1:11" s="65" customFormat="1" x14ac:dyDescent="0.35">
      <c r="A99" s="71" t="s">
        <v>101</v>
      </c>
      <c r="B99" s="72"/>
      <c r="C99" s="72"/>
      <c r="D99" s="72" t="s">
        <v>103</v>
      </c>
      <c r="E99" s="72">
        <f>8.48960757255554/200</f>
        <v>4.2448037862777704E-2</v>
      </c>
      <c r="F99" s="72" t="s">
        <v>104</v>
      </c>
      <c r="G99" s="72">
        <f>9.56008505821228/200</f>
        <v>4.7800425291061405E-2</v>
      </c>
      <c r="H99" s="73" t="s">
        <v>102</v>
      </c>
      <c r="I99" s="72">
        <f>11.0999789237976/200</f>
        <v>5.5499894618988001E-2</v>
      </c>
      <c r="J99" s="73" t="s">
        <v>119</v>
      </c>
      <c r="K99" s="74">
        <f>12.9774138927459/200</f>
        <v>6.4887069463729505E-2</v>
      </c>
    </row>
    <row r="100" spans="1:11" s="65" customFormat="1" x14ac:dyDescent="0.35">
      <c r="A100" s="71" t="s">
        <v>62</v>
      </c>
      <c r="B100" s="72"/>
      <c r="C100" s="72"/>
      <c r="D100" s="73">
        <v>1.597</v>
      </c>
      <c r="E100" s="72"/>
      <c r="F100" s="73">
        <v>1.0552999999999999</v>
      </c>
      <c r="G100" s="72"/>
      <c r="H100" s="73">
        <v>0.82789999999999997</v>
      </c>
      <c r="I100" s="72"/>
      <c r="J100" s="73">
        <v>0.61240000000000006</v>
      </c>
      <c r="K100" s="74"/>
    </row>
    <row r="101" spans="1:11" s="151" customFormat="1" x14ac:dyDescent="0.35">
      <c r="A101" s="146" t="s">
        <v>202</v>
      </c>
      <c r="B101" s="147"/>
      <c r="C101" s="147"/>
      <c r="D101" s="108">
        <v>4.2609000000000004</v>
      </c>
      <c r="E101" s="108">
        <f>5.91765332221984/200</f>
        <v>2.9588266611099198E-2</v>
      </c>
      <c r="F101" s="108">
        <v>5.5805999999999996</v>
      </c>
      <c r="G101" s="108">
        <f>6.13172888755798/200</f>
        <v>3.06586444377899E-2</v>
      </c>
      <c r="H101" s="148">
        <v>3.7422</v>
      </c>
      <c r="I101" s="148">
        <f>30.4122395515441/200</f>
        <v>0.15206119775772051</v>
      </c>
      <c r="J101" s="149"/>
      <c r="K101" s="150"/>
    </row>
    <row r="102" spans="1:11" s="151" customFormat="1" x14ac:dyDescent="0.35">
      <c r="A102" s="146" t="s">
        <v>153</v>
      </c>
      <c r="B102" s="147"/>
      <c r="C102" s="147"/>
      <c r="D102" s="108">
        <v>4.7234999999999996</v>
      </c>
      <c r="E102" s="108"/>
      <c r="F102" s="108">
        <v>4.5526</v>
      </c>
      <c r="G102" s="108"/>
      <c r="H102" s="148">
        <v>4.4161000000000001</v>
      </c>
      <c r="I102" s="148"/>
      <c r="J102" s="149"/>
      <c r="K102" s="150"/>
    </row>
    <row r="103" spans="1:11" s="142" customFormat="1" x14ac:dyDescent="0.35">
      <c r="A103" s="144" t="s">
        <v>203</v>
      </c>
      <c r="B103" s="130"/>
      <c r="C103" s="130"/>
      <c r="D103" s="130">
        <v>1.4955000000000001</v>
      </c>
      <c r="E103" s="130">
        <f>13.7283034324645/200</f>
        <v>6.8641517162323001E-2</v>
      </c>
      <c r="F103" s="130">
        <v>3.0177999999999998</v>
      </c>
      <c r="G103" s="130">
        <f>13.8989281654357/200</f>
        <v>6.9494640827178503E-2</v>
      </c>
      <c r="H103" s="133">
        <v>4.4862000000000002</v>
      </c>
      <c r="I103" s="133">
        <f>14.1235289573669/200</f>
        <v>7.0617644786834508E-2</v>
      </c>
      <c r="J103" s="128"/>
      <c r="K103" s="141"/>
    </row>
    <row r="104" spans="1:11" s="142" customFormat="1" ht="15" thickBot="1" x14ac:dyDescent="0.4">
      <c r="A104" s="145" t="s">
        <v>153</v>
      </c>
      <c r="B104" s="139"/>
      <c r="C104" s="139"/>
      <c r="D104" s="139">
        <v>3.0409000000000002</v>
      </c>
      <c r="E104" s="139"/>
      <c r="F104" s="139">
        <v>2.7193999999999998</v>
      </c>
      <c r="G104" s="139"/>
      <c r="H104" s="134">
        <v>1.8802000000000001</v>
      </c>
      <c r="I104" s="134"/>
      <c r="J104" s="129"/>
      <c r="K104" s="143"/>
    </row>
    <row r="105" spans="1:11" x14ac:dyDescent="0.35">
      <c r="A105" s="32"/>
      <c r="B105" s="20"/>
      <c r="C105" s="20"/>
      <c r="D105" s="58"/>
      <c r="E105" s="20"/>
      <c r="F105" s="58"/>
      <c r="G105" s="20"/>
      <c r="H105" s="58"/>
      <c r="I105" s="20"/>
      <c r="J105" s="58"/>
      <c r="K105" s="20"/>
    </row>
    <row r="106" spans="1:11" ht="15" thickBot="1" x14ac:dyDescent="0.4">
      <c r="A106" s="34" t="s">
        <v>136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1" x14ac:dyDescent="0.35">
      <c r="A107" s="66"/>
      <c r="B107" s="67" t="s">
        <v>97</v>
      </c>
      <c r="C107" s="19" t="s">
        <v>98</v>
      </c>
      <c r="D107" s="67" t="s">
        <v>46</v>
      </c>
      <c r="E107" s="19" t="s">
        <v>96</v>
      </c>
      <c r="F107" s="67" t="s">
        <v>47</v>
      </c>
      <c r="G107" s="68" t="s">
        <v>95</v>
      </c>
      <c r="H107" s="67" t="s">
        <v>99</v>
      </c>
      <c r="I107" s="69" t="s">
        <v>100</v>
      </c>
      <c r="J107" s="75"/>
      <c r="K107" s="32"/>
    </row>
    <row r="108" spans="1:11" x14ac:dyDescent="0.35">
      <c r="A108" s="11" t="s">
        <v>143</v>
      </c>
      <c r="B108" s="76">
        <v>-7.2732999999999999</v>
      </c>
      <c r="C108" s="76">
        <f>3.30510807037353/200</f>
        <v>1.6525540351867648E-2</v>
      </c>
      <c r="D108" s="76">
        <v>-9.4646000000000008</v>
      </c>
      <c r="E108" s="76">
        <f>3.73610782623291/200</f>
        <v>1.8680539131164551E-2</v>
      </c>
      <c r="F108" s="76">
        <v>-9.5103000000000009</v>
      </c>
      <c r="G108" s="76">
        <f>3.9412202835083/200</f>
        <v>1.9706101417541498E-2</v>
      </c>
      <c r="H108" s="76">
        <v>-9.6827000000000005</v>
      </c>
      <c r="I108" s="77">
        <f>4.63441228866577/200</f>
        <v>2.317206144332885E-2</v>
      </c>
      <c r="J108" s="9"/>
      <c r="K108" s="57"/>
    </row>
    <row r="109" spans="1:11" x14ac:dyDescent="0.35">
      <c r="A109" s="11" t="s">
        <v>76</v>
      </c>
      <c r="B109" s="76">
        <v>0.66759999999999997</v>
      </c>
      <c r="C109" s="76"/>
      <c r="D109" s="76">
        <v>0.6905</v>
      </c>
      <c r="E109" s="76"/>
      <c r="F109" s="76">
        <v>0.68589999999999995</v>
      </c>
      <c r="G109" s="76"/>
      <c r="H109" s="76">
        <v>0.49120000000000003</v>
      </c>
      <c r="I109" s="77"/>
      <c r="J109" s="9"/>
      <c r="K109" s="57"/>
    </row>
    <row r="110" spans="1:11" x14ac:dyDescent="0.35">
      <c r="A110" s="11" t="s">
        <v>7</v>
      </c>
      <c r="B110" s="76">
        <v>-11.763400000000001</v>
      </c>
      <c r="C110" s="76">
        <f>6.93132138252258/200</f>
        <v>3.4656606912612901E-2</v>
      </c>
      <c r="D110" s="76">
        <v>-12.1273</v>
      </c>
      <c r="E110" s="76">
        <f>8.01621603965759/200</f>
        <v>4.0081080198287947E-2</v>
      </c>
      <c r="F110" s="76">
        <v>-12.002599999999999</v>
      </c>
      <c r="G110" s="76">
        <f>8.17840385437011/200</f>
        <v>4.0892019271850551E-2</v>
      </c>
      <c r="H110" s="76">
        <v>-12.107100000000001</v>
      </c>
      <c r="I110" s="77">
        <f>9.89218688011169/200</f>
        <v>4.9460934400558453E-2</v>
      </c>
      <c r="J110" s="9"/>
      <c r="K110" s="57"/>
    </row>
    <row r="111" spans="1:11" x14ac:dyDescent="0.35">
      <c r="A111" s="11" t="s">
        <v>53</v>
      </c>
      <c r="B111" s="76">
        <v>0.9052</v>
      </c>
      <c r="C111" s="76"/>
      <c r="D111" s="76">
        <v>0.71509999999999996</v>
      </c>
      <c r="E111" s="76"/>
      <c r="F111" s="76">
        <v>0.66969999999999996</v>
      </c>
      <c r="G111" s="76"/>
      <c r="H111" s="76">
        <v>0.52600000000000002</v>
      </c>
      <c r="I111" s="77"/>
      <c r="J111" s="9"/>
      <c r="K111" s="57"/>
    </row>
    <row r="112" spans="1:11" x14ac:dyDescent="0.35">
      <c r="A112" s="11" t="s">
        <v>34</v>
      </c>
      <c r="B112" s="76">
        <v>-11.6623</v>
      </c>
      <c r="C112" s="76">
        <f>80.5346596240997/200</f>
        <v>0.40267329812049851</v>
      </c>
      <c r="D112" s="76">
        <v>-11.852600000000001</v>
      </c>
      <c r="E112" s="76">
        <f>85.9917159080505/200</f>
        <v>0.42995857954025246</v>
      </c>
      <c r="F112" s="76">
        <v>-11.3972</v>
      </c>
      <c r="G112" s="76">
        <f xml:space="preserve"> 102.554239511489/200</f>
        <v>0.51277119755744505</v>
      </c>
      <c r="H112" s="76">
        <v>-10.0825</v>
      </c>
      <c r="I112" s="77">
        <f xml:space="preserve"> 135.115339517593/200</f>
        <v>0.6755766975879649</v>
      </c>
      <c r="J112" s="9"/>
      <c r="K112" s="57"/>
    </row>
    <row r="113" spans="1:11" ht="15" thickBot="1" x14ac:dyDescent="0.4">
      <c r="A113" s="12" t="s">
        <v>54</v>
      </c>
      <c r="B113" s="78">
        <v>0.89839999999999998</v>
      </c>
      <c r="C113" s="78"/>
      <c r="D113" s="79">
        <v>0.70909999999999995</v>
      </c>
      <c r="E113" s="78"/>
      <c r="F113" s="78">
        <v>0.80679999999999996</v>
      </c>
      <c r="G113" s="78"/>
      <c r="H113" s="78">
        <v>1.3221000000000001</v>
      </c>
      <c r="I113" s="80"/>
      <c r="J113" s="17"/>
      <c r="K113" s="20"/>
    </row>
    <row r="114" spans="1:11" x14ac:dyDescent="0.35">
      <c r="A114" s="27"/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1" x14ac:dyDescent="0.35">
      <c r="A115" s="27"/>
      <c r="B115" s="27"/>
      <c r="C115" s="27"/>
      <c r="D115" s="27"/>
      <c r="E115" s="27"/>
      <c r="F115" s="27"/>
      <c r="G115" s="27"/>
      <c r="H115" s="27"/>
      <c r="I115" s="27"/>
      <c r="J115" s="27"/>
    </row>
    <row r="118" spans="1:11" x14ac:dyDescent="0.35">
      <c r="A118" s="7" t="s">
        <v>90</v>
      </c>
    </row>
    <row r="119" spans="1:11" x14ac:dyDescent="0.35">
      <c r="A119" s="18" t="s">
        <v>92</v>
      </c>
    </row>
    <row r="120" spans="1:11" x14ac:dyDescent="0.35">
      <c r="A120" s="27" t="s">
        <v>9</v>
      </c>
    </row>
    <row r="121" spans="1:11" ht="15" thickBot="1" x14ac:dyDescent="0.4">
      <c r="A121" t="s">
        <v>10</v>
      </c>
    </row>
    <row r="122" spans="1:11" x14ac:dyDescent="0.35">
      <c r="A122" s="13" t="s">
        <v>1</v>
      </c>
      <c r="B122" s="36" t="s">
        <v>2</v>
      </c>
      <c r="C122" s="36" t="s">
        <v>3</v>
      </c>
      <c r="D122" s="36" t="s">
        <v>4</v>
      </c>
      <c r="E122" s="36" t="s">
        <v>5</v>
      </c>
      <c r="F122" s="36" t="s">
        <v>6</v>
      </c>
      <c r="G122" s="47" t="s">
        <v>11</v>
      </c>
    </row>
    <row r="123" spans="1:11" x14ac:dyDescent="0.35">
      <c r="A123" s="5" t="s">
        <v>13</v>
      </c>
      <c r="B123" s="9">
        <v>2.7021000000000002</v>
      </c>
      <c r="C123" s="9">
        <v>-7.3941999999999997</v>
      </c>
      <c r="D123" s="9">
        <v>-17.366499999999998</v>
      </c>
      <c r="E123" s="9">
        <v>-27.2926</v>
      </c>
      <c r="F123" s="9">
        <v>-37.272500000000001</v>
      </c>
      <c r="G123" s="29">
        <f>1.87291026115417/200</f>
        <v>9.3645513057708501E-3</v>
      </c>
    </row>
    <row r="124" spans="1:11" x14ac:dyDescent="0.35">
      <c r="A124" s="5" t="s">
        <v>14</v>
      </c>
      <c r="B124" s="9">
        <v>0.88500000000000001</v>
      </c>
      <c r="C124" s="9">
        <v>0.90100000000000002</v>
      </c>
      <c r="D124" s="9">
        <v>0.95669999999999999</v>
      </c>
      <c r="E124" s="9">
        <v>0.96560000000000001</v>
      </c>
      <c r="F124" s="9">
        <v>1.0293000000000001</v>
      </c>
      <c r="G124" s="48"/>
    </row>
    <row r="125" spans="1:11" x14ac:dyDescent="0.35">
      <c r="A125" s="5"/>
      <c r="B125" s="49"/>
      <c r="C125" s="9"/>
      <c r="D125" s="9"/>
      <c r="E125" s="9"/>
      <c r="F125" s="9"/>
      <c r="G125" s="48"/>
    </row>
    <row r="126" spans="1:11" x14ac:dyDescent="0.35">
      <c r="A126" s="5" t="s">
        <v>15</v>
      </c>
      <c r="B126" s="9">
        <v>11.153700000000001</v>
      </c>
      <c r="C126" s="9">
        <v>0.92630000000000001</v>
      </c>
      <c r="D126" s="9">
        <v>-9.1595999999999993</v>
      </c>
      <c r="E126" s="9">
        <v>-18.4282</v>
      </c>
      <c r="F126" s="9">
        <v>-28.785699999999999</v>
      </c>
      <c r="G126" s="29">
        <f>1.73989057540893/200</f>
        <v>8.6994528770446503E-3</v>
      </c>
    </row>
    <row r="127" spans="1:11" x14ac:dyDescent="0.35">
      <c r="A127" s="5" t="s">
        <v>12</v>
      </c>
      <c r="B127" s="9">
        <v>3.0234000000000001</v>
      </c>
      <c r="C127" s="9">
        <v>3.0640999999999998</v>
      </c>
      <c r="D127" s="9">
        <v>3.6509</v>
      </c>
      <c r="E127" s="9">
        <v>3.2534000000000001</v>
      </c>
      <c r="F127" s="9">
        <v>3.3008000000000002</v>
      </c>
      <c r="G127" s="48"/>
    </row>
    <row r="128" spans="1:11" x14ac:dyDescent="0.35">
      <c r="A128" s="5"/>
      <c r="B128" s="49"/>
      <c r="C128" s="9"/>
      <c r="D128" s="9"/>
      <c r="E128" s="9"/>
      <c r="F128" s="9"/>
      <c r="G128" s="48"/>
    </row>
    <row r="129" spans="1:7" x14ac:dyDescent="0.35">
      <c r="A129" s="5" t="s">
        <v>22</v>
      </c>
      <c r="B129" s="9">
        <v>-1.8754</v>
      </c>
      <c r="C129" s="9">
        <v>-11.879799999999999</v>
      </c>
      <c r="D129" s="9">
        <v>-21.812200000000001</v>
      </c>
      <c r="E129" s="9">
        <v>-31.9605</v>
      </c>
      <c r="F129" s="9">
        <v>-41.809899999999999</v>
      </c>
      <c r="G129" s="29">
        <f>3.64388179779052/200</f>
        <v>1.82194089889526E-2</v>
      </c>
    </row>
    <row r="130" spans="1:7" x14ac:dyDescent="0.35">
      <c r="A130" s="5" t="s">
        <v>23</v>
      </c>
      <c r="B130" s="9">
        <v>1.2853000000000001</v>
      </c>
      <c r="C130" s="9">
        <v>1.2719</v>
      </c>
      <c r="D130" s="9">
        <v>1.1487000000000001</v>
      </c>
      <c r="E130" s="9">
        <v>1.2646999999999999</v>
      </c>
      <c r="F130" s="9">
        <v>1.1558999999999999</v>
      </c>
      <c r="G130" s="29"/>
    </row>
    <row r="131" spans="1:7" x14ac:dyDescent="0.35">
      <c r="A131" s="5"/>
      <c r="B131" s="49"/>
      <c r="C131" s="9"/>
      <c r="D131" s="9"/>
      <c r="E131" s="9"/>
      <c r="F131" s="9"/>
      <c r="G131" s="29"/>
    </row>
    <row r="132" spans="1:7" x14ac:dyDescent="0.35">
      <c r="A132" s="5" t="s">
        <v>24</v>
      </c>
      <c r="B132" s="9">
        <v>5.5016999999999996</v>
      </c>
      <c r="C132" s="9">
        <v>-4.8254000000000001</v>
      </c>
      <c r="D132" s="9">
        <v>-15.061500000000001</v>
      </c>
      <c r="E132" s="9">
        <v>-24.198</v>
      </c>
      <c r="F132" s="9">
        <v>-34.591799999999999</v>
      </c>
      <c r="G132" s="29">
        <f>3.63707900047302/200</f>
        <v>1.8185395002365098E-2</v>
      </c>
    </row>
    <row r="133" spans="1:7" x14ac:dyDescent="0.35">
      <c r="A133" s="5" t="s">
        <v>25</v>
      </c>
      <c r="B133" s="9">
        <v>2.9416000000000002</v>
      </c>
      <c r="C133" s="9">
        <v>3.2046000000000001</v>
      </c>
      <c r="D133" s="9">
        <v>3.4399000000000002</v>
      </c>
      <c r="E133" s="9">
        <v>3.1190000000000002</v>
      </c>
      <c r="F133" s="9">
        <v>3.133</v>
      </c>
      <c r="G133" s="48"/>
    </row>
    <row r="134" spans="1:7" x14ac:dyDescent="0.35">
      <c r="A134" s="5"/>
      <c r="B134" s="49"/>
      <c r="C134" s="49"/>
      <c r="D134" s="49"/>
      <c r="E134" s="49"/>
      <c r="F134" s="49"/>
      <c r="G134" s="48"/>
    </row>
    <row r="135" spans="1:7" x14ac:dyDescent="0.35">
      <c r="A135" s="158" t="s">
        <v>16</v>
      </c>
      <c r="B135" s="159">
        <f>-1.7902</f>
        <v>-1.7902</v>
      </c>
      <c r="C135" s="159">
        <v>-11.8467</v>
      </c>
      <c r="D135" s="159">
        <v>-21.738299999999999</v>
      </c>
      <c r="E135" s="159">
        <v>-31.619900000000001</v>
      </c>
      <c r="F135" s="159">
        <v>-41.830800000000004</v>
      </c>
      <c r="G135" s="160">
        <f>43.5942468643188/200</f>
        <v>0.21797123432159399</v>
      </c>
    </row>
    <row r="136" spans="1:7" x14ac:dyDescent="0.35">
      <c r="A136" s="158" t="s">
        <v>17</v>
      </c>
      <c r="B136" s="159">
        <v>1.2419</v>
      </c>
      <c r="C136" s="159">
        <v>1.1898</v>
      </c>
      <c r="D136" s="159">
        <v>1.2814000000000001</v>
      </c>
      <c r="E136" s="159">
        <v>1.1073</v>
      </c>
      <c r="F136" s="161">
        <v>1.2888999999999999</v>
      </c>
      <c r="G136" s="160"/>
    </row>
    <row r="137" spans="1:7" x14ac:dyDescent="0.35">
      <c r="A137" s="5"/>
      <c r="B137" s="9"/>
      <c r="C137" s="9"/>
      <c r="D137" s="9"/>
      <c r="E137" s="9"/>
      <c r="F137" s="9"/>
      <c r="G137" s="29"/>
    </row>
    <row r="138" spans="1:7" x14ac:dyDescent="0.35">
      <c r="A138" s="111" t="s">
        <v>18</v>
      </c>
      <c r="B138" s="112">
        <v>-0.77390000000000003</v>
      </c>
      <c r="C138" s="112">
        <v>-10.8522</v>
      </c>
      <c r="D138" s="112">
        <v>-21.103899999999999</v>
      </c>
      <c r="E138" s="112">
        <v>-29.667200000000001</v>
      </c>
      <c r="F138" s="112">
        <v>-38.0655</v>
      </c>
      <c r="G138" s="157"/>
    </row>
    <row r="139" spans="1:7" x14ac:dyDescent="0.35">
      <c r="A139" s="111" t="s">
        <v>19</v>
      </c>
      <c r="B139" s="112">
        <v>1.2433000000000001</v>
      </c>
      <c r="C139" s="112">
        <v>1.1579999999999999</v>
      </c>
      <c r="D139" s="112">
        <v>1.2155</v>
      </c>
      <c r="E139" s="112">
        <v>1.2145999999999999</v>
      </c>
      <c r="F139" s="112">
        <v>1.1361000000000001</v>
      </c>
      <c r="G139" s="157"/>
    </row>
    <row r="140" spans="1:7" x14ac:dyDescent="0.35">
      <c r="A140" s="5"/>
      <c r="B140" s="9"/>
      <c r="C140" s="9"/>
      <c r="D140" s="9"/>
      <c r="E140" s="9"/>
      <c r="F140" s="9"/>
      <c r="G140" s="29"/>
    </row>
    <row r="141" spans="1:7" x14ac:dyDescent="0.35">
      <c r="A141" s="5" t="s">
        <v>20</v>
      </c>
      <c r="B141" s="9">
        <v>-1.7432000000000001</v>
      </c>
      <c r="C141" s="9">
        <v>-11.6966</v>
      </c>
      <c r="D141" s="9">
        <v>-21.720500000000001</v>
      </c>
      <c r="E141" s="9">
        <v>-31.185500000000001</v>
      </c>
      <c r="F141" s="9">
        <v>-40.300899999999999</v>
      </c>
      <c r="G141" s="29"/>
    </row>
    <row r="142" spans="1:7" x14ac:dyDescent="0.35">
      <c r="A142" s="5" t="s">
        <v>21</v>
      </c>
      <c r="B142" s="9">
        <v>1.2693000000000001</v>
      </c>
      <c r="C142" s="9">
        <v>1.2414000000000001</v>
      </c>
      <c r="D142" s="9">
        <v>1.1528</v>
      </c>
      <c r="E142" s="9">
        <v>1.2195</v>
      </c>
      <c r="F142" s="9">
        <v>1.1687000000000001</v>
      </c>
      <c r="G142" s="29"/>
    </row>
    <row r="143" spans="1:7" x14ac:dyDescent="0.35">
      <c r="A143" s="5"/>
      <c r="B143" s="9"/>
      <c r="C143" s="9"/>
      <c r="D143" s="9"/>
      <c r="E143" s="9"/>
      <c r="F143" s="9"/>
      <c r="G143" s="29"/>
    </row>
    <row r="144" spans="1:7" x14ac:dyDescent="0.35">
      <c r="A144" s="135" t="s">
        <v>172</v>
      </c>
      <c r="B144" s="130">
        <v>19.7407</v>
      </c>
      <c r="C144" s="130">
        <v>8.5403000000000002</v>
      </c>
      <c r="D144" s="130">
        <v>-0.249</v>
      </c>
      <c r="E144" s="130"/>
      <c r="F144" s="130">
        <v>-20.1632</v>
      </c>
      <c r="G144" s="136">
        <f>25.1783559322357/200</f>
        <v>0.12589177966117851</v>
      </c>
    </row>
    <row r="145" spans="1:7" x14ac:dyDescent="0.35">
      <c r="A145" s="135" t="s">
        <v>214</v>
      </c>
      <c r="B145" s="130">
        <v>3.2414999999999998</v>
      </c>
      <c r="C145" s="130">
        <v>3.3635999999999999</v>
      </c>
      <c r="D145" s="130">
        <v>4.1967999999999996</v>
      </c>
      <c r="E145" s="130"/>
      <c r="F145" s="137">
        <v>3.2654000000000001</v>
      </c>
      <c r="G145" s="136"/>
    </row>
    <row r="146" spans="1:7" x14ac:dyDescent="0.35">
      <c r="A146" s="156"/>
      <c r="B146" s="70"/>
      <c r="C146" s="70"/>
      <c r="D146" s="70"/>
      <c r="E146" s="70"/>
      <c r="F146" s="70"/>
      <c r="G146" s="52"/>
    </row>
    <row r="147" spans="1:7" x14ac:dyDescent="0.35">
      <c r="A147" s="135" t="s">
        <v>215</v>
      </c>
      <c r="B147" s="130">
        <v>-0.9889</v>
      </c>
      <c r="C147" s="130">
        <v>-11.123100000000001</v>
      </c>
      <c r="D147" s="130">
        <v>-20.864799999999999</v>
      </c>
      <c r="E147" s="130">
        <v>-30.079599999999999</v>
      </c>
      <c r="F147" s="130">
        <v>-38.1736</v>
      </c>
      <c r="G147" s="136">
        <f>25.390638589859/200</f>
        <v>0.126953192949295</v>
      </c>
    </row>
    <row r="148" spans="1:7" ht="15" thickBot="1" x14ac:dyDescent="0.4">
      <c r="A148" s="138" t="s">
        <v>216</v>
      </c>
      <c r="B148" s="139">
        <v>1.2228000000000001</v>
      </c>
      <c r="C148" s="139">
        <v>1.2425999999999999</v>
      </c>
      <c r="D148" s="139">
        <v>1.5871999999999999</v>
      </c>
      <c r="E148" s="139">
        <v>1.3541000000000001</v>
      </c>
      <c r="F148" s="139">
        <v>2.6240999999999999</v>
      </c>
      <c r="G148" s="140"/>
    </row>
    <row r="149" spans="1:7" x14ac:dyDescent="0.35">
      <c r="A149" s="32"/>
      <c r="B149" s="32" t="s">
        <v>56</v>
      </c>
      <c r="D149" s="16"/>
      <c r="E149" s="16"/>
      <c r="F149" s="16"/>
      <c r="G149" s="16"/>
    </row>
    <row r="150" spans="1:7" x14ac:dyDescent="0.35">
      <c r="A150" s="20"/>
      <c r="B150" s="17" t="s">
        <v>57</v>
      </c>
      <c r="C150" s="17"/>
      <c r="D150" s="16"/>
      <c r="E150" s="16"/>
      <c r="F150" s="16"/>
      <c r="G150" s="16"/>
    </row>
    <row r="153" spans="1:7" x14ac:dyDescent="0.35">
      <c r="A153" s="18" t="s">
        <v>91</v>
      </c>
      <c r="C153" s="18"/>
    </row>
    <row r="154" spans="1:7" x14ac:dyDescent="0.35">
      <c r="A154" t="s">
        <v>48</v>
      </c>
    </row>
    <row r="155" spans="1:7" ht="15" thickBot="1" x14ac:dyDescent="0.4">
      <c r="A155" t="s">
        <v>85</v>
      </c>
    </row>
    <row r="156" spans="1:7" x14ac:dyDescent="0.35">
      <c r="A156" s="13" t="s">
        <v>1</v>
      </c>
      <c r="B156" s="36" t="s">
        <v>2</v>
      </c>
      <c r="C156" s="36" t="s">
        <v>3</v>
      </c>
      <c r="D156" s="36" t="s">
        <v>4</v>
      </c>
      <c r="E156" s="36" t="s">
        <v>5</v>
      </c>
      <c r="F156" s="36" t="s">
        <v>6</v>
      </c>
      <c r="G156" s="47" t="s">
        <v>81</v>
      </c>
    </row>
    <row r="157" spans="1:7" x14ac:dyDescent="0.35">
      <c r="A157" s="5" t="s">
        <v>28</v>
      </c>
      <c r="B157" s="9">
        <v>3.4502999999999999</v>
      </c>
      <c r="C157" s="9">
        <v>-6.5942999999999996</v>
      </c>
      <c r="D157" s="9">
        <v>-16.561499999999999</v>
      </c>
      <c r="E157" s="9">
        <v>-26.6008</v>
      </c>
      <c r="F157" s="9">
        <v>-36.565199999999997</v>
      </c>
      <c r="G157" s="29">
        <f>1.81720042228698/1000</f>
        <v>1.8172004222869801E-3</v>
      </c>
    </row>
    <row r="158" spans="1:7" x14ac:dyDescent="0.35">
      <c r="A158" s="5" t="s">
        <v>14</v>
      </c>
      <c r="B158" s="9">
        <v>1.8456999999999999</v>
      </c>
      <c r="C158" s="9">
        <v>1.8831</v>
      </c>
      <c r="D158" s="9">
        <v>1.8754999999999999</v>
      </c>
      <c r="E158" s="9">
        <v>1.9067000000000001</v>
      </c>
      <c r="F158" s="9">
        <v>1.8309</v>
      </c>
      <c r="G158" s="48"/>
    </row>
    <row r="159" spans="1:7" x14ac:dyDescent="0.35">
      <c r="A159" s="5"/>
      <c r="B159" s="49"/>
      <c r="C159" s="9"/>
      <c r="D159" s="9"/>
      <c r="E159" s="9"/>
      <c r="F159" s="9"/>
      <c r="G159" s="48"/>
    </row>
    <row r="160" spans="1:7" x14ac:dyDescent="0.35">
      <c r="A160" s="5" t="s">
        <v>86</v>
      </c>
      <c r="B160" s="9">
        <v>33.961399999999998</v>
      </c>
      <c r="C160" s="9">
        <v>23.832799999999999</v>
      </c>
      <c r="D160" s="9">
        <v>13.8483</v>
      </c>
      <c r="E160" s="9">
        <v>4.1989999999999998</v>
      </c>
      <c r="F160" s="9">
        <v>-6.4336000000000002</v>
      </c>
      <c r="G160" s="29"/>
    </row>
    <row r="161" spans="1:7" x14ac:dyDescent="0.35">
      <c r="A161" s="5" t="s">
        <v>29</v>
      </c>
      <c r="B161" s="9">
        <v>3.9329999999999998</v>
      </c>
      <c r="C161" s="9">
        <v>3.8573</v>
      </c>
      <c r="D161" s="9">
        <v>3.6829000000000001</v>
      </c>
      <c r="E161" s="9">
        <v>3.8494999999999999</v>
      </c>
      <c r="F161" s="9">
        <v>3.8119000000000001</v>
      </c>
      <c r="G161" s="48"/>
    </row>
    <row r="162" spans="1:7" x14ac:dyDescent="0.35">
      <c r="A162" s="5"/>
      <c r="B162" s="49"/>
      <c r="C162" s="9"/>
      <c r="D162" s="9"/>
      <c r="E162" s="9"/>
      <c r="F162" s="9"/>
      <c r="G162" s="48"/>
    </row>
    <row r="163" spans="1:7" x14ac:dyDescent="0.35">
      <c r="A163" s="5" t="s">
        <v>30</v>
      </c>
      <c r="B163" s="9">
        <v>-3.8433999999999999</v>
      </c>
      <c r="C163" s="9">
        <v>-13.9133</v>
      </c>
      <c r="D163" s="9">
        <v>-23.5916</v>
      </c>
      <c r="E163" s="9">
        <v>-33.8613</v>
      </c>
      <c r="F163" s="9">
        <v>-43.593000000000004</v>
      </c>
      <c r="G163" s="29">
        <f>3.73042225837707/1000</f>
        <v>3.7304222583770699E-3</v>
      </c>
    </row>
    <row r="164" spans="1:7" x14ac:dyDescent="0.35">
      <c r="A164" s="5" t="s">
        <v>23</v>
      </c>
      <c r="B164" s="9">
        <v>2.6547999999999998</v>
      </c>
      <c r="C164" s="9">
        <v>2.7086999999999999</v>
      </c>
      <c r="D164" s="9">
        <v>2.7507000000000001</v>
      </c>
      <c r="E164" s="9">
        <v>2.7532999999999999</v>
      </c>
      <c r="F164" s="9">
        <v>2.7458</v>
      </c>
      <c r="G164" s="29"/>
    </row>
    <row r="165" spans="1:7" x14ac:dyDescent="0.35">
      <c r="A165" s="5"/>
      <c r="B165" s="49"/>
      <c r="C165" s="9"/>
      <c r="D165" s="9"/>
      <c r="E165" s="9"/>
      <c r="F165" s="9"/>
      <c r="G165" s="29"/>
    </row>
    <row r="166" spans="1:7" x14ac:dyDescent="0.35">
      <c r="A166" s="5" t="s">
        <v>87</v>
      </c>
      <c r="B166" s="9">
        <v>32.962600000000002</v>
      </c>
      <c r="C166" s="9">
        <v>22.838000000000001</v>
      </c>
      <c r="D166" s="9">
        <v>12.853400000000001</v>
      </c>
      <c r="E166" s="9">
        <v>3.2014</v>
      </c>
      <c r="F166" s="9">
        <v>-7.4305000000000003</v>
      </c>
      <c r="G166" s="29"/>
    </row>
    <row r="167" spans="1:7" x14ac:dyDescent="0.35">
      <c r="A167" s="5" t="s">
        <v>31</v>
      </c>
      <c r="B167" s="9">
        <v>3.9333999999999998</v>
      </c>
      <c r="C167" s="9">
        <v>3.859</v>
      </c>
      <c r="D167" s="9">
        <v>3.6848999999999998</v>
      </c>
      <c r="E167" s="9">
        <v>3.851</v>
      </c>
      <c r="F167" s="9">
        <v>3.8092000000000001</v>
      </c>
      <c r="G167" s="48"/>
    </row>
    <row r="168" spans="1:7" x14ac:dyDescent="0.35">
      <c r="A168" s="5"/>
      <c r="B168" s="49"/>
      <c r="C168" s="49"/>
      <c r="D168" s="49"/>
      <c r="E168" s="49"/>
      <c r="F168" s="49"/>
      <c r="G168" s="48"/>
    </row>
    <row r="169" spans="1:7" x14ac:dyDescent="0.35">
      <c r="A169" s="5" t="s">
        <v>16</v>
      </c>
      <c r="B169" s="9">
        <v>-3.3506</v>
      </c>
      <c r="C169" s="9">
        <v>-13.5854</v>
      </c>
      <c r="D169" s="9">
        <v>-23.3325</v>
      </c>
      <c r="E169" s="9">
        <v>-33.126199999999997</v>
      </c>
      <c r="F169" s="9">
        <v>-43.1599</v>
      </c>
      <c r="G169" s="29">
        <f>44.6756930351257/1000</f>
        <v>4.4675693035125696E-2</v>
      </c>
    </row>
    <row r="170" spans="1:7" x14ac:dyDescent="0.35">
      <c r="A170" s="5" t="s">
        <v>17</v>
      </c>
      <c r="B170" s="9">
        <v>2.6993</v>
      </c>
      <c r="C170" s="9">
        <v>2.6728000000000001</v>
      </c>
      <c r="D170" s="9">
        <v>2.6707000000000001</v>
      </c>
      <c r="E170" s="9">
        <v>2.6284000000000001</v>
      </c>
      <c r="F170" s="9">
        <v>2.6488</v>
      </c>
      <c r="G170" s="29"/>
    </row>
    <row r="171" spans="1:7" x14ac:dyDescent="0.35">
      <c r="A171" s="5"/>
      <c r="B171" s="9"/>
      <c r="C171" s="9"/>
      <c r="D171" s="9"/>
      <c r="E171" s="9"/>
      <c r="F171" s="9"/>
      <c r="G171" s="29"/>
    </row>
    <row r="172" spans="1:7" x14ac:dyDescent="0.35">
      <c r="A172" s="5" t="s">
        <v>88</v>
      </c>
      <c r="B172" s="9">
        <v>10.5525</v>
      </c>
      <c r="C172" s="9">
        <v>-2.0112999999999999</v>
      </c>
      <c r="D172" s="9">
        <v>-10.688499999999999</v>
      </c>
      <c r="E172" s="9">
        <v>-21.682500000000001</v>
      </c>
      <c r="F172" s="9">
        <v>-31.886700000000001</v>
      </c>
      <c r="G172" s="29"/>
    </row>
    <row r="173" spans="1:7" x14ac:dyDescent="0.35">
      <c r="A173" s="5" t="s">
        <v>32</v>
      </c>
      <c r="B173" s="9">
        <v>3.1505999999999998</v>
      </c>
      <c r="C173" s="9">
        <v>1.9450000000000001</v>
      </c>
      <c r="D173" s="9">
        <v>1.9343999999999999</v>
      </c>
      <c r="E173" s="9">
        <v>1.6428</v>
      </c>
      <c r="F173" s="9">
        <v>1.2435</v>
      </c>
      <c r="G173" s="29"/>
    </row>
    <row r="174" spans="1:7" x14ac:dyDescent="0.35">
      <c r="A174" s="5"/>
      <c r="B174" s="9"/>
      <c r="C174" s="9"/>
      <c r="D174" s="9"/>
      <c r="E174" s="9"/>
      <c r="F174" s="9"/>
      <c r="G174" s="29"/>
    </row>
    <row r="175" spans="1:7" x14ac:dyDescent="0.35">
      <c r="A175" s="5" t="s">
        <v>26</v>
      </c>
      <c r="B175" s="9">
        <v>-3.4333999999999998</v>
      </c>
      <c r="C175" s="9">
        <v>-12.944599999999999</v>
      </c>
      <c r="D175" s="9">
        <v>-23.013100000000001</v>
      </c>
      <c r="E175" s="9">
        <v>-32.932000000000002</v>
      </c>
      <c r="F175" s="9">
        <v>-41.863900000000001</v>
      </c>
      <c r="G175" s="29"/>
    </row>
    <row r="176" spans="1:7" ht="15" thickBot="1" x14ac:dyDescent="0.4">
      <c r="A176" s="6" t="s">
        <v>27</v>
      </c>
      <c r="B176" s="30">
        <v>2.6326999999999998</v>
      </c>
      <c r="C176" s="30">
        <v>2.6817000000000002</v>
      </c>
      <c r="D176" s="30">
        <v>2.7978000000000001</v>
      </c>
      <c r="E176" s="30">
        <v>2.4706999999999999</v>
      </c>
      <c r="F176" s="30">
        <v>2.6570999999999998</v>
      </c>
      <c r="G176" s="31"/>
    </row>
    <row r="177" spans="1:7" x14ac:dyDescent="0.35">
      <c r="B177" s="28"/>
      <c r="C177" s="28"/>
      <c r="D177" s="28"/>
      <c r="E177" s="28"/>
      <c r="F177" s="28"/>
      <c r="G177" s="28"/>
    </row>
    <row r="178" spans="1:7" x14ac:dyDescent="0.35">
      <c r="B178" s="55" t="s">
        <v>83</v>
      </c>
    </row>
    <row r="179" spans="1:7" x14ac:dyDescent="0.35">
      <c r="B179" t="s">
        <v>84</v>
      </c>
    </row>
    <row r="182" spans="1:7" x14ac:dyDescent="0.35">
      <c r="A182" s="7" t="s">
        <v>93</v>
      </c>
    </row>
    <row r="188" spans="1:7" x14ac:dyDescent="0.35">
      <c r="A188" s="7" t="s">
        <v>140</v>
      </c>
    </row>
    <row r="189" spans="1:7" x14ac:dyDescent="0.35">
      <c r="A189" s="27" t="s">
        <v>141</v>
      </c>
      <c r="B189" s="27"/>
      <c r="C189" s="27"/>
      <c r="D189" s="27"/>
      <c r="E189" s="27"/>
      <c r="F189" s="27"/>
      <c r="G189" s="27"/>
    </row>
    <row r="190" spans="1:7" ht="15" thickBot="1" x14ac:dyDescent="0.4">
      <c r="A190" s="27" t="s">
        <v>138</v>
      </c>
      <c r="B190" s="27"/>
      <c r="C190" s="27"/>
      <c r="D190" s="27"/>
      <c r="E190" s="27"/>
      <c r="F190" s="27"/>
      <c r="G190" s="27"/>
    </row>
    <row r="191" spans="1:7" x14ac:dyDescent="0.35">
      <c r="A191" s="66" t="s">
        <v>139</v>
      </c>
      <c r="B191" s="67">
        <v>-10</v>
      </c>
      <c r="C191" s="67">
        <v>0</v>
      </c>
      <c r="D191" s="67">
        <v>10</v>
      </c>
      <c r="E191" s="84">
        <v>20</v>
      </c>
      <c r="F191" s="75"/>
      <c r="G191" s="75"/>
    </row>
    <row r="192" spans="1:7" x14ac:dyDescent="0.35">
      <c r="A192" s="85" t="s">
        <v>69</v>
      </c>
      <c r="B192" s="70">
        <v>10.021800000000001</v>
      </c>
      <c r="C192" s="70">
        <v>-1E-4</v>
      </c>
      <c r="D192" s="70">
        <v>-10.0009</v>
      </c>
      <c r="E192" s="52">
        <v>-20.009399999999999</v>
      </c>
      <c r="F192" s="70"/>
      <c r="G192" s="34"/>
    </row>
    <row r="193" spans="1:7" x14ac:dyDescent="0.35">
      <c r="A193" s="85" t="s">
        <v>70</v>
      </c>
      <c r="B193" s="70">
        <v>0.40789999999999998</v>
      </c>
      <c r="C193" s="70">
        <v>0.41980000000000001</v>
      </c>
      <c r="D193" s="70">
        <v>0.42220000000000002</v>
      </c>
      <c r="E193" s="52">
        <v>0.41310000000000002</v>
      </c>
      <c r="F193" s="70"/>
      <c r="G193" s="34"/>
    </row>
    <row r="194" spans="1:7" x14ac:dyDescent="0.35">
      <c r="A194" s="38" t="s">
        <v>143</v>
      </c>
      <c r="B194" s="9">
        <v>8.0785</v>
      </c>
      <c r="C194" s="9">
        <v>-0.36620000000000003</v>
      </c>
      <c r="D194" s="9">
        <v>-10.040800000000001</v>
      </c>
      <c r="E194" s="29">
        <v>-20.0139</v>
      </c>
      <c r="F194" s="9"/>
      <c r="G194" s="34"/>
    </row>
    <row r="195" spans="1:7" x14ac:dyDescent="0.35">
      <c r="A195" s="38" t="s">
        <v>76</v>
      </c>
      <c r="B195" s="9">
        <v>0.4738</v>
      </c>
      <c r="C195" s="9">
        <v>0.41570000000000001</v>
      </c>
      <c r="D195" s="9">
        <v>0.42080000000000001</v>
      </c>
      <c r="E195" s="29">
        <v>0.41360000000000002</v>
      </c>
      <c r="F195" s="9"/>
      <c r="G195" s="34"/>
    </row>
    <row r="196" spans="1:7" x14ac:dyDescent="0.35">
      <c r="A196" s="38" t="s">
        <v>7</v>
      </c>
      <c r="B196" s="9">
        <v>6.2323000000000004</v>
      </c>
      <c r="C196" s="9">
        <v>-0.8518</v>
      </c>
      <c r="D196" s="9">
        <v>-10.102499999999999</v>
      </c>
      <c r="E196" s="29">
        <v>-20.0198</v>
      </c>
      <c r="F196" s="9"/>
      <c r="G196" s="34"/>
    </row>
    <row r="197" spans="1:7" ht="15" thickBot="1" x14ac:dyDescent="0.4">
      <c r="A197" s="39" t="s">
        <v>53</v>
      </c>
      <c r="B197" s="30">
        <v>0.49349999999999999</v>
      </c>
      <c r="C197" s="30">
        <v>0.41720000000000002</v>
      </c>
      <c r="D197" s="30">
        <v>0.42209999999999998</v>
      </c>
      <c r="E197" s="31">
        <v>0.41389999999999999</v>
      </c>
      <c r="F197" s="9"/>
      <c r="G197" s="34"/>
    </row>
    <row r="198" spans="1:7" x14ac:dyDescent="0.35">
      <c r="A198" s="27"/>
      <c r="B198" s="27"/>
      <c r="C198" s="27"/>
      <c r="D198" s="27"/>
      <c r="E198" s="27"/>
      <c r="F198" s="27"/>
      <c r="G198" s="27"/>
    </row>
    <row r="199" spans="1:7" x14ac:dyDescent="0.35">
      <c r="A199" s="27"/>
      <c r="B199" s="27"/>
      <c r="C199" s="27"/>
      <c r="D199" s="27"/>
      <c r="E199" s="27"/>
      <c r="F199" s="27"/>
      <c r="G199" s="27"/>
    </row>
    <row r="200" spans="1:7" ht="15" thickBot="1" x14ac:dyDescent="0.4">
      <c r="A200" s="27" t="s">
        <v>142</v>
      </c>
      <c r="B200" s="27"/>
      <c r="C200" s="27"/>
      <c r="D200" s="27"/>
      <c r="E200" s="27"/>
      <c r="F200" s="27"/>
      <c r="G200" s="27"/>
    </row>
    <row r="201" spans="1:7" x14ac:dyDescent="0.35">
      <c r="A201" s="66" t="s">
        <v>139</v>
      </c>
      <c r="B201" s="67">
        <v>-10</v>
      </c>
      <c r="C201" s="67">
        <v>0</v>
      </c>
      <c r="D201" s="67">
        <v>10</v>
      </c>
      <c r="E201" s="67">
        <v>20</v>
      </c>
      <c r="F201" s="84">
        <v>30</v>
      </c>
      <c r="G201" s="27"/>
    </row>
    <row r="202" spans="1:7" x14ac:dyDescent="0.35">
      <c r="A202" s="85" t="s">
        <v>69</v>
      </c>
      <c r="B202" s="70">
        <v>9.9992999999999999</v>
      </c>
      <c r="C202" s="70">
        <v>9.2999999999999992E-3</v>
      </c>
      <c r="D202" s="70">
        <v>-9.9928000000000008</v>
      </c>
      <c r="E202" s="70">
        <v>-20.0136</v>
      </c>
      <c r="F202" s="52">
        <v>-30.004000000000001</v>
      </c>
      <c r="G202" s="27"/>
    </row>
    <row r="203" spans="1:7" x14ac:dyDescent="0.35">
      <c r="A203" s="85" t="s">
        <v>70</v>
      </c>
      <c r="B203" s="70">
        <v>0.41639999999999999</v>
      </c>
      <c r="C203" s="70">
        <v>0.4022</v>
      </c>
      <c r="D203" s="70">
        <v>0.4098</v>
      </c>
      <c r="E203" s="70">
        <v>0.42599999999999999</v>
      </c>
      <c r="F203" s="52">
        <v>0.39079999999999998</v>
      </c>
      <c r="G203" s="27"/>
    </row>
    <row r="204" spans="1:7" x14ac:dyDescent="0.35">
      <c r="A204" s="38" t="s">
        <v>143</v>
      </c>
      <c r="B204" s="9">
        <v>2.6894</v>
      </c>
      <c r="C204" s="9">
        <v>-4.6473000000000004</v>
      </c>
      <c r="D204" s="9">
        <v>-11.911799999999999</v>
      </c>
      <c r="E204" s="9">
        <v>-20.385999999999999</v>
      </c>
      <c r="F204" s="29">
        <v>-30.0456</v>
      </c>
      <c r="G204" s="27"/>
    </row>
    <row r="205" spans="1:7" x14ac:dyDescent="0.35">
      <c r="A205" s="38" t="s">
        <v>76</v>
      </c>
      <c r="B205" s="9">
        <v>0.94330000000000003</v>
      </c>
      <c r="C205" s="9">
        <v>0.70750000000000002</v>
      </c>
      <c r="D205" s="9">
        <v>0.48320000000000002</v>
      </c>
      <c r="E205" s="9">
        <v>0.42049999999999998</v>
      </c>
      <c r="F205" s="29">
        <v>0.39340000000000003</v>
      </c>
      <c r="G205" s="27"/>
    </row>
    <row r="206" spans="1:7" x14ac:dyDescent="0.35">
      <c r="A206" s="38" t="s">
        <v>7</v>
      </c>
      <c r="B206" s="9">
        <v>-1.7606999999999999</v>
      </c>
      <c r="C206" s="9">
        <v>-8.1674000000000007</v>
      </c>
      <c r="D206" s="9">
        <v>-13.776999999999999</v>
      </c>
      <c r="E206" s="9">
        <v>-20.873999999999999</v>
      </c>
      <c r="F206" s="29">
        <v>-30.104199999999999</v>
      </c>
      <c r="G206" s="27"/>
    </row>
    <row r="207" spans="1:7" ht="15" thickBot="1" x14ac:dyDescent="0.4">
      <c r="A207" s="39" t="s">
        <v>53</v>
      </c>
      <c r="B207" s="30">
        <v>1.2151000000000001</v>
      </c>
      <c r="C207" s="30">
        <v>0.77839999999999998</v>
      </c>
      <c r="D207" s="30">
        <v>0.49209999999999998</v>
      </c>
      <c r="E207" s="30">
        <v>0.41810000000000003</v>
      </c>
      <c r="F207" s="31">
        <v>0.3926</v>
      </c>
      <c r="G207" s="27"/>
    </row>
    <row r="208" spans="1:7" x14ac:dyDescent="0.35">
      <c r="A208" s="27"/>
      <c r="B208" s="27"/>
      <c r="C208" s="27"/>
      <c r="D208" s="27"/>
      <c r="E208" s="27"/>
      <c r="F208" s="27"/>
      <c r="G208" s="27"/>
    </row>
    <row r="209" spans="1:3" ht="15" thickBot="1" x14ac:dyDescent="0.4"/>
    <row r="210" spans="1:3" x14ac:dyDescent="0.35">
      <c r="A210" s="86" t="s">
        <v>69</v>
      </c>
      <c r="B210" s="14"/>
      <c r="C210" s="87">
        <v>-8.1576000000000004</v>
      </c>
    </row>
    <row r="211" spans="1:3" x14ac:dyDescent="0.35">
      <c r="A211" s="85" t="s">
        <v>70</v>
      </c>
      <c r="B211" s="20"/>
      <c r="C211" s="88">
        <v>0.40889999999999999</v>
      </c>
    </row>
    <row r="212" spans="1:3" x14ac:dyDescent="0.35">
      <c r="A212" s="38" t="s">
        <v>149</v>
      </c>
      <c r="B212" s="20"/>
      <c r="C212" s="88">
        <v>-12.7606</v>
      </c>
    </row>
    <row r="213" spans="1:3" x14ac:dyDescent="0.35">
      <c r="A213" s="38" t="s">
        <v>53</v>
      </c>
      <c r="B213" s="20"/>
      <c r="C213" s="88">
        <v>0.50029999999999997</v>
      </c>
    </row>
    <row r="214" spans="1:3" x14ac:dyDescent="0.35">
      <c r="A214" s="38" t="s">
        <v>150</v>
      </c>
      <c r="B214" s="20"/>
      <c r="C214" s="88">
        <v>-8.1062999999999992</v>
      </c>
    </row>
    <row r="215" spans="1:3" ht="15" thickBot="1" x14ac:dyDescent="0.4">
      <c r="A215" s="39" t="s">
        <v>53</v>
      </c>
      <c r="B215" s="23"/>
      <c r="C215" s="89">
        <v>0.77159999999999995</v>
      </c>
    </row>
    <row r="216" spans="1:3" x14ac:dyDescent="0.35">
      <c r="A216" s="20"/>
      <c r="B216" s="20"/>
      <c r="C216" s="20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20"/>
  <sheetViews>
    <sheetView tabSelected="1" topLeftCell="A34" workbookViewId="0">
      <selection activeCell="A32" sqref="A32"/>
    </sheetView>
  </sheetViews>
  <sheetFormatPr defaultRowHeight="14.5" x14ac:dyDescent="0.35"/>
  <cols>
    <col min="1" max="1" width="37.1796875" customWidth="1"/>
    <col min="2" max="2" width="29.1796875" customWidth="1"/>
    <col min="3" max="3" width="24.6328125" customWidth="1"/>
    <col min="4" max="6" width="11.81640625" bestFit="1" customWidth="1"/>
  </cols>
  <sheetData>
    <row r="1" spans="1:7" x14ac:dyDescent="0.35">
      <c r="A1" s="7" t="s">
        <v>168</v>
      </c>
    </row>
    <row r="2" spans="1:7" x14ac:dyDescent="0.35">
      <c r="A2" t="s">
        <v>158</v>
      </c>
      <c r="B2" t="s">
        <v>0</v>
      </c>
    </row>
    <row r="3" spans="1:7" ht="15" thickBot="1" x14ac:dyDescent="0.4">
      <c r="A3" t="s">
        <v>196</v>
      </c>
    </row>
    <row r="4" spans="1:7" x14ac:dyDescent="0.35">
      <c r="A4" s="13" t="s">
        <v>40</v>
      </c>
      <c r="B4" s="36" t="s">
        <v>2</v>
      </c>
      <c r="C4" s="36" t="s">
        <v>41</v>
      </c>
      <c r="D4" s="36" t="s">
        <v>4</v>
      </c>
      <c r="E4" s="36" t="s">
        <v>5</v>
      </c>
      <c r="F4" s="47" t="s">
        <v>6</v>
      </c>
      <c r="G4" s="32" t="s">
        <v>164</v>
      </c>
    </row>
    <row r="5" spans="1:7" x14ac:dyDescent="0.35">
      <c r="A5" s="5" t="s">
        <v>167</v>
      </c>
      <c r="B5" s="57">
        <v>10.016999999999999</v>
      </c>
      <c r="C5" s="57">
        <v>5.1999999999999998E-3</v>
      </c>
      <c r="D5" s="57">
        <v>-10.0108</v>
      </c>
      <c r="E5" s="57">
        <v>-19.941700000000001</v>
      </c>
      <c r="F5" s="94">
        <v>-29.985800000000001</v>
      </c>
    </row>
    <row r="6" spans="1:7" x14ac:dyDescent="0.35">
      <c r="A6" s="5" t="s">
        <v>153</v>
      </c>
      <c r="B6" s="57">
        <v>0.33400000000000002</v>
      </c>
      <c r="C6" s="57">
        <v>0.37640000000000001</v>
      </c>
      <c r="D6" s="57">
        <v>0.36840000000000001</v>
      </c>
      <c r="E6" s="57">
        <v>0.34689999999999999</v>
      </c>
      <c r="F6" s="94">
        <v>0.35389999999999999</v>
      </c>
    </row>
    <row r="7" spans="1:7" x14ac:dyDescent="0.35">
      <c r="A7" s="5" t="s">
        <v>42</v>
      </c>
      <c r="B7" s="57">
        <v>-0.29899999999999999</v>
      </c>
      <c r="C7" s="91">
        <v>-10.532999999999999</v>
      </c>
      <c r="D7" s="91">
        <v>-20.492699999999999</v>
      </c>
      <c r="E7" s="91">
        <v>-30.348199999999999</v>
      </c>
      <c r="F7" s="95">
        <v>-40.4833</v>
      </c>
      <c r="G7">
        <f>34.036031961441/200</f>
        <v>0.17018015980720499</v>
      </c>
    </row>
    <row r="8" spans="1:7" x14ac:dyDescent="0.35">
      <c r="A8" s="5" t="s">
        <v>153</v>
      </c>
      <c r="B8" s="57">
        <v>1.0844</v>
      </c>
      <c r="C8" s="91">
        <v>1.016</v>
      </c>
      <c r="D8" s="91">
        <v>0.96919999999999995</v>
      </c>
      <c r="E8" s="91">
        <v>1.0161</v>
      </c>
      <c r="F8" s="95">
        <v>0.99170000000000003</v>
      </c>
    </row>
    <row r="9" spans="1:7" x14ac:dyDescent="0.35">
      <c r="A9" s="5" t="s">
        <v>151</v>
      </c>
      <c r="B9" s="57">
        <v>-0.25769999999999998</v>
      </c>
      <c r="C9" s="91">
        <v>-9.7469999999999999</v>
      </c>
      <c r="D9" s="91">
        <v>-15.945</v>
      </c>
      <c r="E9" s="91">
        <v>-17.548500000000001</v>
      </c>
      <c r="F9" s="95">
        <v>-17.7516</v>
      </c>
    </row>
    <row r="10" spans="1:7" x14ac:dyDescent="0.35">
      <c r="A10" s="5" t="s">
        <v>153</v>
      </c>
      <c r="B10" s="57">
        <v>1.0732999999999999</v>
      </c>
      <c r="C10" s="91">
        <v>0.98750000000000004</v>
      </c>
      <c r="D10" s="91">
        <v>0.76859999999999995</v>
      </c>
      <c r="E10" s="91">
        <v>0.32450000000000001</v>
      </c>
      <c r="F10" s="95">
        <v>0.1086</v>
      </c>
    </row>
    <row r="11" spans="1:7" x14ac:dyDescent="0.35">
      <c r="A11" s="5" t="s">
        <v>147</v>
      </c>
      <c r="B11" s="57">
        <v>-3.8923999999999999</v>
      </c>
      <c r="C11" s="91">
        <v>-13.7515</v>
      </c>
      <c r="D11" s="91">
        <v>-23.868400000000001</v>
      </c>
      <c r="E11" s="91">
        <v>-33.743299999999998</v>
      </c>
      <c r="F11" s="95">
        <v>-43.755000000000003</v>
      </c>
      <c r="G11">
        <f>67.6733615398406/200</f>
        <v>0.33836680769920302</v>
      </c>
    </row>
    <row r="12" spans="1:7" x14ac:dyDescent="0.35">
      <c r="A12" s="5" t="s">
        <v>153</v>
      </c>
      <c r="B12" s="57">
        <v>0.99550000000000005</v>
      </c>
      <c r="C12" s="91">
        <v>1.161</v>
      </c>
      <c r="D12" s="91">
        <v>1.0254000000000001</v>
      </c>
      <c r="E12" s="91">
        <v>1.0127999999999999</v>
      </c>
      <c r="F12" s="95">
        <v>1.1445000000000001</v>
      </c>
    </row>
    <row r="13" spans="1:7" x14ac:dyDescent="0.35">
      <c r="A13" s="5" t="s">
        <v>152</v>
      </c>
      <c r="B13" s="57">
        <v>-3.8243</v>
      </c>
      <c r="C13" s="91">
        <v>-12.9322</v>
      </c>
      <c r="D13" s="91">
        <v>-18.9573</v>
      </c>
      <c r="E13" s="91">
        <v>-20.362500000000001</v>
      </c>
      <c r="F13" s="95">
        <v>-20.562799999999999</v>
      </c>
    </row>
    <row r="14" spans="1:7" x14ac:dyDescent="0.35">
      <c r="A14" s="5" t="s">
        <v>153</v>
      </c>
      <c r="B14" s="9">
        <v>0.97599999999999998</v>
      </c>
      <c r="C14" s="91">
        <v>1.1217999999999999</v>
      </c>
      <c r="D14" s="91">
        <v>0.85319999999999996</v>
      </c>
      <c r="E14" s="91">
        <v>0.36549999999999999</v>
      </c>
      <c r="F14" s="95">
        <v>0.12570000000000001</v>
      </c>
    </row>
    <row r="15" spans="1:7" x14ac:dyDescent="0.35">
      <c r="A15" s="5" t="s">
        <v>155</v>
      </c>
      <c r="B15" s="9">
        <v>-2.3456000000000001</v>
      </c>
      <c r="C15" s="91">
        <v>-13.049799999999999</v>
      </c>
      <c r="D15" s="91">
        <v>-22.5517</v>
      </c>
      <c r="E15" s="91">
        <v>-32.542200000000001</v>
      </c>
      <c r="F15" s="95">
        <v>-42.238599999999998</v>
      </c>
      <c r="G15">
        <f>58.9917361736297/200</f>
        <v>0.29495868086814847</v>
      </c>
    </row>
    <row r="16" spans="1:7" x14ac:dyDescent="0.35">
      <c r="A16" s="5" t="s">
        <v>153</v>
      </c>
      <c r="B16" s="9">
        <v>0.94630000000000003</v>
      </c>
      <c r="C16" s="91">
        <v>1.1852</v>
      </c>
      <c r="D16" s="91">
        <v>1.0452999999999999</v>
      </c>
      <c r="E16" s="91">
        <v>1.0355000000000001</v>
      </c>
      <c r="F16" s="95">
        <v>1.044</v>
      </c>
    </row>
    <row r="17" spans="1:6" x14ac:dyDescent="0.35">
      <c r="A17" s="5" t="s">
        <v>154</v>
      </c>
      <c r="B17" s="9">
        <v>-2.1879</v>
      </c>
      <c r="C17" s="91">
        <v>-12.495900000000001</v>
      </c>
      <c r="D17" s="91">
        <v>-22.084499999999998</v>
      </c>
      <c r="E17" s="91">
        <v>-30.325099999999999</v>
      </c>
      <c r="F17" s="95">
        <v>-36.4617</v>
      </c>
    </row>
    <row r="18" spans="1:6" x14ac:dyDescent="0.35">
      <c r="A18" s="5" t="s">
        <v>153</v>
      </c>
      <c r="B18" s="9">
        <v>1.0165999999999999</v>
      </c>
      <c r="C18" s="91">
        <v>1.0869</v>
      </c>
      <c r="D18" s="91">
        <v>1.0253000000000001</v>
      </c>
      <c r="E18" s="91">
        <v>1.0752999999999999</v>
      </c>
      <c r="F18" s="95">
        <v>0.84219999999999995</v>
      </c>
    </row>
    <row r="19" spans="1:6" x14ac:dyDescent="0.35">
      <c r="A19" s="5" t="s">
        <v>156</v>
      </c>
      <c r="B19" s="9">
        <v>-2.3359999999999999</v>
      </c>
      <c r="C19" s="91">
        <v>-12.340199999999999</v>
      </c>
      <c r="D19" s="91">
        <v>-23.157599999999999</v>
      </c>
      <c r="E19" s="91">
        <v>-31.374500000000001</v>
      </c>
      <c r="F19" s="95">
        <v>-40.850499999999997</v>
      </c>
    </row>
    <row r="20" spans="1:6" ht="15" thickBot="1" x14ac:dyDescent="0.4">
      <c r="A20" s="6" t="s">
        <v>153</v>
      </c>
      <c r="B20" s="30">
        <v>1.0219</v>
      </c>
      <c r="C20" s="97">
        <v>1.1998</v>
      </c>
      <c r="D20" s="97">
        <v>1.0428999999999999</v>
      </c>
      <c r="E20" s="97">
        <v>1.1060000000000001</v>
      </c>
      <c r="F20" s="96">
        <v>1.0668</v>
      </c>
    </row>
    <row r="21" spans="1:6" x14ac:dyDescent="0.35">
      <c r="A21" s="20"/>
      <c r="B21" s="20"/>
      <c r="C21" s="20"/>
      <c r="D21" s="20"/>
      <c r="E21" s="20"/>
    </row>
    <row r="22" spans="1:6" ht="72.5" x14ac:dyDescent="0.35">
      <c r="A22" s="20"/>
      <c r="B22" s="90" t="s">
        <v>157</v>
      </c>
      <c r="C22" s="20"/>
      <c r="D22" s="20"/>
      <c r="E22" s="20"/>
    </row>
    <row r="23" spans="1:6" ht="58" x14ac:dyDescent="0.35">
      <c r="A23" s="20"/>
      <c r="B23" s="90" t="s">
        <v>159</v>
      </c>
      <c r="C23" s="20"/>
      <c r="D23" s="20"/>
      <c r="E23" s="20"/>
    </row>
    <row r="24" spans="1:6" ht="15" thickBot="1" x14ac:dyDescent="0.4"/>
    <row r="25" spans="1:6" x14ac:dyDescent="0.35">
      <c r="A25" s="13"/>
      <c r="B25" s="15" t="s">
        <v>43</v>
      </c>
    </row>
    <row r="26" spans="1:6" x14ac:dyDescent="0.35">
      <c r="A26" s="5" t="s">
        <v>44</v>
      </c>
      <c r="B26" s="8">
        <f>34.523822069168/200</f>
        <v>0.17261911034583999</v>
      </c>
    </row>
    <row r="27" spans="1:6" x14ac:dyDescent="0.35">
      <c r="A27" s="5" t="s">
        <v>148</v>
      </c>
      <c r="B27" s="8">
        <f>68.7835264205932/200</f>
        <v>0.343917632102966</v>
      </c>
    </row>
    <row r="28" spans="1:6" ht="15" thickBot="1" x14ac:dyDescent="0.4">
      <c r="A28" s="6" t="s">
        <v>45</v>
      </c>
      <c r="B28" s="10">
        <f>55.7775883674621/200</f>
        <v>0.27888794183731053</v>
      </c>
    </row>
    <row r="31" spans="1:6" x14ac:dyDescent="0.35">
      <c r="A31" s="7" t="s">
        <v>220</v>
      </c>
    </row>
    <row r="32" spans="1:6" x14ac:dyDescent="0.35">
      <c r="A32" t="s">
        <v>107</v>
      </c>
    </row>
    <row r="33" spans="1:8" ht="15" thickBot="1" x14ac:dyDescent="0.4">
      <c r="A33" t="s">
        <v>108</v>
      </c>
    </row>
    <row r="34" spans="1:8" x14ac:dyDescent="0.35">
      <c r="A34" s="59" t="s">
        <v>109</v>
      </c>
      <c r="B34" s="60">
        <v>-10</v>
      </c>
      <c r="C34" s="60">
        <v>0</v>
      </c>
      <c r="D34" s="60">
        <v>10</v>
      </c>
      <c r="E34" s="60">
        <v>20</v>
      </c>
      <c r="F34" s="60">
        <v>30</v>
      </c>
      <c r="G34" s="61">
        <v>40</v>
      </c>
      <c r="H34" t="s">
        <v>164</v>
      </c>
    </row>
    <row r="35" spans="1:8" x14ac:dyDescent="0.35">
      <c r="A35" s="5" t="s">
        <v>110</v>
      </c>
      <c r="B35">
        <v>0.64659999999999995</v>
      </c>
      <c r="C35">
        <v>-6.6333000000000002</v>
      </c>
      <c r="D35">
        <v>-13.3081</v>
      </c>
      <c r="E35">
        <v>-21.162199999999999</v>
      </c>
      <c r="F35">
        <v>-30.135000000000002</v>
      </c>
      <c r="G35" s="22">
        <v>-39.999699999999997</v>
      </c>
    </row>
    <row r="36" spans="1:8" x14ac:dyDescent="0.35">
      <c r="A36" s="5" t="s">
        <v>145</v>
      </c>
      <c r="C36" s="18">
        <v>-10.0745</v>
      </c>
      <c r="G36" s="22"/>
      <c r="H36" s="18">
        <f>103.243407487869/10</f>
        <v>10.3243407487869</v>
      </c>
    </row>
    <row r="37" spans="1:8" x14ac:dyDescent="0.35">
      <c r="A37" s="5" t="s">
        <v>160</v>
      </c>
      <c r="C37" s="18">
        <v>0.19120000000000001</v>
      </c>
      <c r="G37" s="22"/>
    </row>
    <row r="38" spans="1:8" x14ac:dyDescent="0.35">
      <c r="A38" s="62" t="s">
        <v>111</v>
      </c>
      <c r="B38" s="63">
        <v>3.8721999999999999</v>
      </c>
      <c r="C38" s="63">
        <v>8.2391000000000005</v>
      </c>
      <c r="D38" s="63">
        <v>11.548999999999999</v>
      </c>
      <c r="E38" s="63">
        <v>15.2288</v>
      </c>
      <c r="F38" s="63">
        <v>16.989699999999999</v>
      </c>
      <c r="G38" s="64">
        <v>15.2288</v>
      </c>
    </row>
    <row r="39" spans="1:8" x14ac:dyDescent="0.35">
      <c r="A39" s="5" t="s">
        <v>112</v>
      </c>
      <c r="B39">
        <v>0.68859999999999999</v>
      </c>
      <c r="C39">
        <v>-6.6078925132751403</v>
      </c>
      <c r="D39">
        <v>-13.2858</v>
      </c>
      <c r="E39">
        <v>-21.145</v>
      </c>
      <c r="F39">
        <v>-30.131799999999998</v>
      </c>
      <c r="G39" s="22">
        <v>-39.999499999999998</v>
      </c>
    </row>
    <row r="40" spans="1:8" x14ac:dyDescent="0.35">
      <c r="A40" s="5" t="s">
        <v>146</v>
      </c>
      <c r="C40" s="18">
        <v>-10.035600000000001</v>
      </c>
      <c r="G40" s="22"/>
      <c r="H40" s="18">
        <f>65.1636457443237/10</f>
        <v>6.5163645744323704</v>
      </c>
    </row>
    <row r="41" spans="1:8" x14ac:dyDescent="0.35">
      <c r="A41" s="5" t="s">
        <v>161</v>
      </c>
      <c r="C41" s="18">
        <v>0.19500000000000001</v>
      </c>
      <c r="G41" s="22"/>
    </row>
    <row r="42" spans="1:8" x14ac:dyDescent="0.35">
      <c r="A42" s="62" t="s">
        <v>111</v>
      </c>
      <c r="B42" s="63">
        <v>3.9794</v>
      </c>
      <c r="C42" s="63">
        <v>8.2391000000000005</v>
      </c>
      <c r="D42" s="63">
        <v>11.548999999999999</v>
      </c>
      <c r="E42" s="63">
        <v>15.2288</v>
      </c>
      <c r="F42" s="63">
        <v>16.989699999999999</v>
      </c>
      <c r="G42" s="64">
        <v>15.2288</v>
      </c>
    </row>
    <row r="43" spans="1:8" x14ac:dyDescent="0.35">
      <c r="A43" s="5" t="s">
        <v>113</v>
      </c>
      <c r="C43">
        <v>-5.3365</v>
      </c>
      <c r="G43" s="22"/>
    </row>
    <row r="44" spans="1:8" x14ac:dyDescent="0.35">
      <c r="A44" s="5" t="s">
        <v>114</v>
      </c>
      <c r="C44">
        <v>-5.3365</v>
      </c>
      <c r="G44" s="22"/>
    </row>
    <row r="45" spans="1:8" x14ac:dyDescent="0.35">
      <c r="A45" s="111" t="s">
        <v>217</v>
      </c>
      <c r="B45" s="162"/>
      <c r="C45" s="162"/>
      <c r="D45" s="162"/>
      <c r="E45" s="162"/>
      <c r="F45" s="162"/>
      <c r="G45" s="163"/>
    </row>
    <row r="46" spans="1:8" x14ac:dyDescent="0.35">
      <c r="A46" s="111" t="s">
        <v>218</v>
      </c>
      <c r="B46" s="162"/>
      <c r="C46" s="162"/>
      <c r="D46" s="162"/>
      <c r="E46" s="162"/>
      <c r="F46" s="162"/>
      <c r="G46" s="163"/>
    </row>
    <row r="47" spans="1:8" x14ac:dyDescent="0.35">
      <c r="A47" s="111" t="s">
        <v>114</v>
      </c>
      <c r="B47" s="162"/>
      <c r="C47" s="162"/>
      <c r="D47" s="162"/>
      <c r="E47" s="162"/>
      <c r="F47" s="162"/>
      <c r="G47" s="163"/>
    </row>
    <row r="48" spans="1:8" x14ac:dyDescent="0.35">
      <c r="A48" s="111" t="s">
        <v>219</v>
      </c>
      <c r="B48" s="162"/>
      <c r="C48" s="162"/>
      <c r="D48" s="162"/>
      <c r="E48" s="162"/>
      <c r="F48" s="162"/>
      <c r="G48" s="163"/>
    </row>
    <row r="49" spans="1:9" x14ac:dyDescent="0.35">
      <c r="A49" s="5" t="s">
        <v>115</v>
      </c>
      <c r="C49" s="27">
        <v>-11.2842</v>
      </c>
      <c r="G49" s="22"/>
    </row>
    <row r="50" spans="1:9" x14ac:dyDescent="0.35">
      <c r="A50" s="5" t="s">
        <v>116</v>
      </c>
      <c r="C50">
        <v>-7.2462999999999997</v>
      </c>
      <c r="G50" s="22"/>
    </row>
    <row r="51" spans="1:9" x14ac:dyDescent="0.35">
      <c r="A51" s="5" t="s">
        <v>166</v>
      </c>
      <c r="C51" s="18">
        <v>-2.3424</v>
      </c>
      <c r="G51" s="22"/>
      <c r="H51" s="18">
        <f>37.5523734092712/10</f>
        <v>3.7552373409271196</v>
      </c>
    </row>
    <row r="52" spans="1:9" x14ac:dyDescent="0.35">
      <c r="A52" s="5" t="s">
        <v>125</v>
      </c>
      <c r="C52" s="18">
        <v>9.2100000000000001E-2</v>
      </c>
      <c r="G52" s="22"/>
    </row>
    <row r="53" spans="1:9" x14ac:dyDescent="0.35">
      <c r="A53" s="5" t="s">
        <v>117</v>
      </c>
      <c r="C53" s="18" t="s">
        <v>162</v>
      </c>
      <c r="G53" s="22"/>
      <c r="H53" s="18">
        <f>73.5869255065917/10</f>
        <v>7.3586925506591694</v>
      </c>
    </row>
    <row r="54" spans="1:9" x14ac:dyDescent="0.35">
      <c r="A54" s="5" t="s">
        <v>125</v>
      </c>
      <c r="C54" s="18">
        <v>0.32890000000000003</v>
      </c>
      <c r="G54" s="22"/>
    </row>
    <row r="55" spans="1:9" x14ac:dyDescent="0.35">
      <c r="A55" s="5" t="s">
        <v>163</v>
      </c>
      <c r="C55" s="18" t="s">
        <v>165</v>
      </c>
      <c r="G55" s="22"/>
      <c r="H55" s="18">
        <f>146.174109458923/10</f>
        <v>14.617410945892299</v>
      </c>
    </row>
    <row r="56" spans="1:9" x14ac:dyDescent="0.35">
      <c r="A56" s="5" t="s">
        <v>125</v>
      </c>
      <c r="C56" s="18">
        <v>0.30059999999999998</v>
      </c>
      <c r="G56" s="22"/>
    </row>
    <row r="57" spans="1:9" ht="15" thickBot="1" x14ac:dyDescent="0.4">
      <c r="A57" s="6" t="s">
        <v>118</v>
      </c>
      <c r="B57" s="23"/>
      <c r="C57" s="93" t="s">
        <v>179</v>
      </c>
      <c r="D57" s="23"/>
      <c r="E57" s="23"/>
      <c r="F57" s="23"/>
      <c r="G57" s="24"/>
      <c r="H57" s="18">
        <f>254.527338504791/10</f>
        <v>25.452733850479099</v>
      </c>
      <c r="I57" s="18"/>
    </row>
    <row r="59" spans="1:9" ht="15" thickBot="1" x14ac:dyDescent="0.4"/>
    <row r="60" spans="1:9" x14ac:dyDescent="0.35">
      <c r="B60" s="81" t="s">
        <v>132</v>
      </c>
      <c r="C60" s="82">
        <v>-15.4787</v>
      </c>
      <c r="D60" s="27"/>
      <c r="E60" s="27"/>
    </row>
    <row r="61" spans="1:9" x14ac:dyDescent="0.35">
      <c r="B61" s="38" t="s">
        <v>125</v>
      </c>
      <c r="C61" s="77" t="s">
        <v>126</v>
      </c>
      <c r="D61" s="27"/>
      <c r="E61" s="27"/>
    </row>
    <row r="62" spans="1:9" x14ac:dyDescent="0.35">
      <c r="B62" s="38"/>
      <c r="C62" s="77"/>
      <c r="D62" s="27"/>
      <c r="E62" s="27"/>
    </row>
    <row r="63" spans="1:9" x14ac:dyDescent="0.35">
      <c r="B63" s="38" t="s">
        <v>124</v>
      </c>
      <c r="C63" s="77">
        <v>-15.4361</v>
      </c>
      <c r="D63" s="27"/>
      <c r="E63" s="27"/>
    </row>
    <row r="64" spans="1:9" x14ac:dyDescent="0.35">
      <c r="B64" s="38" t="s">
        <v>125</v>
      </c>
      <c r="C64" s="77" t="s">
        <v>129</v>
      </c>
      <c r="D64" s="27"/>
      <c r="E64" s="27"/>
    </row>
    <row r="65" spans="1:5" x14ac:dyDescent="0.35">
      <c r="B65" s="38"/>
      <c r="C65" s="77"/>
      <c r="D65" s="27"/>
      <c r="E65" s="27"/>
    </row>
    <row r="66" spans="1:5" x14ac:dyDescent="0.35">
      <c r="B66" s="38" t="s">
        <v>135</v>
      </c>
      <c r="C66" s="77">
        <v>-26.090299999999999</v>
      </c>
      <c r="D66" s="27"/>
      <c r="E66" s="27"/>
    </row>
    <row r="67" spans="1:5" x14ac:dyDescent="0.35">
      <c r="B67" s="38" t="s">
        <v>125</v>
      </c>
      <c r="C67" s="77" t="s">
        <v>127</v>
      </c>
      <c r="D67" s="27"/>
      <c r="E67" s="27"/>
    </row>
    <row r="68" spans="1:5" x14ac:dyDescent="0.35">
      <c r="B68" s="38"/>
      <c r="C68" s="77"/>
      <c r="D68" s="27"/>
      <c r="E68" s="27"/>
    </row>
    <row r="69" spans="1:5" x14ac:dyDescent="0.35">
      <c r="B69" s="38" t="s">
        <v>123</v>
      </c>
      <c r="C69" s="77">
        <v>-15.9239</v>
      </c>
      <c r="D69" s="27"/>
      <c r="E69" s="27"/>
    </row>
    <row r="70" spans="1:5" ht="15" thickBot="1" x14ac:dyDescent="0.4">
      <c r="B70" s="39" t="s">
        <v>125</v>
      </c>
      <c r="C70" s="80" t="s">
        <v>128</v>
      </c>
      <c r="D70" s="27"/>
      <c r="E70" s="27"/>
    </row>
    <row r="71" spans="1:5" x14ac:dyDescent="0.35">
      <c r="B71" s="76" t="s">
        <v>133</v>
      </c>
      <c r="C71" s="76"/>
      <c r="D71" s="27"/>
      <c r="E71" s="27"/>
    </row>
    <row r="72" spans="1:5" x14ac:dyDescent="0.35">
      <c r="B72" s="83" t="s">
        <v>134</v>
      </c>
      <c r="C72" s="27"/>
      <c r="D72" s="27"/>
      <c r="E72" s="27"/>
    </row>
    <row r="73" spans="1:5" x14ac:dyDescent="0.35">
      <c r="B73" s="38" t="s">
        <v>123</v>
      </c>
      <c r="C73" s="92">
        <v>-16.803100000000001</v>
      </c>
      <c r="D73" s="27"/>
      <c r="E73" s="27"/>
    </row>
    <row r="74" spans="1:5" ht="15" thickBot="1" x14ac:dyDescent="0.4">
      <c r="B74" s="39" t="s">
        <v>125</v>
      </c>
      <c r="C74" s="80" t="s">
        <v>131</v>
      </c>
      <c r="D74" s="27"/>
      <c r="E74" s="27"/>
    </row>
    <row r="75" spans="1:5" x14ac:dyDescent="0.35">
      <c r="B75" s="27"/>
      <c r="C75" s="27"/>
      <c r="D75" s="27"/>
      <c r="E75" s="27"/>
    </row>
    <row r="78" spans="1:5" x14ac:dyDescent="0.35">
      <c r="A78" s="7" t="s">
        <v>181</v>
      </c>
    </row>
    <row r="79" spans="1:5" x14ac:dyDescent="0.35">
      <c r="A79" t="s">
        <v>178</v>
      </c>
      <c r="B79" t="s">
        <v>0</v>
      </c>
    </row>
    <row r="80" spans="1:5" ht="15" thickBot="1" x14ac:dyDescent="0.4">
      <c r="A80" t="s">
        <v>173</v>
      </c>
    </row>
    <row r="81" spans="1:7" x14ac:dyDescent="0.35">
      <c r="A81" s="13" t="s">
        <v>40</v>
      </c>
      <c r="B81" s="36" t="s">
        <v>50</v>
      </c>
      <c r="C81" s="36" t="s">
        <v>174</v>
      </c>
      <c r="D81" s="36" t="s">
        <v>175</v>
      </c>
      <c r="E81" s="36" t="s">
        <v>176</v>
      </c>
      <c r="F81" s="47" t="s">
        <v>177</v>
      </c>
      <c r="G81" s="32" t="s">
        <v>164</v>
      </c>
    </row>
    <row r="82" spans="1:7" x14ac:dyDescent="0.35">
      <c r="A82" s="104" t="s">
        <v>169</v>
      </c>
      <c r="B82" s="105">
        <v>6.5773000000000001</v>
      </c>
      <c r="C82" s="106">
        <v>-3.4483999999999999</v>
      </c>
      <c r="D82" s="106">
        <v>-13.467700000000001</v>
      </c>
      <c r="E82" s="106">
        <v>-23.496300000000002</v>
      </c>
      <c r="F82" s="107">
        <v>-33.437199999999997</v>
      </c>
      <c r="G82" s="27">
        <f>14.5102045536041/200</f>
        <v>7.2551022768020501E-2</v>
      </c>
    </row>
    <row r="83" spans="1:7" x14ac:dyDescent="0.35">
      <c r="A83" s="104" t="s">
        <v>153</v>
      </c>
      <c r="B83" s="105">
        <v>0.76670000000000005</v>
      </c>
      <c r="C83" s="106">
        <v>0.87109999999999999</v>
      </c>
      <c r="D83" s="106">
        <v>0.85460000000000003</v>
      </c>
      <c r="E83" s="106">
        <v>0.83240000000000003</v>
      </c>
      <c r="F83" s="107">
        <v>0.88029999999999997</v>
      </c>
      <c r="G83" s="27"/>
    </row>
    <row r="84" spans="1:7" x14ac:dyDescent="0.35">
      <c r="A84" s="5" t="s">
        <v>42</v>
      </c>
      <c r="B84" s="9">
        <v>24.692499999999999</v>
      </c>
      <c r="C84" s="91">
        <v>12.1965</v>
      </c>
      <c r="D84" s="91">
        <v>-6.3433000000000002</v>
      </c>
      <c r="E84" s="91">
        <v>-15.574299999999999</v>
      </c>
      <c r="F84" s="95">
        <v>-26.417899999999999</v>
      </c>
      <c r="G84" s="27">
        <f>10.0126116275787/200</f>
        <v>5.0063058137893496E-2</v>
      </c>
    </row>
    <row r="85" spans="1:7" x14ac:dyDescent="0.35">
      <c r="A85" s="5" t="s">
        <v>153</v>
      </c>
      <c r="B85" s="9">
        <v>4.1466000000000003</v>
      </c>
      <c r="C85" s="91">
        <v>8.0610999999999997</v>
      </c>
      <c r="D85" s="91">
        <v>1.9612000000000001</v>
      </c>
      <c r="E85" s="91">
        <v>3.4508000000000001</v>
      </c>
      <c r="F85" s="95">
        <v>1.7428999999999999</v>
      </c>
      <c r="G85" s="27"/>
    </row>
    <row r="86" spans="1:7" x14ac:dyDescent="0.35">
      <c r="A86" s="100" t="s">
        <v>147</v>
      </c>
      <c r="B86" s="101">
        <v>24.7393</v>
      </c>
      <c r="C86" s="102">
        <v>12.0449</v>
      </c>
      <c r="D86" s="102">
        <v>-7.6127000000000002</v>
      </c>
      <c r="E86" s="102">
        <v>-16.134399999999999</v>
      </c>
      <c r="F86" s="103">
        <v>-28.211300000000001</v>
      </c>
      <c r="G86" s="27">
        <f>18.9219133853912/200</f>
        <v>9.4609566926956004E-2</v>
      </c>
    </row>
    <row r="87" spans="1:7" x14ac:dyDescent="0.35">
      <c r="A87" s="100" t="s">
        <v>153</v>
      </c>
      <c r="B87" s="101">
        <v>4.3129999999999997</v>
      </c>
      <c r="C87" s="102">
        <v>8.2604000000000006</v>
      </c>
      <c r="D87" s="102">
        <v>2.4744000000000002</v>
      </c>
      <c r="E87" s="102">
        <v>5.1573000000000002</v>
      </c>
      <c r="F87" s="103">
        <v>1.5481</v>
      </c>
    </row>
    <row r="88" spans="1:7" x14ac:dyDescent="0.35">
      <c r="A88" s="5" t="s">
        <v>170</v>
      </c>
      <c r="B88" s="57"/>
      <c r="C88" s="91"/>
      <c r="D88" s="91"/>
      <c r="E88" s="91"/>
      <c r="F88" s="95"/>
    </row>
    <row r="89" spans="1:7" x14ac:dyDescent="0.35">
      <c r="A89" s="5" t="s">
        <v>153</v>
      </c>
      <c r="B89" s="9"/>
      <c r="C89" s="91"/>
      <c r="D89" s="91"/>
      <c r="E89" s="91"/>
      <c r="F89" s="95"/>
    </row>
    <row r="90" spans="1:7" x14ac:dyDescent="0.35">
      <c r="A90" s="5" t="s">
        <v>171</v>
      </c>
      <c r="B90" s="57"/>
      <c r="C90" s="91"/>
      <c r="D90" s="91"/>
      <c r="E90" s="91"/>
      <c r="F90" s="95"/>
    </row>
    <row r="91" spans="1:7" x14ac:dyDescent="0.35">
      <c r="A91" s="5" t="s">
        <v>153</v>
      </c>
      <c r="B91" s="9"/>
      <c r="C91" s="91"/>
      <c r="D91" s="91"/>
      <c r="E91" s="91"/>
      <c r="F91" s="95"/>
    </row>
    <row r="92" spans="1:7" x14ac:dyDescent="0.35">
      <c r="A92" s="62" t="s">
        <v>155</v>
      </c>
      <c r="B92" s="108">
        <v>21.093800000000002</v>
      </c>
      <c r="C92" s="109">
        <v>10.8035</v>
      </c>
      <c r="D92" s="109">
        <v>-8.0739999999999998</v>
      </c>
      <c r="E92" s="109">
        <v>-17.941099999999999</v>
      </c>
      <c r="F92" s="110">
        <v>-27.476400000000002</v>
      </c>
      <c r="G92">
        <f>12.0926365852355/200</f>
        <v>6.04631829261775E-2</v>
      </c>
    </row>
    <row r="93" spans="1:7" x14ac:dyDescent="0.35">
      <c r="A93" s="62" t="s">
        <v>153</v>
      </c>
      <c r="B93" s="108">
        <v>2.9011</v>
      </c>
      <c r="C93" s="109">
        <v>8.9991000000000003</v>
      </c>
      <c r="D93" s="109">
        <v>1.4996</v>
      </c>
      <c r="E93" s="109">
        <v>1.7119</v>
      </c>
      <c r="F93" s="110">
        <v>1.5530999999999999</v>
      </c>
    </row>
    <row r="94" spans="1:7" x14ac:dyDescent="0.35">
      <c r="A94" s="5" t="s">
        <v>188</v>
      </c>
      <c r="B94" s="9" t="s">
        <v>190</v>
      </c>
      <c r="C94" s="91"/>
      <c r="D94" s="91">
        <v>-7.4996</v>
      </c>
      <c r="E94" s="91"/>
      <c r="F94" s="95"/>
    </row>
    <row r="95" spans="1:7" x14ac:dyDescent="0.35">
      <c r="A95" s="5" t="s">
        <v>153</v>
      </c>
      <c r="B95" s="9"/>
      <c r="C95" s="91"/>
      <c r="D95" s="91">
        <v>1.8466</v>
      </c>
      <c r="E95" s="91"/>
      <c r="F95" s="95"/>
    </row>
    <row r="96" spans="1:7" x14ac:dyDescent="0.35">
      <c r="A96" s="5" t="s">
        <v>189</v>
      </c>
      <c r="B96" s="9"/>
      <c r="C96" s="91"/>
      <c r="D96" s="91">
        <v>-7.8452000000000002</v>
      </c>
      <c r="E96" s="91"/>
      <c r="F96" s="95"/>
    </row>
    <row r="97" spans="1:7" x14ac:dyDescent="0.35">
      <c r="A97" s="5"/>
      <c r="B97" s="9"/>
      <c r="C97" s="91"/>
      <c r="D97" s="91"/>
      <c r="E97" s="91"/>
      <c r="F97" s="95"/>
    </row>
    <row r="98" spans="1:7" x14ac:dyDescent="0.35">
      <c r="A98" s="111" t="s">
        <v>180</v>
      </c>
      <c r="B98" s="112">
        <v>19.848700000000001</v>
      </c>
      <c r="C98" s="113">
        <v>6.1003999999999996</v>
      </c>
      <c r="D98" s="113">
        <v>-8.1217000000000006</v>
      </c>
      <c r="E98" s="113">
        <v>-17.959700000000002</v>
      </c>
      <c r="F98" s="114">
        <v>-27.630199999999999</v>
      </c>
      <c r="G98">
        <f>23.5590772628784/200</f>
        <v>0.117795386314392</v>
      </c>
    </row>
    <row r="99" spans="1:7" x14ac:dyDescent="0.35">
      <c r="A99" s="111" t="s">
        <v>153</v>
      </c>
      <c r="B99" s="112">
        <v>4.1829999999999998</v>
      </c>
      <c r="C99" s="113">
        <v>6.6140999999999996</v>
      </c>
      <c r="D99" s="113">
        <v>1.5213000000000001</v>
      </c>
      <c r="E99" s="113">
        <v>1.6759999999999999</v>
      </c>
      <c r="F99" s="114">
        <v>1.5582</v>
      </c>
    </row>
    <row r="100" spans="1:7" x14ac:dyDescent="0.35">
      <c r="A100" s="5" t="s">
        <v>172</v>
      </c>
      <c r="B100" s="9"/>
      <c r="C100" s="91"/>
      <c r="D100" s="91"/>
      <c r="E100" s="91"/>
      <c r="F100" s="95"/>
    </row>
    <row r="101" spans="1:7" ht="15" thickBot="1" x14ac:dyDescent="0.4">
      <c r="A101" s="6" t="s">
        <v>153</v>
      </c>
      <c r="B101" s="30"/>
      <c r="C101" s="97"/>
      <c r="D101" s="97"/>
      <c r="E101" s="97"/>
      <c r="F101" s="96"/>
    </row>
    <row r="102" spans="1:7" x14ac:dyDescent="0.35">
      <c r="A102" s="20"/>
      <c r="B102" s="20"/>
      <c r="C102" s="20"/>
      <c r="D102" s="20"/>
      <c r="E102" s="20"/>
    </row>
    <row r="104" spans="1:7" x14ac:dyDescent="0.35">
      <c r="A104" t="s">
        <v>182</v>
      </c>
    </row>
    <row r="105" spans="1:7" ht="15" thickBot="1" x14ac:dyDescent="0.4">
      <c r="A105" t="s">
        <v>193</v>
      </c>
    </row>
    <row r="106" spans="1:7" x14ac:dyDescent="0.35">
      <c r="A106" s="13" t="s">
        <v>183</v>
      </c>
      <c r="B106" s="36" t="s">
        <v>191</v>
      </c>
      <c r="C106" s="47" t="s">
        <v>192</v>
      </c>
    </row>
    <row r="107" spans="1:7" x14ac:dyDescent="0.35">
      <c r="A107" s="5" t="s">
        <v>184</v>
      </c>
      <c r="B107" s="57" t="s">
        <v>187</v>
      </c>
      <c r="C107" s="94">
        <v>-1.1000000000000001E-3</v>
      </c>
    </row>
    <row r="108" spans="1:7" x14ac:dyDescent="0.35">
      <c r="A108" s="5" t="s">
        <v>185</v>
      </c>
      <c r="B108" s="57">
        <v>10.7</v>
      </c>
      <c r="C108" s="94">
        <v>11.33</v>
      </c>
    </row>
    <row r="109" spans="1:7" ht="15" thickBot="1" x14ac:dyDescent="0.4">
      <c r="A109" s="6" t="s">
        <v>186</v>
      </c>
      <c r="B109" s="98">
        <v>45.5</v>
      </c>
      <c r="C109" s="99">
        <v>60.37</v>
      </c>
    </row>
    <row r="110" spans="1:7" x14ac:dyDescent="0.35">
      <c r="A110" s="115" t="s">
        <v>195</v>
      </c>
    </row>
    <row r="111" spans="1:7" x14ac:dyDescent="0.35">
      <c r="A111" t="s">
        <v>194</v>
      </c>
    </row>
    <row r="113" spans="1:3" ht="15" thickBot="1" x14ac:dyDescent="0.4">
      <c r="A113" s="117" t="s">
        <v>197</v>
      </c>
    </row>
    <row r="114" spans="1:3" x14ac:dyDescent="0.35">
      <c r="A114" s="13" t="s">
        <v>183</v>
      </c>
      <c r="B114" s="47" t="s">
        <v>200</v>
      </c>
    </row>
    <row r="115" spans="1:3" x14ac:dyDescent="0.35">
      <c r="A115" s="5" t="s">
        <v>198</v>
      </c>
      <c r="B115" s="94">
        <v>5.1999999999999998E-3</v>
      </c>
    </row>
    <row r="116" spans="1:3" ht="15" thickBot="1" x14ac:dyDescent="0.4">
      <c r="A116" s="6" t="s">
        <v>153</v>
      </c>
      <c r="B116" s="99">
        <v>0.37640000000000001</v>
      </c>
    </row>
    <row r="117" spans="1:3" ht="15" thickBot="1" x14ac:dyDescent="0.4">
      <c r="A117" s="20"/>
      <c r="B117" s="20"/>
    </row>
    <row r="118" spans="1:3" x14ac:dyDescent="0.35">
      <c r="A118" s="13" t="s">
        <v>183</v>
      </c>
      <c r="B118" s="47" t="s">
        <v>199</v>
      </c>
      <c r="C118" s="28" t="s">
        <v>201</v>
      </c>
    </row>
    <row r="119" spans="1:3" x14ac:dyDescent="0.35">
      <c r="A119" s="5" t="s">
        <v>185</v>
      </c>
      <c r="B119" s="94">
        <v>31.4848</v>
      </c>
      <c r="C119" s="28">
        <v>25.6937</v>
      </c>
    </row>
    <row r="120" spans="1:3" ht="15" thickBot="1" x14ac:dyDescent="0.4">
      <c r="A120" s="116" t="s">
        <v>153</v>
      </c>
      <c r="B120" s="99">
        <v>2.2843</v>
      </c>
      <c r="C120" s="28">
        <v>2.0991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2022-07-26T17:44:33Z</dcterms:modified>
</cp:coreProperties>
</file>