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46FF49CD-E765-4AFA-AF36-C6158474E26F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Linear" sheetId="2" r:id="rId1"/>
    <sheet name="LA - Discrete - OBS" sheetId="4" r:id="rId2"/>
    <sheet name="LA - Deci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3" l="1"/>
  <c r="H37" i="3"/>
  <c r="F37" i="3"/>
  <c r="J37" i="3"/>
  <c r="D25" i="3"/>
  <c r="I37" i="3"/>
  <c r="K37" i="3"/>
  <c r="D24" i="3"/>
  <c r="D23" i="3"/>
  <c r="D34" i="4"/>
  <c r="D33" i="4"/>
  <c r="D35" i="4"/>
  <c r="B35" i="4"/>
  <c r="B34" i="4"/>
  <c r="B33" i="4"/>
  <c r="D18" i="4"/>
  <c r="C18" i="4"/>
  <c r="B18" i="4"/>
  <c r="E33" i="2"/>
  <c r="C33" i="2"/>
  <c r="E32" i="2"/>
  <c r="E31" i="2"/>
  <c r="C32" i="2"/>
  <c r="C31" i="2"/>
  <c r="D17" i="2"/>
  <c r="H17" i="2"/>
  <c r="F17" i="2"/>
  <c r="G9" i="2"/>
  <c r="G7" i="2"/>
  <c r="G5" i="2"/>
  <c r="E26" i="2"/>
  <c r="E25" i="2"/>
  <c r="E24" i="2"/>
  <c r="C26" i="2"/>
  <c r="C25" i="2"/>
  <c r="C24" i="2"/>
  <c r="D18" i="2"/>
  <c r="D16" i="2"/>
</calcChain>
</file>

<file path=xl/sharedStrings.xml><?xml version="1.0" encoding="utf-8"?>
<sst xmlns="http://schemas.openxmlformats.org/spreadsheetml/2006/main" count="148" uniqueCount="128">
  <si>
    <t>10,30</t>
    <phoneticPr fontId="1" type="noConversion"/>
  </si>
  <si>
    <t>20,40</t>
    <phoneticPr fontId="1" type="noConversion"/>
  </si>
  <si>
    <t>30,50</t>
    <phoneticPr fontId="1" type="noConversion"/>
  </si>
  <si>
    <t>40,60</t>
    <phoneticPr fontId="1" type="noConversion"/>
  </si>
  <si>
    <t>optimal 1/q2 [dB]</t>
    <phoneticPr fontId="1" type="noConversion"/>
  </si>
  <si>
    <t>EKF J=2, optimized q [dB]</t>
    <phoneticPr fontId="1" type="noConversion"/>
  </si>
  <si>
    <t>EKF J=5, optimized q [dB]</t>
    <phoneticPr fontId="1" type="noConversion"/>
  </si>
  <si>
    <t>1/r2 [dB], 1/q2 [dB]</t>
  </si>
  <si>
    <t>traj length T=3000, delta_t=0.02</t>
  </si>
  <si>
    <t>1/r2[dB]</t>
  </si>
  <si>
    <t>traj length T_test = 2000</t>
  </si>
  <si>
    <t>[1/r2 [dB], 1/q^2 [dB]]</t>
  </si>
  <si>
    <t>[-10, 10]</t>
  </si>
  <si>
    <t>[0, 20]</t>
  </si>
  <si>
    <t>[22, 33.8702]</t>
  </si>
  <si>
    <t>[2,30.4234]</t>
  </si>
  <si>
    <t>EKF  Dtheta=1 [dB] NT=100</t>
  </si>
  <si>
    <t>optimal 1/r2 [dB] for  Dtheta=1</t>
  </si>
  <si>
    <t>[17,57.6719]</t>
  </si>
  <si>
    <t>[12, 24.5169]</t>
  </si>
  <si>
    <t>[17, 23.5476]</t>
  </si>
  <si>
    <t>[12,60.1242]</t>
  </si>
  <si>
    <t>[14, 33.8369]</t>
  </si>
  <si>
    <t>[12, 28.6996]</t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</si>
  <si>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</si>
  <si>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</si>
  <si>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</si>
  <si>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</si>
  <si>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 Dtheta=1 (with optmized r for T=2000) [dB] NT100</t>
  </si>
  <si>
    <t>EKF  Dtheta=1 (with optmized r for T=2000) [dB] NT100</t>
  </si>
  <si>
    <t>EKF full (with optmized q for T=2000) [dB] NT=100</t>
  </si>
  <si>
    <t>EKF full [dB] NT=100 [nan#, MSE rest]</t>
  </si>
  <si>
    <t>RTS full (with optmized q for T=2000) [dB] NT=100</t>
  </si>
  <si>
    <t>optimal 1/q2 [dB] for full model T2000</t>
  </si>
  <si>
    <t xml:space="preserve">RTSNet Dtheta=1, train on T=2000 (n_Epochs=200, n_Batch=20, learningRate=1e-4, weightDecay=1e-6) [dB] </t>
  </si>
  <si>
    <t>N_E=1000, N_CV=100, N_T=200</t>
  </si>
  <si>
    <t>v = -20 [dB]</t>
  </si>
  <si>
    <t>EKF true [dB]</t>
  </si>
  <si>
    <t>EKF H rot 10 [dB]</t>
  </si>
  <si>
    <t>RTS true [dB]</t>
  </si>
  <si>
    <t>RTS H rot 10 [dB]</t>
  </si>
  <si>
    <t>[-10,10]</t>
  </si>
  <si>
    <t>[0,20]</t>
  </si>
  <si>
    <t>10,30</t>
  </si>
  <si>
    <t>20,40</t>
  </si>
  <si>
    <t>30,50</t>
  </si>
  <si>
    <t>RTSNet H rot 10 [dB] (n_Epochs=500, n_Batch=30, learningRate=1E-3, weightDecay=1E-5)</t>
  </si>
  <si>
    <t>RTSNet true [dB] (n_Epochs=500, n_Batch=30, learningRate=1E-3, weightDecay=1E-9)</t>
  </si>
  <si>
    <t>T=100 randint</t>
  </si>
  <si>
    <t>T=1000</t>
  </si>
  <si>
    <t>T=1000 randint</t>
  </si>
  <si>
    <t>T=100 (Trajectory Length) 2x2</t>
  </si>
  <si>
    <t>Comment: generalize well for large T, but not for rand init</t>
  </si>
  <si>
    <t>T=20 (Trajectory Length) [0,20] case</t>
  </si>
  <si>
    <t>RTSNet true [dB] (n_Epochs=1000, n_Batch=50, learningRate=1E-4, weightDecay=1E-7)</t>
  </si>
  <si>
    <t>N_E=10000, N_CV=100, N_T=200</t>
  </si>
  <si>
    <t>RunTime T=20 for 5x5</t>
  </si>
  <si>
    <t>Comment: switch to T=20 because T=100 is hard to train especially for 10x10</t>
  </si>
  <si>
    <t>MSE 5x5</t>
  </si>
  <si>
    <t>MSE 10x10</t>
  </si>
  <si>
    <t>RunTime T=100 for 2x2 (s) (GPU, high RAM for all)</t>
  </si>
  <si>
    <t>RunTime T=20 for 10x10 (s)</t>
  </si>
  <si>
    <t>RunTime T=1000 for 5x5</t>
  </si>
  <si>
    <t>RunTime T=1000 for 10x10 (s)</t>
  </si>
  <si>
    <t>MSE RTS [dB]</t>
  </si>
  <si>
    <t>MSE RTSNet [dB]</t>
  </si>
  <si>
    <t xml:space="preserve">average runtime for RTSNet (s) </t>
  </si>
  <si>
    <t xml:space="preserve">average runtime for RTS (s) </t>
  </si>
  <si>
    <t>Generalization to T=1000  [0,20] case</t>
  </si>
  <si>
    <t>Generalization to 5x5 and 10x10</t>
  </si>
  <si>
    <t>MSE EKF [dB]</t>
  </si>
  <si>
    <t xml:space="preserve">average runtime for EKF (s) </t>
  </si>
  <si>
    <t>N_E=10000, N_CV=5 (T=1000), N_T=20</t>
  </si>
  <si>
    <t>train on T=50 test on T=1000 [0,20] case</t>
  </si>
  <si>
    <t>RTS</t>
  </si>
  <si>
    <t>RTSNet</t>
  </si>
  <si>
    <t>change in different run</t>
  </si>
  <si>
    <t xml:space="preserve">RTSNet full, train on T=100 transfer+chop(n_Epochs=1000, n_Batch=50, learningRate=1e-3, weightDecay=1e-6) [dB] </t>
  </si>
  <si>
    <t>around 12</t>
  </si>
  <si>
    <t>Observation model mismatch Delta_theta = 1 degree ,N_T=100, trainset chopped</t>
  </si>
  <si>
    <t xml:space="preserve">EKF full [dB] </t>
  </si>
  <si>
    <t>RTS full[dB]</t>
  </si>
  <si>
    <t>EKF  Dtheta=1 [dB]</t>
  </si>
  <si>
    <t>RTS Dtheta=1 [dB]</t>
  </si>
  <si>
    <t>EKF</t>
  </si>
  <si>
    <r>
      <t xml:space="preserve">Switch to T=200 </t>
    </r>
    <r>
      <rPr>
        <sz val="11"/>
        <color theme="1"/>
        <rFont val="Calibri"/>
        <family val="2"/>
        <scheme val="minor"/>
      </rPr>
      <t>(train and test both on T=200)</t>
    </r>
  </si>
  <si>
    <t>Inference Time(s) T=200 (GPU, high RAM for all)</t>
  </si>
  <si>
    <t>Inference Time(s) T=2000 (GPU, high RAM for all)</t>
  </si>
  <si>
    <t xml:space="preserve">RTSNet Dtheta=1, train on T=200(n_Epochs=1000, n_Batch=10, learningRate=5e-4 weightDecay=1e-6) [dB] </t>
  </si>
  <si>
    <t>Inference Time(s) T=200 (colab pro's CPU, high RAM )</t>
  </si>
  <si>
    <t xml:space="preserve">RTSNet full, train on T=200(n_Epochs=1000, n_Batch=10, learningRate=1e-4, weightDecay=1e-6)[dB] </t>
  </si>
  <si>
    <t>RTS J=5, optimized q [dB]</t>
  </si>
  <si>
    <t>RTS J=2, optimized q [dB]</t>
  </si>
  <si>
    <t>Inference Time</t>
  </si>
  <si>
    <t>RTSNet new arch</t>
  </si>
  <si>
    <t xml:space="preserve">hybrid </t>
  </si>
  <si>
    <t xml:space="preserve">Total Timesteps for Trainset </t>
  </si>
  <si>
    <t>Inference Time(s) T=3000 (colab pro's CPU, high RAM )</t>
  </si>
  <si>
    <t xml:space="preserve">Compare with Welling's </t>
  </si>
  <si>
    <t>Comment on advantages of RTSNet</t>
  </si>
  <si>
    <t>300k</t>
  </si>
  <si>
    <t>N_CV=5, N_T = 10, all decimated from T=6E6 with q=0&amp;delta_t=1E-5, add observation noise r</t>
  </si>
  <si>
    <t>50k (RTSNet acually is 16*3k=48k)</t>
  </si>
  <si>
    <t>hybrid</t>
  </si>
  <si>
    <t>comment: &lt;3000, start to transfer&amp;chop, performance for RTSNet thus decreases</t>
  </si>
  <si>
    <t>Fair Comparison:</t>
  </si>
  <si>
    <t>(3) Both Delta_t=1e-5 and sample time = 0.02; Both q=0 and r=1;Test traj length both 3k</t>
  </si>
  <si>
    <t>(2) Both have partial model info of J=2</t>
  </si>
  <si>
    <t>(1) Almost the same dataset: Welling directly generate data from the differential LA model, while we use J=5, but the difference is minor when J is large</t>
  </si>
  <si>
    <t>(2) less training time</t>
  </si>
  <si>
    <t>RTSNet TrainTime 5h, 0.16h/epoch, hybird TrainTime 8h, 0.4h/epoch</t>
  </si>
  <si>
    <t>(3) less inference time</t>
  </si>
  <si>
    <t>(1) the hybrid model needs to grid search for optimal q and r while our model doesn't</t>
  </si>
  <si>
    <t>c.f. Inference Time Table: RTSNet around 5, hybrid around 30</t>
  </si>
  <si>
    <t>MSE performance against trainset size</t>
  </si>
  <si>
    <t>3000k (only 1 epoch)</t>
  </si>
  <si>
    <t xml:space="preserve">9k </t>
  </si>
  <si>
    <t>RTSNet new arch J=2 [dB], train on T=3000 (n_Epochs=1000, n_Batch=1, learningRate=1e-3, weightDecay=1e-4)</t>
  </si>
  <si>
    <t>5 epochs: -15.1608</t>
  </si>
  <si>
    <t>5 epochs: -12.907; 10 epochs: -15.346</t>
  </si>
  <si>
    <t>this column is the MSE for the traj drawing (both hybrid and RTSNet converge to their optimal)</t>
  </si>
  <si>
    <t>Hybrid</t>
  </si>
  <si>
    <t>Grid search resolution for hybird: q is (7-3)/6=0.667, r is 0.5</t>
  </si>
  <si>
    <t>(4) trainable parameters: 33270 for RTSNet, 41236 for hybrid</t>
  </si>
  <si>
    <t>On Welling's dataset: -15.346</t>
  </si>
  <si>
    <t xml:space="preserve">4-gain RTSNet </t>
  </si>
  <si>
    <t>On our dataset: -15.5314, On Welling's dataset: -15.56</t>
  </si>
  <si>
    <t>On our dataset: -16.2564,On Welling's -15.1758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</si>
</sst>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Border="1"/>
    <xf numFmtId="0" fontId="0" fillId="0" borderId="3" xfId="0" applyBorder="1"/>
    <xf numFmtId="0" fontId="2" fillId="0" borderId="0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4" xfId="0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3" fillId="0" borderId="0" xfId="0" applyFont="1" applyFill="1" applyBorder="1"/>
    <xf numFmtId="0" fontId="2" fillId="0" borderId="0" xfId="0" applyFont="1"/>
    <xf numFmtId="0" fontId="2" fillId="5" borderId="0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Border="1"/>
    <xf numFmtId="0" fontId="0" fillId="0" borderId="1" xfId="0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/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6" fillId="0" borderId="0" xfId="0" applyFont="1" applyFill="1" applyBorder="1"/>
    <xf numFmtId="0" fontId="5" fillId="5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5" fillId="0" borderId="5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5" xfId="0" applyFont="1" applyFill="1" applyBorder="1" applyAlignment="1"/>
    <xf numFmtId="0" fontId="0" fillId="3" borderId="0" xfId="0" applyFill="1" applyBorder="1"/>
    <xf numFmtId="0" fontId="0" fillId="4" borderId="8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3" fillId="0" borderId="6" xfId="0" applyFont="1" applyFill="1" applyBorder="1"/>
    <xf numFmtId="0" fontId="0" fillId="0" borderId="7" xfId="0" applyBorder="1"/>
    <xf numFmtId="0" fontId="5" fillId="0" borderId="3" xfId="0" applyFont="1" applyFill="1" applyBorder="1" applyAlignment="1"/>
    <xf numFmtId="0" fontId="5" fillId="0" borderId="4" xfId="0" applyFont="1" applyFill="1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6" fillId="0" borderId="0" xfId="0" applyFont="1"/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8FFA-5591-46A3-9577-9BA96FF429D0}">
  <dimension ref="A1:H33"/>
  <sheetViews>
    <sheetView workbookViewId="0">
      <selection activeCell="J9" sqref="J9"/>
    </sheetView>
  </sheetViews>
  <sheetFormatPr defaultRowHeight="14.4"/>
  <cols>
    <col min="1" max="1" width="37.109375" customWidth="1"/>
  </cols>
  <sheetData>
    <row r="1" spans="1:8">
      <c r="A1" s="9" t="s">
        <v>35</v>
      </c>
    </row>
    <row r="2" spans="1:8">
      <c r="A2" s="9" t="s">
        <v>36</v>
      </c>
    </row>
    <row r="3" spans="1:8" ht="15" thickBot="1">
      <c r="A3" s="9" t="s">
        <v>51</v>
      </c>
    </row>
    <row r="4" spans="1:8">
      <c r="A4" s="30" t="s">
        <v>7</v>
      </c>
      <c r="B4" s="10" t="s">
        <v>41</v>
      </c>
      <c r="C4" s="10" t="s">
        <v>42</v>
      </c>
      <c r="D4" s="10" t="s">
        <v>43</v>
      </c>
      <c r="E4" s="10" t="s">
        <v>44</v>
      </c>
      <c r="F4" s="10" t="s">
        <v>45</v>
      </c>
      <c r="G4" s="47" t="s">
        <v>60</v>
      </c>
    </row>
    <row r="5" spans="1:8">
      <c r="A5" s="2" t="s">
        <v>37</v>
      </c>
      <c r="B5" s="8">
        <v>2.7555999999999998</v>
      </c>
      <c r="C5" s="8">
        <v>-7.2537000000000003</v>
      </c>
      <c r="D5" s="8">
        <v>-17.338799999999999</v>
      </c>
      <c r="E5" s="8">
        <v>-27.194199999999999</v>
      </c>
      <c r="F5" s="8">
        <v>-37.323900000000002</v>
      </c>
      <c r="G5" s="31">
        <f>6.41656279563903/200</f>
        <v>3.2082813978195152E-2</v>
      </c>
    </row>
    <row r="6" spans="1:8">
      <c r="A6" s="2" t="s">
        <v>38</v>
      </c>
      <c r="B6" s="8">
        <v>14.502800000000001</v>
      </c>
      <c r="C6" s="8">
        <v>4.3966000000000003</v>
      </c>
      <c r="D6" s="8">
        <v>-4.8975999999999997</v>
      </c>
      <c r="E6" s="8">
        <v>-15.5601</v>
      </c>
      <c r="F6" s="8">
        <v>-25.504300000000001</v>
      </c>
      <c r="G6" s="21"/>
    </row>
    <row r="7" spans="1:8">
      <c r="A7" s="2" t="s">
        <v>39</v>
      </c>
      <c r="B7" s="8">
        <v>-1.7902</v>
      </c>
      <c r="C7" s="8">
        <v>-11.8467</v>
      </c>
      <c r="D7" s="8">
        <v>-21.738299999999999</v>
      </c>
      <c r="E7" s="8">
        <v>-31.619900000000001</v>
      </c>
      <c r="F7" s="8">
        <v>-41.830800000000004</v>
      </c>
      <c r="G7" s="31">
        <f xml:space="preserve"> 13.4510262012481/200</f>
        <v>6.7255131006240504E-2</v>
      </c>
    </row>
    <row r="8" spans="1:8">
      <c r="A8" s="2" t="s">
        <v>40</v>
      </c>
      <c r="B8" s="8">
        <v>5.2054</v>
      </c>
      <c r="C8" s="8">
        <v>-4.7461000000000002</v>
      </c>
      <c r="D8" s="8">
        <v>-14.133599999999999</v>
      </c>
      <c r="E8" s="8">
        <v>-24.758199999999999</v>
      </c>
      <c r="F8" s="8">
        <v>-34.624899999999997</v>
      </c>
      <c r="G8" s="31"/>
    </row>
    <row r="9" spans="1:8">
      <c r="A9" s="22" t="s">
        <v>47</v>
      </c>
      <c r="B9" s="4">
        <v>-1.64</v>
      </c>
      <c r="C9" s="4">
        <v>-11.7117</v>
      </c>
      <c r="D9" s="4">
        <v>-21.543399999999998</v>
      </c>
      <c r="E9" s="4">
        <v>-31.816700000000001</v>
      </c>
      <c r="F9" s="4">
        <v>-41.504600000000003</v>
      </c>
      <c r="G9" s="31">
        <f>57.6589806079864/200</f>
        <v>0.28829490303993199</v>
      </c>
    </row>
    <row r="10" spans="1:8" ht="15" thickBot="1">
      <c r="A10" s="23" t="s">
        <v>46</v>
      </c>
      <c r="B10" s="25">
        <v>-0.5202</v>
      </c>
      <c r="C10" s="25">
        <v>-10.783300000000001</v>
      </c>
      <c r="D10" s="25">
        <v>-20.809699999999999</v>
      </c>
      <c r="E10" s="25">
        <v>-30.607099999999999</v>
      </c>
      <c r="F10" s="25">
        <v>-40.2684</v>
      </c>
      <c r="G10" s="32"/>
    </row>
    <row r="11" spans="1:8">
      <c r="A11" s="4"/>
      <c r="B11" s="4"/>
      <c r="C11" s="4"/>
      <c r="D11" s="4"/>
      <c r="E11" s="4"/>
      <c r="F11" s="4"/>
      <c r="G11" s="4"/>
    </row>
    <row r="12" spans="1:8">
      <c r="A12" s="4"/>
      <c r="B12" s="4"/>
      <c r="C12" s="4"/>
      <c r="D12" s="4"/>
      <c r="E12" s="4"/>
      <c r="F12" s="4"/>
      <c r="G12" s="4"/>
    </row>
    <row r="13" spans="1:8">
      <c r="A13" s="4"/>
      <c r="B13" s="19"/>
      <c r="C13" s="19"/>
      <c r="D13" s="19"/>
      <c r="E13" s="19"/>
      <c r="F13" s="19"/>
      <c r="G13" s="4"/>
    </row>
    <row r="14" spans="1:8" ht="15" thickBot="1">
      <c r="A14" s="4" t="s">
        <v>68</v>
      </c>
      <c r="B14" s="4" t="s">
        <v>52</v>
      </c>
      <c r="C14" s="4"/>
      <c r="D14" s="4"/>
      <c r="E14" s="4"/>
      <c r="F14" s="4"/>
      <c r="G14" s="4"/>
    </row>
    <row r="15" spans="1:8">
      <c r="A15" s="33"/>
      <c r="B15" s="34"/>
      <c r="C15" s="35" t="s">
        <v>65</v>
      </c>
      <c r="D15" s="65" t="s">
        <v>66</v>
      </c>
      <c r="E15" s="35" t="s">
        <v>70</v>
      </c>
      <c r="F15" s="65" t="s">
        <v>71</v>
      </c>
      <c r="G15" s="35" t="s">
        <v>64</v>
      </c>
      <c r="H15" s="66" t="s">
        <v>67</v>
      </c>
    </row>
    <row r="16" spans="1:8">
      <c r="A16" s="22" t="s">
        <v>48</v>
      </c>
      <c r="B16" s="1"/>
      <c r="C16" s="4">
        <v>9.1585000000000001</v>
      </c>
      <c r="D16" s="4">
        <f>57.676629781723/200</f>
        <v>0.28838314890861499</v>
      </c>
      <c r="E16" s="4"/>
      <c r="F16" s="4"/>
      <c r="G16" s="4"/>
      <c r="H16" s="31"/>
    </row>
    <row r="17" spans="1:8">
      <c r="A17" s="22" t="s">
        <v>49</v>
      </c>
      <c r="B17" s="1"/>
      <c r="C17" s="4">
        <v>-11.820399999999999</v>
      </c>
      <c r="D17" s="4">
        <f>59.125574350357/20</f>
        <v>2.9562787175178498</v>
      </c>
      <c r="E17" s="4">
        <v>-7.218</v>
      </c>
      <c r="F17" s="4">
        <f>6.69198393821716/20</f>
        <v>0.33459919691085804</v>
      </c>
      <c r="G17" s="4">
        <v>-11.8689</v>
      </c>
      <c r="H17" s="31">
        <f>14.6626641750335/20</f>
        <v>0.73313320875167498</v>
      </c>
    </row>
    <row r="18" spans="1:8" ht="15" thickBot="1">
      <c r="A18" s="23" t="s">
        <v>50</v>
      </c>
      <c r="B18" s="24"/>
      <c r="C18" s="25">
        <v>-0.64270000000000005</v>
      </c>
      <c r="D18" s="25">
        <f>57.9042694568634/20</f>
        <v>2.89521347284317</v>
      </c>
      <c r="E18" s="25"/>
      <c r="F18" s="25"/>
      <c r="G18" s="25"/>
      <c r="H18" s="32"/>
    </row>
    <row r="19" spans="1:8">
      <c r="A19" s="4"/>
      <c r="B19" s="19"/>
      <c r="C19" s="19"/>
      <c r="D19" s="19"/>
      <c r="E19" s="19"/>
      <c r="F19" s="19"/>
      <c r="G19" s="4"/>
    </row>
    <row r="20" spans="1:8">
      <c r="A20" s="4"/>
      <c r="B20" s="19"/>
      <c r="C20" s="19"/>
      <c r="D20" s="19"/>
      <c r="E20" s="19"/>
      <c r="F20" s="19"/>
      <c r="G20" s="4"/>
    </row>
    <row r="21" spans="1:8">
      <c r="A21" s="4" t="s">
        <v>69</v>
      </c>
      <c r="B21" s="4"/>
      <c r="C21" s="4"/>
      <c r="D21" s="20"/>
      <c r="E21" s="4"/>
      <c r="F21" s="4"/>
      <c r="G21" s="4"/>
    </row>
    <row r="22" spans="1:8" ht="15" thickBot="1">
      <c r="A22" s="9" t="s">
        <v>53</v>
      </c>
      <c r="B22" s="9" t="s">
        <v>55</v>
      </c>
      <c r="F22" s="27" t="s">
        <v>57</v>
      </c>
      <c r="G22" s="4"/>
    </row>
    <row r="23" spans="1:8">
      <c r="A23" s="30"/>
      <c r="B23" s="10" t="s">
        <v>58</v>
      </c>
      <c r="C23" s="34" t="s">
        <v>56</v>
      </c>
      <c r="D23" s="10" t="s">
        <v>59</v>
      </c>
      <c r="E23" s="47" t="s">
        <v>61</v>
      </c>
    </row>
    <row r="24" spans="1:8">
      <c r="A24" s="2" t="s">
        <v>37</v>
      </c>
      <c r="B24" s="8">
        <v>-10.795199999999999</v>
      </c>
      <c r="C24" s="1">
        <f>1.38270020484924/200</f>
        <v>6.9135010242462004E-3</v>
      </c>
      <c r="D24" s="8">
        <v>-11.2011</v>
      </c>
      <c r="E24" s="31">
        <f>1.35998010635375/200</f>
        <v>6.7999005317687499E-3</v>
      </c>
    </row>
    <row r="25" spans="1:8">
      <c r="A25" s="2" t="s">
        <v>39</v>
      </c>
      <c r="B25" s="8">
        <v>-12.548</v>
      </c>
      <c r="C25" s="1">
        <f>2.79346585273742/200</f>
        <v>1.39673292636871E-2</v>
      </c>
      <c r="D25" s="8">
        <v>-12.3985</v>
      </c>
      <c r="E25" s="21">
        <f>2.5887804031372/200</f>
        <v>1.2943902015686E-2</v>
      </c>
    </row>
    <row r="26" spans="1:8" ht="15" thickBot="1">
      <c r="A26" s="23" t="s">
        <v>54</v>
      </c>
      <c r="B26" s="25">
        <v>-12.0535</v>
      </c>
      <c r="C26" s="24">
        <f>11.7575964927673/200</f>
        <v>5.87879824638365E-2</v>
      </c>
      <c r="D26" s="25">
        <v>-12.076599999999999</v>
      </c>
      <c r="E26" s="32">
        <f>11.3483390808105/200</f>
        <v>5.6741695404052502E-2</v>
      </c>
    </row>
    <row r="29" spans="1:8" ht="15" thickBot="1">
      <c r="A29" s="9" t="s">
        <v>73</v>
      </c>
      <c r="B29" s="9" t="s">
        <v>72</v>
      </c>
    </row>
    <row r="30" spans="1:8">
      <c r="A30" s="30"/>
      <c r="B30" s="10" t="s">
        <v>58</v>
      </c>
      <c r="C30" s="34" t="s">
        <v>62</v>
      </c>
      <c r="D30" s="10" t="s">
        <v>59</v>
      </c>
      <c r="E30" s="47" t="s">
        <v>63</v>
      </c>
    </row>
    <row r="31" spans="1:8">
      <c r="A31" s="2" t="s">
        <v>37</v>
      </c>
      <c r="B31" s="8">
        <v>-9.2763000000000009</v>
      </c>
      <c r="C31" s="1">
        <f>6.69739341735839/20</f>
        <v>0.33486967086791947</v>
      </c>
      <c r="D31" s="8">
        <v>-9.3262</v>
      </c>
      <c r="E31" s="31">
        <f>6.5030014514923/20</f>
        <v>0.32515007257461548</v>
      </c>
    </row>
    <row r="32" spans="1:8">
      <c r="A32" s="2" t="s">
        <v>39</v>
      </c>
      <c r="B32" s="8">
        <v>-11.9953</v>
      </c>
      <c r="C32" s="1">
        <f>13.7214066982269/20</f>
        <v>0.68607033491134506</v>
      </c>
      <c r="D32" s="8">
        <v>-12.0177</v>
      </c>
      <c r="E32" s="21">
        <f>13.4942500591278/20</f>
        <v>0.67471250295639007</v>
      </c>
    </row>
    <row r="33" spans="1:5" ht="15" thickBot="1">
      <c r="A33" s="23" t="s">
        <v>54</v>
      </c>
      <c r="B33" s="25">
        <v>-11.9177</v>
      </c>
      <c r="C33" s="24">
        <f>59.1848843097686/20</f>
        <v>2.9592442154884298</v>
      </c>
      <c r="D33" s="25">
        <v>-11.4282</v>
      </c>
      <c r="E33" s="32">
        <f>61.1056773662567/20</f>
        <v>3.0552838683128352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BC39-CFEB-48BC-9E65-4B0C9B15BAED}">
  <dimension ref="A1:H35"/>
  <sheetViews>
    <sheetView tabSelected="1" topLeftCell="A16" zoomScaleNormal="100" workbookViewId="0">
      <selection activeCell="F32" sqref="F32"/>
    </sheetView>
  </sheetViews>
  <sheetFormatPr defaultRowHeight="14.4"/>
  <cols>
    <col min="1" max="1" width="45.109375" customWidth="1"/>
    <col min="2" max="2" width="20.77734375" customWidth="1"/>
    <col min="3" max="3" width="11.21875" customWidth="1"/>
    <col min="4" max="4" width="29.21875" customWidth="1"/>
    <col min="5" max="5" width="11.21875" customWidth="1"/>
    <col min="6" max="6" width="12.33203125" customWidth="1"/>
  </cols>
  <sheetData>
    <row r="1" spans="1:8">
      <c r="A1" s="1"/>
      <c r="B1" s="1"/>
      <c r="C1" s="1"/>
      <c r="D1" s="1"/>
      <c r="E1" s="1"/>
      <c r="F1" s="1"/>
      <c r="G1" s="1"/>
    </row>
    <row r="2" spans="1:8">
      <c r="A2" s="7" t="s">
        <v>79</v>
      </c>
      <c r="B2" s="6"/>
      <c r="C2" s="6"/>
      <c r="D2" s="6"/>
      <c r="E2" s="6"/>
      <c r="F2" s="6"/>
      <c r="G2" s="6"/>
      <c r="H2" s="6"/>
    </row>
    <row r="3" spans="1:8" ht="15" thickBot="1">
      <c r="A3" s="12" t="s">
        <v>10</v>
      </c>
      <c r="B3" s="6"/>
      <c r="C3" s="6"/>
      <c r="D3" s="6"/>
      <c r="E3" s="6"/>
      <c r="F3" s="6"/>
      <c r="G3" s="6"/>
      <c r="H3" s="6"/>
    </row>
    <row r="4" spans="1:8" ht="13.5" customHeight="1">
      <c r="A4" s="38" t="s">
        <v>11</v>
      </c>
      <c r="B4" s="39" t="s">
        <v>12</v>
      </c>
      <c r="C4" s="39" t="s">
        <v>13</v>
      </c>
      <c r="D4" s="39" t="s">
        <v>0</v>
      </c>
      <c r="E4" s="39" t="s">
        <v>1</v>
      </c>
      <c r="F4" s="39" t="s">
        <v>2</v>
      </c>
      <c r="G4" s="40" t="s">
        <v>3</v>
      </c>
      <c r="H4" s="6"/>
    </row>
    <row r="5" spans="1:8">
      <c r="A5" s="41" t="s">
        <v>31</v>
      </c>
      <c r="B5" s="3"/>
      <c r="C5" s="13" t="s">
        <v>14</v>
      </c>
      <c r="D5" s="14" t="s">
        <v>19</v>
      </c>
      <c r="E5" s="14" t="s">
        <v>21</v>
      </c>
      <c r="F5" s="14" t="s">
        <v>15</v>
      </c>
      <c r="G5" s="42"/>
      <c r="H5" s="6"/>
    </row>
    <row r="6" spans="1:8" s="5" customFormat="1">
      <c r="A6" s="41" t="s">
        <v>30</v>
      </c>
      <c r="B6" s="3"/>
      <c r="C6" s="13">
        <v>-10.4472</v>
      </c>
      <c r="D6" s="13">
        <v>-20.370799999999999</v>
      </c>
      <c r="E6" s="13">
        <v>-30.398399999999999</v>
      </c>
      <c r="F6" s="13">
        <v>-40.393700000000003</v>
      </c>
      <c r="G6" s="43">
        <v>-49.8947</v>
      </c>
    </row>
    <row r="7" spans="1:8">
      <c r="A7" s="44" t="s">
        <v>32</v>
      </c>
      <c r="B7" s="36"/>
      <c r="C7" s="37">
        <v>-14.2836</v>
      </c>
      <c r="D7" s="37">
        <v>-23.97</v>
      </c>
      <c r="E7" s="36"/>
      <c r="F7" s="37">
        <v>-43.882100000000001</v>
      </c>
      <c r="G7" s="45"/>
    </row>
    <row r="8" spans="1:8">
      <c r="A8" s="2" t="s">
        <v>33</v>
      </c>
      <c r="B8" s="11"/>
      <c r="C8" s="11">
        <v>18.239100000000001</v>
      </c>
      <c r="D8" s="11">
        <v>28.239100000000001</v>
      </c>
      <c r="E8" s="11">
        <v>38.239100000000001</v>
      </c>
      <c r="F8" s="11">
        <v>48</v>
      </c>
      <c r="G8" s="46">
        <v>55</v>
      </c>
    </row>
    <row r="9" spans="1:8" ht="13.5" customHeight="1">
      <c r="A9" s="41" t="s">
        <v>16</v>
      </c>
      <c r="B9" s="3"/>
      <c r="C9" s="14" t="s">
        <v>18</v>
      </c>
      <c r="D9" s="14" t="s">
        <v>20</v>
      </c>
      <c r="E9" s="14" t="s">
        <v>22</v>
      </c>
      <c r="F9" s="14" t="s">
        <v>23</v>
      </c>
      <c r="G9" s="42"/>
      <c r="H9" s="5"/>
    </row>
    <row r="10" spans="1:8" s="5" customFormat="1" ht="13.5" customHeight="1">
      <c r="A10" s="41" t="s">
        <v>29</v>
      </c>
      <c r="B10" s="3"/>
      <c r="C10" s="13">
        <v>-9.3458000000000006</v>
      </c>
      <c r="D10" s="13">
        <v>-12.7919</v>
      </c>
      <c r="E10" s="13">
        <v>-16.227799999999998</v>
      </c>
      <c r="F10" s="13">
        <v>-17.011500000000002</v>
      </c>
      <c r="G10" s="43"/>
      <c r="H10" s="6"/>
    </row>
    <row r="11" spans="1:8" s="5" customFormat="1" ht="13.5" customHeight="1">
      <c r="A11" s="44" t="s">
        <v>28</v>
      </c>
      <c r="B11" s="28"/>
      <c r="C11" s="29">
        <v>-12.9788</v>
      </c>
      <c r="D11" s="29">
        <v>-14.3042</v>
      </c>
      <c r="E11" s="29"/>
      <c r="F11" s="29">
        <v>-20.098400000000002</v>
      </c>
      <c r="G11" s="45"/>
      <c r="H11" s="6"/>
    </row>
    <row r="12" spans="1:8" ht="13.5" customHeight="1">
      <c r="A12" s="2" t="s">
        <v>17</v>
      </c>
      <c r="B12" s="11"/>
      <c r="C12" s="11">
        <v>3.0103</v>
      </c>
      <c r="D12" s="11">
        <v>16.989699999999999</v>
      </c>
      <c r="E12" s="11">
        <v>23</v>
      </c>
      <c r="F12" s="11">
        <v>32</v>
      </c>
      <c r="G12" s="46"/>
      <c r="H12" s="5"/>
    </row>
    <row r="13" spans="1:8" s="27" customFormat="1">
      <c r="A13" s="48" t="s">
        <v>77</v>
      </c>
      <c r="B13" s="29"/>
      <c r="C13" s="29"/>
      <c r="D13" s="29"/>
      <c r="E13" s="29"/>
      <c r="F13" s="29">
        <v>-39.561399999999999</v>
      </c>
      <c r="G13" s="55">
        <v>-48.31</v>
      </c>
    </row>
    <row r="14" spans="1:8" ht="15" thickBot="1">
      <c r="A14" s="49" t="s">
        <v>34</v>
      </c>
      <c r="B14" s="50"/>
      <c r="C14" s="50">
        <v>-12.97</v>
      </c>
      <c r="D14" s="50"/>
      <c r="E14" s="50"/>
      <c r="F14" s="50"/>
      <c r="G14" s="51"/>
    </row>
    <row r="15" spans="1:8">
      <c r="A15" s="7"/>
      <c r="B15" s="6"/>
      <c r="C15" s="6"/>
      <c r="D15" s="6"/>
      <c r="E15" s="6"/>
      <c r="F15" s="6"/>
      <c r="G15" s="6"/>
    </row>
    <row r="16" spans="1:8">
      <c r="A16" s="7"/>
      <c r="B16" s="7"/>
      <c r="C16" s="7"/>
      <c r="D16" s="7"/>
      <c r="E16" s="7"/>
      <c r="F16" s="7"/>
      <c r="G16" s="7"/>
      <c r="H16" s="4"/>
    </row>
    <row r="17" spans="1:8">
      <c r="A17" s="4"/>
      <c r="B17" s="17" t="s">
        <v>87</v>
      </c>
      <c r="C17" s="4"/>
      <c r="D17" s="4"/>
      <c r="E17" s="4"/>
      <c r="F17" s="4"/>
      <c r="G17" s="4"/>
      <c r="H17" s="4"/>
    </row>
    <row r="18" spans="1:8">
      <c r="A18" s="20" t="s">
        <v>74</v>
      </c>
      <c r="B18" s="17">
        <f>434.683128356933/100</f>
        <v>4.3468312835693306</v>
      </c>
      <c r="C18" s="18">
        <f>300.049190044403/100</f>
        <v>3.0004919004440302</v>
      </c>
      <c r="D18" s="18">
        <f>445.238726377487/100</f>
        <v>4.4523872637748703</v>
      </c>
      <c r="E18" s="53" t="s">
        <v>76</v>
      </c>
      <c r="F18" s="18"/>
      <c r="G18" s="18"/>
      <c r="H18" s="4"/>
    </row>
    <row r="19" spans="1:8">
      <c r="A19" s="52" t="s">
        <v>75</v>
      </c>
      <c r="B19" s="16" t="s">
        <v>78</v>
      </c>
      <c r="C19" s="16"/>
      <c r="D19" s="16"/>
      <c r="E19" s="16"/>
      <c r="F19" s="16"/>
      <c r="G19" s="16"/>
      <c r="H19" s="4"/>
    </row>
    <row r="20" spans="1:8">
      <c r="A20" s="52"/>
      <c r="B20" s="16"/>
      <c r="C20" s="16"/>
      <c r="D20" s="16"/>
      <c r="E20" s="16"/>
      <c r="F20" s="16"/>
      <c r="G20" s="16"/>
      <c r="H20" s="4"/>
    </row>
    <row r="21" spans="1:8">
      <c r="A21" s="16"/>
      <c r="B21" s="16"/>
      <c r="C21" s="16"/>
      <c r="D21" s="16"/>
      <c r="E21" s="16"/>
      <c r="F21" s="16"/>
      <c r="G21" s="16"/>
      <c r="H21" s="4"/>
    </row>
    <row r="22" spans="1:8" ht="15" thickBot="1">
      <c r="A22" s="54" t="s">
        <v>85</v>
      </c>
      <c r="B22" s="56" t="s">
        <v>35</v>
      </c>
      <c r="C22" s="15"/>
      <c r="D22" s="15"/>
      <c r="E22" s="15"/>
      <c r="F22" s="15"/>
      <c r="G22" s="15"/>
      <c r="H22" s="4"/>
    </row>
    <row r="23" spans="1:8">
      <c r="A23" s="38" t="s">
        <v>11</v>
      </c>
      <c r="B23" s="39" t="s">
        <v>13</v>
      </c>
      <c r="C23" s="39" t="s">
        <v>0</v>
      </c>
      <c r="D23" s="39" t="s">
        <v>1</v>
      </c>
      <c r="E23" s="40" t="s">
        <v>2</v>
      </c>
      <c r="F23" s="4"/>
    </row>
    <row r="24" spans="1:8">
      <c r="A24" s="41" t="s">
        <v>80</v>
      </c>
      <c r="B24" s="13">
        <v>-10.4223</v>
      </c>
      <c r="C24" s="13">
        <v>-20.546399999999998</v>
      </c>
      <c r="D24" s="13">
        <v>-30.565899999999999</v>
      </c>
      <c r="E24" s="43">
        <v>-40.424100000000003</v>
      </c>
      <c r="F24" s="4"/>
    </row>
    <row r="25" spans="1:8">
      <c r="A25" s="59" t="s">
        <v>81</v>
      </c>
      <c r="B25" s="17">
        <v>-13.8728</v>
      </c>
      <c r="C25" s="17">
        <v>-23.9254</v>
      </c>
      <c r="D25" s="18">
        <v>-34.028799999999997</v>
      </c>
      <c r="E25" s="60">
        <v>-43.958799999999997</v>
      </c>
      <c r="F25" s="4"/>
    </row>
    <row r="26" spans="1:8">
      <c r="A26" s="59" t="s">
        <v>82</v>
      </c>
      <c r="B26" s="57">
        <v>-9.6765000000000008</v>
      </c>
      <c r="C26" s="17">
        <v>-15.9671</v>
      </c>
      <c r="D26" s="57">
        <v>-17.5745</v>
      </c>
      <c r="E26" s="61">
        <v>-17.808599999999998</v>
      </c>
    </row>
    <row r="27" spans="1:8">
      <c r="A27" s="59" t="s">
        <v>83</v>
      </c>
      <c r="B27" s="58">
        <v>-13.1538</v>
      </c>
      <c r="C27" s="58">
        <v>-19.496200000000002</v>
      </c>
      <c r="D27" s="58">
        <v>-21.472899999999999</v>
      </c>
      <c r="E27" s="62">
        <v>-21.748200000000001</v>
      </c>
    </row>
    <row r="28" spans="1:8">
      <c r="A28" s="68" t="s">
        <v>90</v>
      </c>
      <c r="B28" s="58">
        <v>-13.4038</v>
      </c>
      <c r="C28" s="58">
        <v>-23.161000000000001</v>
      </c>
      <c r="D28" s="58">
        <v>-33.494199999999999</v>
      </c>
      <c r="E28" s="62">
        <v>-42.509599999999999</v>
      </c>
    </row>
    <row r="29" spans="1:8" ht="15" thickBot="1">
      <c r="A29" s="67" t="s">
        <v>88</v>
      </c>
      <c r="B29" s="63">
        <v>-12.888500000000001</v>
      </c>
      <c r="C29" s="63">
        <v>-22.598099999999999</v>
      </c>
      <c r="D29" s="63">
        <v>-29.8276</v>
      </c>
      <c r="E29" s="64">
        <v>-36.738900000000001</v>
      </c>
    </row>
    <row r="30" spans="1:8">
      <c r="A30" s="16"/>
      <c r="B30" s="16"/>
      <c r="C30" s="16"/>
      <c r="D30" s="16"/>
      <c r="E30" s="16"/>
    </row>
    <row r="31" spans="1:8" ht="15" thickBot="1"/>
    <row r="32" spans="1:8">
      <c r="A32" s="33"/>
      <c r="B32" s="69" t="s">
        <v>86</v>
      </c>
      <c r="C32" s="34"/>
      <c r="D32" s="70" t="s">
        <v>89</v>
      </c>
    </row>
    <row r="33" spans="1:4">
      <c r="A33" s="22" t="s">
        <v>84</v>
      </c>
      <c r="B33" s="17">
        <f>226.422917366027/200</f>
        <v>1.132114586830135</v>
      </c>
      <c r="C33" s="1"/>
      <c r="D33" s="60">
        <f>60.2939159870147/200</f>
        <v>0.30146957993507351</v>
      </c>
    </row>
    <row r="34" spans="1:4">
      <c r="A34" s="59" t="s">
        <v>74</v>
      </c>
      <c r="B34" s="17">
        <f xml:space="preserve"> 450.61351442337/200</f>
        <v>2.25306757211685</v>
      </c>
      <c r="C34" s="1"/>
      <c r="D34" s="60">
        <f>122.861503839492/200</f>
        <v>0.61430751919745996</v>
      </c>
    </row>
    <row r="35" spans="1:4" ht="15" thickBot="1">
      <c r="A35" s="71" t="s">
        <v>75</v>
      </c>
      <c r="B35" s="63">
        <f>136.915628910064/200</f>
        <v>0.68457814455031996</v>
      </c>
      <c r="C35" s="24"/>
      <c r="D35" s="64">
        <f>79/200</f>
        <v>0.39500000000000002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B3AF-6146-43C6-84FF-88C923C5C53B}">
  <dimension ref="A2:L45"/>
  <sheetViews>
    <sheetView topLeftCell="A11" zoomScale="85" zoomScaleNormal="85" workbookViewId="0">
      <selection activeCell="C18" sqref="C18"/>
    </sheetView>
  </sheetViews>
  <sheetFormatPr defaultRowHeight="14.4"/>
  <cols>
    <col min="1" max="1" width="30.6640625" customWidth="1"/>
    <col min="2" max="2" width="12.77734375" customWidth="1"/>
  </cols>
  <sheetData>
    <row r="2" spans="1:9">
      <c r="A2" t="s">
        <v>101</v>
      </c>
    </row>
    <row r="3" spans="1:9" ht="15" thickBot="1">
      <c r="A3" t="s">
        <v>8</v>
      </c>
    </row>
    <row r="4" spans="1:9">
      <c r="A4" s="73" t="s">
        <v>9</v>
      </c>
      <c r="B4" s="74">
        <v>-10</v>
      </c>
      <c r="C4" s="74">
        <v>0</v>
      </c>
      <c r="D4" s="74">
        <v>10</v>
      </c>
      <c r="E4" s="74">
        <v>20</v>
      </c>
      <c r="F4" s="74">
        <v>30</v>
      </c>
      <c r="G4" s="75">
        <v>40</v>
      </c>
    </row>
    <row r="5" spans="1:9">
      <c r="A5" s="2" t="s">
        <v>6</v>
      </c>
      <c r="B5" s="1">
        <v>0.64659999999999995</v>
      </c>
      <c r="C5" s="1">
        <v>-6.6333000000000002</v>
      </c>
      <c r="D5" s="1">
        <v>-13.3081</v>
      </c>
      <c r="E5" s="1">
        <v>-21.162199999999999</v>
      </c>
      <c r="F5" s="1">
        <v>-30.135000000000002</v>
      </c>
      <c r="G5" s="21">
        <v>-39.999699999999997</v>
      </c>
    </row>
    <row r="6" spans="1:9">
      <c r="A6" s="2" t="s">
        <v>91</v>
      </c>
      <c r="B6" s="1"/>
      <c r="C6" s="1">
        <v>-10.303504943847599</v>
      </c>
      <c r="D6" s="1"/>
      <c r="E6" s="1"/>
      <c r="F6" s="1"/>
      <c r="G6" s="21"/>
    </row>
    <row r="7" spans="1:9">
      <c r="A7" s="76" t="s">
        <v>4</v>
      </c>
      <c r="B7" s="72">
        <v>3.8721999999999999</v>
      </c>
      <c r="C7" s="72">
        <v>8.2391000000000005</v>
      </c>
      <c r="D7" s="72">
        <v>11.548999999999999</v>
      </c>
      <c r="E7" s="72">
        <v>15.2288</v>
      </c>
      <c r="F7" s="72">
        <v>16.989699999999999</v>
      </c>
      <c r="G7" s="77">
        <v>15.2288</v>
      </c>
    </row>
    <row r="8" spans="1:9">
      <c r="A8" s="2" t="s">
        <v>5</v>
      </c>
      <c r="B8" s="1">
        <v>0.68859999999999999</v>
      </c>
      <c r="C8" s="1">
        <v>-6.6078925132751403</v>
      </c>
      <c r="D8" s="1">
        <v>-13.2858</v>
      </c>
      <c r="E8" s="1">
        <v>-21.145</v>
      </c>
      <c r="F8" s="1">
        <v>-30.131799999999998</v>
      </c>
      <c r="G8" s="21">
        <v>-39.999499999999998</v>
      </c>
    </row>
    <row r="9" spans="1:9">
      <c r="A9" s="2" t="s">
        <v>92</v>
      </c>
      <c r="B9" s="1"/>
      <c r="C9" s="4">
        <v>-10.2645196914672</v>
      </c>
      <c r="D9" s="1"/>
      <c r="E9" s="1"/>
      <c r="F9" s="1"/>
      <c r="G9" s="21"/>
    </row>
    <row r="10" spans="1:9">
      <c r="A10" s="76" t="s">
        <v>4</v>
      </c>
      <c r="B10" s="72">
        <v>3.9794</v>
      </c>
      <c r="C10" s="72">
        <v>8.2391000000000005</v>
      </c>
      <c r="D10" s="72">
        <v>11.548999999999999</v>
      </c>
      <c r="E10" s="72">
        <v>15.2288</v>
      </c>
      <c r="F10" s="72">
        <v>16.989699999999999</v>
      </c>
      <c r="G10" s="77">
        <v>15.2288</v>
      </c>
    </row>
    <row r="11" spans="1:9">
      <c r="A11" s="2" t="s">
        <v>24</v>
      </c>
      <c r="B11" s="1"/>
      <c r="C11" s="4">
        <v>-5.3365</v>
      </c>
      <c r="D11" s="1"/>
      <c r="E11" s="1"/>
      <c r="F11" s="1"/>
      <c r="G11" s="21"/>
      <c r="I11" s="1"/>
    </row>
    <row r="12" spans="1:9">
      <c r="A12" s="2" t="s">
        <v>25</v>
      </c>
      <c r="B12" s="1"/>
      <c r="C12" s="4">
        <v>-5.3365</v>
      </c>
      <c r="D12" s="1"/>
      <c r="E12" s="1"/>
      <c r="F12" s="1"/>
      <c r="G12" s="21"/>
      <c r="I12" s="1"/>
    </row>
    <row r="13" spans="1:9">
      <c r="A13" s="22" t="s">
        <v>26</v>
      </c>
      <c r="B13" s="1"/>
      <c r="C13" s="20">
        <v>-11.2842</v>
      </c>
      <c r="D13" s="1"/>
      <c r="E13" s="1"/>
      <c r="F13" s="1"/>
      <c r="G13" s="21"/>
    </row>
    <row r="14" spans="1:9">
      <c r="A14" s="22" t="s">
        <v>27</v>
      </c>
      <c r="B14" s="1"/>
      <c r="C14" s="4">
        <v>-7.2462999999999997</v>
      </c>
      <c r="D14" s="1"/>
      <c r="E14" s="1"/>
      <c r="F14" s="1"/>
      <c r="G14" s="21"/>
    </row>
    <row r="15" spans="1:9">
      <c r="A15" s="22" t="s">
        <v>117</v>
      </c>
      <c r="B15" s="1"/>
      <c r="C15" s="26" t="s">
        <v>126</v>
      </c>
      <c r="D15" s="1"/>
      <c r="E15" s="1"/>
      <c r="F15" s="1"/>
      <c r="G15" s="21"/>
    </row>
    <row r="16" spans="1:9">
      <c r="A16" s="22" t="s">
        <v>125</v>
      </c>
      <c r="B16" s="1"/>
      <c r="C16" s="26" t="s">
        <v>127</v>
      </c>
      <c r="D16" s="1"/>
      <c r="E16" s="1"/>
      <c r="F16" s="1"/>
      <c r="G16" s="21"/>
    </row>
    <row r="17" spans="1:7" ht="15" thickBot="1">
      <c r="A17" s="23" t="s">
        <v>121</v>
      </c>
      <c r="B17" s="24"/>
      <c r="C17" s="78" t="s">
        <v>124</v>
      </c>
      <c r="D17" s="24"/>
      <c r="E17" s="24"/>
      <c r="F17" s="24"/>
      <c r="G17" s="79"/>
    </row>
    <row r="18" spans="1:7">
      <c r="A18" s="4"/>
      <c r="B18" s="1"/>
      <c r="C18" s="4" t="s">
        <v>120</v>
      </c>
      <c r="D18" s="1"/>
      <c r="E18" s="1"/>
      <c r="F18" s="1"/>
      <c r="G18" s="1"/>
    </row>
    <row r="20" spans="1:7">
      <c r="A20" s="84" t="s">
        <v>98</v>
      </c>
    </row>
    <row r="21" spans="1:7" ht="15" thickBot="1">
      <c r="A21" t="s">
        <v>93</v>
      </c>
    </row>
    <row r="22" spans="1:7">
      <c r="A22" s="33"/>
      <c r="B22" s="69"/>
      <c r="C22" s="34"/>
      <c r="D22" s="70" t="s">
        <v>97</v>
      </c>
    </row>
    <row r="23" spans="1:7">
      <c r="A23" s="22" t="s">
        <v>84</v>
      </c>
      <c r="B23" s="17"/>
      <c r="C23" s="1"/>
      <c r="D23" s="60">
        <f>148.16/30</f>
        <v>4.9386666666666663</v>
      </c>
    </row>
    <row r="24" spans="1:7">
      <c r="A24" s="59" t="s">
        <v>74</v>
      </c>
      <c r="B24" s="17"/>
      <c r="C24" s="1"/>
      <c r="D24" s="60">
        <f>297.894405603408/30</f>
        <v>9.9298135201136013</v>
      </c>
    </row>
    <row r="25" spans="1:7">
      <c r="A25" s="80" t="s">
        <v>75</v>
      </c>
      <c r="B25" s="16"/>
      <c r="C25" s="1"/>
      <c r="D25" s="81">
        <f xml:space="preserve"> 5.00730514526367</f>
        <v>5.0073051452636701</v>
      </c>
    </row>
    <row r="26" spans="1:7">
      <c r="A26" s="80" t="s">
        <v>125</v>
      </c>
      <c r="B26" s="16"/>
      <c r="C26" s="1"/>
      <c r="D26" s="81">
        <v>14.2653379440307</v>
      </c>
    </row>
    <row r="27" spans="1:7" ht="15" thickBot="1">
      <c r="A27" s="23" t="s">
        <v>103</v>
      </c>
      <c r="B27" s="24"/>
      <c r="C27" s="24"/>
      <c r="D27" s="86">
        <v>30.498844623565599</v>
      </c>
    </row>
    <row r="29" spans="1:7">
      <c r="A29" s="85" t="s">
        <v>105</v>
      </c>
    </row>
    <row r="30" spans="1:7">
      <c r="A30" t="s">
        <v>108</v>
      </c>
    </row>
    <row r="31" spans="1:7">
      <c r="A31" t="s">
        <v>107</v>
      </c>
    </row>
    <row r="32" spans="1:7">
      <c r="A32" t="s">
        <v>106</v>
      </c>
    </row>
    <row r="34" spans="1:12" ht="15" thickBot="1">
      <c r="A34" t="s">
        <v>114</v>
      </c>
      <c r="K34" t="s">
        <v>104</v>
      </c>
    </row>
    <row r="35" spans="1:12">
      <c r="A35" s="82" t="s">
        <v>96</v>
      </c>
      <c r="B35" s="34"/>
      <c r="C35" s="87" t="s">
        <v>115</v>
      </c>
      <c r="D35" s="87" t="s">
        <v>100</v>
      </c>
      <c r="E35" s="87"/>
      <c r="F35" s="87" t="s">
        <v>102</v>
      </c>
      <c r="G35" s="87"/>
      <c r="H35" s="87" t="s">
        <v>116</v>
      </c>
      <c r="I35" s="87">
        <v>6000</v>
      </c>
      <c r="J35" s="87">
        <v>3000</v>
      </c>
      <c r="K35" s="88">
        <v>10</v>
      </c>
    </row>
    <row r="36" spans="1:12">
      <c r="A36" s="2" t="s">
        <v>94</v>
      </c>
      <c r="B36" s="1"/>
      <c r="C36" s="89">
        <v>-15.5314</v>
      </c>
      <c r="D36" s="89" t="s">
        <v>118</v>
      </c>
      <c r="E36" s="89"/>
      <c r="F36" s="93">
        <v>-15.2271</v>
      </c>
      <c r="G36" s="89"/>
      <c r="H36" s="89">
        <v>-15.2033</v>
      </c>
      <c r="I36" s="89">
        <v>-11.895200000000001</v>
      </c>
      <c r="J36" s="89">
        <v>-9.9205000000000005</v>
      </c>
      <c r="K36" s="90">
        <v>4.3291000000000004</v>
      </c>
    </row>
    <row r="37" spans="1:12" ht="15" thickBot="1">
      <c r="A37" s="83" t="s">
        <v>95</v>
      </c>
      <c r="B37" s="24"/>
      <c r="C37" s="91"/>
      <c r="D37" s="91" t="s">
        <v>119</v>
      </c>
      <c r="E37" s="91"/>
      <c r="F37" s="91">
        <f>10*LOG10(0.0312668532133102)</f>
        <v>-15.049158252125739</v>
      </c>
      <c r="G37" s="91"/>
      <c r="H37" s="91">
        <f>10*LOG10(0.0314775)</f>
        <v>-15.019997673968099</v>
      </c>
      <c r="I37" s="91">
        <f>10*LOG10(0.0748328417539596)</f>
        <v>-11.259077622655408</v>
      </c>
      <c r="J37" s="91">
        <f>10*LOG10(0.0856)</f>
        <v>-10.675262353228467</v>
      </c>
      <c r="K37" s="92">
        <f>10*LOG10(0.2106)</f>
        <v>-6.7654163315053228</v>
      </c>
    </row>
    <row r="38" spans="1:12">
      <c r="A38" s="1"/>
      <c r="B38" s="1"/>
      <c r="C38" s="1"/>
      <c r="D38" s="1"/>
      <c r="E38" s="1"/>
      <c r="F38" s="1"/>
      <c r="G38" s="1"/>
      <c r="H38" s="1">
        <f>10*LOG10(0.0666)</f>
        <v>-11.765257708296989</v>
      </c>
      <c r="I38" s="1"/>
      <c r="J38" s="1"/>
      <c r="L38" s="1"/>
    </row>
    <row r="39" spans="1:12">
      <c r="A39" s="4" t="s">
        <v>122</v>
      </c>
      <c r="B39" s="1"/>
      <c r="C39" s="1"/>
      <c r="D39" s="1"/>
      <c r="E39" s="1"/>
      <c r="F39" s="1"/>
      <c r="G39" s="1"/>
      <c r="H39" s="1"/>
      <c r="I39" s="1"/>
      <c r="J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2">
      <c r="A41" s="26" t="s">
        <v>99</v>
      </c>
    </row>
    <row r="42" spans="1:12">
      <c r="A42" t="s">
        <v>112</v>
      </c>
    </row>
    <row r="43" spans="1:12">
      <c r="A43" t="s">
        <v>109</v>
      </c>
      <c r="B43" t="s">
        <v>110</v>
      </c>
      <c r="I43" s="1"/>
    </row>
    <row r="44" spans="1:12">
      <c r="A44" t="s">
        <v>111</v>
      </c>
      <c r="B44" t="s">
        <v>113</v>
      </c>
    </row>
    <row r="45" spans="1:12">
      <c r="A45" t="s">
        <v>123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</vt:lpstr>
      <vt:lpstr>LA - Discrete - OBS</vt:lpstr>
      <vt:lpstr>LA - Decimation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nxy</dc:creator>
  <cp:lastModifiedBy>Xiaoyong Ni</cp:lastModifiedBy>
  <dcterms:created xsi:type="dcterms:W3CDTF">2015-06-05T18:17:20Z</dcterms:created>
  <dcterms:modified xsi:type="dcterms:W3CDTF">2022-04-29T14:39:58Z</dcterms:modified>
</cp:coreProperties>
</file>