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d4f5ab8aa855b4/Desktop/Aramis - CSULB/Courses/Semester 7/MAE 476/"/>
    </mc:Choice>
  </mc:AlternateContent>
  <xr:revisionPtr revIDLastSave="360" documentId="8_{D0E6EC37-6BF0-471E-8945-1E57343B122D}" xr6:coauthVersionLast="47" xr6:coauthVersionMax="47" xr10:uidLastSave="{45E94B63-6874-4291-B54A-368822DEC690}"/>
  <bookViews>
    <workbookView xWindow="-120" yWindow="-120" windowWidth="29040" windowHeight="15720" activeTab="2" xr2:uid="{0C34FF9F-664C-400E-BB3D-86FBBB6EE921}"/>
  </bookViews>
  <sheets>
    <sheet name="P2" sheetId="1" r:id="rId1"/>
    <sheet name="P3" sheetId="2" r:id="rId2"/>
    <sheet name="P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1" i="3" l="1"/>
  <c r="F81" i="3"/>
  <c r="G81" i="3" s="1"/>
  <c r="H81" i="3" s="1"/>
  <c r="G74" i="3"/>
  <c r="G75" i="3"/>
  <c r="G76" i="3"/>
  <c r="G77" i="3"/>
  <c r="G78" i="3"/>
  <c r="G79" i="3"/>
  <c r="F72" i="3"/>
  <c r="G72" i="3" s="1"/>
  <c r="F73" i="3"/>
  <c r="G73" i="3" s="1"/>
  <c r="F74" i="3"/>
  <c r="F75" i="3"/>
  <c r="F76" i="3"/>
  <c r="F77" i="3"/>
  <c r="F78" i="3"/>
  <c r="F79" i="3"/>
  <c r="F80" i="3"/>
  <c r="G80" i="3" s="1"/>
  <c r="F71" i="3"/>
  <c r="G71" i="3" s="1"/>
  <c r="E72" i="3"/>
  <c r="E73" i="3"/>
  <c r="E74" i="3"/>
  <c r="E75" i="3"/>
  <c r="E76" i="3"/>
  <c r="E77" i="3"/>
  <c r="E78" i="3"/>
  <c r="E79" i="3"/>
  <c r="E80" i="3"/>
  <c r="E71" i="3"/>
  <c r="G11" i="3"/>
  <c r="G42" i="3"/>
  <c r="G43" i="3"/>
  <c r="G50" i="3"/>
  <c r="G41" i="3"/>
  <c r="F42" i="3"/>
  <c r="F43" i="3"/>
  <c r="F44" i="3"/>
  <c r="F45" i="3"/>
  <c r="F46" i="3"/>
  <c r="F47" i="3"/>
  <c r="F48" i="3"/>
  <c r="F49" i="3"/>
  <c r="F50" i="3"/>
  <c r="F41" i="3"/>
  <c r="E42" i="3"/>
  <c r="E43" i="3"/>
  <c r="E44" i="3"/>
  <c r="G44" i="3" s="1"/>
  <c r="E45" i="3"/>
  <c r="G45" i="3" s="1"/>
  <c r="E46" i="3"/>
  <c r="G46" i="3" s="1"/>
  <c r="E47" i="3"/>
  <c r="G47" i="3" s="1"/>
  <c r="E48" i="3"/>
  <c r="G48" i="3" s="1"/>
  <c r="E49" i="3"/>
  <c r="G49" i="3" s="1"/>
  <c r="E50" i="3"/>
  <c r="E41" i="3"/>
  <c r="F12" i="3"/>
  <c r="F13" i="3"/>
  <c r="F14" i="3"/>
  <c r="F15" i="3"/>
  <c r="F16" i="3"/>
  <c r="F17" i="3"/>
  <c r="F18" i="3"/>
  <c r="F19" i="3"/>
  <c r="G19" i="3" s="1"/>
  <c r="F20" i="3"/>
  <c r="F11" i="3"/>
  <c r="G17" i="3"/>
  <c r="G10" i="2"/>
  <c r="G11" i="2"/>
  <c r="G12" i="2"/>
  <c r="G13" i="2"/>
  <c r="G14" i="2"/>
  <c r="G15" i="2"/>
  <c r="G16" i="2"/>
  <c r="G17" i="2"/>
  <c r="G18" i="2"/>
  <c r="G9" i="2"/>
  <c r="F10" i="2"/>
  <c r="F11" i="2"/>
  <c r="J11" i="2" s="1"/>
  <c r="F12" i="2"/>
  <c r="F13" i="2"/>
  <c r="F14" i="2"/>
  <c r="F15" i="2"/>
  <c r="F16" i="2"/>
  <c r="F17" i="2"/>
  <c r="F18" i="2"/>
  <c r="F9" i="2"/>
  <c r="E12" i="3"/>
  <c r="E13" i="3"/>
  <c r="E14" i="3"/>
  <c r="E15" i="3"/>
  <c r="G15" i="3" s="1"/>
  <c r="E16" i="3"/>
  <c r="G16" i="3" s="1"/>
  <c r="E17" i="3"/>
  <c r="E18" i="3"/>
  <c r="E19" i="3"/>
  <c r="E20" i="3"/>
  <c r="E11" i="3"/>
  <c r="F31" i="1"/>
  <c r="F32" i="1"/>
  <c r="F33" i="1"/>
  <c r="F24" i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E32" i="1"/>
  <c r="E33" i="1"/>
  <c r="E24" i="1"/>
  <c r="D24" i="1"/>
  <c r="D25" i="1"/>
  <c r="D26" i="1"/>
  <c r="D27" i="1"/>
  <c r="D28" i="1"/>
  <c r="D29" i="1"/>
  <c r="D30" i="1"/>
  <c r="D31" i="1"/>
  <c r="D32" i="1"/>
  <c r="D33" i="1"/>
  <c r="E10" i="2"/>
  <c r="E11" i="2"/>
  <c r="E12" i="2"/>
  <c r="J12" i="2" s="1"/>
  <c r="E13" i="2"/>
  <c r="K13" i="2" s="1"/>
  <c r="E14" i="2"/>
  <c r="E15" i="2"/>
  <c r="J15" i="2" s="1"/>
  <c r="E16" i="2"/>
  <c r="E17" i="2"/>
  <c r="E18" i="2"/>
  <c r="J18" i="2" s="1"/>
  <c r="E9" i="2"/>
  <c r="J10" i="2"/>
  <c r="J14" i="2"/>
  <c r="K81" i="3" l="1"/>
  <c r="L81" i="3" s="1"/>
  <c r="J81" i="3"/>
  <c r="I81" i="3"/>
  <c r="K49" i="3"/>
  <c r="L49" i="3" s="1"/>
  <c r="K48" i="3"/>
  <c r="L48" i="3" s="1"/>
  <c r="I41" i="3"/>
  <c r="H45" i="3"/>
  <c r="K45" i="3"/>
  <c r="L45" i="3" s="1"/>
  <c r="J45" i="3"/>
  <c r="I45" i="3"/>
  <c r="H46" i="3"/>
  <c r="K46" i="3"/>
  <c r="L46" i="3" s="1"/>
  <c r="J46" i="3"/>
  <c r="I46" i="3"/>
  <c r="K47" i="3"/>
  <c r="L47" i="3" s="1"/>
  <c r="J47" i="3"/>
  <c r="I47" i="3"/>
  <c r="H47" i="3"/>
  <c r="I42" i="3"/>
  <c r="H42" i="3"/>
  <c r="K42" i="3"/>
  <c r="L42" i="3" s="1"/>
  <c r="J42" i="3"/>
  <c r="H43" i="3"/>
  <c r="I43" i="3"/>
  <c r="J43" i="3"/>
  <c r="K43" i="3"/>
  <c r="L43" i="3" s="1"/>
  <c r="K44" i="3"/>
  <c r="L44" i="3" s="1"/>
  <c r="J44" i="3"/>
  <c r="I44" i="3"/>
  <c r="H44" i="3"/>
  <c r="K50" i="3"/>
  <c r="L50" i="3" s="1"/>
  <c r="I50" i="3"/>
  <c r="J50" i="3"/>
  <c r="H50" i="3"/>
  <c r="G12" i="3"/>
  <c r="I12" i="3" s="1"/>
  <c r="G20" i="3"/>
  <c r="J20" i="3" s="1"/>
  <c r="G18" i="3"/>
  <c r="G14" i="3"/>
  <c r="K14" i="3" s="1"/>
  <c r="L14" i="3" s="1"/>
  <c r="G13" i="3"/>
  <c r="K13" i="3" s="1"/>
  <c r="L13" i="3" s="1"/>
  <c r="J17" i="2"/>
  <c r="J16" i="2"/>
  <c r="I9" i="2"/>
  <c r="I11" i="3"/>
  <c r="J74" i="3"/>
  <c r="I74" i="3"/>
  <c r="H74" i="3"/>
  <c r="K74" i="3"/>
  <c r="L74" i="3" s="1"/>
  <c r="J72" i="3"/>
  <c r="H72" i="3"/>
  <c r="K72" i="3"/>
  <c r="L72" i="3" s="1"/>
  <c r="I72" i="3"/>
  <c r="K73" i="3"/>
  <c r="L73" i="3" s="1"/>
  <c r="J73" i="3"/>
  <c r="I73" i="3"/>
  <c r="H73" i="3"/>
  <c r="K80" i="3"/>
  <c r="L80" i="3" s="1"/>
  <c r="J80" i="3"/>
  <c r="I80" i="3"/>
  <c r="H80" i="3"/>
  <c r="I76" i="3"/>
  <c r="K76" i="3"/>
  <c r="L76" i="3" s="1"/>
  <c r="H76" i="3"/>
  <c r="J76" i="3"/>
  <c r="I79" i="3"/>
  <c r="K79" i="3"/>
  <c r="L79" i="3" s="1"/>
  <c r="J79" i="3"/>
  <c r="H79" i="3"/>
  <c r="J75" i="3"/>
  <c r="I75" i="3"/>
  <c r="H75" i="3"/>
  <c r="K75" i="3"/>
  <c r="L75" i="3" s="1"/>
  <c r="K71" i="3"/>
  <c r="L71" i="3" s="1"/>
  <c r="J71" i="3"/>
  <c r="H71" i="3"/>
  <c r="I71" i="3"/>
  <c r="H77" i="3"/>
  <c r="K77" i="3"/>
  <c r="L77" i="3" s="1"/>
  <c r="J77" i="3"/>
  <c r="I77" i="3"/>
  <c r="K78" i="3"/>
  <c r="L78" i="3" s="1"/>
  <c r="J78" i="3"/>
  <c r="I78" i="3"/>
  <c r="H78" i="3"/>
  <c r="J16" i="3"/>
  <c r="I16" i="3"/>
  <c r="H16" i="3"/>
  <c r="K16" i="3"/>
  <c r="L16" i="3" s="1"/>
  <c r="H13" i="3"/>
  <c r="J13" i="3"/>
  <c r="I13" i="3"/>
  <c r="J14" i="3"/>
  <c r="I14" i="3"/>
  <c r="H14" i="3"/>
  <c r="K17" i="3"/>
  <c r="L17" i="3" s="1"/>
  <c r="J17" i="3"/>
  <c r="I17" i="3"/>
  <c r="H17" i="3"/>
  <c r="K19" i="3"/>
  <c r="L19" i="3" s="1"/>
  <c r="J19" i="3"/>
  <c r="I19" i="3"/>
  <c r="H19" i="3"/>
  <c r="H18" i="3"/>
  <c r="K18" i="3"/>
  <c r="L18" i="3" s="1"/>
  <c r="J18" i="3"/>
  <c r="I18" i="3"/>
  <c r="J15" i="3"/>
  <c r="H15" i="3"/>
  <c r="K15" i="3"/>
  <c r="L15" i="3" s="1"/>
  <c r="I15" i="3"/>
  <c r="J25" i="1"/>
  <c r="I25" i="1"/>
  <c r="H25" i="1"/>
  <c r="G25" i="1"/>
  <c r="J26" i="1"/>
  <c r="I26" i="1"/>
  <c r="H26" i="1"/>
  <c r="G26" i="1"/>
  <c r="H24" i="1"/>
  <c r="G24" i="1"/>
  <c r="J24" i="1"/>
  <c r="I24" i="1"/>
  <c r="J27" i="1"/>
  <c r="I27" i="1"/>
  <c r="H27" i="1"/>
  <c r="G27" i="1"/>
  <c r="J28" i="1"/>
  <c r="I28" i="1"/>
  <c r="H28" i="1"/>
  <c r="G28" i="1"/>
  <c r="J29" i="1"/>
  <c r="I29" i="1"/>
  <c r="H29" i="1"/>
  <c r="G29" i="1"/>
  <c r="J30" i="1"/>
  <c r="I30" i="1"/>
  <c r="H30" i="1"/>
  <c r="G30" i="1"/>
  <c r="G31" i="1"/>
  <c r="J31" i="1"/>
  <c r="I31" i="1"/>
  <c r="H31" i="1"/>
  <c r="J32" i="1"/>
  <c r="I32" i="1"/>
  <c r="H32" i="1"/>
  <c r="G32" i="1"/>
  <c r="I33" i="1"/>
  <c r="H33" i="1"/>
  <c r="G33" i="1"/>
  <c r="J33" i="1"/>
  <c r="J13" i="2"/>
  <c r="K18" i="2"/>
  <c r="K17" i="2"/>
  <c r="K16" i="2"/>
  <c r="K15" i="2"/>
  <c r="K14" i="2"/>
  <c r="K12" i="2"/>
  <c r="K11" i="2"/>
  <c r="K10" i="2"/>
  <c r="I10" i="2"/>
  <c r="H10" i="2"/>
  <c r="H18" i="2"/>
  <c r="I18" i="2"/>
  <c r="H17" i="2"/>
  <c r="I17" i="2"/>
  <c r="H16" i="2"/>
  <c r="I16" i="2"/>
  <c r="I15" i="2"/>
  <c r="H15" i="2"/>
  <c r="H14" i="2"/>
  <c r="I14" i="2"/>
  <c r="I13" i="2"/>
  <c r="H13" i="2"/>
  <c r="I12" i="2"/>
  <c r="H12" i="2"/>
  <c r="I11" i="2"/>
  <c r="H11" i="2"/>
  <c r="K20" i="3" l="1"/>
  <c r="L20" i="3" s="1"/>
  <c r="I49" i="3"/>
  <c r="J48" i="3"/>
  <c r="J49" i="3"/>
  <c r="H48" i="3"/>
  <c r="H49" i="3"/>
  <c r="I48" i="3"/>
  <c r="K41" i="3"/>
  <c r="L41" i="3" s="1"/>
  <c r="H41" i="3"/>
  <c r="J41" i="3"/>
  <c r="H12" i="3"/>
  <c r="K12" i="3"/>
  <c r="L12" i="3" s="1"/>
  <c r="J12" i="3"/>
  <c r="H20" i="3"/>
  <c r="I20" i="3"/>
  <c r="J9" i="2"/>
  <c r="K9" i="2"/>
  <c r="H9" i="2"/>
  <c r="H11" i="3"/>
  <c r="J11" i="3"/>
  <c r="K11" i="3"/>
  <c r="L11" i="3" s="1"/>
</calcChain>
</file>

<file path=xl/sharedStrings.xml><?xml version="1.0" encoding="utf-8"?>
<sst xmlns="http://schemas.openxmlformats.org/spreadsheetml/2006/main" count="74" uniqueCount="32">
  <si>
    <t>ζ</t>
  </si>
  <si>
    <t>K</t>
  </si>
  <si>
    <t>N/A</t>
  </si>
  <si>
    <t>seconds</t>
  </si>
  <si>
    <t>Variable</t>
  </si>
  <si>
    <t>τ_c</t>
  </si>
  <si>
    <t>Units</t>
  </si>
  <si>
    <t>Value</t>
  </si>
  <si>
    <t>ω</t>
  </si>
  <si>
    <t>Magnitude (dB)</t>
  </si>
  <si>
    <t xml:space="preserve">Gain Margin --&gt; </t>
  </si>
  <si>
    <t>a</t>
  </si>
  <si>
    <t>s = iω</t>
  </si>
  <si>
    <t>Frequencies of Interest</t>
  </si>
  <si>
    <t>Real ω</t>
  </si>
  <si>
    <t>G(iω)</t>
  </si>
  <si>
    <t>LM(ω)</t>
  </si>
  <si>
    <t>ϕ(ω)</t>
  </si>
  <si>
    <t>Re [G]</t>
  </si>
  <si>
    <t>Im [G]</t>
  </si>
  <si>
    <t>Found through Excel:</t>
  </si>
  <si>
    <t>MATLAB Confirmation:</t>
  </si>
  <si>
    <t>Va(iω)/R(iω)</t>
  </si>
  <si>
    <t>τ_a</t>
  </si>
  <si>
    <t>τ_1</t>
  </si>
  <si>
    <t>NOTE: τ_a &gt; τ_1</t>
  </si>
  <si>
    <t>τ_2</t>
  </si>
  <si>
    <t>τ_b</t>
  </si>
  <si>
    <t>Transfer Function - 2</t>
  </si>
  <si>
    <t>Transfer Function - 1</t>
  </si>
  <si>
    <t>Transfer Function - 3</t>
  </si>
  <si>
    <t>Im2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</si>
</sst>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Bode Diagram</a:t>
            </a:r>
          </a:p>
          <a:p>
            <a:pPr>
              <a:defRPr/>
            </a:pPr>
            <a:r>
              <a:rPr lang="en-US"/>
              <a:t>Gm = 36.9</a:t>
            </a:r>
            <a:r>
              <a:rPr lang="en-US" baseline="0"/>
              <a:t> dB at 0.192 rad/s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'P2'!$F$8</c:f>
              <c:strCache>
                <c:ptCount val="1"/>
                <c:pt idx="0">
                  <c:v>Magnitude (dB)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noFill/>
                <a:prstDash val="sysDash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noFill/>
                <a:prstDash val="sysDash"/>
              </a:ln>
              <a:effectLst/>
            </c:spPr>
            <c:trendlineType val="log"/>
            <c:dispRSqr val="0"/>
            <c:dispEq val="0"/>
          </c:trendline>
          <c:xVal>
            <c:numRef>
              <c:f>'P2'!$E$9:$E$18</c:f>
              <c:numCache>
                <c:formatCode>General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0.192</c:v>
                </c:pt>
                <c:pt idx="3">
                  <c:v>0.3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10</c:v>
                </c:pt>
                <c:pt idx="9">
                  <c:v>100</c:v>
                </c:pt>
              </c:numCache>
            </c:numRef>
          </c:xVal>
          <c:yVal>
            <c:numRef>
              <c:f>'P2'!$F$9:$F$18</c:f>
              <c:numCache>
                <c:formatCode>General</c:formatCode>
                <c:ptCount val="10"/>
                <c:pt idx="0">
                  <c:v>-23</c:v>
                </c:pt>
                <c:pt idx="1">
                  <c:v>-27.6</c:v>
                </c:pt>
                <c:pt idx="2">
                  <c:v>-36.9</c:v>
                </c:pt>
                <c:pt idx="3">
                  <c:v>-45.7</c:v>
                </c:pt>
                <c:pt idx="4">
                  <c:v>-58</c:v>
                </c:pt>
                <c:pt idx="5">
                  <c:v>-78.5</c:v>
                </c:pt>
                <c:pt idx="6">
                  <c:v>-101</c:v>
                </c:pt>
                <c:pt idx="7">
                  <c:v>-133</c:v>
                </c:pt>
                <c:pt idx="8">
                  <c:v>-157</c:v>
                </c:pt>
                <c:pt idx="9">
                  <c:v>-237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9FD-4719-9838-F7D5D7485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946047"/>
        <c:axId val="1589944799"/>
      </c:scatterChart>
      <c:valAx>
        <c:axId val="15899460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44799"/>
        <c:crosses val="autoZero"/>
        <c:crossBetween val="midCat"/>
      </c:valAx>
      <c:valAx>
        <c:axId val="1589944799"/>
        <c:scaling>
          <c:orientation val="minMax"/>
          <c:min val="-2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4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Bode Diagram Problem 3</a:t>
            </a:r>
          </a:p>
          <a:p>
            <a:pPr>
              <a:defRPr/>
            </a:pPr>
            <a:r>
              <a:rPr lang="en-US"/>
              <a:t>Variable Controlled in Excel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'P3'!$H$8</c:f>
              <c:strCache>
                <c:ptCount val="1"/>
                <c:pt idx="0">
                  <c:v>LM(ω)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noFill/>
                <a:prstDash val="sysDash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noFill/>
                <a:prstDash val="sysDash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og"/>
            <c:dispRSqr val="0"/>
            <c:dispEq val="0"/>
          </c:trendline>
          <c:xVal>
            <c:numRef>
              <c:f>'P3'!$E$9:$E$18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0.25</c:v>
                </c:pt>
                <c:pt idx="3">
                  <c:v>0.64000000000000012</c:v>
                </c:pt>
                <c:pt idx="4">
                  <c:v>1</c:v>
                </c:pt>
                <c:pt idx="5">
                  <c:v>4</c:v>
                </c:pt>
                <c:pt idx="6">
                  <c:v>25</c:v>
                </c:pt>
                <c:pt idx="7">
                  <c:v>64</c:v>
                </c:pt>
                <c:pt idx="8">
                  <c:v>100</c:v>
                </c:pt>
                <c:pt idx="9">
                  <c:v>400</c:v>
                </c:pt>
              </c:numCache>
            </c:numRef>
          </c:xVal>
          <c:yVal>
            <c:numRef>
              <c:f>'P3'!$H$9:$H$18</c:f>
              <c:numCache>
                <c:formatCode>General</c:formatCode>
                <c:ptCount val="10"/>
                <c:pt idx="0">
                  <c:v>-2.1752704945655846E-3</c:v>
                </c:pt>
                <c:pt idx="1">
                  <c:v>-8.7465631788584252E-3</c:v>
                </c:pt>
                <c:pt idx="2">
                  <c:v>-5.6630321925904691E-2</c:v>
                </c:pt>
                <c:pt idx="3">
                  <c:v>-0.15399997048880129</c:v>
                </c:pt>
                <c:pt idx="4">
                  <c:v>-0.25305865264770205</c:v>
                </c:pt>
                <c:pt idx="5">
                  <c:v>-1.3353890837021762</c:v>
                </c:pt>
                <c:pt idx="6">
                  <c:v>-9.2941892571429197</c:v>
                </c:pt>
                <c:pt idx="7">
                  <c:v>-16.547539332529318</c:v>
                </c:pt>
                <c:pt idx="8">
                  <c:v>-20.253058652647702</c:v>
                </c:pt>
                <c:pt idx="9">
                  <c:v>-32.097830148485144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29-4DC2-98B6-AC3ECA211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946047"/>
        <c:axId val="1589944799"/>
      </c:scatterChart>
      <c:valAx>
        <c:axId val="158994604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44799"/>
        <c:crosses val="autoZero"/>
        <c:crossBetween val="midCat"/>
      </c:valAx>
      <c:valAx>
        <c:axId val="1589944799"/>
        <c:scaling>
          <c:orientation val="minMax"/>
          <c:max val="5"/>
          <c:min val="-5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4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Bode Diagram Problem 4 - Transfer Function #1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'P4'!$H$10</c:f>
              <c:strCache>
                <c:ptCount val="1"/>
                <c:pt idx="0">
                  <c:v>LM(ω)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noFill/>
                <a:prstDash val="sysDash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noFill/>
                <a:prstDash val="sysDash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noFill/>
                <a:prstDash val="sysDash"/>
              </a:ln>
              <a:effectLst/>
            </c:spPr>
            <c:trendlineType val="log"/>
            <c:dispRSqr val="0"/>
            <c:dispEq val="0"/>
          </c:trendline>
          <c:xVal>
            <c:numRef>
              <c:f>'P4'!$D$11:$D$20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8</c:v>
                </c:pt>
                <c:pt idx="8">
                  <c:v>10</c:v>
                </c:pt>
                <c:pt idx="9">
                  <c:v>20</c:v>
                </c:pt>
              </c:numCache>
            </c:numRef>
          </c:xVal>
          <c:yVal>
            <c:numRef>
              <c:f>'P4'!$H$11:$H$20</c:f>
              <c:numCache>
                <c:formatCode>General</c:formatCode>
                <c:ptCount val="10"/>
                <c:pt idx="0">
                  <c:v>41.634287153867518</c:v>
                </c:pt>
                <c:pt idx="1">
                  <c:v>29.89276134608226</c:v>
                </c:pt>
                <c:pt idx="2">
                  <c:v>13.010299956639813</c:v>
                </c:pt>
                <c:pt idx="3">
                  <c:v>3.9983157488369097</c:v>
                </c:pt>
                <c:pt idx="4">
                  <c:v>-0.2632893872234946</c:v>
                </c:pt>
                <c:pt idx="5">
                  <c:v>-13.268372592702683</c:v>
                </c:pt>
                <c:pt idx="6">
                  <c:v>-29.907844246524075</c:v>
                </c:pt>
                <c:pt idx="7">
                  <c:v>-38.272037960154734</c:v>
                </c:pt>
                <c:pt idx="8">
                  <c:v>-42.216679442507541</c:v>
                </c:pt>
                <c:pt idx="9">
                  <c:v>-54.397081398301793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7F-4BEF-B615-169A3A218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946047"/>
        <c:axId val="1589944799"/>
      </c:scatterChart>
      <c:valAx>
        <c:axId val="15899460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44799"/>
        <c:crosses val="autoZero"/>
        <c:crossBetween val="midCat"/>
      </c:valAx>
      <c:valAx>
        <c:axId val="1589944799"/>
        <c:scaling>
          <c:orientation val="minMax"/>
          <c:max val="60"/>
          <c:min val="-5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4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Nyquist Plot</a:t>
            </a:r>
            <a:r>
              <a:rPr lang="en-US" b="1" baseline="0"/>
              <a:t> Problem 4 - </a:t>
            </a:r>
            <a:r>
              <a:rPr lang="en-US" sz="1400" b="1" i="0" u="none" strike="noStrike" cap="none" baseline="0">
                <a:effectLst/>
              </a:rPr>
              <a:t>Transfer Function #1</a:t>
            </a:r>
            <a:r>
              <a:rPr lang="en-US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'P4'!$K$10</c:f>
              <c:strCache>
                <c:ptCount val="1"/>
                <c:pt idx="0">
                  <c:v>Im [G]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'P4'!$J$11:$J$20</c:f>
              <c:numCache>
                <c:formatCode>General</c:formatCode>
                <c:ptCount val="10"/>
                <c:pt idx="0">
                  <c:v>-112.068965517241</c:v>
                </c:pt>
                <c:pt idx="1">
                  <c:v>-24.390243902439</c:v>
                </c:pt>
                <c:pt idx="2">
                  <c:v>-2</c:v>
                </c:pt>
                <c:pt idx="3">
                  <c:v>-0.47264234875444799</c:v>
                </c:pt>
                <c:pt idx="4">
                  <c:v>-0.23529411764705899</c:v>
                </c:pt>
                <c:pt idx="5">
                  <c:v>-2.69230769230769E-2</c:v>
                </c:pt>
                <c:pt idx="6">
                  <c:v>-1.5960099750623399E-3</c:v>
                </c:pt>
                <c:pt idx="7">
                  <c:v>-3.8109756097560999E-4</c:v>
                </c:pt>
                <c:pt idx="8">
                  <c:v>-1.93628981886321E-4</c:v>
                </c:pt>
                <c:pt idx="9">
                  <c:v>-2.38244024371192E-5</c:v>
                </c:pt>
              </c:numCache>
            </c:numRef>
          </c:xVal>
          <c:yVal>
            <c:numRef>
              <c:f>'P4'!$K$11:$K$20</c:f>
              <c:numCache>
                <c:formatCode>General</c:formatCode>
                <c:ptCount val="10"/>
                <c:pt idx="0">
                  <c:v>44.827586206896498</c:v>
                </c:pt>
                <c:pt idx="1">
                  <c:v>19.512195121951201</c:v>
                </c:pt>
                <c:pt idx="2">
                  <c:v>4</c:v>
                </c:pt>
                <c:pt idx="3">
                  <c:v>1.5124555160142299</c:v>
                </c:pt>
                <c:pt idx="4">
                  <c:v>0.94117647058823495</c:v>
                </c:pt>
                <c:pt idx="5">
                  <c:v>0.21538461538461501</c:v>
                </c:pt>
                <c:pt idx="6">
                  <c:v>3.1920199501246901E-2</c:v>
                </c:pt>
                <c:pt idx="7">
                  <c:v>1.21951219512195E-2</c:v>
                </c:pt>
                <c:pt idx="8">
                  <c:v>7.7451592754528399E-3</c:v>
                </c:pt>
                <c:pt idx="9">
                  <c:v>1.9059521949695399E-3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AB-4571-A501-D2117D4500C6}"/>
            </c:ext>
          </c:extLst>
        </c:ser>
        <c:ser>
          <c:idx val="1"/>
          <c:order val="1"/>
          <c:tx>
            <c:strRef>
              <c:f>'P4'!$L$10</c:f>
              <c:strCache>
                <c:ptCount val="1"/>
                <c:pt idx="0">
                  <c:v>Im2 [G]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'P4'!$J$11:$J$20</c:f>
              <c:numCache>
                <c:formatCode>General</c:formatCode>
                <c:ptCount val="10"/>
                <c:pt idx="0">
                  <c:v>-112.068965517241</c:v>
                </c:pt>
                <c:pt idx="1">
                  <c:v>-24.390243902439</c:v>
                </c:pt>
                <c:pt idx="2">
                  <c:v>-2</c:v>
                </c:pt>
                <c:pt idx="3">
                  <c:v>-0.47264234875444799</c:v>
                </c:pt>
                <c:pt idx="4">
                  <c:v>-0.23529411764705899</c:v>
                </c:pt>
                <c:pt idx="5">
                  <c:v>-2.69230769230769E-2</c:v>
                </c:pt>
                <c:pt idx="6">
                  <c:v>-1.5960099750623399E-3</c:v>
                </c:pt>
                <c:pt idx="7">
                  <c:v>-3.8109756097560999E-4</c:v>
                </c:pt>
                <c:pt idx="8">
                  <c:v>-1.93628981886321E-4</c:v>
                </c:pt>
                <c:pt idx="9">
                  <c:v>-2.38244024371192E-5</c:v>
                </c:pt>
              </c:numCache>
            </c:numRef>
          </c:xVal>
          <c:yVal>
            <c:numRef>
              <c:f>'P4'!$L$11:$L$20</c:f>
              <c:numCache>
                <c:formatCode>General</c:formatCode>
                <c:ptCount val="10"/>
                <c:pt idx="0">
                  <c:v>-44.827586206896498</c:v>
                </c:pt>
                <c:pt idx="1">
                  <c:v>-19.512195121951201</c:v>
                </c:pt>
                <c:pt idx="2">
                  <c:v>-4</c:v>
                </c:pt>
                <c:pt idx="3">
                  <c:v>-1.5124555160142299</c:v>
                </c:pt>
                <c:pt idx="4">
                  <c:v>-0.94117647058823495</c:v>
                </c:pt>
                <c:pt idx="5">
                  <c:v>-0.21538461538461501</c:v>
                </c:pt>
                <c:pt idx="6">
                  <c:v>-3.1920199501246901E-2</c:v>
                </c:pt>
                <c:pt idx="7">
                  <c:v>-1.21951219512195E-2</c:v>
                </c:pt>
                <c:pt idx="8">
                  <c:v>-7.7451592754528399E-3</c:v>
                </c:pt>
                <c:pt idx="9">
                  <c:v>-1.9059521949695399E-3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7AB-4571-A501-D2117D450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029999"/>
        <c:axId val="1960030415"/>
      </c:scatterChart>
      <c:valAx>
        <c:axId val="196002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30415"/>
        <c:crosses val="autoZero"/>
        <c:crossBetween val="midCat"/>
      </c:valAx>
      <c:valAx>
        <c:axId val="196003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Imaginary Axis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26226851851851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2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Bode Diagram Problem 4 </a:t>
            </a:r>
            <a:r>
              <a:rPr lang="en-US" sz="1600" b="1" i="0" u="none" strike="noStrike" baseline="0">
                <a:effectLst/>
              </a:rPr>
              <a:t>- Transfer Function #2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'P4'!$H$40</c:f>
              <c:strCache>
                <c:ptCount val="1"/>
                <c:pt idx="0">
                  <c:v>LM(ω)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noFill/>
                <a:prstDash val="sysDash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noFill/>
                <a:prstDash val="sysDash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noFill/>
                <a:prstDash val="sysDash"/>
              </a:ln>
              <a:effectLst/>
            </c:spPr>
            <c:trendlineType val="log"/>
            <c:dispRSqr val="0"/>
            <c:dispEq val="0"/>
          </c:trendline>
          <c:xVal>
            <c:numRef>
              <c:f>'P4'!$D$41:$D$50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8</c:v>
                </c:pt>
                <c:pt idx="8">
                  <c:v>10</c:v>
                </c:pt>
                <c:pt idx="9">
                  <c:v>20</c:v>
                </c:pt>
              </c:numCache>
            </c:numRef>
          </c:xVal>
          <c:yVal>
            <c:numRef>
              <c:f>'P4'!$H$41:$H$50</c:f>
              <c:numCache>
                <c:formatCode>General</c:formatCode>
                <c:ptCount val="10"/>
                <c:pt idx="0">
                  <c:v>61.343365109486797</c:v>
                </c:pt>
                <c:pt idx="1">
                  <c:v>46.28388930050312</c:v>
                </c:pt>
                <c:pt idx="2">
                  <c:v>31.784013415337551</c:v>
                </c:pt>
                <c:pt idx="3">
                  <c:v>26.418556953682483</c:v>
                </c:pt>
                <c:pt idx="4">
                  <c:v>24.149733479708178</c:v>
                </c:pt>
                <c:pt idx="5">
                  <c:v>17.663431238657505</c:v>
                </c:pt>
                <c:pt idx="6">
                  <c:v>9.568627463417176</c:v>
                </c:pt>
                <c:pt idx="7">
                  <c:v>5.4702722312336967</c:v>
                </c:pt>
                <c:pt idx="8">
                  <c:v>3.5283848270956564</c:v>
                </c:pt>
                <c:pt idx="9">
                  <c:v>-2.4971342533573928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FF-49C6-8E02-7C2576E97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946047"/>
        <c:axId val="1589944799"/>
      </c:scatterChart>
      <c:valAx>
        <c:axId val="15899460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44799"/>
        <c:crosses val="autoZero"/>
        <c:crossBetween val="midCat"/>
      </c:valAx>
      <c:valAx>
        <c:axId val="158994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4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Nyquist Plot</a:t>
            </a:r>
            <a:r>
              <a:rPr lang="en-US" b="1" baseline="0"/>
              <a:t> Problem 4</a:t>
            </a:r>
            <a:r>
              <a:rPr lang="en-US" b="1"/>
              <a:t> </a:t>
            </a:r>
            <a:r>
              <a:rPr lang="en-US" sz="1400" b="1" i="0" u="none" strike="noStrike" cap="none" baseline="0">
                <a:effectLst/>
              </a:rPr>
              <a:t>- Transfer Function #2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'P4'!$K$40</c:f>
              <c:strCache>
                <c:ptCount val="1"/>
                <c:pt idx="0">
                  <c:v>Im [G]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'P4'!$J$41:$J$50</c:f>
              <c:numCache>
                <c:formatCode>General</c:formatCode>
                <c:ptCount val="10"/>
                <c:pt idx="0">
                  <c:v>-800</c:v>
                </c:pt>
                <c:pt idx="1">
                  <c:v>-200</c:v>
                </c:pt>
                <c:pt idx="2">
                  <c:v>-32</c:v>
                </c:pt>
                <c:pt idx="3">
                  <c:v>-12.5</c:v>
                </c:pt>
                <c:pt idx="4">
                  <c:v>-8</c:v>
                </c:pt>
                <c:pt idx="5">
                  <c:v>-2</c:v>
                </c:pt>
                <c:pt idx="6">
                  <c:v>-0.32</c:v>
                </c:pt>
                <c:pt idx="7">
                  <c:v>-0.125</c:v>
                </c:pt>
                <c:pt idx="8">
                  <c:v>-0.08</c:v>
                </c:pt>
                <c:pt idx="9">
                  <c:v>-0.02</c:v>
                </c:pt>
              </c:numCache>
            </c:numRef>
          </c:xVal>
          <c:yVal>
            <c:numRef>
              <c:f>'P4'!$K$41:$K$50</c:f>
              <c:numCache>
                <c:formatCode>General</c:formatCode>
                <c:ptCount val="10"/>
                <c:pt idx="0">
                  <c:v>850</c:v>
                </c:pt>
                <c:pt idx="1">
                  <c:v>50</c:v>
                </c:pt>
                <c:pt idx="2">
                  <c:v>-22</c:v>
                </c:pt>
                <c:pt idx="3">
                  <c:v>-16.796875</c:v>
                </c:pt>
                <c:pt idx="4">
                  <c:v>-14</c:v>
                </c:pt>
                <c:pt idx="5">
                  <c:v>-7.375</c:v>
                </c:pt>
                <c:pt idx="6">
                  <c:v>-2.992</c:v>
                </c:pt>
                <c:pt idx="7">
                  <c:v>-1.873046875</c:v>
                </c:pt>
                <c:pt idx="8">
                  <c:v>-1.4990000000000001</c:v>
                </c:pt>
                <c:pt idx="9">
                  <c:v>-0.74987499999999996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0B-4CF9-86F7-0F9CC01DF4BD}"/>
            </c:ext>
          </c:extLst>
        </c:ser>
        <c:ser>
          <c:idx val="1"/>
          <c:order val="1"/>
          <c:tx>
            <c:strRef>
              <c:f>'P4'!$L$40</c:f>
              <c:strCache>
                <c:ptCount val="1"/>
                <c:pt idx="0">
                  <c:v>Im2 [G]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'P4'!$J$41:$J$50</c:f>
              <c:numCache>
                <c:formatCode>General</c:formatCode>
                <c:ptCount val="10"/>
                <c:pt idx="0">
                  <c:v>-800</c:v>
                </c:pt>
                <c:pt idx="1">
                  <c:v>-200</c:v>
                </c:pt>
                <c:pt idx="2">
                  <c:v>-32</c:v>
                </c:pt>
                <c:pt idx="3">
                  <c:v>-12.5</c:v>
                </c:pt>
                <c:pt idx="4">
                  <c:v>-8</c:v>
                </c:pt>
                <c:pt idx="5">
                  <c:v>-2</c:v>
                </c:pt>
                <c:pt idx="6">
                  <c:v>-0.32</c:v>
                </c:pt>
                <c:pt idx="7">
                  <c:v>-0.125</c:v>
                </c:pt>
                <c:pt idx="8">
                  <c:v>-0.08</c:v>
                </c:pt>
                <c:pt idx="9">
                  <c:v>-0.02</c:v>
                </c:pt>
              </c:numCache>
            </c:numRef>
          </c:xVal>
          <c:yVal>
            <c:numRef>
              <c:f>'P4'!$L$41:$L$50</c:f>
              <c:numCache>
                <c:formatCode>General</c:formatCode>
                <c:ptCount val="10"/>
                <c:pt idx="0">
                  <c:v>-850</c:v>
                </c:pt>
                <c:pt idx="1">
                  <c:v>-50</c:v>
                </c:pt>
                <c:pt idx="2">
                  <c:v>22</c:v>
                </c:pt>
                <c:pt idx="3">
                  <c:v>16.796875</c:v>
                </c:pt>
                <c:pt idx="4">
                  <c:v>14</c:v>
                </c:pt>
                <c:pt idx="5">
                  <c:v>7.375</c:v>
                </c:pt>
                <c:pt idx="6">
                  <c:v>2.992</c:v>
                </c:pt>
                <c:pt idx="7">
                  <c:v>1.873046875</c:v>
                </c:pt>
                <c:pt idx="8">
                  <c:v>1.4990000000000001</c:v>
                </c:pt>
                <c:pt idx="9">
                  <c:v>0.74987499999999996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0B-4CF9-86F7-0F9CC01DF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029999"/>
        <c:axId val="1960030415"/>
      </c:scatterChart>
      <c:valAx>
        <c:axId val="196002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30415"/>
        <c:crosses val="autoZero"/>
        <c:crossBetween val="midCat"/>
      </c:valAx>
      <c:valAx>
        <c:axId val="196003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Imaginary Axis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34490740740740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2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Bode Diagram Problem 4 </a:t>
            </a:r>
            <a:r>
              <a:rPr lang="en-US" sz="1600" b="1" i="0" u="none" strike="noStrike" baseline="0">
                <a:effectLst/>
              </a:rPr>
              <a:t>- Transfer Function #3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'P4'!$H$70</c:f>
              <c:strCache>
                <c:ptCount val="1"/>
                <c:pt idx="0">
                  <c:v>LM(ω)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noFill/>
                <a:prstDash val="sysDash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noFill/>
                <a:prstDash val="sysDash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noFill/>
                <a:prstDash val="sysDash"/>
              </a:ln>
              <a:effectLst/>
            </c:spPr>
            <c:trendlineType val="log"/>
            <c:dispRSqr val="0"/>
            <c:dispEq val="0"/>
          </c:trendline>
          <c:xVal>
            <c:numRef>
              <c:f>'P4'!$D$71:$D$80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8</c:v>
                </c:pt>
                <c:pt idx="8">
                  <c:v>10</c:v>
                </c:pt>
                <c:pt idx="9">
                  <c:v>20</c:v>
                </c:pt>
              </c:numCache>
            </c:numRef>
          </c:xVal>
          <c:yVal>
            <c:numRef>
              <c:f>'P4'!$H$71:$H$80</c:f>
              <c:numCache>
                <c:formatCode>General</c:formatCode>
                <c:ptCount val="10"/>
                <c:pt idx="0">
                  <c:v>40.160717848592014</c:v>
                </c:pt>
                <c:pt idx="1">
                  <c:v>28.479275971885926</c:v>
                </c:pt>
                <c:pt idx="2">
                  <c:v>13.180633349627616</c:v>
                </c:pt>
                <c:pt idx="3">
                  <c:v>4.5129290195329022</c:v>
                </c:pt>
                <c:pt idx="4">
                  <c:v>0</c:v>
                </c:pt>
                <c:pt idx="5">
                  <c:v>-15.653371843032239</c:v>
                </c:pt>
                <c:pt idx="6">
                  <c:v>-38.610662999501365</c:v>
                </c:pt>
                <c:pt idx="7">
                  <c:v>-50.740306147861929</c:v>
                </c:pt>
                <c:pt idx="8">
                  <c:v>-56.5274095542376</c:v>
                </c:pt>
                <c:pt idx="9">
                  <c:v>-74.552325658241216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33-4DA3-8EF4-4E5297C50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946047"/>
        <c:axId val="1589944799"/>
      </c:scatterChart>
      <c:valAx>
        <c:axId val="15899460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44799"/>
        <c:crosses val="autoZero"/>
        <c:crossBetween val="midCat"/>
      </c:valAx>
      <c:valAx>
        <c:axId val="158994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94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Nyquist Plot</a:t>
            </a:r>
            <a:r>
              <a:rPr lang="en-US" b="1" baseline="0"/>
              <a:t> Problem 4 </a:t>
            </a:r>
            <a:r>
              <a:rPr lang="en-US" sz="1400" b="1" i="0" u="none" strike="noStrike" cap="none" baseline="0">
                <a:effectLst/>
              </a:rPr>
              <a:t>- Transfer Function #3</a:t>
            </a:r>
            <a:r>
              <a:rPr lang="en-US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'P4'!$K$70</c:f>
              <c:strCache>
                <c:ptCount val="1"/>
                <c:pt idx="0">
                  <c:v>Im [G]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'P4'!$J$71:$J$80</c:f>
              <c:numCache>
                <c:formatCode>General</c:formatCode>
                <c:ptCount val="10"/>
                <c:pt idx="0">
                  <c:v>-101.86595582635201</c:v>
                </c:pt>
                <c:pt idx="1">
                  <c:v>-26.525198938991998</c:v>
                </c:pt>
                <c:pt idx="2">
                  <c:v>-4.4000000000000004</c:v>
                </c:pt>
                <c:pt idx="3">
                  <c:v>-1.46658331049603</c:v>
                </c:pt>
                <c:pt idx="4">
                  <c:v>-0.8</c:v>
                </c:pt>
                <c:pt idx="5">
                  <c:v>-8.5294117647058798E-2</c:v>
                </c:pt>
                <c:pt idx="6">
                  <c:v>-2.6808834729626801E-3</c:v>
                </c:pt>
                <c:pt idx="7">
                  <c:v>-4.1997156539958099E-4</c:v>
                </c:pt>
                <c:pt idx="8">
                  <c:v>-1.7308214611984899E-4</c:v>
                </c:pt>
                <c:pt idx="9">
                  <c:v>-1.09073038827042E-5</c:v>
                </c:pt>
              </c:numCache>
            </c:numRef>
          </c:xVal>
          <c:yVal>
            <c:numRef>
              <c:f>'P4'!$K$71:$K$80</c:f>
              <c:numCache>
                <c:formatCode>General</c:formatCode>
                <c:ptCount val="10"/>
                <c:pt idx="0">
                  <c:v>0.57121096725057297</c:v>
                </c:pt>
                <c:pt idx="1">
                  <c:v>0.99469496021220205</c:v>
                </c:pt>
                <c:pt idx="2">
                  <c:v>1.2</c:v>
                </c:pt>
                <c:pt idx="3">
                  <c:v>0.82214305289120304</c:v>
                </c:pt>
                <c:pt idx="4">
                  <c:v>0.6</c:v>
                </c:pt>
                <c:pt idx="5">
                  <c:v>0.14117647058823499</c:v>
                </c:pt>
                <c:pt idx="6">
                  <c:v>1.1424219345011401E-2</c:v>
                </c:pt>
                <c:pt idx="7">
                  <c:v>2.8733912002394499E-3</c:v>
                </c:pt>
                <c:pt idx="8">
                  <c:v>1.481444902595E-3</c:v>
                </c:pt>
                <c:pt idx="9">
                  <c:v>1.86915596704678E-4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BD-4CF1-85B2-45B158AA685F}"/>
            </c:ext>
          </c:extLst>
        </c:ser>
        <c:ser>
          <c:idx val="1"/>
          <c:order val="1"/>
          <c:tx>
            <c:strRef>
              <c:f>'P4'!$L$70</c:f>
              <c:strCache>
                <c:ptCount val="1"/>
                <c:pt idx="0">
                  <c:v>Im2 [G]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'P4'!$J$71:$J$80</c:f>
              <c:numCache>
                <c:formatCode>General</c:formatCode>
                <c:ptCount val="10"/>
                <c:pt idx="0">
                  <c:v>-101.86595582635201</c:v>
                </c:pt>
                <c:pt idx="1">
                  <c:v>-26.525198938991998</c:v>
                </c:pt>
                <c:pt idx="2">
                  <c:v>-4.4000000000000004</c:v>
                </c:pt>
                <c:pt idx="3">
                  <c:v>-1.46658331049603</c:v>
                </c:pt>
                <c:pt idx="4">
                  <c:v>-0.8</c:v>
                </c:pt>
                <c:pt idx="5">
                  <c:v>-8.5294117647058798E-2</c:v>
                </c:pt>
                <c:pt idx="6">
                  <c:v>-2.6808834729626801E-3</c:v>
                </c:pt>
                <c:pt idx="7">
                  <c:v>-4.1997156539958099E-4</c:v>
                </c:pt>
                <c:pt idx="8">
                  <c:v>-1.7308214611984899E-4</c:v>
                </c:pt>
                <c:pt idx="9">
                  <c:v>-1.09073038827042E-5</c:v>
                </c:pt>
              </c:numCache>
            </c:numRef>
          </c:xVal>
          <c:yVal>
            <c:numRef>
              <c:f>'P4'!$L$71:$L$80</c:f>
              <c:numCache>
                <c:formatCode>General</c:formatCode>
                <c:ptCount val="10"/>
                <c:pt idx="0">
                  <c:v>-0.57121096725057297</c:v>
                </c:pt>
                <c:pt idx="1">
                  <c:v>-0.99469496021220205</c:v>
                </c:pt>
                <c:pt idx="2">
                  <c:v>-1.2</c:v>
                </c:pt>
                <c:pt idx="3">
                  <c:v>-0.82214305289120304</c:v>
                </c:pt>
                <c:pt idx="4">
                  <c:v>-0.6</c:v>
                </c:pt>
                <c:pt idx="5">
                  <c:v>-0.14117647058823499</c:v>
                </c:pt>
                <c:pt idx="6">
                  <c:v>-1.1424219345011401E-2</c:v>
                </c:pt>
                <c:pt idx="7">
                  <c:v>-2.8733912002394499E-3</c:v>
                </c:pt>
                <c:pt idx="8">
                  <c:v>-1.481444902595E-3</c:v>
                </c:pt>
                <c:pt idx="9">
                  <c:v>-1.86915596704678E-4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BD-4CF1-85B2-45B158AA6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029999"/>
        <c:axId val="1960030415"/>
      </c:scatterChart>
      <c:valAx>
        <c:axId val="196002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30415"/>
        <c:crosses val="autoZero"/>
        <c:crossBetween val="midCat"/>
      </c:valAx>
      <c:valAx>
        <c:axId val="196003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Imaginary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2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230505</xdr:colOff>
      <xdr:row>5</xdr:row>
      <xdr:rowOff>80962</xdr:rowOff>
    </xdr:from>
    <xdr:to>
      <xdr:col>13</xdr:col>
      <xdr:colOff>276225</xdr:colOff>
      <xdr:row>19</xdr:row>
      <xdr:rowOff>149542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84D71458-4DC2-A4AD-02A8-40E113FB7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19</xdr:row>
      <xdr:rowOff>61912</xdr:rowOff>
    </xdr:from>
    <xdr:to>
      <xdr:col>8</xdr:col>
      <xdr:colOff>628650</xdr:colOff>
      <xdr:row>33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C1B24E-94EA-4A10-B6C9-F996A4EAD5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21</xdr:row>
      <xdr:rowOff>42862</xdr:rowOff>
    </xdr:from>
    <xdr:to>
      <xdr:col>6</xdr:col>
      <xdr:colOff>2562225</xdr:colOff>
      <xdr:row>35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636309-2A98-445D-9368-70B74D9C8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2838450</xdr:colOff>
      <xdr:row>21</xdr:row>
      <xdr:rowOff>33337</xdr:rowOff>
    </xdr:from>
    <xdr:to>
      <xdr:col>13</xdr:col>
      <xdr:colOff>352425</xdr:colOff>
      <xdr:row>35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16596F-D966-09A1-A521-F6379028B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304800</xdr:colOff>
      <xdr:row>51</xdr:row>
      <xdr:rowOff>180975</xdr:rowOff>
    </xdr:from>
    <xdr:to>
      <xdr:col>6</xdr:col>
      <xdr:colOff>2371725</xdr:colOff>
      <xdr:row>66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17358A-9A3C-4510-81BA-582CC99DC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2647950</xdr:colOff>
      <xdr:row>51</xdr:row>
      <xdr:rowOff>171450</xdr:rowOff>
    </xdr:from>
    <xdr:to>
      <xdr:col>13</xdr:col>
      <xdr:colOff>161925</xdr:colOff>
      <xdr:row>66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62421B-A209-4D10-B36A-9DDE96F09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266700</xdr:colOff>
      <xdr:row>81</xdr:row>
      <xdr:rowOff>133350</xdr:rowOff>
    </xdr:from>
    <xdr:to>
      <xdr:col>6</xdr:col>
      <xdr:colOff>2333625</xdr:colOff>
      <xdr:row>96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54D3AF-87FE-4A25-87C6-1A3A63D1B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2609850</xdr:colOff>
      <xdr:row>81</xdr:row>
      <xdr:rowOff>123825</xdr:rowOff>
    </xdr:from>
    <xdr:to>
      <xdr:col>13</xdr:col>
      <xdr:colOff>123825</xdr:colOff>
      <xdr:row>96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8CB046-FD71-4016-A9D8-EB7BB8C75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5E4F-B08D-4839-BF7C-560D7A68BCD1}">
  <dimension ref="A2:J33"/>
  <sheetViews>
    <sheetView workbookViewId="0">
      <selection activeCell="P16" sqref="P16"/>
    </sheetView>
  </sheetViews>
  <sheetFormatPr defaultRowHeight="15" x14ac:dyDescent="0.25"/>
  <cols>
    <col min="2" max="2" width="9.140625" customWidth="1"/>
    <col min="3" max="3" width="19.85546875" bestFit="1" customWidth="1"/>
    <col min="4" max="4" width="7.5703125" bestFit="1" customWidth="1"/>
    <col min="5" max="5" width="22" bestFit="1" customWidth="1"/>
    <col min="6" max="6" width="43.85546875" bestFit="1" customWidth="1"/>
    <col min="7" max="7" width="13.5703125" bestFit="1" customWidth="1"/>
  </cols>
  <sheetData>
    <row r="2" spans="1:7" x14ac:dyDescent="0.25">
      <c r="B2" s="2" t="s">
        <v>4</v>
      </c>
      <c r="C2" s="2" t="s">
        <v>7</v>
      </c>
      <c r="D2" s="2" t="s">
        <v>6</v>
      </c>
    </row>
    <row r="3" spans="1:7" x14ac:dyDescent="0.25">
      <c r="B3" s="1" t="s">
        <v>5</v>
      </c>
      <c r="C3">
        <v>10</v>
      </c>
      <c r="D3" t="s">
        <v>3</v>
      </c>
    </row>
    <row r="4" spans="1:7" x14ac:dyDescent="0.25">
      <c r="B4" s="1" t="s">
        <v>0</v>
      </c>
      <c r="C4" t="s">
        <v>2</v>
      </c>
      <c r="D4" t="s">
        <v>2</v>
      </c>
    </row>
    <row r="5" spans="1:7" x14ac:dyDescent="0.25">
      <c r="B5" t="s">
        <v>1</v>
      </c>
      <c r="C5">
        <v>0.11</v>
      </c>
      <c r="D5" t="s">
        <v>2</v>
      </c>
    </row>
    <row r="6" spans="1:7" x14ac:dyDescent="0.25">
      <c r="G6" s="5"/>
    </row>
    <row r="7" spans="1:7" x14ac:dyDescent="0.25">
      <c r="A7" t="s">
        <v>21</v>
      </c>
    </row>
    <row r="8" spans="1:7" x14ac:dyDescent="0.25">
      <c r="E8" s="3" t="s">
        <v>8</v>
      </c>
      <c r="F8" t="s">
        <v>9</v>
      </c>
    </row>
    <row r="9" spans="1:7" x14ac:dyDescent="0.25">
      <c r="E9" s="1">
        <v>0.01</v>
      </c>
      <c r="F9">
        <v>-23</v>
      </c>
    </row>
    <row r="10" spans="1:7" x14ac:dyDescent="0.25">
      <c r="E10">
        <v>0.1</v>
      </c>
      <c r="F10">
        <v>-27.6</v>
      </c>
    </row>
    <row r="11" spans="1:7" x14ac:dyDescent="0.25">
      <c r="C11" t="s">
        <v>10</v>
      </c>
      <c r="E11">
        <v>0.192</v>
      </c>
      <c r="F11">
        <v>-36.9</v>
      </c>
    </row>
    <row r="12" spans="1:7" x14ac:dyDescent="0.25">
      <c r="E12">
        <v>0.3</v>
      </c>
      <c r="F12">
        <v>-45.7</v>
      </c>
    </row>
    <row r="13" spans="1:7" x14ac:dyDescent="0.25">
      <c r="E13">
        <v>0.5</v>
      </c>
      <c r="F13">
        <v>-58</v>
      </c>
    </row>
    <row r="14" spans="1:7" x14ac:dyDescent="0.25">
      <c r="E14">
        <v>1</v>
      </c>
      <c r="F14">
        <v>-78.5</v>
      </c>
    </row>
    <row r="15" spans="1:7" x14ac:dyDescent="0.25">
      <c r="E15">
        <v>2</v>
      </c>
      <c r="F15">
        <v>-101</v>
      </c>
    </row>
    <row r="16" spans="1:7" x14ac:dyDescent="0.25">
      <c r="E16">
        <v>5</v>
      </c>
      <c r="F16">
        <v>-133</v>
      </c>
    </row>
    <row r="17" spans="1:10" x14ac:dyDescent="0.25">
      <c r="E17">
        <v>10</v>
      </c>
      <c r="F17">
        <v>-157</v>
      </c>
    </row>
    <row r="18" spans="1:10" x14ac:dyDescent="0.25">
      <c r="E18">
        <v>100</v>
      </c>
      <c r="F18">
        <v>-237</v>
      </c>
    </row>
    <row r="22" spans="1:10" x14ac:dyDescent="0.25">
      <c r="A22" t="s">
        <v>20</v>
      </c>
    </row>
    <row r="23" spans="1:10" x14ac:dyDescent="0.25">
      <c r="C23" t="s">
        <v>13</v>
      </c>
      <c r="D23" s="5" t="s">
        <v>14</v>
      </c>
      <c r="E23" s="5" t="s">
        <v>12</v>
      </c>
      <c r="F23" s="5" t="s">
        <v>22</v>
      </c>
      <c r="G23" s="5" t="s">
        <v>16</v>
      </c>
      <c r="H23" s="5" t="s">
        <v>17</v>
      </c>
      <c r="I23" s="5" t="s">
        <v>18</v>
      </c>
      <c r="J23" s="5" t="s">
        <v>19</v>
      </c>
    </row>
    <row r="24" spans="1:10" x14ac:dyDescent="0.25">
      <c r="C24">
        <v>0.01</v>
      </c>
      <c r="D24" s="1">
        <f>C24^4</f>
        <v>1E-8</v>
      </c>
      <c r="E24" s="4" t="str">
        <f>COMPLEX(0,(-1.067*C24^3)+0.0393*C24)</f>
        <v>0.000391933i</v>
      </c>
      <c r="F24" t="str">
        <f>IMDIV(0.000147, IMSUM(D24,(IMSUM(E24,-0.3567*C24+0.00148))))</f>
        <v>-0.0680368353962144-0.0127771963484945i</v>
      </c>
      <c r="G24">
        <f>20*LOG10(IMABS(F24))</f>
        <v>-23.19458928331423</v>
      </c>
      <c r="H24">
        <f>IMARGUMENT(F24)*180/PI()</f>
        <v>-169.3638393629607</v>
      </c>
      <c r="I24">
        <f>IMREAL(F24)</f>
        <v>-6.8036835396214398E-2</v>
      </c>
      <c r="J24">
        <f>IMAGINARY(F24)</f>
        <v>-1.27771963484945E-2</v>
      </c>
    </row>
    <row r="25" spans="1:10" x14ac:dyDescent="0.25">
      <c r="C25">
        <v>0.1</v>
      </c>
      <c r="D25" s="1">
        <f>C25^4</f>
        <v>1.0000000000000005E-4</v>
      </c>
      <c r="E25" s="4" t="str">
        <f>COMPLEX(0,(-1.067*C25^3)+0.0393*C25)</f>
        <v>0.002863i</v>
      </c>
      <c r="F25" t="str">
        <f>IMDIV(0.000147, IMSUM(D25,(IMSUM(E25,-0.3567*C25+0.00148))))</f>
        <v>-0.00428191362307964-0.00035961040489519i</v>
      </c>
      <c r="G25">
        <f t="shared" ref="G25:G33" si="0">20*LOG10(IMABS(F25))</f>
        <v>-47.336717642411742</v>
      </c>
      <c r="H25">
        <f t="shared" ref="H25:H33" si="1">IMARGUMENT(F25)*180/PI()</f>
        <v>-175.1993612605747</v>
      </c>
      <c r="I25">
        <f t="shared" ref="I25:I33" si="2">IMREAL(F25)</f>
        <v>-4.28191362307964E-3</v>
      </c>
      <c r="J25">
        <f t="shared" ref="J25:J33" si="3">IMAGINARY(F25)</f>
        <v>-3.5961040489518997E-4</v>
      </c>
    </row>
    <row r="26" spans="1:10" x14ac:dyDescent="0.25">
      <c r="C26" s="1">
        <v>0.192</v>
      </c>
      <c r="D26" s="1">
        <f>C26^4</f>
        <v>1.3589544960000001E-3</v>
      </c>
      <c r="E26" s="4" t="str">
        <f>COMPLEX(0,(-1.067*C26^3)+0.0393*C26)</f>
        <v>-6.50649599999963E-06i</v>
      </c>
      <c r="F26" t="str">
        <f>IMDIV(0.000147, IMSUM(D26,(IMSUM(E26,-0.3567*C26+0.00148))))</f>
        <v>-0.00223923410008412+2.21936552190326E-07i</v>
      </c>
      <c r="G26">
        <f t="shared" si="0"/>
        <v>-52.998009974456501</v>
      </c>
      <c r="H26">
        <f t="shared" si="1"/>
        <v>179.99432126023888</v>
      </c>
      <c r="I26">
        <f t="shared" si="2"/>
        <v>-2.2392341000841199E-3</v>
      </c>
      <c r="J26">
        <f t="shared" si="3"/>
        <v>2.21936552190326E-7</v>
      </c>
    </row>
    <row r="27" spans="1:10" x14ac:dyDescent="0.25">
      <c r="C27">
        <v>0.3</v>
      </c>
      <c r="D27" s="1">
        <f>C27^4</f>
        <v>8.0999999999999996E-3</v>
      </c>
      <c r="E27" s="4" t="str">
        <f>COMPLEX(0,(-1.067*C27^3)+0.0393*C27)</f>
        <v>-0.017019i</v>
      </c>
      <c r="F27" t="str">
        <f>IMDIV(0.000147, IMSUM(D27,(IMSUM(E27,-0.3567*C27+0.00148))))</f>
        <v>-0.00146410162833375+0.000255748184466921i</v>
      </c>
      <c r="G27">
        <f t="shared" si="0"/>
        <v>-56.558041441580393</v>
      </c>
      <c r="H27">
        <f t="shared" si="1"/>
        <v>170.09158661087412</v>
      </c>
      <c r="I27">
        <f t="shared" si="2"/>
        <v>-1.46410162833375E-3</v>
      </c>
      <c r="J27">
        <f t="shared" si="3"/>
        <v>2.5574818446692099E-4</v>
      </c>
    </row>
    <row r="28" spans="1:10" x14ac:dyDescent="0.25">
      <c r="C28">
        <v>0.5</v>
      </c>
      <c r="D28" s="1">
        <f>C28^4</f>
        <v>6.25E-2</v>
      </c>
      <c r="E28" s="4" t="str">
        <f>COMPLEX(0,(-1.067*C28^3)+0.0393*C28)</f>
        <v>-0.113725i</v>
      </c>
      <c r="F28" t="str">
        <f>IMDIV(0.000147, IMSUM(D28,(IMSUM(E28,-0.3567*C28+0.00148))))</f>
        <v>-0.000646285553365531+0.000642640767303445i</v>
      </c>
      <c r="G28">
        <f t="shared" si="0"/>
        <v>-60.805703382570556</v>
      </c>
      <c r="H28">
        <f t="shared" si="1"/>
        <v>135.16201880481165</v>
      </c>
      <c r="I28">
        <f t="shared" si="2"/>
        <v>-6.4628555336553105E-4</v>
      </c>
      <c r="J28">
        <f t="shared" si="3"/>
        <v>6.4264076730344505E-4</v>
      </c>
    </row>
    <row r="29" spans="1:10" x14ac:dyDescent="0.25">
      <c r="C29">
        <v>1</v>
      </c>
      <c r="D29" s="1">
        <f>C29^4</f>
        <v>1</v>
      </c>
      <c r="E29" s="4" t="str">
        <f>COMPLEX(0,(-1.067*C29^3)+0.0393*C29)</f>
        <v>-1.0277i</v>
      </c>
      <c r="F29" t="str">
        <f>IMDIV(0.000147, IMSUM(D29,(IMSUM(E29,-0.3567*C29+0.00148))))</f>
        <v>0.0000643943951184841+0.000102636744103828i</v>
      </c>
      <c r="G29">
        <f t="shared" si="0"/>
        <v>-78.332461551095676</v>
      </c>
      <c r="H29">
        <f t="shared" si="1"/>
        <v>57.895799128541668</v>
      </c>
      <c r="I29">
        <f t="shared" si="2"/>
        <v>6.4394395118484094E-5</v>
      </c>
      <c r="J29">
        <f t="shared" si="3"/>
        <v>1.02636744103828E-4</v>
      </c>
    </row>
    <row r="30" spans="1:10" x14ac:dyDescent="0.25">
      <c r="C30">
        <v>2</v>
      </c>
      <c r="D30" s="1">
        <f>C30^4</f>
        <v>16</v>
      </c>
      <c r="E30" s="4" t="str">
        <f>COMPLEX(0,(-1.067*C30^3)+0.0393*C30)</f>
        <v>-8.4574i</v>
      </c>
      <c r="F30" t="str">
        <f>IMDIV(0.000147, IMSUM(D30,(IMSUM(E30,-0.3567*C30+0.00148))))</f>
        <v>7.36224615096202E-06+4.07281101336114E-06i</v>
      </c>
      <c r="G30">
        <f t="shared" si="0"/>
        <v>-101.5002527824518</v>
      </c>
      <c r="H30">
        <f t="shared" si="1"/>
        <v>28.951466550454274</v>
      </c>
      <c r="I30">
        <f t="shared" si="2"/>
        <v>7.3622461509620197E-6</v>
      </c>
      <c r="J30">
        <f t="shared" si="3"/>
        <v>4.0728110133611404E-6</v>
      </c>
    </row>
    <row r="31" spans="1:10" x14ac:dyDescent="0.25">
      <c r="C31">
        <v>5</v>
      </c>
      <c r="D31" s="1">
        <f>C31^4</f>
        <v>625</v>
      </c>
      <c r="E31" s="4" t="str">
        <f>COMPLEX(0,(-1.067*C31^3)+0.0393*C31)</f>
        <v>-133.1785i</v>
      </c>
      <c r="F31" t="str">
        <f>IMDIV(0.000147, IMSUM(D31,(IMSUM(E31,-0.3567*C31+0.00148))))</f>
        <v>2.2557168194134E-07+4.82035165985178E-08i</v>
      </c>
      <c r="G31">
        <f t="shared" si="0"/>
        <v>-132.74038061796378</v>
      </c>
      <c r="H31">
        <f t="shared" si="1"/>
        <v>12.062387801876786</v>
      </c>
      <c r="I31">
        <f t="shared" si="2"/>
        <v>2.2557168194133999E-7</v>
      </c>
      <c r="J31">
        <f t="shared" si="3"/>
        <v>4.8203516598517799E-8</v>
      </c>
    </row>
    <row r="32" spans="1:10" x14ac:dyDescent="0.25">
      <c r="C32">
        <v>8</v>
      </c>
      <c r="D32" s="1">
        <f>C32^4</f>
        <v>4096</v>
      </c>
      <c r="E32" s="4" t="str">
        <f>COMPLEX(0,(-1.067*C32^3)+0.0393*C32)</f>
        <v>-545.9896i</v>
      </c>
      <c r="F32" t="str">
        <f>IMDIV(0.000147, IMSUM(D32,(IMSUM(E32,-0.3567*C32+0.00148))))</f>
        <v>3.528583164495E-08+4.70681677533077E-09i</v>
      </c>
      <c r="G32">
        <f t="shared" si="0"/>
        <v>-148.97139742970194</v>
      </c>
      <c r="H32">
        <f t="shared" si="1"/>
        <v>7.5978967177292063</v>
      </c>
      <c r="I32">
        <f t="shared" si="2"/>
        <v>3.5285831644950002E-8</v>
      </c>
      <c r="J32">
        <f t="shared" si="3"/>
        <v>4.70681677533077E-9</v>
      </c>
    </row>
    <row r="33" spans="3:10" x14ac:dyDescent="0.25">
      <c r="C33">
        <v>10</v>
      </c>
      <c r="D33" s="1">
        <f>C33^4</f>
        <v>10000</v>
      </c>
      <c r="E33" s="4" t="str">
        <f>COMPLEX(0,(-1.067*C33^3)+0.0393*C33)</f>
        <v>-1066.607i</v>
      </c>
      <c r="F33" t="str">
        <f>IMDIV(0.000147, IMSUM(D33,(IMSUM(E33,-0.3567*C33+0.00148))))</f>
        <v>1.45397140370712E-08+1.55136922079225E-09i</v>
      </c>
      <c r="G33">
        <f t="shared" si="0"/>
        <v>-156.69971924045757</v>
      </c>
      <c r="H33">
        <f t="shared" si="1"/>
        <v>6.090345348138146</v>
      </c>
      <c r="I33">
        <f t="shared" si="2"/>
        <v>1.4539714037071201E-8</v>
      </c>
      <c r="J33">
        <f t="shared" si="3"/>
        <v>1.55136922079225E-9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35B3-8BB0-4B76-A1E9-186B8CE1CFEA}">
  <dimension ref="B2:K19"/>
  <sheetViews>
    <sheetView topLeftCell="E7" workbookViewId="0">
      <selection activeCell="E9" sqref="E9"/>
    </sheetView>
  </sheetViews>
  <sheetFormatPr defaultRowHeight="15" x14ac:dyDescent="0.25"/>
  <cols>
    <col min="4" max="4" width="22" bestFit="1" customWidth="1"/>
    <col min="5" max="5" width="12.28515625" customWidth="1"/>
    <col min="6" max="6" width="14.85546875" bestFit="1" customWidth="1"/>
    <col min="7" max="7" width="44.5703125" bestFit="1" customWidth="1"/>
    <col min="8" max="8" width="12.7109375" bestFit="1" customWidth="1"/>
    <col min="9" max="9" width="12" bestFit="1" customWidth="1"/>
  </cols>
  <sheetData>
    <row r="2" spans="2:11" x14ac:dyDescent="0.25">
      <c r="B2" s="2" t="s">
        <v>4</v>
      </c>
      <c r="C2" s="2" t="s">
        <v>7</v>
      </c>
      <c r="D2" s="2"/>
    </row>
    <row r="3" spans="2:11" x14ac:dyDescent="0.25">
      <c r="B3" s="1" t="s">
        <v>1</v>
      </c>
      <c r="C3">
        <v>10</v>
      </c>
    </row>
    <row r="4" spans="2:11" x14ac:dyDescent="0.25">
      <c r="B4" s="1" t="s">
        <v>0</v>
      </c>
      <c r="C4">
        <v>0.33</v>
      </c>
    </row>
    <row r="5" spans="2:11" x14ac:dyDescent="0.25">
      <c r="B5" t="s">
        <v>11</v>
      </c>
      <c r="C5">
        <v>5</v>
      </c>
    </row>
    <row r="8" spans="2:11" x14ac:dyDescent="0.25">
      <c r="D8" t="s">
        <v>13</v>
      </c>
      <c r="E8" s="5" t="s">
        <v>14</v>
      </c>
      <c r="F8" s="5" t="s">
        <v>12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 spans="2:11" x14ac:dyDescent="0.25">
      <c r="D9">
        <v>0.1</v>
      </c>
      <c r="E9" s="1">
        <f>D9^2</f>
        <v>1.0000000000000002E-2</v>
      </c>
      <c r="F9" s="4" t="str">
        <f>COMPLEX(0,$C$5*D9)</f>
        <v>0.5i</v>
      </c>
      <c r="G9" t="str">
        <f>IMDIV($C$3, IMSUM(-E9,(IMSUM(F9,$C$3))))</f>
        <v>0.998499751624436-0.0499749625437656i</v>
      </c>
      <c r="H9">
        <f>20*LOG10(IMABS(G9))</f>
        <v>-2.1752704945655846E-3</v>
      </c>
      <c r="I9">
        <f>IMARGUMENT(G9)*180/PI()</f>
        <v>-2.8652657243376844</v>
      </c>
      <c r="J9">
        <f>IMREAL(G9)</f>
        <v>0.99849975162443605</v>
      </c>
      <c r="K9">
        <f>IMAGINARY(G9)</f>
        <v>-4.99749625437656E-2</v>
      </c>
    </row>
    <row r="10" spans="2:11" x14ac:dyDescent="0.25">
      <c r="D10">
        <v>0.2</v>
      </c>
      <c r="E10" s="1">
        <f t="shared" ref="E10:E19" si="0">D10^2</f>
        <v>4.0000000000000008E-2</v>
      </c>
      <c r="F10" s="4" t="str">
        <f t="shared" ref="F10:F19" si="1">COMPLEX(0,$C$5*D10)</f>
        <v>i</v>
      </c>
      <c r="G10" t="str">
        <f t="shared" ref="G10:G19" si="2">IMDIV($C$3, IMSUM(-E10,(IMSUM(F10,$C$3))))</f>
        <v>0.993996103854629-0.0997988056078945i</v>
      </c>
      <c r="H10">
        <f t="shared" ref="H10:H19" si="3">20*LOG10(IMABS(G10))</f>
        <v>-8.7465631788584252E-3</v>
      </c>
      <c r="I10">
        <f t="shared" ref="I10:I19" si="4">IMARGUMENT(G10)*180/PI()</f>
        <v>-5.7333747583718706</v>
      </c>
      <c r="J10">
        <f t="shared" ref="J10:J19" si="5">IMREAL(G10)</f>
        <v>0.993996103854629</v>
      </c>
      <c r="K10">
        <f t="shared" ref="K10:K19" si="6">IMAGINARY(G10)</f>
        <v>-9.9798805607894503E-2</v>
      </c>
    </row>
    <row r="11" spans="2:11" x14ac:dyDescent="0.25">
      <c r="D11" s="1">
        <v>0.5</v>
      </c>
      <c r="E11" s="1">
        <f t="shared" si="0"/>
        <v>0.25</v>
      </c>
      <c r="F11" s="4" t="str">
        <f t="shared" si="1"/>
        <v>2.5i</v>
      </c>
      <c r="G11" t="str">
        <f t="shared" si="2"/>
        <v>0.962368908081431-0.246761258482418i</v>
      </c>
      <c r="H11">
        <f t="shared" si="3"/>
        <v>-5.6630321925904691E-2</v>
      </c>
      <c r="I11">
        <f t="shared" si="4"/>
        <v>-14.381394591090592</v>
      </c>
      <c r="J11">
        <f t="shared" si="5"/>
        <v>0.96236890808143105</v>
      </c>
      <c r="K11">
        <f t="shared" si="6"/>
        <v>-0.24676125848241801</v>
      </c>
    </row>
    <row r="12" spans="2:11" x14ac:dyDescent="0.25">
      <c r="D12">
        <v>0.8</v>
      </c>
      <c r="E12" s="1">
        <f t="shared" si="0"/>
        <v>0.64000000000000012</v>
      </c>
      <c r="F12" s="4" t="str">
        <f t="shared" si="1"/>
        <v>4i</v>
      </c>
      <c r="G12" t="str">
        <f t="shared" si="2"/>
        <v>0.903391191549818-0.386064611773426i</v>
      </c>
      <c r="H12">
        <f t="shared" si="3"/>
        <v>-0.15399997048880129</v>
      </c>
      <c r="I12">
        <f t="shared" si="4"/>
        <v>-23.139461763211674</v>
      </c>
      <c r="J12">
        <f t="shared" si="5"/>
        <v>0.90339119154981795</v>
      </c>
      <c r="K12">
        <f t="shared" si="6"/>
        <v>-0.38606461177342599</v>
      </c>
    </row>
    <row r="13" spans="2:11" x14ac:dyDescent="0.25">
      <c r="D13">
        <v>1</v>
      </c>
      <c r="E13" s="1">
        <f t="shared" si="0"/>
        <v>1</v>
      </c>
      <c r="F13" s="4" t="str">
        <f t="shared" si="1"/>
        <v>5i</v>
      </c>
      <c r="G13" t="str">
        <f t="shared" si="2"/>
        <v>0.849056603773585-0.471698113207547i</v>
      </c>
      <c r="H13">
        <f t="shared" si="3"/>
        <v>-0.25305865264770205</v>
      </c>
      <c r="I13">
        <f t="shared" si="4"/>
        <v>-29.054604099077132</v>
      </c>
      <c r="J13">
        <f t="shared" si="5"/>
        <v>0.84905660377358505</v>
      </c>
      <c r="K13">
        <f t="shared" si="6"/>
        <v>-0.47169811320754701</v>
      </c>
    </row>
    <row r="14" spans="2:11" x14ac:dyDescent="0.25">
      <c r="D14">
        <v>2</v>
      </c>
      <c r="E14" s="1">
        <f t="shared" si="0"/>
        <v>4</v>
      </c>
      <c r="F14" s="4" t="str">
        <f t="shared" si="1"/>
        <v>10i</v>
      </c>
      <c r="G14" t="str">
        <f t="shared" si="2"/>
        <v>0.441176470588235-0.735294117647059i</v>
      </c>
      <c r="H14">
        <f t="shared" si="3"/>
        <v>-1.3353890837021762</v>
      </c>
      <c r="I14">
        <f t="shared" si="4"/>
        <v>-59.036243467926496</v>
      </c>
      <c r="J14">
        <f t="shared" si="5"/>
        <v>0.441176470588235</v>
      </c>
      <c r="K14">
        <f t="shared" si="6"/>
        <v>-0.73529411764705899</v>
      </c>
    </row>
    <row r="15" spans="2:11" x14ac:dyDescent="0.25">
      <c r="D15">
        <v>5</v>
      </c>
      <c r="E15" s="1">
        <f t="shared" si="0"/>
        <v>25</v>
      </c>
      <c r="F15" s="4" t="str">
        <f t="shared" si="1"/>
        <v>25i</v>
      </c>
      <c r="G15" t="str">
        <f t="shared" si="2"/>
        <v>-0.176470588235294-0.294117647058824i</v>
      </c>
      <c r="H15">
        <f t="shared" si="3"/>
        <v>-9.2941892571429197</v>
      </c>
      <c r="I15">
        <f t="shared" si="4"/>
        <v>-120.96375653207348</v>
      </c>
      <c r="J15">
        <f t="shared" si="5"/>
        <v>-0.17647058823529399</v>
      </c>
      <c r="K15">
        <f t="shared" si="6"/>
        <v>-0.29411764705882398</v>
      </c>
    </row>
    <row r="16" spans="2:11" x14ac:dyDescent="0.25">
      <c r="D16">
        <v>8</v>
      </c>
      <c r="E16" s="1">
        <f t="shared" si="0"/>
        <v>64</v>
      </c>
      <c r="F16" s="4" t="str">
        <f t="shared" si="1"/>
        <v>40i</v>
      </c>
      <c r="G16" t="str">
        <f t="shared" si="2"/>
        <v>-0.119574844995571-0.0885739592559787i</v>
      </c>
      <c r="H16">
        <f t="shared" si="3"/>
        <v>-16.547539332529318</v>
      </c>
      <c r="I16">
        <f t="shared" si="4"/>
        <v>-143.47114463301477</v>
      </c>
      <c r="J16">
        <f t="shared" si="5"/>
        <v>-0.119574844995571</v>
      </c>
      <c r="K16">
        <f t="shared" si="6"/>
        <v>-8.8573959255978704E-2</v>
      </c>
    </row>
    <row r="17" spans="4:11" x14ac:dyDescent="0.25">
      <c r="D17">
        <v>10</v>
      </c>
      <c r="E17" s="1">
        <f t="shared" si="0"/>
        <v>100</v>
      </c>
      <c r="F17" s="4" t="str">
        <f t="shared" si="1"/>
        <v>50i</v>
      </c>
      <c r="G17" t="str">
        <f t="shared" si="2"/>
        <v>-0.0849056603773585-0.0471698113207547i</v>
      </c>
      <c r="H17">
        <f t="shared" si="3"/>
        <v>-20.253058652647702</v>
      </c>
      <c r="I17">
        <f t="shared" si="4"/>
        <v>-150.94539590092288</v>
      </c>
      <c r="J17">
        <f t="shared" si="5"/>
        <v>-8.4905660377358499E-2</v>
      </c>
      <c r="K17">
        <f t="shared" si="6"/>
        <v>-4.71698113207547E-2</v>
      </c>
    </row>
    <row r="18" spans="4:11" x14ac:dyDescent="0.25">
      <c r="D18">
        <v>20</v>
      </c>
      <c r="E18" s="1">
        <f t="shared" si="0"/>
        <v>400</v>
      </c>
      <c r="F18" s="4" t="str">
        <f t="shared" si="1"/>
        <v>100i</v>
      </c>
      <c r="G18" t="str">
        <f t="shared" si="2"/>
        <v>-0.0240592227020358-0.00616903146206046i</v>
      </c>
      <c r="H18">
        <f t="shared" si="3"/>
        <v>-32.097830148485144</v>
      </c>
      <c r="I18">
        <f t="shared" si="4"/>
        <v>-165.61860540890939</v>
      </c>
      <c r="J18">
        <f t="shared" si="5"/>
        <v>-2.4059222702035799E-2</v>
      </c>
      <c r="K18">
        <f t="shared" si="6"/>
        <v>-6.1690314620604604E-3</v>
      </c>
    </row>
    <row r="19" spans="4:11" x14ac:dyDescent="0.25">
      <c r="E19" s="1"/>
      <c r="F19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4049-DC8F-455D-A9EB-DA1D1B55845B}">
  <dimension ref="A2:L81"/>
  <sheetViews>
    <sheetView tabSelected="1" topLeftCell="A52" workbookViewId="0">
      <selection activeCell="C4" sqref="C4"/>
    </sheetView>
  </sheetViews>
  <sheetFormatPr defaultRowHeight="15" x14ac:dyDescent="0.25"/>
  <cols>
    <col min="4" max="4" width="22" bestFit="1" customWidth="1"/>
    <col min="5" max="5" width="12.28515625" customWidth="1"/>
    <col min="6" max="6" width="14.85546875" bestFit="1" customWidth="1"/>
    <col min="7" max="7" width="44.5703125" bestFit="1" customWidth="1"/>
    <col min="8" max="8" width="12.7109375" bestFit="1" customWidth="1"/>
    <col min="9" max="9" width="12" bestFit="1" customWidth="1"/>
  </cols>
  <sheetData>
    <row r="2" spans="1:12" x14ac:dyDescent="0.25">
      <c r="B2" s="2" t="s">
        <v>4</v>
      </c>
      <c r="C2" s="2" t="s">
        <v>7</v>
      </c>
      <c r="D2" s="2"/>
    </row>
    <row r="3" spans="1:12" x14ac:dyDescent="0.25">
      <c r="B3" s="1" t="s">
        <v>1</v>
      </c>
      <c r="C3">
        <v>1</v>
      </c>
    </row>
    <row r="4" spans="1:12" x14ac:dyDescent="0.25">
      <c r="B4" s="1" t="s">
        <v>23</v>
      </c>
      <c r="C4">
        <v>3</v>
      </c>
      <c r="E4" s="1" t="s">
        <v>25</v>
      </c>
    </row>
    <row r="5" spans="1:12" x14ac:dyDescent="0.25">
      <c r="B5" s="1" t="s">
        <v>27</v>
      </c>
      <c r="C5">
        <v>5</v>
      </c>
    </row>
    <row r="6" spans="1:12" x14ac:dyDescent="0.25">
      <c r="B6" s="1" t="s">
        <v>24</v>
      </c>
      <c r="C6">
        <v>2</v>
      </c>
    </row>
    <row r="7" spans="1:12" x14ac:dyDescent="0.25">
      <c r="B7" s="1" t="s">
        <v>26</v>
      </c>
      <c r="C7">
        <v>1</v>
      </c>
    </row>
    <row r="8" spans="1:12" x14ac:dyDescent="0.25">
      <c r="B8" s="1"/>
    </row>
    <row r="9" spans="1:12" x14ac:dyDescent="0.25">
      <c r="A9" s="6" t="s">
        <v>29</v>
      </c>
      <c r="B9" s="1"/>
    </row>
    <row r="10" spans="1:12" x14ac:dyDescent="0.25">
      <c r="D10" t="s">
        <v>13</v>
      </c>
      <c r="E10" s="5" t="s">
        <v>14</v>
      </c>
      <c r="F10" s="5" t="s">
        <v>12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31</v>
      </c>
    </row>
    <row r="11" spans="1:12" x14ac:dyDescent="0.25">
      <c r="D11">
        <v>0.1</v>
      </c>
      <c r="E11" s="1">
        <f>-(D11^2)</f>
        <v>-1.0000000000000002E-2</v>
      </c>
      <c r="F11" s="4" t="str">
        <f>COMPLEX(0,-2*$C$6*D11^3)</f>
        <v>-0.004i</v>
      </c>
      <c r="G11" t="str">
        <f t="shared" ref="G11:G20" si="0">IMDIV($C$3*($C$4*D11+1), IMSUM(E11,F11))</f>
        <v>-112.068965517241+44.8275862068965i</v>
      </c>
      <c r="H11">
        <f>20*LOG10(IMABS(G11))</f>
        <v>41.634287153867518</v>
      </c>
      <c r="I11">
        <f>IMARGUMENT(G11)*180/PI()</f>
        <v>158.19859051364813</v>
      </c>
      <c r="J11">
        <f>IMREAL(G11)</f>
        <v>-112.068965517241</v>
      </c>
      <c r="K11">
        <f>IMAGINARY(G11)</f>
        <v>44.827586206896498</v>
      </c>
      <c r="L11">
        <f>-K11</f>
        <v>-44.827586206896498</v>
      </c>
    </row>
    <row r="12" spans="1:12" x14ac:dyDescent="0.25">
      <c r="D12">
        <v>0.2</v>
      </c>
      <c r="E12" s="1">
        <f t="shared" ref="E12:E20" si="1">-(D12^2)</f>
        <v>-4.0000000000000008E-2</v>
      </c>
      <c r="F12" s="4" t="str">
        <f t="shared" ref="F12:F20" si="2">COMPLEX(0,-2*$C$6*D12^3)</f>
        <v>-0.032i</v>
      </c>
      <c r="G12" t="str">
        <f t="shared" si="0"/>
        <v>-24.390243902439+19.5121951219512i</v>
      </c>
      <c r="H12">
        <f t="shared" ref="H12:H20" si="3">20*LOG10(IMABS(G12))</f>
        <v>29.89276134608226</v>
      </c>
      <c r="I12">
        <f t="shared" ref="I12:I20" si="4">IMARGUMENT(G12)*180/PI()</f>
        <v>141.34019174590989</v>
      </c>
      <c r="J12">
        <f t="shared" ref="J12:J20" si="5">IMREAL(G12)</f>
        <v>-24.390243902439</v>
      </c>
      <c r="K12">
        <f t="shared" ref="K12:K20" si="6">IMAGINARY(G12)</f>
        <v>19.512195121951201</v>
      </c>
      <c r="L12">
        <f t="shared" ref="L12:L20" si="7">-K12</f>
        <v>-19.512195121951201</v>
      </c>
    </row>
    <row r="13" spans="1:12" x14ac:dyDescent="0.25">
      <c r="D13" s="1">
        <v>0.5</v>
      </c>
      <c r="E13" s="1">
        <f t="shared" si="1"/>
        <v>-0.25</v>
      </c>
      <c r="F13" s="4" t="str">
        <f t="shared" si="2"/>
        <v>-0.5i</v>
      </c>
      <c r="G13" t="str">
        <f t="shared" si="0"/>
        <v>-2+4i</v>
      </c>
      <c r="H13">
        <f t="shared" si="3"/>
        <v>13.010299956639813</v>
      </c>
      <c r="I13">
        <f t="shared" si="4"/>
        <v>116.56505117707799</v>
      </c>
      <c r="J13">
        <f t="shared" si="5"/>
        <v>-2</v>
      </c>
      <c r="K13">
        <f t="shared" si="6"/>
        <v>4</v>
      </c>
      <c r="L13">
        <f t="shared" si="7"/>
        <v>-4</v>
      </c>
    </row>
    <row r="14" spans="1:12" x14ac:dyDescent="0.25">
      <c r="D14">
        <v>0.8</v>
      </c>
      <c r="E14" s="1">
        <f t="shared" si="1"/>
        <v>-0.64000000000000012</v>
      </c>
      <c r="F14" s="4" t="str">
        <f t="shared" si="2"/>
        <v>-2.048i</v>
      </c>
      <c r="G14" t="str">
        <f t="shared" si="0"/>
        <v>-0.472642348754448+1.51245551601423i</v>
      </c>
      <c r="H14">
        <f t="shared" si="3"/>
        <v>3.9983157488369097</v>
      </c>
      <c r="I14">
        <f t="shared" si="4"/>
        <v>107.35402463626136</v>
      </c>
      <c r="J14">
        <f t="shared" si="5"/>
        <v>-0.47264234875444799</v>
      </c>
      <c r="K14">
        <f t="shared" si="6"/>
        <v>1.5124555160142299</v>
      </c>
      <c r="L14">
        <f t="shared" si="7"/>
        <v>-1.5124555160142299</v>
      </c>
    </row>
    <row r="15" spans="1:12" x14ac:dyDescent="0.25">
      <c r="D15">
        <v>1</v>
      </c>
      <c r="E15" s="1">
        <f t="shared" si="1"/>
        <v>-1</v>
      </c>
      <c r="F15" s="4" t="str">
        <f t="shared" si="2"/>
        <v>-4i</v>
      </c>
      <c r="G15" t="str">
        <f t="shared" si="0"/>
        <v>-0.235294117647059+0.941176470588235i</v>
      </c>
      <c r="H15">
        <f t="shared" si="3"/>
        <v>-0.2632893872234946</v>
      </c>
      <c r="I15">
        <f t="shared" si="4"/>
        <v>104.0362434679265</v>
      </c>
      <c r="J15">
        <f t="shared" si="5"/>
        <v>-0.23529411764705899</v>
      </c>
      <c r="K15">
        <f t="shared" si="6"/>
        <v>0.94117647058823495</v>
      </c>
      <c r="L15">
        <f t="shared" si="7"/>
        <v>-0.94117647058823495</v>
      </c>
    </row>
    <row r="16" spans="1:12" x14ac:dyDescent="0.25">
      <c r="D16">
        <v>2</v>
      </c>
      <c r="E16" s="1">
        <f t="shared" si="1"/>
        <v>-4</v>
      </c>
      <c r="F16" s="4" t="str">
        <f t="shared" si="2"/>
        <v>-32i</v>
      </c>
      <c r="G16" t="str">
        <f t="shared" si="0"/>
        <v>-0.0269230769230769+0.215384615384615i</v>
      </c>
      <c r="H16">
        <f t="shared" si="3"/>
        <v>-13.268372592702683</v>
      </c>
      <c r="I16">
        <f t="shared" si="4"/>
        <v>97.125016348901809</v>
      </c>
      <c r="J16">
        <f t="shared" si="5"/>
        <v>-2.69230769230769E-2</v>
      </c>
      <c r="K16">
        <f t="shared" si="6"/>
        <v>0.21538461538461501</v>
      </c>
      <c r="L16">
        <f t="shared" si="7"/>
        <v>-0.21538461538461501</v>
      </c>
    </row>
    <row r="17" spans="1:12" x14ac:dyDescent="0.25">
      <c r="D17">
        <v>5</v>
      </c>
      <c r="E17" s="1">
        <f t="shared" si="1"/>
        <v>-25</v>
      </c>
      <c r="F17" s="4" t="str">
        <f t="shared" si="2"/>
        <v>-500i</v>
      </c>
      <c r="G17" t="str">
        <f t="shared" si="0"/>
        <v>-0.00159600997506234+0.0319201995012469i</v>
      </c>
      <c r="H17">
        <f t="shared" si="3"/>
        <v>-29.907844246524075</v>
      </c>
      <c r="I17">
        <f t="shared" si="4"/>
        <v>92.862405226111733</v>
      </c>
      <c r="J17">
        <f t="shared" si="5"/>
        <v>-1.5960099750623399E-3</v>
      </c>
      <c r="K17">
        <f t="shared" si="6"/>
        <v>3.1920199501246901E-2</v>
      </c>
      <c r="L17">
        <f t="shared" si="7"/>
        <v>-3.1920199501246901E-2</v>
      </c>
    </row>
    <row r="18" spans="1:12" x14ac:dyDescent="0.25">
      <c r="D18">
        <v>8</v>
      </c>
      <c r="E18" s="1">
        <f t="shared" si="1"/>
        <v>-64</v>
      </c>
      <c r="F18" s="4" t="str">
        <f t="shared" si="2"/>
        <v>-2048i</v>
      </c>
      <c r="G18" t="str">
        <f t="shared" si="0"/>
        <v>-0.00038109756097561+0.0121951219512195i</v>
      </c>
      <c r="H18">
        <f t="shared" si="3"/>
        <v>-38.272037960154734</v>
      </c>
      <c r="I18">
        <f t="shared" si="4"/>
        <v>91.789910608246061</v>
      </c>
      <c r="J18">
        <f t="shared" si="5"/>
        <v>-3.8109756097560999E-4</v>
      </c>
      <c r="K18">
        <f t="shared" si="6"/>
        <v>1.21951219512195E-2</v>
      </c>
      <c r="L18">
        <f t="shared" si="7"/>
        <v>-1.21951219512195E-2</v>
      </c>
    </row>
    <row r="19" spans="1:12" x14ac:dyDescent="0.25">
      <c r="D19">
        <v>10</v>
      </c>
      <c r="E19" s="1">
        <f t="shared" si="1"/>
        <v>-100</v>
      </c>
      <c r="F19" s="4" t="str">
        <f t="shared" si="2"/>
        <v>-4000i</v>
      </c>
      <c r="G19" t="str">
        <f t="shared" si="0"/>
        <v>-0.000193628981886321+0.00774515927545284i</v>
      </c>
      <c r="H19">
        <f t="shared" si="3"/>
        <v>-42.216679442507541</v>
      </c>
      <c r="I19">
        <f t="shared" si="4"/>
        <v>91.432096184164635</v>
      </c>
      <c r="J19">
        <f t="shared" si="5"/>
        <v>-1.93628981886321E-4</v>
      </c>
      <c r="K19">
        <f t="shared" si="6"/>
        <v>7.7451592754528399E-3</v>
      </c>
      <c r="L19">
        <f t="shared" si="7"/>
        <v>-7.7451592754528399E-3</v>
      </c>
    </row>
    <row r="20" spans="1:12" x14ac:dyDescent="0.25">
      <c r="D20">
        <v>20</v>
      </c>
      <c r="E20" s="1">
        <f t="shared" si="1"/>
        <v>-400</v>
      </c>
      <c r="F20" s="4" t="str">
        <f t="shared" si="2"/>
        <v>-32000i</v>
      </c>
      <c r="G20" t="str">
        <f t="shared" si="0"/>
        <v>-0.0000238244024371192+0.00190595219496954i</v>
      </c>
      <c r="H20">
        <f t="shared" si="3"/>
        <v>-54.397081398301793</v>
      </c>
      <c r="I20">
        <f t="shared" si="4"/>
        <v>90.716159945470409</v>
      </c>
      <c r="J20">
        <f t="shared" si="5"/>
        <v>-2.38244024371192E-5</v>
      </c>
      <c r="K20">
        <f t="shared" si="6"/>
        <v>1.9059521949695399E-3</v>
      </c>
      <c r="L20">
        <f t="shared" si="7"/>
        <v>-1.9059521949695399E-3</v>
      </c>
    </row>
    <row r="21" spans="1:12" x14ac:dyDescent="0.25">
      <c r="A21" s="6"/>
    </row>
    <row r="39" spans="1:12" x14ac:dyDescent="0.25">
      <c r="A39" s="6" t="s">
        <v>28</v>
      </c>
    </row>
    <row r="40" spans="1:12" x14ac:dyDescent="0.25">
      <c r="D40" t="s">
        <v>13</v>
      </c>
      <c r="E40" s="5" t="s">
        <v>14</v>
      </c>
      <c r="F40" s="5" t="s">
        <v>12</v>
      </c>
      <c r="G40" s="5" t="s">
        <v>15</v>
      </c>
      <c r="H40" s="5" t="s">
        <v>16</v>
      </c>
      <c r="I40" s="5" t="s">
        <v>17</v>
      </c>
      <c r="J40" s="5" t="s">
        <v>18</v>
      </c>
      <c r="K40" s="5" t="s">
        <v>19</v>
      </c>
      <c r="L40" s="5" t="s">
        <v>31</v>
      </c>
    </row>
    <row r="41" spans="1:12" x14ac:dyDescent="0.25">
      <c r="D41">
        <v>0.1</v>
      </c>
      <c r="E41" s="1">
        <f>$C$3*(-$C$4*$C$5*(D41^2)+1)</f>
        <v>0.85</v>
      </c>
      <c r="F41" s="4" t="str">
        <f>COMPLEX(0,$C$3*($C$4+$C$5)*D41)</f>
        <v>0.8i</v>
      </c>
      <c r="G41" t="str">
        <f>IMDIV(IMSUM(E41,F41), COMPLEX(0,-D41^3))</f>
        <v>-800+850i</v>
      </c>
      <c r="H41">
        <f>20*LOG10(IMABS(G41))</f>
        <v>61.343365109486797</v>
      </c>
      <c r="I41">
        <f>IMARGUMENT(G41)*180/PI()</f>
        <v>133.2642954110716</v>
      </c>
      <c r="J41">
        <f>IMREAL(G41)</f>
        <v>-800</v>
      </c>
      <c r="K41">
        <f>IMAGINARY(G41)</f>
        <v>850</v>
      </c>
      <c r="L41">
        <f>-K41</f>
        <v>-850</v>
      </c>
    </row>
    <row r="42" spans="1:12" x14ac:dyDescent="0.25">
      <c r="D42">
        <v>0.2</v>
      </c>
      <c r="E42" s="1">
        <f t="shared" ref="E42:E50" si="8">$C$3*(-$C$4*$C$5*(D42^2)+1)</f>
        <v>0.39999999999999991</v>
      </c>
      <c r="F42" s="4" t="str">
        <f t="shared" ref="F42:F50" si="9">COMPLEX(0,$C$3*($C$4+$C$5)*D42)</f>
        <v>1.6i</v>
      </c>
      <c r="G42" t="str">
        <f t="shared" ref="G42:G50" si="10">IMDIV(IMSUM(E42,F42), COMPLEX(0,-D42^3))</f>
        <v>-200+50i</v>
      </c>
      <c r="H42">
        <f t="shared" ref="H42:H50" si="11">20*LOG10(IMABS(G42))</f>
        <v>46.28388930050312</v>
      </c>
      <c r="I42">
        <f t="shared" ref="I42:I50" si="12">IMARGUMENT(G42)*180/PI()</f>
        <v>165.96375653207352</v>
      </c>
      <c r="J42">
        <f t="shared" ref="J42:J50" si="13">IMREAL(G42)</f>
        <v>-200</v>
      </c>
      <c r="K42">
        <f t="shared" ref="K42:K50" si="14">IMAGINARY(G42)</f>
        <v>50</v>
      </c>
      <c r="L42">
        <f t="shared" ref="L42:L50" si="15">-K42</f>
        <v>-50</v>
      </c>
    </row>
    <row r="43" spans="1:12" x14ac:dyDescent="0.25">
      <c r="D43" s="1">
        <v>0.5</v>
      </c>
      <c r="E43" s="1">
        <f t="shared" si="8"/>
        <v>-2.75</v>
      </c>
      <c r="F43" s="4" t="str">
        <f t="shared" si="9"/>
        <v>4i</v>
      </c>
      <c r="G43" t="str">
        <f t="shared" si="10"/>
        <v>-32-22i</v>
      </c>
      <c r="H43">
        <f t="shared" si="11"/>
        <v>31.784013415337551</v>
      </c>
      <c r="I43">
        <f t="shared" si="12"/>
        <v>-145.49147701233159</v>
      </c>
      <c r="J43">
        <f t="shared" si="13"/>
        <v>-32</v>
      </c>
      <c r="K43">
        <f t="shared" si="14"/>
        <v>-22</v>
      </c>
      <c r="L43">
        <f t="shared" si="15"/>
        <v>22</v>
      </c>
    </row>
    <row r="44" spans="1:12" x14ac:dyDescent="0.25">
      <c r="D44">
        <v>0.8</v>
      </c>
      <c r="E44" s="1">
        <f t="shared" si="8"/>
        <v>-8.6000000000000014</v>
      </c>
      <c r="F44" s="4" t="str">
        <f t="shared" si="9"/>
        <v>6.4i</v>
      </c>
      <c r="G44" t="str">
        <f t="shared" si="10"/>
        <v>-12.5-16.796875i</v>
      </c>
      <c r="H44">
        <f t="shared" si="11"/>
        <v>26.418556953682483</v>
      </c>
      <c r="I44">
        <f t="shared" si="12"/>
        <v>-126.6561084159669</v>
      </c>
      <c r="J44">
        <f t="shared" si="13"/>
        <v>-12.5</v>
      </c>
      <c r="K44">
        <f t="shared" si="14"/>
        <v>-16.796875</v>
      </c>
      <c r="L44">
        <f t="shared" si="15"/>
        <v>16.796875</v>
      </c>
    </row>
    <row r="45" spans="1:12" x14ac:dyDescent="0.25">
      <c r="D45">
        <v>1</v>
      </c>
      <c r="E45" s="1">
        <f t="shared" si="8"/>
        <v>-14</v>
      </c>
      <c r="F45" s="4" t="str">
        <f t="shared" si="9"/>
        <v>8i</v>
      </c>
      <c r="G45" t="str">
        <f t="shared" si="10"/>
        <v>-8-14i</v>
      </c>
      <c r="H45">
        <f t="shared" si="11"/>
        <v>24.149733479708178</v>
      </c>
      <c r="I45">
        <f t="shared" si="12"/>
        <v>-119.7448812969422</v>
      </c>
      <c r="J45">
        <f t="shared" si="13"/>
        <v>-8</v>
      </c>
      <c r="K45">
        <f t="shared" si="14"/>
        <v>-14</v>
      </c>
      <c r="L45">
        <f t="shared" si="15"/>
        <v>14</v>
      </c>
    </row>
    <row r="46" spans="1:12" x14ac:dyDescent="0.25">
      <c r="D46">
        <v>2</v>
      </c>
      <c r="E46" s="1">
        <f t="shared" si="8"/>
        <v>-59</v>
      </c>
      <c r="F46" s="4" t="str">
        <f t="shared" si="9"/>
        <v>16i</v>
      </c>
      <c r="G46" t="str">
        <f t="shared" si="10"/>
        <v>-2-7.375i</v>
      </c>
      <c r="H46">
        <f t="shared" si="11"/>
        <v>17.663431238657505</v>
      </c>
      <c r="I46">
        <f t="shared" si="12"/>
        <v>-105.17291534552525</v>
      </c>
      <c r="J46">
        <f t="shared" si="13"/>
        <v>-2</v>
      </c>
      <c r="K46">
        <f t="shared" si="14"/>
        <v>-7.375</v>
      </c>
      <c r="L46">
        <f t="shared" si="15"/>
        <v>7.375</v>
      </c>
    </row>
    <row r="47" spans="1:12" x14ac:dyDescent="0.25">
      <c r="D47">
        <v>5</v>
      </c>
      <c r="E47" s="1">
        <f t="shared" si="8"/>
        <v>-374</v>
      </c>
      <c r="F47" s="4" t="str">
        <f t="shared" si="9"/>
        <v>40i</v>
      </c>
      <c r="G47" t="str">
        <f t="shared" si="10"/>
        <v>-0.32-2.992i</v>
      </c>
      <c r="H47">
        <f t="shared" si="11"/>
        <v>9.568627463417176</v>
      </c>
      <c r="I47">
        <f t="shared" si="12"/>
        <v>-96.104684876928886</v>
      </c>
      <c r="J47">
        <f t="shared" si="13"/>
        <v>-0.32</v>
      </c>
      <c r="K47">
        <f t="shared" si="14"/>
        <v>-2.992</v>
      </c>
      <c r="L47">
        <f t="shared" si="15"/>
        <v>2.992</v>
      </c>
    </row>
    <row r="48" spans="1:12" x14ac:dyDescent="0.25">
      <c r="D48">
        <v>8</v>
      </c>
      <c r="E48" s="1">
        <f t="shared" si="8"/>
        <v>-959</v>
      </c>
      <c r="F48" s="4" t="str">
        <f t="shared" si="9"/>
        <v>64i</v>
      </c>
      <c r="G48" t="str">
        <f t="shared" si="10"/>
        <v>-0.125-1.873046875i</v>
      </c>
      <c r="H48">
        <f t="shared" si="11"/>
        <v>5.4702722312336967</v>
      </c>
      <c r="I48">
        <f t="shared" si="12"/>
        <v>-93.818040214553449</v>
      </c>
      <c r="J48">
        <f t="shared" si="13"/>
        <v>-0.125</v>
      </c>
      <c r="K48">
        <f t="shared" si="14"/>
        <v>-1.873046875</v>
      </c>
      <c r="L48">
        <f t="shared" si="15"/>
        <v>1.873046875</v>
      </c>
    </row>
    <row r="49" spans="4:12" x14ac:dyDescent="0.25">
      <c r="D49">
        <v>10</v>
      </c>
      <c r="E49" s="1">
        <f t="shared" si="8"/>
        <v>-1499</v>
      </c>
      <c r="F49" s="4" t="str">
        <f t="shared" si="9"/>
        <v>80i</v>
      </c>
      <c r="G49" t="str">
        <f t="shared" si="10"/>
        <v>-0.08-1.499i</v>
      </c>
      <c r="H49">
        <f t="shared" si="11"/>
        <v>3.5283848270956564</v>
      </c>
      <c r="I49">
        <f t="shared" si="12"/>
        <v>-93.054915271171481</v>
      </c>
      <c r="J49">
        <f t="shared" si="13"/>
        <v>-0.08</v>
      </c>
      <c r="K49">
        <f t="shared" si="14"/>
        <v>-1.4990000000000001</v>
      </c>
      <c r="L49">
        <f t="shared" si="15"/>
        <v>1.4990000000000001</v>
      </c>
    </row>
    <row r="50" spans="4:12" x14ac:dyDescent="0.25">
      <c r="D50">
        <v>20</v>
      </c>
      <c r="E50" s="1">
        <f t="shared" si="8"/>
        <v>-5999</v>
      </c>
      <c r="F50" s="4" t="str">
        <f t="shared" si="9"/>
        <v>160i</v>
      </c>
      <c r="G50" t="str">
        <f t="shared" si="10"/>
        <v>-0.02-0.749875i</v>
      </c>
      <c r="H50">
        <f t="shared" si="11"/>
        <v>-2.4971342533573928</v>
      </c>
      <c r="I50">
        <f t="shared" si="12"/>
        <v>-91.527779951555672</v>
      </c>
      <c r="J50">
        <f t="shared" si="13"/>
        <v>-0.02</v>
      </c>
      <c r="K50">
        <f t="shared" si="14"/>
        <v>-0.74987499999999996</v>
      </c>
      <c r="L50">
        <f t="shared" si="15"/>
        <v>0.74987499999999996</v>
      </c>
    </row>
    <row r="69" spans="1:12" x14ac:dyDescent="0.25">
      <c r="A69" s="6" t="s">
        <v>30</v>
      </c>
    </row>
    <row r="70" spans="1:12" x14ac:dyDescent="0.25">
      <c r="D70" t="s">
        <v>13</v>
      </c>
      <c r="E70" s="5" t="s">
        <v>14</v>
      </c>
      <c r="F70" s="5" t="s">
        <v>12</v>
      </c>
      <c r="G70" s="5" t="s">
        <v>15</v>
      </c>
      <c r="H70" s="5" t="s">
        <v>16</v>
      </c>
      <c r="I70" s="5" t="s">
        <v>17</v>
      </c>
      <c r="J70" s="5" t="s">
        <v>18</v>
      </c>
      <c r="K70" s="5" t="s">
        <v>19</v>
      </c>
      <c r="L70" s="5" t="s">
        <v>31</v>
      </c>
    </row>
    <row r="71" spans="1:12" x14ac:dyDescent="0.25">
      <c r="D71">
        <v>0.1</v>
      </c>
      <c r="E71" s="1">
        <f>$C$6*$C$7*D71^4-D71^2</f>
        <v>-9.8000000000000014E-3</v>
      </c>
      <c r="F71" s="4" t="str">
        <f>COMPLEX($C$3,$C$3*(D71*$C$4))</f>
        <v>1+0.3i</v>
      </c>
      <c r="G71" t="str">
        <f>IMDIV(F71, IMSUM(E71,(COMPLEX(0,-($C$6+$C$7)*D71^3))))</f>
        <v>-101.865955826352+0.571210967250573i</v>
      </c>
      <c r="H71">
        <f>20*LOG10(IMABS(G71))</f>
        <v>40.160717848592014</v>
      </c>
      <c r="I71">
        <f>IMARGUMENT(G71)*180/PI()</f>
        <v>179.67871862247378</v>
      </c>
      <c r="J71">
        <f>IMREAL(G71)</f>
        <v>-101.86595582635201</v>
      </c>
      <c r="K71">
        <f>IMAGINARY(G71)</f>
        <v>0.57121096725057297</v>
      </c>
      <c r="L71">
        <f>-K71</f>
        <v>-0.57121096725057297</v>
      </c>
    </row>
    <row r="72" spans="1:12" x14ac:dyDescent="0.25">
      <c r="D72">
        <v>0.2</v>
      </c>
      <c r="E72" s="1">
        <f t="shared" ref="E72:E81" si="16">$C$6*$C$7*D72^4-D72^2</f>
        <v>-3.6800000000000006E-2</v>
      </c>
      <c r="F72" s="4" t="str">
        <f t="shared" ref="F72:F81" si="17">COMPLEX($C$3,$C$3*(D72*$C$4))</f>
        <v>1+0.6i</v>
      </c>
      <c r="G72" t="str">
        <f t="shared" ref="G72:G81" si="18">IMDIV(F72, IMSUM(E72,(COMPLEX(0,-($C$6+$C$7)*D72^3))))</f>
        <v>-26.525198938992+0.994694960212202i</v>
      </c>
      <c r="H72">
        <f t="shared" ref="H72:H81" si="19">20*LOG10(IMABS(G72))</f>
        <v>28.479275971885926</v>
      </c>
      <c r="I72">
        <f t="shared" ref="I72:I81" si="20">IMARGUMENT(G72)*180/PI()</f>
        <v>177.8524145717015</v>
      </c>
      <c r="J72">
        <f t="shared" ref="J72:J81" si="21">IMREAL(G72)</f>
        <v>-26.525198938991998</v>
      </c>
      <c r="K72">
        <f t="shared" ref="K72:K81" si="22">IMAGINARY(G72)</f>
        <v>0.99469496021220205</v>
      </c>
      <c r="L72">
        <f t="shared" ref="L72:L81" si="23">-K72</f>
        <v>-0.99469496021220205</v>
      </c>
    </row>
    <row r="73" spans="1:12" x14ac:dyDescent="0.25">
      <c r="D73" s="1">
        <v>0.5</v>
      </c>
      <c r="E73" s="1">
        <f t="shared" si="16"/>
        <v>-0.125</v>
      </c>
      <c r="F73" s="4" t="str">
        <f t="shared" si="17"/>
        <v>1+1.5i</v>
      </c>
      <c r="G73" t="str">
        <f t="shared" si="18"/>
        <v>-4.4+1.2i</v>
      </c>
      <c r="H73">
        <f t="shared" si="19"/>
        <v>13.180633349627616</v>
      </c>
      <c r="I73">
        <f t="shared" si="20"/>
        <v>164.74488129694225</v>
      </c>
      <c r="J73">
        <f t="shared" si="21"/>
        <v>-4.4000000000000004</v>
      </c>
      <c r="K73">
        <f t="shared" si="22"/>
        <v>1.2</v>
      </c>
      <c r="L73">
        <f t="shared" si="23"/>
        <v>-1.2</v>
      </c>
    </row>
    <row r="74" spans="1:12" x14ac:dyDescent="0.25">
      <c r="D74">
        <v>0.8</v>
      </c>
      <c r="E74" s="1">
        <f t="shared" si="16"/>
        <v>0.17920000000000025</v>
      </c>
      <c r="F74" s="4" t="str">
        <f t="shared" si="17"/>
        <v>1+2.4i</v>
      </c>
      <c r="G74" t="str">
        <f t="shared" si="18"/>
        <v>-1.46658331049603+0.822143052891203i</v>
      </c>
      <c r="H74">
        <f t="shared" si="19"/>
        <v>4.5129290195329022</v>
      </c>
      <c r="I74">
        <f t="shared" si="20"/>
        <v>150.72571000595306</v>
      </c>
      <c r="J74">
        <f t="shared" si="21"/>
        <v>-1.46658331049603</v>
      </c>
      <c r="K74">
        <f t="shared" si="22"/>
        <v>0.82214305289120304</v>
      </c>
      <c r="L74">
        <f t="shared" si="23"/>
        <v>-0.82214305289120304</v>
      </c>
    </row>
    <row r="75" spans="1:12" x14ac:dyDescent="0.25">
      <c r="D75">
        <v>1</v>
      </c>
      <c r="E75" s="1">
        <f t="shared" si="16"/>
        <v>1</v>
      </c>
      <c r="F75" s="4" t="str">
        <f t="shared" si="17"/>
        <v>1+3i</v>
      </c>
      <c r="G75" t="str">
        <f t="shared" si="18"/>
        <v>-0.8+0.6i</v>
      </c>
      <c r="H75">
        <f t="shared" si="19"/>
        <v>0</v>
      </c>
      <c r="I75">
        <f t="shared" si="20"/>
        <v>143.13010235415598</v>
      </c>
      <c r="J75">
        <f t="shared" si="21"/>
        <v>-0.8</v>
      </c>
      <c r="K75">
        <f t="shared" si="22"/>
        <v>0.6</v>
      </c>
      <c r="L75">
        <f t="shared" si="23"/>
        <v>-0.6</v>
      </c>
    </row>
    <row r="76" spans="1:12" x14ac:dyDescent="0.25">
      <c r="D76">
        <v>2</v>
      </c>
      <c r="E76" s="1">
        <f t="shared" si="16"/>
        <v>28</v>
      </c>
      <c r="F76" s="4" t="str">
        <f t="shared" si="17"/>
        <v>1+6i</v>
      </c>
      <c r="G76" t="str">
        <f t="shared" si="18"/>
        <v>-0.0852941176470588+0.141176470588235i</v>
      </c>
      <c r="H76">
        <f t="shared" si="19"/>
        <v>-15.653371843032239</v>
      </c>
      <c r="I76">
        <f t="shared" si="20"/>
        <v>121.1389724369789</v>
      </c>
      <c r="J76">
        <f t="shared" si="21"/>
        <v>-8.5294117647058798E-2</v>
      </c>
      <c r="K76">
        <f t="shared" si="22"/>
        <v>0.14117647058823499</v>
      </c>
      <c r="L76">
        <f t="shared" si="23"/>
        <v>-0.14117647058823499</v>
      </c>
    </row>
    <row r="77" spans="1:12" x14ac:dyDescent="0.25">
      <c r="D77">
        <v>5</v>
      </c>
      <c r="E77" s="1">
        <f t="shared" si="16"/>
        <v>1225</v>
      </c>
      <c r="F77" s="4" t="str">
        <f t="shared" si="17"/>
        <v>1+15i</v>
      </c>
      <c r="G77" t="str">
        <f t="shared" si="18"/>
        <v>-0.00268088347296268+0.0114242193450114i</v>
      </c>
      <c r="H77">
        <f t="shared" si="19"/>
        <v>-38.610662999501365</v>
      </c>
      <c r="I77">
        <f t="shared" si="20"/>
        <v>103.20645077722952</v>
      </c>
      <c r="J77">
        <f t="shared" si="21"/>
        <v>-2.6808834729626801E-3</v>
      </c>
      <c r="K77">
        <f t="shared" si="22"/>
        <v>1.1424219345011401E-2</v>
      </c>
      <c r="L77">
        <f t="shared" si="23"/>
        <v>-1.1424219345011401E-2</v>
      </c>
    </row>
    <row r="78" spans="1:12" x14ac:dyDescent="0.25">
      <c r="D78">
        <v>8</v>
      </c>
      <c r="E78" s="1">
        <f t="shared" si="16"/>
        <v>8128</v>
      </c>
      <c r="F78" s="4" t="str">
        <f t="shared" si="17"/>
        <v>1+24i</v>
      </c>
      <c r="G78" t="str">
        <f t="shared" si="18"/>
        <v>-0.000419971565399581+0.00287339120023945i</v>
      </c>
      <c r="H78">
        <f t="shared" si="19"/>
        <v>-50.740306147861929</v>
      </c>
      <c r="I78">
        <f t="shared" si="20"/>
        <v>98.31540669351034</v>
      </c>
      <c r="J78">
        <f t="shared" si="21"/>
        <v>-4.1997156539958099E-4</v>
      </c>
      <c r="K78">
        <f t="shared" si="22"/>
        <v>2.8733912002394499E-3</v>
      </c>
      <c r="L78">
        <f t="shared" si="23"/>
        <v>-2.8733912002394499E-3</v>
      </c>
    </row>
    <row r="79" spans="1:12" x14ac:dyDescent="0.25">
      <c r="D79">
        <v>10</v>
      </c>
      <c r="E79" s="1">
        <f t="shared" si="16"/>
        <v>19900</v>
      </c>
      <c r="F79" s="4" t="str">
        <f t="shared" si="17"/>
        <v>1+30i</v>
      </c>
      <c r="G79" t="str">
        <f t="shared" si="18"/>
        <v>-0.000173082146119849+0.001481444902595i</v>
      </c>
      <c r="H79">
        <f t="shared" si="19"/>
        <v>-56.5274095542376</v>
      </c>
      <c r="I79">
        <f t="shared" si="20"/>
        <v>96.663845930614997</v>
      </c>
      <c r="J79">
        <f t="shared" si="21"/>
        <v>-1.7308214611984899E-4</v>
      </c>
      <c r="K79">
        <f t="shared" si="22"/>
        <v>1.481444902595E-3</v>
      </c>
      <c r="L79">
        <f t="shared" si="23"/>
        <v>-1.481444902595E-3</v>
      </c>
    </row>
    <row r="80" spans="1:12" x14ac:dyDescent="0.25">
      <c r="D80">
        <v>20</v>
      </c>
      <c r="E80" s="1">
        <f t="shared" si="16"/>
        <v>319600</v>
      </c>
      <c r="F80" s="4" t="str">
        <f t="shared" si="17"/>
        <v>1+60i</v>
      </c>
      <c r="G80" t="str">
        <f t="shared" si="18"/>
        <v>-0.0000109073038827042+0.000186915596704678i</v>
      </c>
      <c r="H80">
        <f t="shared" si="19"/>
        <v>-74.552325658241216</v>
      </c>
      <c r="I80">
        <f t="shared" si="20"/>
        <v>93.339660156404193</v>
      </c>
      <c r="J80">
        <f t="shared" si="21"/>
        <v>-1.09073038827042E-5</v>
      </c>
      <c r="K80">
        <f t="shared" si="22"/>
        <v>1.86915596704678E-4</v>
      </c>
      <c r="L80">
        <f t="shared" si="23"/>
        <v>-1.86915596704678E-4</v>
      </c>
    </row>
    <row r="81" spans="4:12" x14ac:dyDescent="0.25">
      <c r="D81">
        <v>0.01</v>
      </c>
      <c r="E81" s="1">
        <f t="shared" si="16"/>
        <v>-9.9980000000000002E-5</v>
      </c>
      <c r="F81" s="4" t="str">
        <f t="shared" si="17"/>
        <v>1+0.03i</v>
      </c>
      <c r="G81" t="str">
        <f t="shared" si="18"/>
        <v>-10001.9986006197+0.0599700125949097i</v>
      </c>
      <c r="H81">
        <f t="shared" si="19"/>
        <v>80.001735789145783</v>
      </c>
      <c r="I81">
        <f t="shared" si="20"/>
        <v>179.99965646579687</v>
      </c>
      <c r="J81">
        <f t="shared" si="21"/>
        <v>-10001.9986006197</v>
      </c>
      <c r="K81">
        <f t="shared" si="22"/>
        <v>5.9970012594909701E-2</v>
      </c>
      <c r="L81">
        <f t="shared" si="23"/>
        <v>-5.9970012594909701E-2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Aramis Kelkelyan</dc:creator>
  <cp:lastModifiedBy>Aramis Kelkelyan</cp:lastModifiedBy>
  <dcterms:created xsi:type="dcterms:W3CDTF">2022-12-19T10:08:13Z</dcterms:created>
  <dcterms:modified xsi:type="dcterms:W3CDTF">2022-12-20T09:34:04Z</dcterms:modified>
</cp:coreProperties>
</file>