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o\Desktop\Stocks\"/>
    </mc:Choice>
  </mc:AlternateContent>
  <xr:revisionPtr revIDLastSave="0" documentId="13_ncr:1_{6A60B093-05AB-4BC5-8B1C-1897BF1F6AF0}" xr6:coauthVersionLast="47" xr6:coauthVersionMax="47" xr10:uidLastSave="{00000000-0000-0000-0000-000000000000}"/>
  <bookViews>
    <workbookView xWindow="-108" yWindow="-108" windowWidth="30936" windowHeight="16896" activeTab="1" xr2:uid="{2A45FA8B-291C-424C-BB97-2FFFB4364C35}"/>
  </bookViews>
  <sheets>
    <sheet name="Main" sheetId="2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L38" i="3" s="1"/>
  <c r="L41" i="3"/>
  <c r="C28" i="3"/>
  <c r="Q30" i="3"/>
  <c r="Q31" i="3"/>
  <c r="Q32" i="3"/>
  <c r="Q33" i="3"/>
  <c r="P33" i="3"/>
  <c r="P32" i="3"/>
  <c r="P31" i="3"/>
  <c r="P30" i="3"/>
  <c r="Q19" i="3"/>
  <c r="Q20" i="3"/>
  <c r="T18" i="3"/>
  <c r="T22" i="3"/>
  <c r="U22" i="3"/>
  <c r="V22" i="3"/>
  <c r="W22" i="3"/>
  <c r="X22" i="3"/>
  <c r="T6" i="3"/>
  <c r="U6" i="3"/>
  <c r="V6" i="3"/>
  <c r="T7" i="3"/>
  <c r="U7" i="3" s="1"/>
  <c r="T14" i="3"/>
  <c r="U14" i="3"/>
  <c r="V14" i="3" s="1"/>
  <c r="S22" i="3"/>
  <c r="S18" i="3"/>
  <c r="X17" i="3"/>
  <c r="V17" i="3"/>
  <c r="T17" i="3"/>
  <c r="U17" i="3" s="1"/>
  <c r="S17" i="3"/>
  <c r="S14" i="3"/>
  <c r="S8" i="3"/>
  <c r="S7" i="3"/>
  <c r="S6" i="3"/>
  <c r="Q27" i="3"/>
  <c r="Q26" i="3"/>
  <c r="Q25" i="3"/>
  <c r="R22" i="3"/>
  <c r="R18" i="3"/>
  <c r="R17" i="3"/>
  <c r="R14" i="3"/>
  <c r="R8" i="3"/>
  <c r="R7" i="3"/>
  <c r="R6" i="3"/>
  <c r="Q3" i="3"/>
  <c r="Q21" i="3"/>
  <c r="Q23" i="3" s="1"/>
  <c r="Q22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12" i="3"/>
  <c r="R12" i="3" s="1"/>
  <c r="S12" i="3" s="1"/>
  <c r="N13" i="3"/>
  <c r="R13" i="3" s="1"/>
  <c r="S13" i="3" s="1"/>
  <c r="T13" i="3" s="1"/>
  <c r="U13" i="3" s="1"/>
  <c r="V13" i="3" s="1"/>
  <c r="W13" i="3" s="1"/>
  <c r="X13" i="3" s="1"/>
  <c r="N8" i="3"/>
  <c r="N4" i="3"/>
  <c r="N10" i="3" s="1"/>
  <c r="N31" i="3" s="1"/>
  <c r="N3" i="3"/>
  <c r="N9" i="3" s="1"/>
  <c r="M4" i="3"/>
  <c r="M10" i="3" s="1"/>
  <c r="M8" i="3"/>
  <c r="M3" i="3"/>
  <c r="M9" i="3" s="1"/>
  <c r="M30" i="3" s="1"/>
  <c r="L27" i="3"/>
  <c r="K27" i="3"/>
  <c r="J27" i="3"/>
  <c r="I27" i="3"/>
  <c r="H27" i="3"/>
  <c r="L26" i="3"/>
  <c r="K26" i="3"/>
  <c r="J26" i="3"/>
  <c r="I26" i="3"/>
  <c r="H26" i="3"/>
  <c r="G27" i="3"/>
  <c r="G26" i="3"/>
  <c r="C15" i="3"/>
  <c r="C10" i="3"/>
  <c r="C31" i="3" s="1"/>
  <c r="C9" i="3"/>
  <c r="C30" i="3" s="1"/>
  <c r="C8" i="3"/>
  <c r="C5" i="3"/>
  <c r="D15" i="3"/>
  <c r="D10" i="3"/>
  <c r="D31" i="3" s="1"/>
  <c r="D9" i="3"/>
  <c r="D30" i="3" s="1"/>
  <c r="D8" i="3"/>
  <c r="D5" i="3"/>
  <c r="D28" i="3" s="1"/>
  <c r="I15" i="3"/>
  <c r="I10" i="3"/>
  <c r="I31" i="3" s="1"/>
  <c r="I9" i="3"/>
  <c r="I30" i="3" s="1"/>
  <c r="I8" i="3"/>
  <c r="I5" i="3"/>
  <c r="I28" i="3" s="1"/>
  <c r="E15" i="3"/>
  <c r="E10" i="3"/>
  <c r="E31" i="3" s="1"/>
  <c r="E9" i="3"/>
  <c r="E30" i="3" s="1"/>
  <c r="E8" i="3"/>
  <c r="E5" i="3"/>
  <c r="E28" i="3" s="1"/>
  <c r="F15" i="3"/>
  <c r="F10" i="3"/>
  <c r="F31" i="3" s="1"/>
  <c r="F9" i="3"/>
  <c r="F30" i="3" s="1"/>
  <c r="F8" i="3"/>
  <c r="F5" i="3"/>
  <c r="F28" i="3" s="1"/>
  <c r="J15" i="3"/>
  <c r="J10" i="3"/>
  <c r="J31" i="3" s="1"/>
  <c r="J9" i="3"/>
  <c r="J30" i="3" s="1"/>
  <c r="J8" i="3"/>
  <c r="J5" i="3"/>
  <c r="J28" i="3" s="1"/>
  <c r="G15" i="3"/>
  <c r="G10" i="3"/>
  <c r="G31" i="3" s="1"/>
  <c r="G9" i="3"/>
  <c r="G30" i="3" s="1"/>
  <c r="G8" i="3"/>
  <c r="G5" i="3"/>
  <c r="G28" i="3" s="1"/>
  <c r="K15" i="3"/>
  <c r="K10" i="3"/>
  <c r="K31" i="3" s="1"/>
  <c r="K9" i="3"/>
  <c r="K30" i="3" s="1"/>
  <c r="K8" i="3"/>
  <c r="K5" i="3"/>
  <c r="H15" i="3"/>
  <c r="H10" i="3"/>
  <c r="H31" i="3" s="1"/>
  <c r="H9" i="3"/>
  <c r="H30" i="3" s="1"/>
  <c r="H8" i="3"/>
  <c r="H5" i="3"/>
  <c r="H28" i="3" s="1"/>
  <c r="L15" i="3"/>
  <c r="L10" i="3"/>
  <c r="L31" i="3" s="1"/>
  <c r="L9" i="3"/>
  <c r="L30" i="3" s="1"/>
  <c r="L8" i="3"/>
  <c r="L5" i="3"/>
  <c r="H9" i="2"/>
  <c r="H6" i="2"/>
  <c r="T12" i="3" l="1"/>
  <c r="U12" i="3" s="1"/>
  <c r="V12" i="3" s="1"/>
  <c r="W12" i="3" s="1"/>
  <c r="X12" i="3" s="1"/>
  <c r="S15" i="3"/>
  <c r="T15" i="3"/>
  <c r="R10" i="3"/>
  <c r="N30" i="3"/>
  <c r="R9" i="3"/>
  <c r="R3" i="3"/>
  <c r="S3" i="3" s="1"/>
  <c r="T3" i="3" s="1"/>
  <c r="U3" i="3" s="1"/>
  <c r="N5" i="3"/>
  <c r="N25" i="3" s="1"/>
  <c r="N11" i="3"/>
  <c r="M5" i="3"/>
  <c r="R4" i="3"/>
  <c r="S4" i="3" s="1"/>
  <c r="T4" i="3" s="1"/>
  <c r="U4" i="3" s="1"/>
  <c r="M31" i="3"/>
  <c r="Q28" i="3"/>
  <c r="U18" i="3"/>
  <c r="W14" i="3"/>
  <c r="V15" i="3"/>
  <c r="V7" i="3"/>
  <c r="V8" i="3"/>
  <c r="U8" i="3"/>
  <c r="U15" i="3"/>
  <c r="T8" i="3"/>
  <c r="W6" i="3"/>
  <c r="N15" i="3"/>
  <c r="N16" i="3" s="1"/>
  <c r="N19" i="3" s="1"/>
  <c r="M15" i="3"/>
  <c r="R15" i="3" s="1"/>
  <c r="M11" i="3"/>
  <c r="H25" i="3"/>
  <c r="G25" i="3"/>
  <c r="C11" i="3"/>
  <c r="D11" i="3"/>
  <c r="I11" i="3"/>
  <c r="I32" i="3" s="1"/>
  <c r="I25" i="3"/>
  <c r="E11" i="3"/>
  <c r="F11" i="3"/>
  <c r="J11" i="3"/>
  <c r="J25" i="3"/>
  <c r="K25" i="3"/>
  <c r="L25" i="3"/>
  <c r="L28" i="3"/>
  <c r="G11" i="3"/>
  <c r="K28" i="3"/>
  <c r="K11" i="3"/>
  <c r="H11" i="3"/>
  <c r="L11" i="3"/>
  <c r="N20" i="3" l="1"/>
  <c r="N21" i="3" s="1"/>
  <c r="R31" i="3"/>
  <c r="R30" i="3"/>
  <c r="N32" i="3"/>
  <c r="R26" i="3"/>
  <c r="R27" i="3"/>
  <c r="M16" i="3"/>
  <c r="R11" i="3"/>
  <c r="M32" i="3"/>
  <c r="M25" i="3"/>
  <c r="R5" i="3"/>
  <c r="R25" i="3" s="1"/>
  <c r="V18" i="3"/>
  <c r="W8" i="3"/>
  <c r="X6" i="3"/>
  <c r="W15" i="3"/>
  <c r="X14" i="3"/>
  <c r="X15" i="3" s="1"/>
  <c r="W7" i="3"/>
  <c r="C32" i="3"/>
  <c r="C16" i="3"/>
  <c r="C19" i="3" s="1"/>
  <c r="C21" i="3" s="1"/>
  <c r="D32" i="3"/>
  <c r="D16" i="3"/>
  <c r="D19" i="3" s="1"/>
  <c r="D21" i="3" s="1"/>
  <c r="I16" i="3"/>
  <c r="I19" i="3" s="1"/>
  <c r="I21" i="3" s="1"/>
  <c r="I33" i="3" s="1"/>
  <c r="E32" i="3"/>
  <c r="E16" i="3"/>
  <c r="E19" i="3" s="1"/>
  <c r="E21" i="3" s="1"/>
  <c r="F32" i="3"/>
  <c r="F16" i="3"/>
  <c r="J32" i="3"/>
  <c r="J16" i="3"/>
  <c r="J19" i="3" s="1"/>
  <c r="J21" i="3" s="1"/>
  <c r="H16" i="3"/>
  <c r="H19" i="3" s="1"/>
  <c r="H21" i="3" s="1"/>
  <c r="H32" i="3"/>
  <c r="G32" i="3"/>
  <c r="G16" i="3"/>
  <c r="G19" i="3" s="1"/>
  <c r="G21" i="3" s="1"/>
  <c r="K32" i="3"/>
  <c r="K16" i="3"/>
  <c r="K19" i="3" s="1"/>
  <c r="K21" i="3" s="1"/>
  <c r="L16" i="3"/>
  <c r="L19" i="3" s="1"/>
  <c r="L21" i="3" s="1"/>
  <c r="L32" i="3"/>
  <c r="N33" i="3" l="1"/>
  <c r="N23" i="3"/>
  <c r="R32" i="3"/>
  <c r="S9" i="3"/>
  <c r="S30" i="3" s="1"/>
  <c r="M19" i="3"/>
  <c r="R16" i="3"/>
  <c r="S10" i="3"/>
  <c r="S5" i="3"/>
  <c r="S25" i="3" s="1"/>
  <c r="W18" i="3"/>
  <c r="X7" i="3"/>
  <c r="X8" i="3"/>
  <c r="C33" i="3"/>
  <c r="C23" i="3"/>
  <c r="D33" i="3"/>
  <c r="D23" i="3"/>
  <c r="I23" i="3"/>
  <c r="E33" i="3"/>
  <c r="E23" i="3"/>
  <c r="F19" i="3"/>
  <c r="F21" i="3" s="1"/>
  <c r="J33" i="3"/>
  <c r="J23" i="3"/>
  <c r="H23" i="3"/>
  <c r="H33" i="3"/>
  <c r="G33" i="3"/>
  <c r="G23" i="3"/>
  <c r="K33" i="3"/>
  <c r="K23" i="3"/>
  <c r="L23" i="3"/>
  <c r="L33" i="3"/>
  <c r="S11" i="3" l="1"/>
  <c r="S16" i="3" s="1"/>
  <c r="S19" i="3" s="1"/>
  <c r="S20" i="3" s="1"/>
  <c r="S21" i="3" s="1"/>
  <c r="S31" i="3"/>
  <c r="T9" i="3"/>
  <c r="T30" i="3" s="1"/>
  <c r="T5" i="3"/>
  <c r="T25" i="3" s="1"/>
  <c r="T10" i="3"/>
  <c r="M20" i="3"/>
  <c r="R20" i="3" s="1"/>
  <c r="R19" i="3"/>
  <c r="X18" i="3"/>
  <c r="F33" i="3"/>
  <c r="F23" i="3"/>
  <c r="S32" i="3" l="1"/>
  <c r="T11" i="3"/>
  <c r="T32" i="3" s="1"/>
  <c r="T31" i="3"/>
  <c r="S23" i="3"/>
  <c r="S33" i="3"/>
  <c r="R28" i="3"/>
  <c r="U9" i="3"/>
  <c r="U30" i="3" s="1"/>
  <c r="M21" i="3"/>
  <c r="U5" i="3"/>
  <c r="U25" i="3" s="1"/>
  <c r="U10" i="3"/>
  <c r="U31" i="3" s="1"/>
  <c r="T16" i="3" l="1"/>
  <c r="T19" i="3" s="1"/>
  <c r="T20" i="3" s="1"/>
  <c r="T21" i="3" s="1"/>
  <c r="T23" i="3" s="1"/>
  <c r="U11" i="3"/>
  <c r="M23" i="3"/>
  <c r="M33" i="3"/>
  <c r="R21" i="3"/>
  <c r="T33" i="3" l="1"/>
  <c r="U16" i="3"/>
  <c r="U19" i="3" s="1"/>
  <c r="U20" i="3" s="1"/>
  <c r="U21" i="3" s="1"/>
  <c r="U32" i="3"/>
  <c r="R23" i="3"/>
  <c r="R33" i="3"/>
  <c r="U23" i="3" l="1"/>
  <c r="U33" i="3"/>
  <c r="V3" i="3"/>
  <c r="W3" i="3" s="1"/>
  <c r="X3" i="3" s="1"/>
  <c r="W9" i="3" l="1"/>
  <c r="W30" i="3" s="1"/>
  <c r="V9" i="3"/>
  <c r="V30" i="3" s="1"/>
  <c r="X9" i="3" l="1"/>
  <c r="X30" i="3" s="1"/>
  <c r="V4" i="3"/>
  <c r="V10" i="3" l="1"/>
  <c r="W4" i="3"/>
  <c r="X4" i="3" s="1"/>
  <c r="V31" i="3"/>
  <c r="V11" i="3"/>
  <c r="V5" i="3"/>
  <c r="V25" i="3" s="1"/>
  <c r="W5" i="3" l="1"/>
  <c r="W25" i="3" s="1"/>
  <c r="W10" i="3"/>
  <c r="V32" i="3"/>
  <c r="V16" i="3"/>
  <c r="V19" i="3" s="1"/>
  <c r="V20" i="3" l="1"/>
  <c r="V21" i="3" s="1"/>
  <c r="W31" i="3"/>
  <c r="W11" i="3"/>
  <c r="X10" i="3"/>
  <c r="X5" i="3"/>
  <c r="X25" i="3" s="1"/>
  <c r="V23" i="3" l="1"/>
  <c r="V33" i="3"/>
  <c r="X11" i="3"/>
  <c r="X31" i="3"/>
  <c r="W16" i="3"/>
  <c r="W19" i="3" s="1"/>
  <c r="W32" i="3"/>
  <c r="W20" i="3" l="1"/>
  <c r="W21" i="3" s="1"/>
  <c r="X32" i="3"/>
  <c r="X16" i="3"/>
  <c r="X19" i="3" s="1"/>
  <c r="W23" i="3" l="1"/>
  <c r="W33" i="3"/>
  <c r="X20" i="3"/>
  <c r="X21" i="3" s="1"/>
  <c r="Y21" i="3" l="1"/>
  <c r="X23" i="3"/>
  <c r="X33" i="3"/>
  <c r="Z21" i="3" l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DJ21" i="3" s="1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EW21" i="3" s="1"/>
  <c r="EX21" i="3" s="1"/>
  <c r="EY21" i="3" s="1"/>
  <c r="EZ21" i="3" s="1"/>
  <c r="FA21" i="3" s="1"/>
  <c r="FB21" i="3" s="1"/>
  <c r="FC21" i="3" s="1"/>
  <c r="FD21" i="3" s="1"/>
  <c r="FE21" i="3" s="1"/>
  <c r="FF21" i="3" s="1"/>
  <c r="FG21" i="3" s="1"/>
  <c r="FH21" i="3" s="1"/>
  <c r="FI21" i="3" s="1"/>
  <c r="FJ21" i="3" s="1"/>
  <c r="FK21" i="3" s="1"/>
  <c r="FL21" i="3" s="1"/>
  <c r="FM21" i="3" s="1"/>
  <c r="FN21" i="3" s="1"/>
  <c r="FO21" i="3" s="1"/>
  <c r="FP21" i="3" s="1"/>
  <c r="FQ21" i="3" s="1"/>
  <c r="FR21" i="3" s="1"/>
  <c r="FS21" i="3" s="1"/>
  <c r="FT21" i="3" s="1"/>
  <c r="FU21" i="3" s="1"/>
  <c r="FV21" i="3" s="1"/>
  <c r="FW21" i="3" s="1"/>
  <c r="FX21" i="3" s="1"/>
  <c r="FY21" i="3" s="1"/>
  <c r="FZ21" i="3" s="1"/>
  <c r="GA21" i="3" s="1"/>
  <c r="GB21" i="3" s="1"/>
  <c r="GC21" i="3" s="1"/>
  <c r="GD21" i="3" s="1"/>
  <c r="GE21" i="3" s="1"/>
  <c r="GF21" i="3" s="1"/>
  <c r="GG21" i="3" s="1"/>
  <c r="GH21" i="3" s="1"/>
  <c r="GI21" i="3" s="1"/>
  <c r="GJ21" i="3" s="1"/>
  <c r="GK21" i="3" s="1"/>
  <c r="GL21" i="3" s="1"/>
  <c r="GM21" i="3" s="1"/>
  <c r="GN21" i="3" s="1"/>
  <c r="GO21" i="3" s="1"/>
  <c r="GP21" i="3" s="1"/>
  <c r="GQ21" i="3" s="1"/>
  <c r="GR21" i="3" s="1"/>
  <c r="GS21" i="3" s="1"/>
  <c r="GT21" i="3" s="1"/>
  <c r="GU21" i="3" s="1"/>
  <c r="GV21" i="3" s="1"/>
  <c r="GW21" i="3" s="1"/>
  <c r="GX21" i="3" s="1"/>
  <c r="GY21" i="3" s="1"/>
  <c r="GZ21" i="3" s="1"/>
  <c r="HA21" i="3" s="1"/>
  <c r="HB21" i="3" s="1"/>
  <c r="HC21" i="3" s="1"/>
  <c r="HD21" i="3" s="1"/>
  <c r="HE21" i="3" s="1"/>
  <c r="HF21" i="3" s="1"/>
  <c r="HG21" i="3" s="1"/>
  <c r="HH21" i="3" s="1"/>
  <c r="HI21" i="3" s="1"/>
  <c r="HJ21" i="3" s="1"/>
  <c r="HK21" i="3" s="1"/>
  <c r="HL21" i="3" s="1"/>
  <c r="HM21" i="3" s="1"/>
  <c r="HN21" i="3" s="1"/>
  <c r="HO21" i="3" s="1"/>
  <c r="HP21" i="3" s="1"/>
  <c r="HQ21" i="3" s="1"/>
  <c r="HR21" i="3" s="1"/>
  <c r="HS21" i="3" s="1"/>
  <c r="HT21" i="3" s="1"/>
  <c r="HU21" i="3" s="1"/>
  <c r="HV21" i="3" s="1"/>
  <c r="HW21" i="3" s="1"/>
  <c r="HX21" i="3" s="1"/>
  <c r="HY21" i="3" s="1"/>
  <c r="HZ21" i="3" s="1"/>
  <c r="IA21" i="3" s="1"/>
  <c r="IB21" i="3" s="1"/>
  <c r="IC21" i="3" s="1"/>
  <c r="ID21" i="3" s="1"/>
  <c r="IE21" i="3" s="1"/>
  <c r="IF21" i="3" s="1"/>
  <c r="IG21" i="3" s="1"/>
  <c r="IH21" i="3" s="1"/>
  <c r="II21" i="3" s="1"/>
  <c r="IJ21" i="3" s="1"/>
  <c r="IK21" i="3" s="1"/>
  <c r="IL21" i="3" s="1"/>
  <c r="IM21" i="3" s="1"/>
  <c r="IN21" i="3" s="1"/>
  <c r="IO21" i="3" s="1"/>
  <c r="IP21" i="3" s="1"/>
  <c r="IQ21" i="3" s="1"/>
  <c r="IR21" i="3" s="1"/>
  <c r="L37" i="3" l="1"/>
  <c r="L39" i="3" s="1"/>
  <c r="L40" i="3" s="1"/>
  <c r="L42" i="3" s="1"/>
</calcChain>
</file>

<file path=xl/sharedStrings.xml><?xml version="1.0" encoding="utf-8"?>
<sst xmlns="http://schemas.openxmlformats.org/spreadsheetml/2006/main" count="71" uniqueCount="66">
  <si>
    <t>Cash</t>
  </si>
  <si>
    <t>Debt</t>
  </si>
  <si>
    <t>EV</t>
  </si>
  <si>
    <t>Palo Alto Networks (PANW)</t>
  </si>
  <si>
    <t>Stock Price</t>
  </si>
  <si>
    <t>Market Cap</t>
  </si>
  <si>
    <t>Shares Outstanding</t>
  </si>
  <si>
    <t>Q224</t>
  </si>
  <si>
    <t>Total Revenue</t>
  </si>
  <si>
    <t>Product Revenue</t>
  </si>
  <si>
    <t>Subscriptions Revenue</t>
  </si>
  <si>
    <t>Product COGS</t>
  </si>
  <si>
    <t>Subscriptions COGS</t>
  </si>
  <si>
    <t>Total COGS</t>
  </si>
  <si>
    <t>Gross Profit</t>
  </si>
  <si>
    <t>Product Gross Profit</t>
  </si>
  <si>
    <t>Subs Gross Profit</t>
  </si>
  <si>
    <t>R&amp;D</t>
  </si>
  <si>
    <t>Operating Expense</t>
  </si>
  <si>
    <t>Operating Income</t>
  </si>
  <si>
    <t>Interest Expense</t>
  </si>
  <si>
    <t>Other Income</t>
  </si>
  <si>
    <t>Taxes</t>
  </si>
  <si>
    <t>Net Income</t>
  </si>
  <si>
    <t>Shares</t>
  </si>
  <si>
    <t>EPS</t>
  </si>
  <si>
    <t>Q123</t>
  </si>
  <si>
    <t>Q223</t>
  </si>
  <si>
    <t>Q323</t>
  </si>
  <si>
    <t>Q423</t>
  </si>
  <si>
    <t>Q124</t>
  </si>
  <si>
    <t>Q324</t>
  </si>
  <si>
    <t>Q424</t>
  </si>
  <si>
    <t>Sales &amp; Marketing</t>
  </si>
  <si>
    <t>General and Adminstrative</t>
  </si>
  <si>
    <t>Income before taxes</t>
  </si>
  <si>
    <t>Revenue y/y</t>
  </si>
  <si>
    <t>Product Gross Margin</t>
  </si>
  <si>
    <t>Subscription Gross Margin</t>
  </si>
  <si>
    <t>Gross Margin</t>
  </si>
  <si>
    <t>Net Margin</t>
  </si>
  <si>
    <t>Tax rate</t>
  </si>
  <si>
    <t>Q422</t>
  </si>
  <si>
    <t>Q322</t>
  </si>
  <si>
    <t>Q222</t>
  </si>
  <si>
    <t>Q122</t>
  </si>
  <si>
    <t>FC</t>
  </si>
  <si>
    <t>Product Revenue y/y</t>
  </si>
  <si>
    <t>Subs Revenue y/y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</si>
  <si>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</si>
  <si>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</si>
  <si>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</si>
  <si>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</si>
  <si>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</si>
  <si>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</si>
  <si>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</si>
  <si>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</si>
  <si>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</si>
  <si>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Discount Rate</t>
  </si>
  <si>
    <t>NPV</t>
  </si>
  <si>
    <t>Net Cash</t>
  </si>
  <si>
    <t>Total Value</t>
  </si>
  <si>
    <t>Per Share</t>
  </si>
  <si>
    <t>Maturity Value</t>
  </si>
  <si>
    <t>Current Price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</si>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</sst>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"/>
    <numFmt numFmtId="168" formatCode="0.0%"/>
    <numFmt numFmtId="171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168" fontId="0" fillId="0" borderId="0" xfId="0" applyNumberFormat="1"/>
    <xf numFmtId="165" fontId="1" fillId="0" borderId="0" xfId="0" applyNumberFormat="1" applyFont="1"/>
    <xf numFmtId="0" fontId="0" fillId="0" borderId="1" xfId="0" applyBorder="1"/>
    <xf numFmtId="9" fontId="0" fillId="0" borderId="1" xfId="0" applyNumberFormat="1" applyBorder="1"/>
    <xf numFmtId="168" fontId="0" fillId="0" borderId="1" xfId="0" applyNumberFormat="1" applyFont="1" applyBorder="1"/>
    <xf numFmtId="171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FC23-A470-45FF-84D3-DF5E36F7A166}">
  <sheetPr codeName="Sheet1"/>
  <dimension ref="B2:J9"/>
  <sheetViews>
    <sheetView workbookViewId="0">
      <selection activeCell="H8" sqref="H8"/>
    </sheetView>
  </sheetViews>
  <sheetFormatPr defaultRowHeight="14.4" x14ac:dyDescent="0.3"/>
  <cols>
    <col min="7" max="7" width="16.6640625" bestFit="1" customWidth="1"/>
    <col min="9" max="9" width="10.33203125" bestFit="1" customWidth="1"/>
  </cols>
  <sheetData>
    <row r="2" spans="2:10" x14ac:dyDescent="0.3">
      <c r="B2" t="s">
        <v>3</v>
      </c>
    </row>
    <row r="4" spans="2:10" x14ac:dyDescent="0.3">
      <c r="G4" t="s">
        <v>4</v>
      </c>
      <c r="H4" s="3">
        <v>279.5</v>
      </c>
    </row>
    <row r="5" spans="2:10" x14ac:dyDescent="0.3">
      <c r="G5" t="s">
        <v>6</v>
      </c>
      <c r="H5" s="1">
        <v>323.10000000000002</v>
      </c>
      <c r="I5" s="4">
        <v>45322</v>
      </c>
      <c r="J5" t="s">
        <v>7</v>
      </c>
    </row>
    <row r="6" spans="2:10" x14ac:dyDescent="0.3">
      <c r="G6" t="s">
        <v>5</v>
      </c>
      <c r="H6" s="1">
        <f>H5*H4</f>
        <v>90306.450000000012</v>
      </c>
      <c r="I6" s="4">
        <v>45322</v>
      </c>
      <c r="J6" t="s">
        <v>7</v>
      </c>
    </row>
    <row r="7" spans="2:10" x14ac:dyDescent="0.3">
      <c r="G7" t="s">
        <v>0</v>
      </c>
      <c r="H7" s="1">
        <f>1782.5+1588.5+1896.3+445.5</f>
        <v>5712.8</v>
      </c>
      <c r="I7" s="4">
        <v>45322</v>
      </c>
      <c r="J7" t="s">
        <v>7</v>
      </c>
    </row>
    <row r="8" spans="2:10" x14ac:dyDescent="0.3">
      <c r="G8" t="s">
        <v>1</v>
      </c>
      <c r="H8" s="1">
        <v>7765.5</v>
      </c>
      <c r="I8" s="4">
        <v>45322</v>
      </c>
      <c r="J8" t="s">
        <v>7</v>
      </c>
    </row>
    <row r="9" spans="2:10" x14ac:dyDescent="0.3">
      <c r="G9" t="s">
        <v>2</v>
      </c>
      <c r="H9" s="1">
        <f>+H6+H8-H7</f>
        <v>92359.150000000009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A31E-CEF6-4A71-AF14-BFA16AC8BCFA}">
  <sheetPr codeName="Sheet2"/>
  <dimension ref="B1:IR42"/>
  <sheetViews>
    <sheetView tabSelected="1" zoomScaleNormal="100" workbookViewId="0">
      <selection activeCell="N28" sqref="N28"/>
    </sheetView>
  </sheetViews>
  <sheetFormatPr defaultRowHeight="14.4" x14ac:dyDescent="0.3"/>
  <cols>
    <col min="2" max="2" width="23.77734375" bestFit="1" customWidth="1"/>
    <col min="3" max="3" width="10.44140625" bestFit="1" customWidth="1"/>
    <col min="4" max="7" width="10.44140625" customWidth="1"/>
    <col min="8" max="10" width="10.44140625" bestFit="1" customWidth="1"/>
    <col min="11" max="11" width="13.109375" bestFit="1" customWidth="1"/>
    <col min="12" max="12" width="10.44140625" bestFit="1" customWidth="1"/>
  </cols>
  <sheetData>
    <row r="1" spans="2:24" x14ac:dyDescent="0.3">
      <c r="C1" s="4">
        <v>44500</v>
      </c>
      <c r="D1" s="4">
        <v>44592</v>
      </c>
      <c r="E1" s="4">
        <v>44681</v>
      </c>
      <c r="F1" s="4">
        <v>44773</v>
      </c>
      <c r="G1" s="4">
        <v>45230</v>
      </c>
      <c r="H1" s="4">
        <v>44957</v>
      </c>
      <c r="I1" s="4">
        <v>45046</v>
      </c>
      <c r="J1" s="4">
        <v>45138</v>
      </c>
      <c r="K1" s="4">
        <v>45230</v>
      </c>
      <c r="L1" s="4">
        <v>45322</v>
      </c>
      <c r="M1" t="s">
        <v>46</v>
      </c>
      <c r="N1" t="s">
        <v>46</v>
      </c>
    </row>
    <row r="2" spans="2:24" x14ac:dyDescent="0.3">
      <c r="C2" t="s">
        <v>45</v>
      </c>
      <c r="D2" t="s">
        <v>44</v>
      </c>
      <c r="E2" t="s">
        <v>43</v>
      </c>
      <c r="F2" t="s">
        <v>42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7</v>
      </c>
      <c r="M2" t="s">
        <v>31</v>
      </c>
      <c r="N2" t="s">
        <v>32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</row>
    <row r="3" spans="2:24" x14ac:dyDescent="0.3">
      <c r="B3" t="s">
        <v>9</v>
      </c>
      <c r="C3" s="5">
        <v>295.5</v>
      </c>
      <c r="D3" s="5">
        <v>308</v>
      </c>
      <c r="E3" s="5">
        <v>351.5</v>
      </c>
      <c r="F3" s="5">
        <v>408.1</v>
      </c>
      <c r="G3" s="5">
        <v>330</v>
      </c>
      <c r="H3" s="5">
        <v>352.9</v>
      </c>
      <c r="I3" s="5">
        <v>388.1</v>
      </c>
      <c r="J3" s="5">
        <v>507.4</v>
      </c>
      <c r="K3" s="5">
        <v>341.1</v>
      </c>
      <c r="L3" s="5">
        <v>390.7</v>
      </c>
      <c r="M3" s="5">
        <f>I3*(1+M26)</f>
        <v>407.50500000000005</v>
      </c>
      <c r="N3" s="5">
        <f>J3*(1+N26)</f>
        <v>583.50999999999988</v>
      </c>
      <c r="P3" s="5">
        <f>SUM(C3:F3)</f>
        <v>1363.1</v>
      </c>
      <c r="Q3" s="5">
        <f>SUM(G3:J3)</f>
        <v>1578.4</v>
      </c>
      <c r="R3" s="5">
        <f>SUM(K3:N3)</f>
        <v>1722.8150000000001</v>
      </c>
      <c r="S3" s="5">
        <f>R3*(1+S26)</f>
        <v>1860.6402000000003</v>
      </c>
      <c r="T3" s="5">
        <f>S3*(1+T26)</f>
        <v>1925.7626070000001</v>
      </c>
      <c r="U3" s="5">
        <f>T3*(1+U26)</f>
        <v>1925.7626070000001</v>
      </c>
      <c r="V3" s="5">
        <f>U3*(1+V26)</f>
        <v>1887.2473548600001</v>
      </c>
      <c r="W3" s="5">
        <f>V3*(1+W26)</f>
        <v>1849.5024077628</v>
      </c>
      <c r="X3" s="5">
        <f>W3*(1+X26)</f>
        <v>1757.0272873746599</v>
      </c>
    </row>
    <row r="4" spans="2:24" x14ac:dyDescent="0.3">
      <c r="B4" t="s">
        <v>10</v>
      </c>
      <c r="C4" s="5">
        <v>951.9</v>
      </c>
      <c r="D4" s="5">
        <v>1008.9</v>
      </c>
      <c r="E4" s="5">
        <v>1035.2</v>
      </c>
      <c r="F4" s="5">
        <v>1142.4000000000001</v>
      </c>
      <c r="G4" s="5">
        <v>1233.4000000000001</v>
      </c>
      <c r="H4" s="5">
        <v>1302.2</v>
      </c>
      <c r="I4" s="5">
        <v>1332.8</v>
      </c>
      <c r="J4" s="5">
        <v>1445.9</v>
      </c>
      <c r="K4" s="5">
        <v>1537</v>
      </c>
      <c r="L4" s="5">
        <v>1584.4</v>
      </c>
      <c r="M4" s="5">
        <f>I4*(1+M27)</f>
        <v>1492.7360000000001</v>
      </c>
      <c r="N4" s="5">
        <f>J4*(1+N27)</f>
        <v>1763.998</v>
      </c>
      <c r="P4" s="5">
        <f>SUM(C4:F4)</f>
        <v>4138.3999999999996</v>
      </c>
      <c r="Q4" s="5">
        <f>SUM(G4:J4)</f>
        <v>5314.3000000000011</v>
      </c>
      <c r="R4" s="5">
        <f>SUM(K4:N4)</f>
        <v>6378.134</v>
      </c>
      <c r="S4" s="5">
        <f>R4*(1+S27)</f>
        <v>7526.19812</v>
      </c>
      <c r="T4" s="5">
        <f>S4*(1+T27)</f>
        <v>8278.8179319999999</v>
      </c>
      <c r="U4" s="5">
        <f>T4*(1+U27)</f>
        <v>8609.9706492799996</v>
      </c>
      <c r="V4" s="5">
        <f>U4*(1+V27)</f>
        <v>8609.9706492799996</v>
      </c>
      <c r="W4" s="5">
        <f>V4*(1+W27)</f>
        <v>8437.7712362944003</v>
      </c>
      <c r="X4" s="5">
        <f>W4*(1+X27)</f>
        <v>8015.8826744796797</v>
      </c>
    </row>
    <row r="5" spans="2:24" x14ac:dyDescent="0.3">
      <c r="B5" t="s">
        <v>8</v>
      </c>
      <c r="C5" s="5">
        <f>+C4+C3</f>
        <v>1247.4000000000001</v>
      </c>
      <c r="D5" s="5">
        <f>+D4+D3</f>
        <v>1316.9</v>
      </c>
      <c r="E5" s="5">
        <f>+E4+E3</f>
        <v>1386.7</v>
      </c>
      <c r="F5" s="5">
        <f>+F4+F3</f>
        <v>1550.5</v>
      </c>
      <c r="G5" s="5">
        <f>+G4+G3</f>
        <v>1563.4</v>
      </c>
      <c r="H5" s="5">
        <f>+H4+H3</f>
        <v>1655.1</v>
      </c>
      <c r="I5" s="5">
        <f>+I4+I3</f>
        <v>1720.9</v>
      </c>
      <c r="J5" s="5">
        <f>+J4+J3</f>
        <v>1953.3000000000002</v>
      </c>
      <c r="K5" s="5">
        <f>+K4+K3</f>
        <v>1878.1</v>
      </c>
      <c r="L5" s="5">
        <f>+L4+L3</f>
        <v>1975.1000000000001</v>
      </c>
      <c r="M5" s="5">
        <f>+M4+M3</f>
        <v>1900.2410000000002</v>
      </c>
      <c r="N5" s="5">
        <f>+N4+N3</f>
        <v>2347.5079999999998</v>
      </c>
      <c r="P5" s="5">
        <f>P4+P3</f>
        <v>5501.5</v>
      </c>
      <c r="Q5" s="5">
        <f>SUM(G5:J5)</f>
        <v>6892.7</v>
      </c>
      <c r="R5" s="5">
        <f>SUM(K5:N5)</f>
        <v>8100.9489999999996</v>
      </c>
      <c r="S5" s="5">
        <f>S4+S3</f>
        <v>9386.8383200000007</v>
      </c>
      <c r="T5" s="5">
        <f t="shared" ref="T5:X5" si="0">T4+T3</f>
        <v>10204.580539</v>
      </c>
      <c r="U5" s="5">
        <f t="shared" si="0"/>
        <v>10535.73325628</v>
      </c>
      <c r="V5" s="5">
        <f t="shared" si="0"/>
        <v>10497.218004139999</v>
      </c>
      <c r="W5" s="5">
        <f t="shared" si="0"/>
        <v>10287.273644057201</v>
      </c>
      <c r="X5" s="5">
        <f t="shared" si="0"/>
        <v>9772.9099618543405</v>
      </c>
    </row>
    <row r="6" spans="2:24" x14ac:dyDescent="0.3">
      <c r="B6" t="s">
        <v>11</v>
      </c>
      <c r="C6" s="5">
        <v>88.9</v>
      </c>
      <c r="D6" s="5">
        <v>97.8</v>
      </c>
      <c r="E6" s="5">
        <v>126</v>
      </c>
      <c r="F6" s="5">
        <v>142.80000000000001</v>
      </c>
      <c r="G6" s="5">
        <v>120.1</v>
      </c>
      <c r="H6" s="5">
        <v>100.5</v>
      </c>
      <c r="I6" s="5">
        <v>93.4</v>
      </c>
      <c r="J6" s="5">
        <v>104.3</v>
      </c>
      <c r="K6" s="5">
        <v>77.400000000000006</v>
      </c>
      <c r="L6" s="5">
        <v>88.2</v>
      </c>
      <c r="M6" s="5">
        <v>90</v>
      </c>
      <c r="N6" s="5">
        <v>90</v>
      </c>
      <c r="P6" s="5">
        <f>SUM(C6:F6)</f>
        <v>455.5</v>
      </c>
      <c r="Q6" s="5">
        <f>SUM(G6:J6)</f>
        <v>418.3</v>
      </c>
      <c r="R6" s="5">
        <f>SUM(K6:N6)</f>
        <v>345.6</v>
      </c>
      <c r="S6" s="5">
        <f>R6*0.98</f>
        <v>338.68799999999999</v>
      </c>
      <c r="T6" s="5">
        <f t="shared" ref="T6:X6" si="1">S6*0.98</f>
        <v>331.91424000000001</v>
      </c>
      <c r="U6" s="5">
        <f t="shared" si="1"/>
        <v>325.2759552</v>
      </c>
      <c r="V6" s="5">
        <f t="shared" si="1"/>
        <v>318.77043609599997</v>
      </c>
      <c r="W6" s="5">
        <f t="shared" si="1"/>
        <v>312.39502737407997</v>
      </c>
      <c r="X6" s="5">
        <f t="shared" si="1"/>
        <v>306.14712682659837</v>
      </c>
    </row>
    <row r="7" spans="2:24" x14ac:dyDescent="0.3">
      <c r="B7" t="s">
        <v>12</v>
      </c>
      <c r="C7" s="5">
        <v>291.7</v>
      </c>
      <c r="D7" s="5">
        <v>307.5</v>
      </c>
      <c r="E7" s="5">
        <v>314.5</v>
      </c>
      <c r="F7" s="5">
        <v>349.5</v>
      </c>
      <c r="G7" s="5">
        <v>341.8</v>
      </c>
      <c r="H7" s="5">
        <v>365.7</v>
      </c>
      <c r="I7" s="5">
        <v>381.4</v>
      </c>
      <c r="J7" s="5">
        <v>402.5</v>
      </c>
      <c r="K7" s="5">
        <v>395.4</v>
      </c>
      <c r="L7" s="5">
        <v>410.9</v>
      </c>
      <c r="M7" s="5">
        <v>400</v>
      </c>
      <c r="N7" s="5">
        <v>400</v>
      </c>
      <c r="P7" s="5">
        <f>SUM(C7:F7)</f>
        <v>1263.2</v>
      </c>
      <c r="Q7" s="5">
        <f>SUM(G7:J7)</f>
        <v>1491.4</v>
      </c>
      <c r="R7" s="5">
        <f>SUM(K7:N7)</f>
        <v>1606.3</v>
      </c>
      <c r="S7" s="5">
        <f>R7*0.98</f>
        <v>1574.174</v>
      </c>
      <c r="T7" s="5">
        <f t="shared" ref="T7:X7" si="2">S7*0.98</f>
        <v>1542.6905199999999</v>
      </c>
      <c r="U7" s="5">
        <f t="shared" si="2"/>
        <v>1511.8367095999999</v>
      </c>
      <c r="V7" s="5">
        <f t="shared" si="2"/>
        <v>1481.5999754079999</v>
      </c>
      <c r="W7" s="5">
        <f t="shared" si="2"/>
        <v>1451.9679758998398</v>
      </c>
      <c r="X7" s="5">
        <f t="shared" si="2"/>
        <v>1422.9286163818429</v>
      </c>
    </row>
    <row r="8" spans="2:24" x14ac:dyDescent="0.3">
      <c r="B8" t="s">
        <v>13</v>
      </c>
      <c r="C8" s="5">
        <f>+C7+C6</f>
        <v>380.6</v>
      </c>
      <c r="D8" s="5">
        <f>+D7+D6</f>
        <v>405.3</v>
      </c>
      <c r="E8" s="5">
        <f>+E7+E6</f>
        <v>440.5</v>
      </c>
      <c r="F8" s="5">
        <f>+F7+F6</f>
        <v>492.3</v>
      </c>
      <c r="G8" s="5">
        <f>+G7+G6</f>
        <v>461.9</v>
      </c>
      <c r="H8" s="5">
        <f>+H7+H6</f>
        <v>466.2</v>
      </c>
      <c r="I8" s="5">
        <f>+I7+I6</f>
        <v>474.79999999999995</v>
      </c>
      <c r="J8" s="5">
        <f>+J7+J6</f>
        <v>506.8</v>
      </c>
      <c r="K8" s="5">
        <f>+K7+K6</f>
        <v>472.79999999999995</v>
      </c>
      <c r="L8" s="5">
        <f>+L7+L6</f>
        <v>499.09999999999997</v>
      </c>
      <c r="M8" s="5">
        <f>+M7+M6</f>
        <v>490</v>
      </c>
      <c r="N8" s="5">
        <f>+N7+N6</f>
        <v>490</v>
      </c>
      <c r="P8" s="5">
        <f>SUM(P6:P7)</f>
        <v>1718.7</v>
      </c>
      <c r="Q8" s="5">
        <f>SUM(G8:J8)</f>
        <v>1909.6999999999998</v>
      </c>
      <c r="R8" s="5">
        <f>SUM(K8:N8)</f>
        <v>1951.8999999999999</v>
      </c>
      <c r="S8" s="5">
        <f>S6+S7</f>
        <v>1912.8620000000001</v>
      </c>
      <c r="T8" s="5">
        <f t="shared" ref="T8:X8" si="3">T6+T7</f>
        <v>1874.6047599999999</v>
      </c>
      <c r="U8" s="5">
        <f t="shared" si="3"/>
        <v>1837.1126647999999</v>
      </c>
      <c r="V8" s="5">
        <f t="shared" si="3"/>
        <v>1800.3704115039998</v>
      </c>
      <c r="W8" s="5">
        <f t="shared" si="3"/>
        <v>1764.3630032739197</v>
      </c>
      <c r="X8" s="5">
        <f t="shared" si="3"/>
        <v>1729.0757432084413</v>
      </c>
    </row>
    <row r="9" spans="2:24" x14ac:dyDescent="0.3">
      <c r="B9" t="s">
        <v>15</v>
      </c>
      <c r="C9" s="5">
        <f>+C3-C6</f>
        <v>206.6</v>
      </c>
      <c r="D9" s="5">
        <f>+D3-D6</f>
        <v>210.2</v>
      </c>
      <c r="E9" s="5">
        <f>+E3-E6</f>
        <v>225.5</v>
      </c>
      <c r="F9" s="5">
        <f>+F3-F6</f>
        <v>265.3</v>
      </c>
      <c r="G9" s="5">
        <f>+G3-G6</f>
        <v>209.9</v>
      </c>
      <c r="H9" s="5">
        <f>+H3-H6</f>
        <v>252.39999999999998</v>
      </c>
      <c r="I9" s="5">
        <f>+I3-I6</f>
        <v>294.70000000000005</v>
      </c>
      <c r="J9" s="5">
        <f>+J3-J6</f>
        <v>403.09999999999997</v>
      </c>
      <c r="K9" s="5">
        <f>+K3-K6</f>
        <v>263.70000000000005</v>
      </c>
      <c r="L9" s="5">
        <f>+L3-L6</f>
        <v>302.5</v>
      </c>
      <c r="M9" s="5">
        <f>+M3-M6</f>
        <v>317.50500000000005</v>
      </c>
      <c r="N9" s="5">
        <f>+N3-N6</f>
        <v>493.50999999999988</v>
      </c>
      <c r="P9" s="5">
        <f>+P3-P6</f>
        <v>907.59999999999991</v>
      </c>
      <c r="Q9" s="5">
        <f>SUM(G9:J9)</f>
        <v>1160.0999999999999</v>
      </c>
      <c r="R9" s="5">
        <f>SUM(K9:N9)</f>
        <v>1377.2150000000001</v>
      </c>
      <c r="S9" s="5">
        <f>S3-S6</f>
        <v>1521.9522000000002</v>
      </c>
      <c r="T9" s="5">
        <f t="shared" ref="T9:X9" si="4">T3-T6</f>
        <v>1593.8483670000001</v>
      </c>
      <c r="U9" s="5">
        <f t="shared" si="4"/>
        <v>1600.4866518000001</v>
      </c>
      <c r="V9" s="5">
        <f t="shared" si="4"/>
        <v>1568.4769187640002</v>
      </c>
      <c r="W9" s="5">
        <f t="shared" si="4"/>
        <v>1537.10738038872</v>
      </c>
      <c r="X9" s="5">
        <f t="shared" si="4"/>
        <v>1450.8801605480614</v>
      </c>
    </row>
    <row r="10" spans="2:24" x14ac:dyDescent="0.3">
      <c r="B10" t="s">
        <v>16</v>
      </c>
      <c r="C10" s="5">
        <f>+C4-C7</f>
        <v>660.2</v>
      </c>
      <c r="D10" s="5">
        <f>+D4-D7</f>
        <v>701.4</v>
      </c>
      <c r="E10" s="5">
        <f>+E4-E7</f>
        <v>720.7</v>
      </c>
      <c r="F10" s="5">
        <f>+F4-F7</f>
        <v>792.90000000000009</v>
      </c>
      <c r="G10" s="5">
        <f>+G4-G7</f>
        <v>891.60000000000014</v>
      </c>
      <c r="H10" s="5">
        <f>+H4-H7</f>
        <v>936.5</v>
      </c>
      <c r="I10" s="5">
        <f>+I4-I7</f>
        <v>951.4</v>
      </c>
      <c r="J10" s="5">
        <f>+J4-J7</f>
        <v>1043.4000000000001</v>
      </c>
      <c r="K10" s="5">
        <f>+K4-K7</f>
        <v>1141.5999999999999</v>
      </c>
      <c r="L10" s="5">
        <f>+L4-L7</f>
        <v>1173.5</v>
      </c>
      <c r="M10" s="5">
        <f>+M4-M7</f>
        <v>1092.7360000000001</v>
      </c>
      <c r="N10" s="5">
        <f>+N4-N7</f>
        <v>1363.998</v>
      </c>
      <c r="P10" s="5">
        <f>+P4-P7</f>
        <v>2875.2</v>
      </c>
      <c r="Q10" s="5">
        <f>SUM(G10:J10)</f>
        <v>3822.9</v>
      </c>
      <c r="R10" s="5">
        <f>SUM(K10:N10)</f>
        <v>4771.8340000000007</v>
      </c>
      <c r="S10" s="5">
        <f>S4-S7</f>
        <v>5952.02412</v>
      </c>
      <c r="T10" s="5">
        <f t="shared" ref="T10:X10" si="5">T4-T7</f>
        <v>6736.1274119999998</v>
      </c>
      <c r="U10" s="5">
        <f t="shared" si="5"/>
        <v>7098.1339396799995</v>
      </c>
      <c r="V10" s="5">
        <f t="shared" si="5"/>
        <v>7128.3706738719993</v>
      </c>
      <c r="W10" s="5">
        <f t="shared" si="5"/>
        <v>6985.8032603945603</v>
      </c>
      <c r="X10" s="5">
        <f t="shared" si="5"/>
        <v>6592.9540580978373</v>
      </c>
    </row>
    <row r="11" spans="2:24" x14ac:dyDescent="0.3">
      <c r="B11" t="s">
        <v>14</v>
      </c>
      <c r="C11" s="5">
        <f>+C10+C9</f>
        <v>866.80000000000007</v>
      </c>
      <c r="D11" s="5">
        <f>+D10+D9</f>
        <v>911.59999999999991</v>
      </c>
      <c r="E11" s="5">
        <f>+E10+E9</f>
        <v>946.2</v>
      </c>
      <c r="F11" s="5">
        <f>+F10+F9</f>
        <v>1058.2</v>
      </c>
      <c r="G11" s="5">
        <f>+G10+G9</f>
        <v>1101.5000000000002</v>
      </c>
      <c r="H11" s="5">
        <f>+H10+H9</f>
        <v>1188.9000000000001</v>
      </c>
      <c r="I11" s="5">
        <f>+I10+I9</f>
        <v>1246.0999999999999</v>
      </c>
      <c r="J11" s="5">
        <f>+J10+J9</f>
        <v>1446.5</v>
      </c>
      <c r="K11" s="5">
        <f>+K10+K9</f>
        <v>1405.3</v>
      </c>
      <c r="L11" s="5">
        <f>+L10+L9</f>
        <v>1476</v>
      </c>
      <c r="M11" s="5">
        <f>+M10+M9</f>
        <v>1410.2410000000002</v>
      </c>
      <c r="N11" s="5">
        <f>+N10+N9</f>
        <v>1857.5079999999998</v>
      </c>
      <c r="P11" s="5">
        <f>+P10+P9</f>
        <v>3782.7999999999997</v>
      </c>
      <c r="Q11" s="5">
        <f>SUM(G11:J11)</f>
        <v>4983</v>
      </c>
      <c r="R11" s="5">
        <f>SUM(K11:N11)</f>
        <v>6149.049</v>
      </c>
      <c r="S11" s="5">
        <f>S10+S9</f>
        <v>7473.9763199999998</v>
      </c>
      <c r="T11" s="5">
        <f t="shared" ref="T11:X11" si="6">T10+T9</f>
        <v>8329.9757790000003</v>
      </c>
      <c r="U11" s="5">
        <f t="shared" si="6"/>
        <v>8698.6205914799993</v>
      </c>
      <c r="V11" s="5">
        <f t="shared" si="6"/>
        <v>8696.8475926359988</v>
      </c>
      <c r="W11" s="5">
        <f t="shared" si="6"/>
        <v>8522.9106407832805</v>
      </c>
      <c r="X11" s="5">
        <f t="shared" si="6"/>
        <v>8043.8342186458985</v>
      </c>
    </row>
    <row r="12" spans="2:24" x14ac:dyDescent="0.3">
      <c r="B12" t="s">
        <v>17</v>
      </c>
      <c r="C12" s="5">
        <v>339.5</v>
      </c>
      <c r="D12" s="5">
        <v>359</v>
      </c>
      <c r="E12" s="5">
        <v>355.4</v>
      </c>
      <c r="F12" s="5">
        <v>363.8</v>
      </c>
      <c r="G12" s="5">
        <v>371.8</v>
      </c>
      <c r="H12" s="5">
        <v>404.1</v>
      </c>
      <c r="I12" s="5">
        <v>413.7</v>
      </c>
      <c r="J12" s="5">
        <v>414.4</v>
      </c>
      <c r="K12" s="5">
        <v>409.5</v>
      </c>
      <c r="L12" s="5">
        <v>447.9</v>
      </c>
      <c r="M12" s="5">
        <v>447.9</v>
      </c>
      <c r="N12" s="5">
        <f>M12*1</f>
        <v>447.9</v>
      </c>
      <c r="P12" s="5">
        <f>SUM(C12:F12)</f>
        <v>1417.7</v>
      </c>
      <c r="Q12" s="5">
        <f>SUM(G12:J12)</f>
        <v>1604</v>
      </c>
      <c r="R12" s="5">
        <f>SUM(K12:N12)</f>
        <v>1753.1999999999998</v>
      </c>
      <c r="S12" s="5">
        <f>R12*0.98</f>
        <v>1718.1359999999997</v>
      </c>
      <c r="T12" s="5">
        <f t="shared" ref="T12:X12" si="7">S12*0.98</f>
        <v>1683.7732799999997</v>
      </c>
      <c r="U12" s="5">
        <f t="shared" si="7"/>
        <v>1650.0978143999996</v>
      </c>
      <c r="V12" s="5">
        <f t="shared" si="7"/>
        <v>1617.0958581119996</v>
      </c>
      <c r="W12" s="5">
        <f t="shared" si="7"/>
        <v>1584.7539409497597</v>
      </c>
      <c r="X12" s="5">
        <f t="shared" si="7"/>
        <v>1553.0588621307645</v>
      </c>
    </row>
    <row r="13" spans="2:24" x14ac:dyDescent="0.3">
      <c r="B13" t="s">
        <v>33</v>
      </c>
      <c r="C13" s="5">
        <v>505.9</v>
      </c>
      <c r="D13" s="5">
        <v>528.79999999999995</v>
      </c>
      <c r="E13" s="5">
        <v>543.6</v>
      </c>
      <c r="F13" s="5">
        <v>570.6</v>
      </c>
      <c r="G13" s="5">
        <v>615</v>
      </c>
      <c r="H13" s="5">
        <v>625.5</v>
      </c>
      <c r="I13" s="5">
        <v>639.5</v>
      </c>
      <c r="J13" s="5">
        <v>664</v>
      </c>
      <c r="K13" s="5">
        <v>660.5</v>
      </c>
      <c r="L13" s="5">
        <v>673</v>
      </c>
      <c r="M13" s="5">
        <v>673</v>
      </c>
      <c r="N13" s="5">
        <f>M13*1.05</f>
        <v>706.65</v>
      </c>
      <c r="P13" s="5">
        <f>SUM(C13:F13)</f>
        <v>2148.8999999999996</v>
      </c>
      <c r="Q13" s="5">
        <f>SUM(G13:J13)</f>
        <v>2544</v>
      </c>
      <c r="R13" s="5">
        <f>SUM(K13:N13)</f>
        <v>2713.15</v>
      </c>
      <c r="S13" s="5">
        <f>R13*0.98</f>
        <v>2658.8870000000002</v>
      </c>
      <c r="T13" s="5">
        <f t="shared" ref="T13:X13" si="8">S13*0.98</f>
        <v>2605.7092600000001</v>
      </c>
      <c r="U13" s="5">
        <f t="shared" si="8"/>
        <v>2553.5950748</v>
      </c>
      <c r="V13" s="5">
        <f t="shared" si="8"/>
        <v>2502.523173304</v>
      </c>
      <c r="W13" s="5">
        <f t="shared" si="8"/>
        <v>2452.4727098379199</v>
      </c>
      <c r="X13" s="5">
        <f t="shared" si="8"/>
        <v>2403.4232556411616</v>
      </c>
    </row>
    <row r="14" spans="2:24" x14ac:dyDescent="0.3">
      <c r="B14" t="s">
        <v>34</v>
      </c>
      <c r="C14" s="5">
        <v>104.1</v>
      </c>
      <c r="D14" s="5">
        <v>97.7</v>
      </c>
      <c r="E14" s="5">
        <v>94.8</v>
      </c>
      <c r="F14" s="5">
        <v>108.4</v>
      </c>
      <c r="G14" s="5">
        <v>99.5</v>
      </c>
      <c r="H14" s="5">
        <v>119.4</v>
      </c>
      <c r="I14" s="5">
        <v>114.2</v>
      </c>
      <c r="J14" s="5">
        <v>114.6</v>
      </c>
      <c r="K14" s="5">
        <v>120.1</v>
      </c>
      <c r="L14" s="5">
        <v>301.5</v>
      </c>
      <c r="M14" s="5">
        <v>301.5</v>
      </c>
      <c r="N14" s="5">
        <v>301.5</v>
      </c>
      <c r="P14" s="5">
        <f>SUM(C14:F14)</f>
        <v>405</v>
      </c>
      <c r="Q14" s="5">
        <f>SUM(G14:J14)</f>
        <v>447.70000000000005</v>
      </c>
      <c r="R14" s="5">
        <f>SUM(K14:N14)</f>
        <v>1024.5999999999999</v>
      </c>
      <c r="S14" s="5">
        <f>R14*0.98</f>
        <v>1004.1079999999999</v>
      </c>
      <c r="T14" s="5">
        <f t="shared" ref="T14:X14" si="9">S14*0.98</f>
        <v>984.0258399999999</v>
      </c>
      <c r="U14" s="5">
        <f t="shared" si="9"/>
        <v>964.34532319999994</v>
      </c>
      <c r="V14" s="5">
        <f t="shared" si="9"/>
        <v>945.05841673599991</v>
      </c>
      <c r="W14" s="5">
        <f t="shared" si="9"/>
        <v>926.15724840127984</v>
      </c>
      <c r="X14" s="5">
        <f t="shared" si="9"/>
        <v>907.63410343325427</v>
      </c>
    </row>
    <row r="15" spans="2:24" x14ac:dyDescent="0.3">
      <c r="B15" t="s">
        <v>18</v>
      </c>
      <c r="C15" s="5">
        <f>+C14+C13+C12</f>
        <v>949.5</v>
      </c>
      <c r="D15" s="5">
        <f>+D14+D13+D12</f>
        <v>985.5</v>
      </c>
      <c r="E15" s="5">
        <f>+E14+E13+E12</f>
        <v>993.8</v>
      </c>
      <c r="F15" s="5">
        <f>+F14+F13+F12</f>
        <v>1042.8</v>
      </c>
      <c r="G15" s="5">
        <f>+G14+G13+G12</f>
        <v>1086.3</v>
      </c>
      <c r="H15" s="5">
        <f>+H14+H13+H12</f>
        <v>1149</v>
      </c>
      <c r="I15" s="5">
        <f>+I14+I13+I12</f>
        <v>1167.4000000000001</v>
      </c>
      <c r="J15" s="5">
        <f>+J14+J13+J12</f>
        <v>1193</v>
      </c>
      <c r="K15" s="5">
        <f>+K14+K13+K12</f>
        <v>1190.0999999999999</v>
      </c>
      <c r="L15" s="5">
        <f>+L14+L13+L12</f>
        <v>1422.4</v>
      </c>
      <c r="M15" s="5">
        <f>+M14+M13+M12</f>
        <v>1422.4</v>
      </c>
      <c r="N15" s="5">
        <f>+N14+N13+N12</f>
        <v>1456.05</v>
      </c>
      <c r="P15" s="5">
        <f>SUM(C15:F15)</f>
        <v>3971.6000000000004</v>
      </c>
      <c r="Q15" s="5">
        <f>SUM(G15:J15)</f>
        <v>4595.7000000000007</v>
      </c>
      <c r="R15" s="5">
        <f>SUM(K15:N15)</f>
        <v>5490.95</v>
      </c>
      <c r="S15" s="5">
        <f>S14+S13+S12</f>
        <v>5381.1309999999994</v>
      </c>
      <c r="T15" s="5">
        <f t="shared" ref="T15:X15" si="10">T14+T13+T12</f>
        <v>5273.5083799999993</v>
      </c>
      <c r="U15" s="5">
        <f t="shared" si="10"/>
        <v>5168.0382123999989</v>
      </c>
      <c r="V15" s="5">
        <f t="shared" si="10"/>
        <v>5064.6774481519997</v>
      </c>
      <c r="W15" s="5">
        <f t="shared" si="10"/>
        <v>4963.3838991889597</v>
      </c>
      <c r="X15" s="5">
        <f t="shared" si="10"/>
        <v>4864.1162212051804</v>
      </c>
    </row>
    <row r="16" spans="2:24" x14ac:dyDescent="0.3">
      <c r="B16" t="s">
        <v>19</v>
      </c>
      <c r="C16" s="5">
        <f>+C11-C15</f>
        <v>-82.699999999999932</v>
      </c>
      <c r="D16" s="5">
        <f>+D11-D15</f>
        <v>-73.900000000000091</v>
      </c>
      <c r="E16" s="5">
        <f>+E11-E15</f>
        <v>-47.599999999999909</v>
      </c>
      <c r="F16" s="5">
        <f>+F11-F15</f>
        <v>15.400000000000091</v>
      </c>
      <c r="G16" s="5">
        <f>+G11-G15</f>
        <v>15.200000000000273</v>
      </c>
      <c r="H16" s="5">
        <f>+H11-H15</f>
        <v>39.900000000000091</v>
      </c>
      <c r="I16" s="5">
        <f>+I11-I15</f>
        <v>78.699999999999818</v>
      </c>
      <c r="J16" s="5">
        <f>+J11-J15</f>
        <v>253.5</v>
      </c>
      <c r="K16" s="5">
        <f>+K11-K15</f>
        <v>215.20000000000005</v>
      </c>
      <c r="L16" s="5">
        <f>+L11-L15</f>
        <v>53.599999999999909</v>
      </c>
      <c r="M16" s="5">
        <f>+M11-M15</f>
        <v>-12.158999999999878</v>
      </c>
      <c r="N16" s="5">
        <f>+N11-N15</f>
        <v>401.45799999999986</v>
      </c>
      <c r="P16" s="5">
        <f>SUM(C16:F16)</f>
        <v>-188.79999999999984</v>
      </c>
      <c r="Q16" s="5">
        <f>SUM(G16:J16)</f>
        <v>387.30000000000018</v>
      </c>
      <c r="R16" s="5">
        <f>SUM(K16:N16)</f>
        <v>658.09899999999993</v>
      </c>
      <c r="S16" s="5">
        <f>S11-S15</f>
        <v>2092.8453200000004</v>
      </c>
      <c r="T16" s="5">
        <f t="shared" ref="T16:X16" si="11">T11-T15</f>
        <v>3056.467399000001</v>
      </c>
      <c r="U16" s="5">
        <f t="shared" si="11"/>
        <v>3530.5823790800005</v>
      </c>
      <c r="V16" s="5">
        <f t="shared" si="11"/>
        <v>3632.1701444839991</v>
      </c>
      <c r="W16" s="5">
        <f t="shared" si="11"/>
        <v>3559.5267415943208</v>
      </c>
      <c r="X16" s="5">
        <f t="shared" si="11"/>
        <v>3179.7179974407181</v>
      </c>
    </row>
    <row r="17" spans="2:252" x14ac:dyDescent="0.3">
      <c r="B17" t="s">
        <v>20</v>
      </c>
      <c r="C17" s="5">
        <v>-6.9</v>
      </c>
      <c r="D17" s="5">
        <v>-6.8</v>
      </c>
      <c r="E17" s="5">
        <v>-6.8</v>
      </c>
      <c r="F17" s="5">
        <v>-6.9</v>
      </c>
      <c r="G17" s="5">
        <v>-6.8</v>
      </c>
      <c r="H17" s="5">
        <v>-6.9</v>
      </c>
      <c r="I17" s="5">
        <v>-7.8</v>
      </c>
      <c r="J17" s="5">
        <v>-5.7</v>
      </c>
      <c r="K17" s="5">
        <v>-2.9</v>
      </c>
      <c r="L17" s="5">
        <v>-2.8</v>
      </c>
      <c r="M17" s="5">
        <v>-2.8</v>
      </c>
      <c r="N17" s="5">
        <v>-2.8</v>
      </c>
      <c r="P17" s="5">
        <f>SUM(C17:F17)</f>
        <v>-27.4</v>
      </c>
      <c r="Q17" s="5">
        <f>SUM(G17:J17)</f>
        <v>-27.2</v>
      </c>
      <c r="R17" s="5">
        <f>SUM(K17:N17)</f>
        <v>-11.3</v>
      </c>
      <c r="S17" s="5">
        <f>R17</f>
        <v>-11.3</v>
      </c>
      <c r="T17" s="5">
        <f t="shared" ref="T17:U17" si="12">S17</f>
        <v>-11.3</v>
      </c>
      <c r="U17" s="5">
        <f t="shared" si="12"/>
        <v>-11.3</v>
      </c>
      <c r="V17">
        <f>U17*0.8</f>
        <v>-9.0400000000000009</v>
      </c>
      <c r="W17">
        <v>-9.0399999999999991</v>
      </c>
      <c r="X17">
        <f>W17*0.8</f>
        <v>-7.2319999999999993</v>
      </c>
    </row>
    <row r="18" spans="2:252" x14ac:dyDescent="0.3">
      <c r="B18" t="s">
        <v>21</v>
      </c>
      <c r="C18" s="5">
        <v>-1.6</v>
      </c>
      <c r="D18" s="5">
        <v>-0.1</v>
      </c>
      <c r="E18" s="5">
        <v>1.9</v>
      </c>
      <c r="F18" s="5">
        <v>8.8000000000000007</v>
      </c>
      <c r="G18" s="5">
        <v>26</v>
      </c>
      <c r="H18" s="5">
        <v>51.4</v>
      </c>
      <c r="I18" s="5">
        <v>60.1</v>
      </c>
      <c r="J18" s="5">
        <v>68.7</v>
      </c>
      <c r="K18" s="5">
        <v>70.3</v>
      </c>
      <c r="L18" s="5">
        <v>84.7</v>
      </c>
      <c r="M18" s="5">
        <v>70</v>
      </c>
      <c r="N18" s="5">
        <v>70</v>
      </c>
      <c r="P18" s="5">
        <f>SUM(C18:F18)</f>
        <v>9</v>
      </c>
      <c r="Q18" s="5">
        <f>SUM(G18:J18)</f>
        <v>206.2</v>
      </c>
      <c r="R18" s="5">
        <f>SUM(K18:N18)</f>
        <v>295</v>
      </c>
      <c r="S18" s="5">
        <f>R18*0.95</f>
        <v>280.25</v>
      </c>
      <c r="T18" s="5">
        <f t="shared" ref="T18:X18" si="13">S18*0.95</f>
        <v>266.23750000000001</v>
      </c>
      <c r="U18" s="5">
        <f t="shared" si="13"/>
        <v>252.925625</v>
      </c>
      <c r="V18" s="5">
        <f t="shared" si="13"/>
        <v>240.27934374999998</v>
      </c>
      <c r="W18" s="5">
        <f t="shared" si="13"/>
        <v>228.26537656249997</v>
      </c>
      <c r="X18" s="5">
        <f t="shared" si="13"/>
        <v>216.85210773437495</v>
      </c>
    </row>
    <row r="19" spans="2:252" s="2" customFormat="1" x14ac:dyDescent="0.3">
      <c r="B19" s="2" t="s">
        <v>35</v>
      </c>
      <c r="C19" s="8">
        <f>+C18+C17+C16</f>
        <v>-91.199999999999932</v>
      </c>
      <c r="D19" s="8">
        <f>+D18+D17+D16</f>
        <v>-80.800000000000097</v>
      </c>
      <c r="E19" s="8">
        <f>+E18+E17+E16</f>
        <v>-52.499999999999908</v>
      </c>
      <c r="F19" s="8">
        <f>+F18+F17+F16</f>
        <v>17.30000000000009</v>
      </c>
      <c r="G19" s="8">
        <f>+G18+G17+G16</f>
        <v>34.400000000000276</v>
      </c>
      <c r="H19" s="8">
        <f>+H18+H17+H16</f>
        <v>84.400000000000091</v>
      </c>
      <c r="I19" s="8">
        <f>+I18+I17+I16</f>
        <v>130.99999999999983</v>
      </c>
      <c r="J19" s="8">
        <f>+J18+J17+J16</f>
        <v>316.5</v>
      </c>
      <c r="K19" s="8">
        <f>+K18+K17+K16</f>
        <v>282.60000000000002</v>
      </c>
      <c r="L19" s="8">
        <f>+L18+L17+L16</f>
        <v>135.49999999999991</v>
      </c>
      <c r="M19" s="8">
        <f>+M18+M17+M16</f>
        <v>55.041000000000125</v>
      </c>
      <c r="N19" s="8">
        <f>+N18+N17+N16</f>
        <v>468.65799999999984</v>
      </c>
      <c r="P19" s="8">
        <f>SUM(C19:F19)</f>
        <v>-207.19999999999985</v>
      </c>
      <c r="Q19" s="8">
        <f>SUM(G19:J19)</f>
        <v>566.30000000000018</v>
      </c>
      <c r="R19" s="8">
        <f>SUM(K19:N19)</f>
        <v>941.79899999999986</v>
      </c>
      <c r="S19" s="8">
        <f>S16+S17+S18</f>
        <v>2361.7953200000002</v>
      </c>
      <c r="T19" s="8">
        <f t="shared" ref="T19:X19" si="14">T16+T17+T18</f>
        <v>3311.404899000001</v>
      </c>
      <c r="U19" s="8">
        <f t="shared" si="14"/>
        <v>3772.2080040800001</v>
      </c>
      <c r="V19" s="8">
        <f t="shared" si="14"/>
        <v>3863.4094882339991</v>
      </c>
      <c r="W19" s="8">
        <f t="shared" si="14"/>
        <v>3778.7521181568209</v>
      </c>
      <c r="X19" s="8">
        <f t="shared" si="14"/>
        <v>3389.338105175093</v>
      </c>
    </row>
    <row r="20" spans="2:252" x14ac:dyDescent="0.3">
      <c r="B20" t="s">
        <v>22</v>
      </c>
      <c r="C20" s="5">
        <v>12.4</v>
      </c>
      <c r="D20" s="5">
        <v>12.7</v>
      </c>
      <c r="E20" s="5">
        <v>20.7</v>
      </c>
      <c r="F20" s="5">
        <v>14</v>
      </c>
      <c r="G20" s="5">
        <v>14.4</v>
      </c>
      <c r="H20" s="5">
        <v>0.2</v>
      </c>
      <c r="I20" s="5">
        <v>23.2</v>
      </c>
      <c r="J20" s="5">
        <v>88.8</v>
      </c>
      <c r="K20" s="5">
        <v>88.4</v>
      </c>
      <c r="L20" s="5">
        <v>-1611.4</v>
      </c>
      <c r="M20" s="5">
        <f>M19*M28</f>
        <v>2.7520500000000063</v>
      </c>
      <c r="N20" s="5">
        <f>N19*N28</f>
        <v>23.432899999999993</v>
      </c>
      <c r="P20" s="5">
        <f>SUM(C20:F20)</f>
        <v>59.8</v>
      </c>
      <c r="Q20" s="5">
        <f>SUM(G20:J20)</f>
        <v>126.6</v>
      </c>
      <c r="R20" s="5">
        <f>SUM(K20:N20)</f>
        <v>-1496.8150499999999</v>
      </c>
      <c r="S20" s="5">
        <f>S19*S28</f>
        <v>590.44883000000004</v>
      </c>
      <c r="T20" s="5">
        <f t="shared" ref="T20:X20" si="15">T19*T28</f>
        <v>827.85122475000026</v>
      </c>
      <c r="U20" s="5">
        <f t="shared" si="15"/>
        <v>943.05200102000003</v>
      </c>
      <c r="V20" s="5">
        <f t="shared" si="15"/>
        <v>965.85237205849978</v>
      </c>
      <c r="W20" s="5">
        <f t="shared" si="15"/>
        <v>944.68802953920522</v>
      </c>
      <c r="X20" s="5">
        <f t="shared" si="15"/>
        <v>847.33452629377325</v>
      </c>
    </row>
    <row r="21" spans="2:252" s="2" customFormat="1" x14ac:dyDescent="0.3">
      <c r="B21" s="2" t="s">
        <v>23</v>
      </c>
      <c r="C21" s="8">
        <f>+C19-C20</f>
        <v>-103.59999999999994</v>
      </c>
      <c r="D21" s="8">
        <f>+D19-D20</f>
        <v>-93.500000000000099</v>
      </c>
      <c r="E21" s="8">
        <f>+E19-E20</f>
        <v>-73.199999999999903</v>
      </c>
      <c r="F21" s="8">
        <f>+F19-F20</f>
        <v>3.3000000000000895</v>
      </c>
      <c r="G21" s="8">
        <f>+G19-G20</f>
        <v>20.000000000000277</v>
      </c>
      <c r="H21" s="8">
        <f>+H19-H20</f>
        <v>84.200000000000088</v>
      </c>
      <c r="I21" s="8">
        <f>+I19-I20</f>
        <v>107.79999999999983</v>
      </c>
      <c r="J21" s="8">
        <f>+J19-J20</f>
        <v>227.7</v>
      </c>
      <c r="K21" s="8">
        <f>+K19-K20</f>
        <v>194.20000000000002</v>
      </c>
      <c r="L21" s="8">
        <f>+L19-L20</f>
        <v>1746.9</v>
      </c>
      <c r="M21" s="8">
        <f>+M19-M20</f>
        <v>52.288950000000121</v>
      </c>
      <c r="N21" s="8">
        <f>+N19-N20</f>
        <v>445.22509999999983</v>
      </c>
      <c r="P21" s="8">
        <f>SUM(C21:F21)</f>
        <v>-266.99999999999989</v>
      </c>
      <c r="Q21" s="8">
        <f>SUM(G21:J21)</f>
        <v>439.70000000000016</v>
      </c>
      <c r="R21" s="8">
        <f>SUM(K21:N21)</f>
        <v>2438.6140500000001</v>
      </c>
      <c r="S21" s="8">
        <f>S19-S20</f>
        <v>1771.3464900000001</v>
      </c>
      <c r="T21" s="8">
        <f t="shared" ref="T21:X21" si="16">T19-T20</f>
        <v>2483.5536742500008</v>
      </c>
      <c r="U21" s="8">
        <f t="shared" si="16"/>
        <v>2829.1560030600003</v>
      </c>
      <c r="V21" s="8">
        <f t="shared" si="16"/>
        <v>2897.5571161754992</v>
      </c>
      <c r="W21" s="8">
        <f t="shared" si="16"/>
        <v>2834.0640886176157</v>
      </c>
      <c r="X21" s="8">
        <f t="shared" si="16"/>
        <v>2542.0035788813198</v>
      </c>
      <c r="Y21" s="2">
        <f>X21*(1+$L$35)</f>
        <v>2516.5835430925067</v>
      </c>
      <c r="Z21" s="2">
        <f t="shared" ref="Z21:CK21" si="17">Y21*(1+$L$35)</f>
        <v>2491.4177076615815</v>
      </c>
      <c r="AA21" s="2">
        <f t="shared" si="17"/>
        <v>2466.5035305849656</v>
      </c>
      <c r="AB21" s="2">
        <f t="shared" si="17"/>
        <v>2441.8384952791157</v>
      </c>
      <c r="AC21" s="2">
        <f t="shared" si="17"/>
        <v>2417.4201103263244</v>
      </c>
      <c r="AD21" s="2">
        <f t="shared" si="17"/>
        <v>2393.2459092230611</v>
      </c>
      <c r="AE21" s="2">
        <f t="shared" si="17"/>
        <v>2369.3134501308305</v>
      </c>
      <c r="AF21" s="2">
        <f t="shared" si="17"/>
        <v>2345.6203156295223</v>
      </c>
      <c r="AG21" s="2">
        <f t="shared" si="17"/>
        <v>2322.1641124732273</v>
      </c>
      <c r="AH21" s="2">
        <f t="shared" si="17"/>
        <v>2298.942471348495</v>
      </c>
      <c r="AI21" s="2">
        <f t="shared" si="17"/>
        <v>2275.9530466350102</v>
      </c>
      <c r="AJ21" s="2">
        <f t="shared" si="17"/>
        <v>2253.1935161686602</v>
      </c>
      <c r="AK21" s="2">
        <f t="shared" si="17"/>
        <v>2230.6615810069734</v>
      </c>
      <c r="AL21" s="2">
        <f t="shared" si="17"/>
        <v>2208.3549651969038</v>
      </c>
      <c r="AM21" s="2">
        <f t="shared" si="17"/>
        <v>2186.2714155449348</v>
      </c>
      <c r="AN21" s="2">
        <f t="shared" si="17"/>
        <v>2164.4087013894855</v>
      </c>
      <c r="AO21" s="2">
        <f t="shared" si="17"/>
        <v>2142.7646143755906</v>
      </c>
      <c r="AP21" s="2">
        <f t="shared" si="17"/>
        <v>2121.3369682318348</v>
      </c>
      <c r="AQ21" s="2">
        <f t="shared" si="17"/>
        <v>2100.1235985495164</v>
      </c>
      <c r="AR21" s="2">
        <f t="shared" si="17"/>
        <v>2079.1223625640214</v>
      </c>
      <c r="AS21" s="2">
        <f t="shared" si="17"/>
        <v>2058.3311389383812</v>
      </c>
      <c r="AT21" s="2">
        <f t="shared" si="17"/>
        <v>2037.7478275489973</v>
      </c>
      <c r="AU21" s="2">
        <f t="shared" si="17"/>
        <v>2017.3703492735074</v>
      </c>
      <c r="AV21" s="2">
        <f t="shared" si="17"/>
        <v>1997.1966457807723</v>
      </c>
      <c r="AW21" s="2">
        <f t="shared" si="17"/>
        <v>1977.2246793229647</v>
      </c>
      <c r="AX21" s="2">
        <f t="shared" si="17"/>
        <v>1957.452432529735</v>
      </c>
      <c r="AY21" s="2">
        <f t="shared" si="17"/>
        <v>1937.8779082044377</v>
      </c>
      <c r="AZ21" s="2">
        <f t="shared" si="17"/>
        <v>1918.4991291223932</v>
      </c>
      <c r="BA21" s="2">
        <f t="shared" si="17"/>
        <v>1899.3141378311693</v>
      </c>
      <c r="BB21" s="2">
        <f t="shared" si="17"/>
        <v>1880.3209964528576</v>
      </c>
      <c r="BC21" s="2">
        <f t="shared" si="17"/>
        <v>1861.517786488329</v>
      </c>
      <c r="BD21" s="2">
        <f t="shared" si="17"/>
        <v>1842.9026086234458</v>
      </c>
      <c r="BE21" s="2">
        <f t="shared" si="17"/>
        <v>1824.4735825372113</v>
      </c>
      <c r="BF21" s="2">
        <f t="shared" si="17"/>
        <v>1806.2288467118392</v>
      </c>
      <c r="BG21" s="2">
        <f t="shared" si="17"/>
        <v>1788.1665582447208</v>
      </c>
      <c r="BH21" s="2">
        <f t="shared" si="17"/>
        <v>1770.2848926622737</v>
      </c>
      <c r="BI21" s="2">
        <f t="shared" si="17"/>
        <v>1752.582043735651</v>
      </c>
      <c r="BJ21" s="2">
        <f t="shared" si="17"/>
        <v>1735.0562232982945</v>
      </c>
      <c r="BK21" s="2">
        <f t="shared" si="17"/>
        <v>1717.7056610653115</v>
      </c>
      <c r="BL21" s="2">
        <f t="shared" si="17"/>
        <v>1700.5286044546583</v>
      </c>
      <c r="BM21" s="2">
        <f t="shared" si="17"/>
        <v>1683.5233184101116</v>
      </c>
      <c r="BN21" s="2">
        <f t="shared" si="17"/>
        <v>1666.6880852260106</v>
      </c>
      <c r="BO21" s="2">
        <f t="shared" si="17"/>
        <v>1650.0212043737504</v>
      </c>
      <c r="BP21" s="2">
        <f t="shared" si="17"/>
        <v>1633.5209923300129</v>
      </c>
      <c r="BQ21" s="2">
        <f t="shared" si="17"/>
        <v>1617.1857824067126</v>
      </c>
      <c r="BR21" s="2">
        <f t="shared" si="17"/>
        <v>1601.0139245826456</v>
      </c>
      <c r="BS21" s="2">
        <f t="shared" si="17"/>
        <v>1585.0037853368192</v>
      </c>
      <c r="BT21" s="2">
        <f t="shared" si="17"/>
        <v>1569.1537474834511</v>
      </c>
      <c r="BU21" s="2">
        <f t="shared" si="17"/>
        <v>1553.4622100086165</v>
      </c>
      <c r="BV21" s="2">
        <f t="shared" si="17"/>
        <v>1537.9275879085303</v>
      </c>
      <c r="BW21" s="2">
        <f t="shared" si="17"/>
        <v>1522.548312029445</v>
      </c>
      <c r="BX21" s="2">
        <f t="shared" si="17"/>
        <v>1507.3228289091505</v>
      </c>
      <c r="BY21" s="2">
        <f t="shared" si="17"/>
        <v>1492.249600620059</v>
      </c>
      <c r="BZ21" s="2">
        <f t="shared" si="17"/>
        <v>1477.3271046138584</v>
      </c>
      <c r="CA21" s="2">
        <f t="shared" si="17"/>
        <v>1462.5538335677197</v>
      </c>
      <c r="CB21" s="2">
        <f t="shared" si="17"/>
        <v>1447.9282952320425</v>
      </c>
      <c r="CC21" s="2">
        <f t="shared" si="17"/>
        <v>1433.449012279722</v>
      </c>
      <c r="CD21" s="2">
        <f t="shared" si="17"/>
        <v>1419.1145221569247</v>
      </c>
      <c r="CE21" s="2">
        <f t="shared" si="17"/>
        <v>1404.9233769353555</v>
      </c>
      <c r="CF21" s="2">
        <f t="shared" si="17"/>
        <v>1390.8741431660019</v>
      </c>
      <c r="CG21" s="2">
        <f t="shared" si="17"/>
        <v>1376.9654017343419</v>
      </c>
      <c r="CH21" s="2">
        <f t="shared" si="17"/>
        <v>1363.1957477169985</v>
      </c>
      <c r="CI21" s="2">
        <f t="shared" si="17"/>
        <v>1349.5637902398284</v>
      </c>
      <c r="CJ21" s="2">
        <f t="shared" si="17"/>
        <v>1336.0681523374301</v>
      </c>
      <c r="CK21" s="2">
        <f t="shared" si="17"/>
        <v>1322.7074708140558</v>
      </c>
      <c r="CL21" s="2">
        <f t="shared" ref="CL21:EW21" si="18">CK21*(1+$L$35)</f>
        <v>1309.4803961059151</v>
      </c>
      <c r="CM21" s="2">
        <f t="shared" si="18"/>
        <v>1296.385592144856</v>
      </c>
      <c r="CN21" s="2">
        <f t="shared" si="18"/>
        <v>1283.4217362234074</v>
      </c>
      <c r="CO21" s="2">
        <f t="shared" si="18"/>
        <v>1270.5875188611733</v>
      </c>
      <c r="CP21" s="2">
        <f t="shared" si="18"/>
        <v>1257.8816436725615</v>
      </c>
      <c r="CQ21" s="2">
        <f t="shared" si="18"/>
        <v>1245.3028272358358</v>
      </c>
      <c r="CR21" s="2">
        <f t="shared" si="18"/>
        <v>1232.8497989634775</v>
      </c>
      <c r="CS21" s="2">
        <f t="shared" si="18"/>
        <v>1220.5213009738427</v>
      </c>
      <c r="CT21" s="2">
        <f t="shared" si="18"/>
        <v>1208.3160879641043</v>
      </c>
      <c r="CU21" s="2">
        <f t="shared" si="18"/>
        <v>1196.2329270844632</v>
      </c>
      <c r="CV21" s="2">
        <f t="shared" si="18"/>
        <v>1184.2705978136185</v>
      </c>
      <c r="CW21" s="2">
        <f t="shared" si="18"/>
        <v>1172.4278918354823</v>
      </c>
      <c r="CX21" s="2">
        <f t="shared" si="18"/>
        <v>1160.7036129171274</v>
      </c>
      <c r="CY21" s="2">
        <f t="shared" si="18"/>
        <v>1149.0965767879561</v>
      </c>
      <c r="CZ21" s="2">
        <f t="shared" si="18"/>
        <v>1137.6056110200766</v>
      </c>
      <c r="DA21" s="2">
        <f t="shared" si="18"/>
        <v>1126.2295549098758</v>
      </c>
      <c r="DB21" s="2">
        <f t="shared" si="18"/>
        <v>1114.967259360777</v>
      </c>
      <c r="DC21" s="2">
        <f t="shared" si="18"/>
        <v>1103.8175867671691</v>
      </c>
      <c r="DD21" s="2">
        <f t="shared" si="18"/>
        <v>1092.7794108994974</v>
      </c>
      <c r="DE21" s="2">
        <f t="shared" si="18"/>
        <v>1081.8516167905025</v>
      </c>
      <c r="DF21" s="2">
        <f t="shared" si="18"/>
        <v>1071.0331006225974</v>
      </c>
      <c r="DG21" s="2">
        <f t="shared" si="18"/>
        <v>1060.3227696163715</v>
      </c>
      <c r="DH21" s="2">
        <f t="shared" si="18"/>
        <v>1049.7195419202078</v>
      </c>
      <c r="DI21" s="2">
        <f t="shared" si="18"/>
        <v>1039.2223465010056</v>
      </c>
      <c r="DJ21" s="2">
        <f t="shared" si="18"/>
        <v>1028.8301230359955</v>
      </c>
      <c r="DK21" s="2">
        <f t="shared" si="18"/>
        <v>1018.5418218056355</v>
      </c>
      <c r="DL21" s="2">
        <f t="shared" si="18"/>
        <v>1008.3564035875792</v>
      </c>
      <c r="DM21" s="2">
        <f t="shared" si="18"/>
        <v>998.27283955170333</v>
      </c>
      <c r="DN21" s="2">
        <f t="shared" si="18"/>
        <v>988.2901111561863</v>
      </c>
      <c r="DO21" s="2">
        <f t="shared" si="18"/>
        <v>978.40721004462443</v>
      </c>
      <c r="DP21" s="2">
        <f t="shared" si="18"/>
        <v>968.62313794417821</v>
      </c>
      <c r="DQ21" s="2">
        <f t="shared" si="18"/>
        <v>958.93690656473643</v>
      </c>
      <c r="DR21" s="2">
        <f t="shared" si="18"/>
        <v>949.34753749908907</v>
      </c>
      <c r="DS21" s="2">
        <f t="shared" si="18"/>
        <v>939.85406212409816</v>
      </c>
      <c r="DT21" s="2">
        <f t="shared" si="18"/>
        <v>930.45552150285721</v>
      </c>
      <c r="DU21" s="2">
        <f t="shared" si="18"/>
        <v>921.15096628782862</v>
      </c>
      <c r="DV21" s="2">
        <f t="shared" si="18"/>
        <v>911.93945662495037</v>
      </c>
      <c r="DW21" s="2">
        <f t="shared" si="18"/>
        <v>902.82006205870084</v>
      </c>
      <c r="DX21" s="2">
        <f t="shared" si="18"/>
        <v>893.79186143811387</v>
      </c>
      <c r="DY21" s="2">
        <f t="shared" si="18"/>
        <v>884.85394282373272</v>
      </c>
      <c r="DZ21" s="2">
        <f t="shared" si="18"/>
        <v>876.00540339549536</v>
      </c>
      <c r="EA21" s="2">
        <f t="shared" si="18"/>
        <v>867.24534936154043</v>
      </c>
      <c r="EB21" s="2">
        <f t="shared" si="18"/>
        <v>858.57289586792501</v>
      </c>
      <c r="EC21" s="2">
        <f t="shared" si="18"/>
        <v>849.98716690924573</v>
      </c>
      <c r="ED21" s="2">
        <f t="shared" si="18"/>
        <v>841.48729524015323</v>
      </c>
      <c r="EE21" s="2">
        <f t="shared" si="18"/>
        <v>833.07242228775169</v>
      </c>
      <c r="EF21" s="2">
        <f t="shared" si="18"/>
        <v>824.74169806487419</v>
      </c>
      <c r="EG21" s="2">
        <f t="shared" si="18"/>
        <v>816.49428108422546</v>
      </c>
      <c r="EH21" s="2">
        <f t="shared" si="18"/>
        <v>808.3293382733832</v>
      </c>
      <c r="EI21" s="2">
        <f t="shared" si="18"/>
        <v>800.24604489064939</v>
      </c>
      <c r="EJ21" s="2">
        <f t="shared" si="18"/>
        <v>792.24358444174288</v>
      </c>
      <c r="EK21" s="2">
        <f t="shared" si="18"/>
        <v>784.32114859732542</v>
      </c>
      <c r="EL21" s="2">
        <f t="shared" si="18"/>
        <v>776.47793711135216</v>
      </c>
      <c r="EM21" s="2">
        <f t="shared" si="18"/>
        <v>768.71315774023867</v>
      </c>
      <c r="EN21" s="2">
        <f t="shared" si="18"/>
        <v>761.02602616283627</v>
      </c>
      <c r="EO21" s="2">
        <f t="shared" si="18"/>
        <v>753.41576590120792</v>
      </c>
      <c r="EP21" s="2">
        <f t="shared" si="18"/>
        <v>745.88160824219585</v>
      </c>
      <c r="EQ21" s="2">
        <f t="shared" si="18"/>
        <v>738.42279215977385</v>
      </c>
      <c r="ER21" s="2">
        <f t="shared" si="18"/>
        <v>731.03856423817615</v>
      </c>
      <c r="ES21" s="2">
        <f t="shared" si="18"/>
        <v>723.72817859579436</v>
      </c>
      <c r="ET21" s="2">
        <f t="shared" si="18"/>
        <v>716.49089680983639</v>
      </c>
      <c r="EU21" s="2">
        <f t="shared" si="18"/>
        <v>709.32598784173797</v>
      </c>
      <c r="EV21" s="2">
        <f t="shared" si="18"/>
        <v>702.2327279633206</v>
      </c>
      <c r="EW21" s="2">
        <f t="shared" si="18"/>
        <v>695.21040068368734</v>
      </c>
      <c r="EX21" s="2">
        <f t="shared" ref="EX21:HI21" si="19">EW21*(1+$L$35)</f>
        <v>688.25829667685048</v>
      </c>
      <c r="EY21" s="2">
        <f t="shared" si="19"/>
        <v>681.37571371008198</v>
      </c>
      <c r="EZ21" s="2">
        <f t="shared" si="19"/>
        <v>674.5619565729811</v>
      </c>
      <c r="FA21" s="2">
        <f t="shared" si="19"/>
        <v>667.81633700725126</v>
      </c>
      <c r="FB21" s="2">
        <f t="shared" si="19"/>
        <v>661.13817363717874</v>
      </c>
      <c r="FC21" s="2">
        <f t="shared" si="19"/>
        <v>654.52679190080698</v>
      </c>
      <c r="FD21" s="2">
        <f t="shared" si="19"/>
        <v>647.98152398179889</v>
      </c>
      <c r="FE21" s="2">
        <f t="shared" si="19"/>
        <v>641.50170874198091</v>
      </c>
      <c r="FF21" s="2">
        <f t="shared" si="19"/>
        <v>635.08669165456104</v>
      </c>
      <c r="FG21" s="2">
        <f t="shared" si="19"/>
        <v>628.73582473801537</v>
      </c>
      <c r="FH21" s="2">
        <f t="shared" si="19"/>
        <v>622.44846649063516</v>
      </c>
      <c r="FI21" s="2">
        <f t="shared" si="19"/>
        <v>616.22398182572874</v>
      </c>
      <c r="FJ21" s="2">
        <f t="shared" si="19"/>
        <v>610.06174200747148</v>
      </c>
      <c r="FK21" s="2">
        <f t="shared" si="19"/>
        <v>603.96112458739674</v>
      </c>
      <c r="FL21" s="2">
        <f t="shared" si="19"/>
        <v>597.92151334152277</v>
      </c>
      <c r="FM21" s="2">
        <f t="shared" si="19"/>
        <v>591.94229820810756</v>
      </c>
      <c r="FN21" s="2">
        <f t="shared" si="19"/>
        <v>586.02287522602649</v>
      </c>
      <c r="FO21" s="2">
        <f t="shared" si="19"/>
        <v>580.16264647376624</v>
      </c>
      <c r="FP21" s="2">
        <f t="shared" si="19"/>
        <v>574.36102000902861</v>
      </c>
      <c r="FQ21" s="2">
        <f t="shared" si="19"/>
        <v>568.61740980893831</v>
      </c>
      <c r="FR21" s="2">
        <f t="shared" si="19"/>
        <v>562.93123571084891</v>
      </c>
      <c r="FS21" s="2">
        <f t="shared" si="19"/>
        <v>557.30192335374045</v>
      </c>
      <c r="FT21" s="2">
        <f t="shared" si="19"/>
        <v>551.72890412020308</v>
      </c>
      <c r="FU21" s="2">
        <f t="shared" si="19"/>
        <v>546.21161507900104</v>
      </c>
      <c r="FV21" s="2">
        <f t="shared" si="19"/>
        <v>540.74949892821098</v>
      </c>
      <c r="FW21" s="2">
        <f t="shared" si="19"/>
        <v>535.34200393892888</v>
      </c>
      <c r="FX21" s="2">
        <f t="shared" si="19"/>
        <v>529.98858389953955</v>
      </c>
      <c r="FY21" s="2">
        <f t="shared" si="19"/>
        <v>524.6886980605442</v>
      </c>
      <c r="FZ21" s="2">
        <f t="shared" si="19"/>
        <v>519.4418110799387</v>
      </c>
      <c r="GA21" s="2">
        <f t="shared" si="19"/>
        <v>514.24739296913936</v>
      </c>
      <c r="GB21" s="2">
        <f t="shared" si="19"/>
        <v>509.10491903944796</v>
      </c>
      <c r="GC21" s="2">
        <f t="shared" si="19"/>
        <v>504.01386984905349</v>
      </c>
      <c r="GD21" s="2">
        <f t="shared" si="19"/>
        <v>498.97373115056297</v>
      </c>
      <c r="GE21" s="2">
        <f t="shared" si="19"/>
        <v>493.98399383905735</v>
      </c>
      <c r="GF21" s="2">
        <f t="shared" si="19"/>
        <v>489.04415390066674</v>
      </c>
      <c r="GG21" s="2">
        <f t="shared" si="19"/>
        <v>484.1537123616601</v>
      </c>
      <c r="GH21" s="2">
        <f t="shared" si="19"/>
        <v>479.31217523804349</v>
      </c>
      <c r="GI21" s="2">
        <f t="shared" si="19"/>
        <v>474.51905348566305</v>
      </c>
      <c r="GJ21" s="2">
        <f t="shared" si="19"/>
        <v>469.7738629508064</v>
      </c>
      <c r="GK21" s="2">
        <f t="shared" si="19"/>
        <v>465.07612432129832</v>
      </c>
      <c r="GL21" s="2">
        <f t="shared" si="19"/>
        <v>460.42536307808535</v>
      </c>
      <c r="GM21" s="2">
        <f t="shared" si="19"/>
        <v>455.82110944730448</v>
      </c>
      <c r="GN21" s="2">
        <f t="shared" si="19"/>
        <v>451.26289835283143</v>
      </c>
      <c r="GO21" s="2">
        <f t="shared" si="19"/>
        <v>446.75026936930311</v>
      </c>
      <c r="GP21" s="2">
        <f t="shared" si="19"/>
        <v>442.28276667561011</v>
      </c>
      <c r="GQ21" s="2">
        <f t="shared" si="19"/>
        <v>437.85993900885398</v>
      </c>
      <c r="GR21" s="2">
        <f t="shared" si="19"/>
        <v>433.48133961876545</v>
      </c>
      <c r="GS21" s="2">
        <f t="shared" si="19"/>
        <v>429.14652622257779</v>
      </c>
      <c r="GT21" s="2">
        <f t="shared" si="19"/>
        <v>424.85506096035203</v>
      </c>
      <c r="GU21" s="2">
        <f t="shared" si="19"/>
        <v>420.60651035074852</v>
      </c>
      <c r="GV21" s="2">
        <f t="shared" si="19"/>
        <v>416.40044524724101</v>
      </c>
      <c r="GW21" s="2">
        <f t="shared" si="19"/>
        <v>412.23644079476861</v>
      </c>
      <c r="GX21" s="2">
        <f t="shared" si="19"/>
        <v>408.1140763868209</v>
      </c>
      <c r="GY21" s="2">
        <f t="shared" si="19"/>
        <v>404.03293562295266</v>
      </c>
      <c r="GZ21" s="2">
        <f t="shared" si="19"/>
        <v>399.99260626672316</v>
      </c>
      <c r="HA21" s="2">
        <f t="shared" si="19"/>
        <v>395.99268020405594</v>
      </c>
      <c r="HB21" s="2">
        <f t="shared" si="19"/>
        <v>392.03275340201537</v>
      </c>
      <c r="HC21" s="2">
        <f t="shared" si="19"/>
        <v>388.11242586799523</v>
      </c>
      <c r="HD21" s="2">
        <f t="shared" si="19"/>
        <v>384.23130160931527</v>
      </c>
      <c r="HE21" s="2">
        <f t="shared" si="19"/>
        <v>380.38898859322211</v>
      </c>
      <c r="HF21" s="2">
        <f t="shared" si="19"/>
        <v>376.58509870728989</v>
      </c>
      <c r="HG21" s="2">
        <f t="shared" si="19"/>
        <v>372.81924772021699</v>
      </c>
      <c r="HH21" s="2">
        <f t="shared" si="19"/>
        <v>369.09105524301481</v>
      </c>
      <c r="HI21" s="2">
        <f t="shared" si="19"/>
        <v>365.40014469058468</v>
      </c>
      <c r="HJ21" s="2">
        <f t="shared" ref="HJ21:IR21" si="20">HI21*(1+$L$35)</f>
        <v>361.74614324367883</v>
      </c>
      <c r="HK21" s="2">
        <f t="shared" si="20"/>
        <v>358.12868181124202</v>
      </c>
      <c r="HL21" s="2">
        <f t="shared" si="20"/>
        <v>354.54739499312961</v>
      </c>
      <c r="HM21" s="2">
        <f t="shared" si="20"/>
        <v>351.00192104319831</v>
      </c>
      <c r="HN21" s="2">
        <f t="shared" si="20"/>
        <v>347.4919018327663</v>
      </c>
      <c r="HO21" s="2">
        <f t="shared" si="20"/>
        <v>344.01698281443862</v>
      </c>
      <c r="HP21" s="2">
        <f t="shared" si="20"/>
        <v>340.57681298629421</v>
      </c>
      <c r="HQ21" s="2">
        <f t="shared" si="20"/>
        <v>337.17104485643125</v>
      </c>
      <c r="HR21" s="2">
        <f t="shared" si="20"/>
        <v>333.79933440786692</v>
      </c>
      <c r="HS21" s="2">
        <f t="shared" si="20"/>
        <v>330.46134106378827</v>
      </c>
      <c r="HT21" s="2">
        <f t="shared" si="20"/>
        <v>327.15672765315037</v>
      </c>
      <c r="HU21" s="2">
        <f t="shared" si="20"/>
        <v>323.88516037661884</v>
      </c>
      <c r="HV21" s="2">
        <f t="shared" si="20"/>
        <v>320.64630877285265</v>
      </c>
      <c r="HW21" s="2">
        <f t="shared" si="20"/>
        <v>317.43984568512411</v>
      </c>
      <c r="HX21" s="2">
        <f t="shared" si="20"/>
        <v>314.26544722827288</v>
      </c>
      <c r="HY21" s="2">
        <f t="shared" si="20"/>
        <v>311.12279275599013</v>
      </c>
      <c r="HZ21" s="2">
        <f t="shared" si="20"/>
        <v>308.01156482843021</v>
      </c>
      <c r="IA21" s="2">
        <f t="shared" si="20"/>
        <v>304.93144918014593</v>
      </c>
      <c r="IB21" s="2">
        <f t="shared" si="20"/>
        <v>301.88213468834448</v>
      </c>
      <c r="IC21" s="2">
        <f t="shared" si="20"/>
        <v>298.86331334146104</v>
      </c>
      <c r="ID21" s="2">
        <f t="shared" si="20"/>
        <v>295.87468020804641</v>
      </c>
      <c r="IE21" s="2">
        <f t="shared" si="20"/>
        <v>292.91593340596597</v>
      </c>
      <c r="IF21" s="2">
        <f t="shared" si="20"/>
        <v>289.98677407190632</v>
      </c>
      <c r="IG21" s="2">
        <f t="shared" si="20"/>
        <v>287.08690633118727</v>
      </c>
      <c r="IH21" s="2">
        <f t="shared" si="20"/>
        <v>284.21603726787538</v>
      </c>
      <c r="II21" s="2">
        <f t="shared" si="20"/>
        <v>281.37387689519664</v>
      </c>
      <c r="IJ21" s="2">
        <f t="shared" si="20"/>
        <v>278.56013812624468</v>
      </c>
      <c r="IK21" s="2">
        <f t="shared" si="20"/>
        <v>275.77453674498224</v>
      </c>
      <c r="IL21" s="2">
        <f t="shared" si="20"/>
        <v>273.0167913775324</v>
      </c>
      <c r="IM21" s="2">
        <f t="shared" si="20"/>
        <v>270.28662346375705</v>
      </c>
      <c r="IN21" s="2">
        <f t="shared" si="20"/>
        <v>267.5837572291195</v>
      </c>
      <c r="IO21" s="2">
        <f t="shared" si="20"/>
        <v>264.90791965682831</v>
      </c>
      <c r="IP21" s="2">
        <f t="shared" si="20"/>
        <v>262.25884046026005</v>
      </c>
      <c r="IQ21" s="2">
        <f t="shared" si="20"/>
        <v>259.63625205565745</v>
      </c>
      <c r="IR21" s="2">
        <f t="shared" si="20"/>
        <v>257.03988953510088</v>
      </c>
    </row>
    <row r="22" spans="2:252" x14ac:dyDescent="0.3">
      <c r="B22" t="s">
        <v>24</v>
      </c>
      <c r="C22" s="5">
        <v>97.6</v>
      </c>
      <c r="D22" s="5">
        <v>98.2</v>
      </c>
      <c r="E22" s="5">
        <v>296.7</v>
      </c>
      <c r="F22" s="5">
        <v>298.5</v>
      </c>
      <c r="G22" s="5">
        <v>299.8</v>
      </c>
      <c r="H22" s="5">
        <v>302.3</v>
      </c>
      <c r="I22" s="5">
        <v>303.89999999999998</v>
      </c>
      <c r="J22" s="5">
        <v>306.89999999999998</v>
      </c>
      <c r="K22" s="5">
        <v>310.10000000000002</v>
      </c>
      <c r="L22" s="5">
        <v>319.60000000000002</v>
      </c>
      <c r="M22" s="5">
        <v>319.60000000000002</v>
      </c>
      <c r="N22" s="5">
        <v>319.60000000000002</v>
      </c>
      <c r="P22" s="5">
        <f>AVERAGE(C22:F22)</f>
        <v>197.75</v>
      </c>
      <c r="Q22" s="5">
        <f>AVERAGE(G22:J22)</f>
        <v>303.22500000000002</v>
      </c>
      <c r="R22" s="5">
        <f>AVERAGE(K22:N22)</f>
        <v>317.22500000000002</v>
      </c>
      <c r="S22" s="5">
        <f>AVERAGE(L22:O22)</f>
        <v>319.60000000000002</v>
      </c>
      <c r="T22" s="5">
        <f t="shared" ref="T22:X22" si="21">AVERAGE(M22:P22)</f>
        <v>278.98333333333335</v>
      </c>
      <c r="U22" s="5">
        <f t="shared" si="21"/>
        <v>273.52500000000003</v>
      </c>
      <c r="V22" s="5">
        <f t="shared" si="21"/>
        <v>272.73333333333335</v>
      </c>
      <c r="W22" s="5">
        <f t="shared" si="21"/>
        <v>284.45000000000005</v>
      </c>
      <c r="X22" s="5">
        <f t="shared" si="21"/>
        <v>304.75833333333333</v>
      </c>
    </row>
    <row r="23" spans="2:252" x14ac:dyDescent="0.3">
      <c r="B23" t="s">
        <v>25</v>
      </c>
      <c r="C23" s="6">
        <f>C21/C22</f>
        <v>-1.061475409836065</v>
      </c>
      <c r="D23" s="6">
        <f>D21/D22</f>
        <v>-0.95213849287169139</v>
      </c>
      <c r="E23" s="6">
        <f>E21/E22</f>
        <v>-0.24671385237613719</v>
      </c>
      <c r="F23" s="6">
        <f>F21/F22</f>
        <v>1.1055276381909849E-2</v>
      </c>
      <c r="G23" s="6">
        <f>G21/G22</f>
        <v>6.6711140760507923E-2</v>
      </c>
      <c r="H23" s="6">
        <f>H21/H22</f>
        <v>0.27853126033741343</v>
      </c>
      <c r="I23" s="6">
        <f>I21/I22</f>
        <v>0.35472194800921303</v>
      </c>
      <c r="J23" s="6">
        <f>J21/J22</f>
        <v>0.74193548387096775</v>
      </c>
      <c r="K23" s="6">
        <f>K21/K22</f>
        <v>0.62624959690422444</v>
      </c>
      <c r="L23" s="6">
        <f>L21/L22</f>
        <v>5.4658948685857318</v>
      </c>
      <c r="M23" s="6">
        <f>M21/M22</f>
        <v>0.16360747809762238</v>
      </c>
      <c r="N23" s="6">
        <f>N21/N22</f>
        <v>1.3930697747183973</v>
      </c>
      <c r="P23" s="6">
        <f>P21/P22</f>
        <v>-1.3501896333754735</v>
      </c>
      <c r="Q23" s="6">
        <f>Q21/Q22</f>
        <v>1.4500783246763957</v>
      </c>
      <c r="R23" s="6">
        <f>R21/R22</f>
        <v>7.6873324927102216</v>
      </c>
      <c r="S23" s="6">
        <f>S21/S22</f>
        <v>5.5423857634543179</v>
      </c>
      <c r="T23" s="6">
        <f t="shared" ref="T23:X23" si="22">T21/T22</f>
        <v>8.9021578621781483</v>
      </c>
      <c r="U23" s="6">
        <f t="shared" si="22"/>
        <v>10.343317806635591</v>
      </c>
      <c r="V23" s="6">
        <f t="shared" si="22"/>
        <v>10.624140000643482</v>
      </c>
      <c r="W23" s="6">
        <f t="shared" si="22"/>
        <v>9.963311965609476</v>
      </c>
      <c r="X23" s="6">
        <f t="shared" si="22"/>
        <v>8.3410469898487438</v>
      </c>
    </row>
    <row r="25" spans="2:252" x14ac:dyDescent="0.3">
      <c r="B25" t="s">
        <v>36</v>
      </c>
      <c r="C25" s="7"/>
      <c r="D25" s="7"/>
      <c r="E25" s="7"/>
      <c r="F25" s="7"/>
      <c r="G25" s="7">
        <f>G5/C5-1</f>
        <v>0.25332691999358659</v>
      </c>
      <c r="H25" s="7">
        <f>H5/D5-1</f>
        <v>0.25681524793074639</v>
      </c>
      <c r="I25" s="7">
        <f>I5/E5-1</f>
        <v>0.24100382202350912</v>
      </c>
      <c r="J25" s="7">
        <f>J5/F5-1</f>
        <v>0.25978716543050639</v>
      </c>
      <c r="K25" s="7">
        <f>K5/G5-1</f>
        <v>0.20129205577587306</v>
      </c>
      <c r="L25" s="7">
        <f>L5/H5-1</f>
        <v>0.19334179203673507</v>
      </c>
      <c r="M25" s="7">
        <f>M5/I5-1</f>
        <v>0.10421349293974091</v>
      </c>
      <c r="N25" s="7">
        <f>N5/J5-1</f>
        <v>0.20181641324937272</v>
      </c>
      <c r="Q25" s="7">
        <f>Q5/P5-1</f>
        <v>0.25287648823048259</v>
      </c>
      <c r="R25" s="7">
        <f>R5/Q5-1</f>
        <v>0.17529400670274353</v>
      </c>
      <c r="S25" s="7">
        <f t="shared" ref="S25:X25" si="23">S5/R5-1</f>
        <v>0.15873317064457515</v>
      </c>
      <c r="T25" s="7">
        <f t="shared" si="23"/>
        <v>8.7115830817889206E-2</v>
      </c>
      <c r="U25" s="7">
        <f t="shared" si="23"/>
        <v>3.2451379653910983E-2</v>
      </c>
      <c r="V25" s="7">
        <f t="shared" si="23"/>
        <v>-3.6556783664813963E-3</v>
      </c>
      <c r="W25" s="7">
        <f t="shared" si="23"/>
        <v>-1.9999999999999796E-2</v>
      </c>
      <c r="X25" s="7">
        <f t="shared" si="23"/>
        <v>-5.0000000000000044E-2</v>
      </c>
    </row>
    <row r="26" spans="2:252" x14ac:dyDescent="0.3">
      <c r="B26" t="s">
        <v>47</v>
      </c>
      <c r="C26" s="7"/>
      <c r="D26" s="7"/>
      <c r="E26" s="7"/>
      <c r="F26" s="7"/>
      <c r="G26" s="7">
        <f>G3/C3-1</f>
        <v>0.11675126903553301</v>
      </c>
      <c r="H26" s="7">
        <f t="shared" ref="H26:L26" si="24">H3/D3-1</f>
        <v>0.14577922077922079</v>
      </c>
      <c r="I26" s="7">
        <f t="shared" si="24"/>
        <v>0.10412517780938835</v>
      </c>
      <c r="J26" s="7">
        <f t="shared" si="24"/>
        <v>0.24332271502082814</v>
      </c>
      <c r="K26" s="7">
        <f t="shared" si="24"/>
        <v>3.3636363636363686E-2</v>
      </c>
      <c r="L26" s="7">
        <f t="shared" si="24"/>
        <v>0.1071124964579202</v>
      </c>
      <c r="M26" s="7">
        <v>0.05</v>
      </c>
      <c r="N26" s="7">
        <v>0.15</v>
      </c>
      <c r="Q26" s="7">
        <f>Q3/P3-1</f>
        <v>0.15794879319198896</v>
      </c>
      <c r="R26" s="7">
        <f>R3/Q3-1</f>
        <v>9.1494551444500694E-2</v>
      </c>
      <c r="S26" s="7">
        <v>0.08</v>
      </c>
      <c r="T26" s="7">
        <v>3.5000000000000003E-2</v>
      </c>
      <c r="U26" s="7">
        <v>0</v>
      </c>
      <c r="V26" s="7">
        <v>-0.02</v>
      </c>
      <c r="W26" s="7">
        <v>-0.02</v>
      </c>
      <c r="X26" s="7">
        <v>-0.05</v>
      </c>
    </row>
    <row r="27" spans="2:252" x14ac:dyDescent="0.3">
      <c r="B27" t="s">
        <v>48</v>
      </c>
      <c r="C27" s="7"/>
      <c r="D27" s="7"/>
      <c r="E27" s="7"/>
      <c r="F27" s="7"/>
      <c r="G27" s="7">
        <f>G4/C4-1</f>
        <v>0.29572434079210019</v>
      </c>
      <c r="H27" s="7">
        <f t="shared" ref="H27:L27" si="25">H4/D4-1</f>
        <v>0.29071265734958884</v>
      </c>
      <c r="I27" s="7">
        <f t="shared" si="25"/>
        <v>0.2874806800618237</v>
      </c>
      <c r="J27" s="7">
        <f t="shared" si="25"/>
        <v>0.26566876750700286</v>
      </c>
      <c r="K27" s="7">
        <f t="shared" si="25"/>
        <v>0.24614885681855037</v>
      </c>
      <c r="L27" s="7">
        <f t="shared" si="25"/>
        <v>0.2167101827676241</v>
      </c>
      <c r="M27" s="7">
        <v>0.12</v>
      </c>
      <c r="N27" s="7">
        <v>0.22</v>
      </c>
      <c r="Q27" s="7">
        <f>Q4/P4-1</f>
        <v>0.28414363038855628</v>
      </c>
      <c r="R27" s="7">
        <f>R4/Q4-1</f>
        <v>0.20018327907720646</v>
      </c>
      <c r="S27" s="7">
        <v>0.18</v>
      </c>
      <c r="T27" s="7">
        <v>0.1</v>
      </c>
      <c r="U27" s="7">
        <v>0.04</v>
      </c>
      <c r="V27" s="7">
        <v>0</v>
      </c>
      <c r="W27" s="7">
        <v>-0.02</v>
      </c>
      <c r="X27" s="7">
        <v>-0.05</v>
      </c>
    </row>
    <row r="28" spans="2:252" x14ac:dyDescent="0.3">
      <c r="B28" t="s">
        <v>41</v>
      </c>
      <c r="C28" s="7">
        <f>C20/C5</f>
        <v>9.9406766073432736E-3</v>
      </c>
      <c r="D28" s="7">
        <f>D20/D5</f>
        <v>9.6438605816690694E-3</v>
      </c>
      <c r="E28" s="7">
        <f>E20/E5</f>
        <v>1.4927525780630273E-2</v>
      </c>
      <c r="F28" s="7">
        <f>F20/F5</f>
        <v>9.0293453724604959E-3</v>
      </c>
      <c r="G28" s="7">
        <f>G20/G5</f>
        <v>9.2106946398874245E-3</v>
      </c>
      <c r="H28" s="7">
        <f>H20/H5</f>
        <v>1.2083862002295935E-4</v>
      </c>
      <c r="I28" s="7">
        <f>I20/I5</f>
        <v>1.3481317915044453E-2</v>
      </c>
      <c r="J28" s="7">
        <f>J20/J5</f>
        <v>4.5461526647212404E-2</v>
      </c>
      <c r="K28" s="7">
        <f>K20/K5</f>
        <v>4.7068846174325121E-2</v>
      </c>
      <c r="L28" s="7">
        <f>L20/L5</f>
        <v>-0.81585742494050928</v>
      </c>
      <c r="M28" s="7">
        <v>0.05</v>
      </c>
      <c r="N28" s="7">
        <v>0.05</v>
      </c>
      <c r="Q28" s="7">
        <f>Q20/Q19</f>
        <v>0.22355641885926181</v>
      </c>
      <c r="R28" s="7">
        <f>R20/R19</f>
        <v>-1.5893147582445937</v>
      </c>
      <c r="S28" s="7">
        <v>0.25</v>
      </c>
      <c r="T28" s="7">
        <v>0.25</v>
      </c>
      <c r="U28" s="7">
        <v>0.25</v>
      </c>
      <c r="V28" s="7">
        <v>0.25</v>
      </c>
      <c r="W28" s="7">
        <v>0.25</v>
      </c>
      <c r="X28" s="7">
        <v>0.25</v>
      </c>
    </row>
    <row r="30" spans="2:252" x14ac:dyDescent="0.3">
      <c r="B30" t="s">
        <v>37</v>
      </c>
      <c r="C30" s="7">
        <f>C9/C3</f>
        <v>0.69915397631133669</v>
      </c>
      <c r="D30" s="7">
        <f>D9/D3</f>
        <v>0.68246753246753245</v>
      </c>
      <c r="E30" s="7">
        <f>E9/E3</f>
        <v>0.64153627311522043</v>
      </c>
      <c r="F30" s="7">
        <f>F9/F3</f>
        <v>0.65008576329331047</v>
      </c>
      <c r="G30" s="7">
        <f>G9/G3</f>
        <v>0.6360606060606061</v>
      </c>
      <c r="H30" s="7">
        <f>H9/H3</f>
        <v>0.71521677529045058</v>
      </c>
      <c r="I30" s="7">
        <f>I9/I3</f>
        <v>0.75934037619170325</v>
      </c>
      <c r="J30" s="7">
        <f>J9/J3</f>
        <v>0.79444225463145446</v>
      </c>
      <c r="K30" s="7">
        <f>K9/K3</f>
        <v>0.77308707124010567</v>
      </c>
      <c r="L30" s="7">
        <f>L9/L3</f>
        <v>0.77425134374200155</v>
      </c>
      <c r="M30" s="7">
        <f>M9/M3</f>
        <v>0.77914381418632905</v>
      </c>
      <c r="N30" s="7">
        <f>N9/N3</f>
        <v>0.84576099809771899</v>
      </c>
      <c r="P30" s="7">
        <f>P9/P3</f>
        <v>0.66583522852321908</v>
      </c>
      <c r="Q30" s="7">
        <f t="shared" ref="Q30:X30" si="26">Q9/Q3</f>
        <v>0.73498479472883926</v>
      </c>
      <c r="R30" s="7">
        <f t="shared" si="26"/>
        <v>0.79939807814536101</v>
      </c>
      <c r="S30" s="7">
        <f t="shared" si="26"/>
        <v>0.81797233016893856</v>
      </c>
      <c r="T30" s="7">
        <f t="shared" si="26"/>
        <v>0.82764529813097565</v>
      </c>
      <c r="U30" s="7">
        <f t="shared" si="26"/>
        <v>0.83109239216835618</v>
      </c>
      <c r="V30" s="7">
        <f t="shared" si="26"/>
        <v>0.83109239216835629</v>
      </c>
      <c r="W30" s="7">
        <f t="shared" si="26"/>
        <v>0.83109239216835618</v>
      </c>
      <c r="X30" s="7">
        <f t="shared" si="26"/>
        <v>0.82575846771051475</v>
      </c>
    </row>
    <row r="31" spans="2:252" x14ac:dyDescent="0.3">
      <c r="B31" t="s">
        <v>38</v>
      </c>
      <c r="C31" s="7">
        <f>C10/C4</f>
        <v>0.69356024792520232</v>
      </c>
      <c r="D31" s="7">
        <f>D10/D4</f>
        <v>0.69521260779066307</v>
      </c>
      <c r="E31" s="7">
        <f>E10/E4</f>
        <v>0.69619397217928902</v>
      </c>
      <c r="F31" s="7">
        <f>F10/F4</f>
        <v>0.69406512605042014</v>
      </c>
      <c r="G31" s="7">
        <f>G10/G4</f>
        <v>0.72287984433273877</v>
      </c>
      <c r="H31" s="7">
        <f>H10/H4</f>
        <v>0.71916756258639225</v>
      </c>
      <c r="I31" s="7">
        <f>I10/I4</f>
        <v>0.71383553421368551</v>
      </c>
      <c r="J31" s="7">
        <f>J10/J4</f>
        <v>0.72162666851096202</v>
      </c>
      <c r="K31" s="7">
        <f>K10/K4</f>
        <v>0.74274560832791148</v>
      </c>
      <c r="L31" s="7">
        <f>L10/L4</f>
        <v>0.74065892451401161</v>
      </c>
      <c r="M31" s="7">
        <f>M10/M4</f>
        <v>0.73203567141142178</v>
      </c>
      <c r="N31" s="7">
        <f>N10/N4</f>
        <v>0.77324237329067269</v>
      </c>
      <c r="P31" s="7">
        <f>P10/P4</f>
        <v>0.69476126039048913</v>
      </c>
      <c r="Q31" s="7">
        <f t="shared" ref="Q31:X31" si="27">Q10/Q4</f>
        <v>0.71936096945975936</v>
      </c>
      <c r="R31" s="7">
        <f t="shared" si="27"/>
        <v>0.74815518143707871</v>
      </c>
      <c r="S31" s="7">
        <f t="shared" si="27"/>
        <v>0.7908407439053704</v>
      </c>
      <c r="T31" s="7">
        <f t="shared" si="27"/>
        <v>0.81365811729751181</v>
      </c>
      <c r="U31" s="7">
        <f t="shared" si="27"/>
        <v>0.82440861053034764</v>
      </c>
      <c r="V31" s="7">
        <f t="shared" si="27"/>
        <v>0.8279204383197406</v>
      </c>
      <c r="W31" s="7">
        <f t="shared" si="27"/>
        <v>0.82792043831974071</v>
      </c>
      <c r="X31" s="7">
        <f t="shared" si="27"/>
        <v>0.82248634689825895</v>
      </c>
    </row>
    <row r="32" spans="2:252" x14ac:dyDescent="0.3">
      <c r="B32" t="s">
        <v>39</v>
      </c>
      <c r="C32" s="7">
        <f>C11/C5</f>
        <v>0.69488536155202818</v>
      </c>
      <c r="D32" s="7">
        <f>D11/D5</f>
        <v>0.69223175639760026</v>
      </c>
      <c r="E32" s="7">
        <f>E11/E5</f>
        <v>0.68233936684214325</v>
      </c>
      <c r="F32" s="7">
        <f>F11/F5</f>
        <v>0.68248951950983561</v>
      </c>
      <c r="G32" s="7">
        <f>G11/G5</f>
        <v>0.70455417679416665</v>
      </c>
      <c r="H32" s="7">
        <f>H11/H5</f>
        <v>0.71832517672648188</v>
      </c>
      <c r="I32" s="7">
        <f>I11/I5</f>
        <v>0.7240978557731419</v>
      </c>
      <c r="J32" s="7">
        <f>J11/J5</f>
        <v>0.7405416474683868</v>
      </c>
      <c r="K32" s="7">
        <f>K11/K5</f>
        <v>0.74825621638890372</v>
      </c>
      <c r="L32" s="7">
        <f>L11/L5</f>
        <v>0.74730393397802641</v>
      </c>
      <c r="M32" s="7">
        <f>M11/M5</f>
        <v>0.74213797092053069</v>
      </c>
      <c r="N32" s="7">
        <f>N11/N5</f>
        <v>0.79126801697800386</v>
      </c>
      <c r="P32" s="7">
        <f>P11/P5</f>
        <v>0.68759429246569115</v>
      </c>
      <c r="Q32" s="7">
        <f t="shared" ref="Q32:X32" si="28">Q11/Q5</f>
        <v>0.72293876129818502</v>
      </c>
      <c r="R32" s="7">
        <f t="shared" si="28"/>
        <v>0.75905292083680564</v>
      </c>
      <c r="S32" s="7">
        <f t="shared" si="28"/>
        <v>0.79621871232996788</v>
      </c>
      <c r="T32" s="7">
        <f t="shared" si="28"/>
        <v>0.81629771524310957</v>
      </c>
      <c r="U32" s="7">
        <f t="shared" si="28"/>
        <v>0.82563029832736523</v>
      </c>
      <c r="V32" s="7">
        <f t="shared" si="28"/>
        <v>0.82849070955809889</v>
      </c>
      <c r="W32" s="7">
        <f t="shared" si="28"/>
        <v>0.828490709558099</v>
      </c>
      <c r="X32" s="7">
        <f t="shared" si="28"/>
        <v>0.8230746267020389</v>
      </c>
    </row>
    <row r="33" spans="2:24" x14ac:dyDescent="0.3">
      <c r="B33" t="s">
        <v>40</v>
      </c>
      <c r="C33" s="7">
        <f>C21/C5</f>
        <v>-8.3052749719416327E-2</v>
      </c>
      <c r="D33" s="7">
        <f>D21/D5</f>
        <v>-7.1000075935910165E-2</v>
      </c>
      <c r="E33" s="7">
        <f>E21/E5</f>
        <v>-5.2787192615562056E-2</v>
      </c>
      <c r="F33" s="7">
        <f>F21/F5</f>
        <v>2.1283456949371749E-3</v>
      </c>
      <c r="G33" s="7">
        <f>G21/G5</f>
        <v>1.2792631444288266E-2</v>
      </c>
      <c r="H33" s="7">
        <f>H21/H5</f>
        <v>5.0873059029665935E-2</v>
      </c>
      <c r="I33" s="7">
        <f>I21/I5</f>
        <v>6.2641641001801279E-2</v>
      </c>
      <c r="J33" s="7">
        <f>J21/J5</f>
        <v>0.11657195515281829</v>
      </c>
      <c r="K33" s="7">
        <f>K21/K5</f>
        <v>0.10340237474042917</v>
      </c>
      <c r="L33" s="7">
        <f>L21/L5</f>
        <v>0.88446154625082274</v>
      </c>
      <c r="M33" s="7">
        <f>M21/M5</f>
        <v>2.7517009684561125E-2</v>
      </c>
      <c r="N33" s="7">
        <f>N21/N5</f>
        <v>0.1896586081921765</v>
      </c>
      <c r="P33" s="7">
        <f>P21/P5</f>
        <v>-4.8532218485867473E-2</v>
      </c>
      <c r="Q33" s="7">
        <f t="shared" ref="Q33:X33" si="29">Q21/Q5</f>
        <v>6.3792127903434095E-2</v>
      </c>
      <c r="R33" s="7">
        <f t="shared" si="29"/>
        <v>0.30102819435105693</v>
      </c>
      <c r="S33" s="7">
        <f t="shared" si="29"/>
        <v>0.18870533715552479</v>
      </c>
      <c r="T33" s="7">
        <f t="shared" si="29"/>
        <v>0.2433763607194164</v>
      </c>
      <c r="U33" s="7">
        <f t="shared" si="29"/>
        <v>0.26852957779408798</v>
      </c>
      <c r="V33" s="7">
        <f t="shared" si="29"/>
        <v>0.27603095553819418</v>
      </c>
      <c r="W33" s="7">
        <f t="shared" si="29"/>
        <v>0.27549224281156465</v>
      </c>
      <c r="X33" s="7">
        <f t="shared" si="29"/>
        <v>0.26010713173489552</v>
      </c>
    </row>
    <row r="35" spans="2:24" x14ac:dyDescent="0.3">
      <c r="K35" s="9" t="s">
        <v>63</v>
      </c>
      <c r="L35" s="10">
        <v>-0.01</v>
      </c>
    </row>
    <row r="36" spans="2:24" x14ac:dyDescent="0.3">
      <c r="K36" s="9" t="s">
        <v>58</v>
      </c>
      <c r="L36" s="11">
        <v>0.02</v>
      </c>
    </row>
    <row r="37" spans="2:24" x14ac:dyDescent="0.3">
      <c r="K37" s="9" t="s">
        <v>59</v>
      </c>
      <c r="L37" s="12">
        <f>NPV(L36,P21:IR21)</f>
        <v>86039.7692221631</v>
      </c>
    </row>
    <row r="38" spans="2:24" x14ac:dyDescent="0.3">
      <c r="K38" s="9" t="s">
        <v>60</v>
      </c>
      <c r="L38" s="13">
        <f>Main!H7</f>
        <v>5712.8</v>
      </c>
    </row>
    <row r="39" spans="2:24" x14ac:dyDescent="0.3">
      <c r="K39" s="9" t="s">
        <v>61</v>
      </c>
      <c r="L39" s="13">
        <f>L38+L37</f>
        <v>91752.569222163103</v>
      </c>
    </row>
    <row r="40" spans="2:24" x14ac:dyDescent="0.3">
      <c r="K40" s="9" t="s">
        <v>62</v>
      </c>
      <c r="L40" s="14">
        <f>L39/N22</f>
        <v>287.0856358640898</v>
      </c>
    </row>
    <row r="41" spans="2:24" x14ac:dyDescent="0.3">
      <c r="K41" s="9" t="s">
        <v>64</v>
      </c>
      <c r="L41" s="9">
        <f>Main!H4</f>
        <v>279.5</v>
      </c>
    </row>
    <row r="42" spans="2:24" x14ac:dyDescent="0.3">
      <c r="K42" s="9" t="s">
        <v>65</v>
      </c>
      <c r="L42" s="15">
        <f>L41/L40-1</f>
        <v>-2.6422902843111773E-2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 Te</dc:creator>
  <cp:lastModifiedBy>Amo Te</cp:lastModifiedBy>
  <dcterms:created xsi:type="dcterms:W3CDTF">2024-03-06T23:48:55Z</dcterms:created>
  <dcterms:modified xsi:type="dcterms:W3CDTF">2024-03-18T06:17:24Z</dcterms:modified>
</cp:coreProperties>
</file>