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itbdsti-my.sharepoint.com/personal/13222087_mahasiswa_itb_ac_id/Documents/Documents/Academic/Semester 6/EL3017/Modul 3/Tubes-STE/"/>
    </mc:Choice>
  </mc:AlternateContent>
  <xr:revisionPtr revIDLastSave="84" documentId="8_{25C2D193-2150-484D-89B1-DBFBD2122ECF}" xr6:coauthVersionLast="47" xr6:coauthVersionMax="47" xr10:uidLastSave="{9C598D8C-2714-4096-BC5E-53BEECFA1807}"/>
  <bookViews>
    <workbookView xWindow="-108" yWindow="-108" windowWidth="23256" windowHeight="13176" xr2:uid="{00000000-000D-0000-FFFF-FFFF00000000}"/>
  </bookViews>
  <sheets>
    <sheet name="Generator" sheetId="6" r:id="rId1"/>
    <sheet name="Rumah Tangga" sheetId="1" r:id="rId2"/>
    <sheet name="Industri-Komersial" sheetId="2" r:id="rId3"/>
    <sheet name="Prioritas" sheetId="3" r:id="rId4"/>
    <sheet name="Publik &amp; Sosial" sheetId="4" r:id="rId5"/>
    <sheet name="Rekapitulasi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5" i="6" l="1"/>
  <c r="E25" i="6" s="1"/>
  <c r="D24" i="6"/>
  <c r="E24" i="6" s="1"/>
  <c r="E32" i="6"/>
  <c r="E23" i="6"/>
  <c r="D34" i="6"/>
  <c r="E34" i="6" s="1"/>
  <c r="D33" i="6"/>
  <c r="E33" i="6" s="1"/>
  <c r="D31" i="6"/>
  <c r="D35" i="6" s="1"/>
  <c r="D22" i="6"/>
  <c r="D26" i="6" s="1"/>
  <c r="D7" i="6"/>
  <c r="D6" i="6"/>
  <c r="D4" i="6"/>
  <c r="E31" i="6" l="1"/>
  <c r="E22" i="6"/>
  <c r="D8" i="6"/>
  <c r="E35" i="6"/>
  <c r="E26" i="6"/>
  <c r="E16" i="1" l="1"/>
  <c r="E12" i="1"/>
  <c r="E13" i="1"/>
  <c r="E14" i="1"/>
  <c r="E15" i="1"/>
  <c r="F15" i="1" s="1"/>
  <c r="E11" i="1"/>
  <c r="G20" i="4"/>
  <c r="E22" i="5" s="1"/>
  <c r="F20" i="4"/>
  <c r="D22" i="5" s="1"/>
  <c r="E20" i="4"/>
  <c r="C22" i="5" s="1"/>
  <c r="D20" i="4"/>
  <c r="C20" i="4"/>
  <c r="G19" i="4"/>
  <c r="E19" i="4"/>
  <c r="F19" i="4" s="1"/>
  <c r="G18" i="4"/>
  <c r="E18" i="4"/>
  <c r="F18" i="4" s="1"/>
  <c r="G17" i="4"/>
  <c r="E17" i="4"/>
  <c r="F17" i="4" s="1"/>
  <c r="D13" i="4"/>
  <c r="C13" i="4"/>
  <c r="E12" i="4"/>
  <c r="E11" i="4"/>
  <c r="E10" i="4"/>
  <c r="E6" i="4"/>
  <c r="C6" i="5" s="1"/>
  <c r="D6" i="4"/>
  <c r="C6" i="4"/>
  <c r="G5" i="4"/>
  <c r="F5" i="4"/>
  <c r="E5" i="4"/>
  <c r="G4" i="4"/>
  <c r="F4" i="4"/>
  <c r="E4" i="4"/>
  <c r="G3" i="4"/>
  <c r="G6" i="4" s="1"/>
  <c r="E6" i="5" s="1"/>
  <c r="F3" i="4"/>
  <c r="F6" i="4" s="1"/>
  <c r="D6" i="5" s="1"/>
  <c r="E3" i="4"/>
  <c r="D26" i="3"/>
  <c r="C26" i="3"/>
  <c r="G25" i="3"/>
  <c r="F25" i="3"/>
  <c r="E25" i="3"/>
  <c r="E24" i="3"/>
  <c r="F24" i="3" s="1"/>
  <c r="G23" i="3"/>
  <c r="E23" i="3"/>
  <c r="F23" i="3" s="1"/>
  <c r="G22" i="3"/>
  <c r="E22" i="3"/>
  <c r="F22" i="3" s="1"/>
  <c r="G21" i="3"/>
  <c r="E21" i="3"/>
  <c r="D17" i="3"/>
  <c r="C17" i="3"/>
  <c r="E16" i="3"/>
  <c r="G16" i="3" s="1"/>
  <c r="E15" i="3"/>
  <c r="E14" i="3"/>
  <c r="E13" i="3"/>
  <c r="G13" i="3" s="1"/>
  <c r="E12" i="3"/>
  <c r="G12" i="3" s="1"/>
  <c r="D8" i="3"/>
  <c r="C8" i="3"/>
  <c r="G7" i="3"/>
  <c r="F7" i="3"/>
  <c r="E7" i="3"/>
  <c r="G6" i="3"/>
  <c r="F6" i="3"/>
  <c r="E6" i="3"/>
  <c r="E5" i="3"/>
  <c r="G4" i="3"/>
  <c r="E4" i="3"/>
  <c r="F4" i="3" s="1"/>
  <c r="E3" i="3"/>
  <c r="G3" i="3" s="1"/>
  <c r="D29" i="2"/>
  <c r="C29" i="2"/>
  <c r="G28" i="2"/>
  <c r="E28" i="2"/>
  <c r="F28" i="2" s="1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D19" i="2"/>
  <c r="C19" i="2"/>
  <c r="G18" i="2"/>
  <c r="E18" i="2"/>
  <c r="F18" i="2" s="1"/>
  <c r="G17" i="2"/>
  <c r="E17" i="2"/>
  <c r="G16" i="2"/>
  <c r="E16" i="2"/>
  <c r="F16" i="2" s="1"/>
  <c r="G15" i="2"/>
  <c r="E15" i="2"/>
  <c r="F15" i="2" s="1"/>
  <c r="F14" i="2"/>
  <c r="E14" i="2"/>
  <c r="G14" i="2" s="1"/>
  <c r="G13" i="2"/>
  <c r="F13" i="2"/>
  <c r="E13" i="2"/>
  <c r="D9" i="2"/>
  <c r="C9" i="2"/>
  <c r="F8" i="2"/>
  <c r="E8" i="2"/>
  <c r="G8" i="2" s="1"/>
  <c r="E7" i="2"/>
  <c r="G7" i="2" s="1"/>
  <c r="G6" i="2"/>
  <c r="E6" i="2"/>
  <c r="F6" i="2" s="1"/>
  <c r="E5" i="2"/>
  <c r="F5" i="2" s="1"/>
  <c r="E4" i="2"/>
  <c r="F4" i="2" s="1"/>
  <c r="E3" i="2"/>
  <c r="G3" i="2" s="1"/>
  <c r="D26" i="1"/>
  <c r="P25" i="1"/>
  <c r="O25" i="1"/>
  <c r="Q25" i="1" s="1"/>
  <c r="M25" i="1"/>
  <c r="L25" i="1"/>
  <c r="N25" i="1" s="1"/>
  <c r="G25" i="1"/>
  <c r="F25" i="1"/>
  <c r="H25" i="1" s="1"/>
  <c r="D25" i="1"/>
  <c r="C25" i="1"/>
  <c r="P24" i="1"/>
  <c r="O24" i="1" s="1"/>
  <c r="Q24" i="1" s="1"/>
  <c r="M24" i="1"/>
  <c r="L24" i="1" s="1"/>
  <c r="N24" i="1" s="1"/>
  <c r="G24" i="1"/>
  <c r="G26" i="1" s="1"/>
  <c r="F24" i="1"/>
  <c r="D24" i="1"/>
  <c r="P23" i="1"/>
  <c r="O23" i="1"/>
  <c r="Q23" i="1" s="1"/>
  <c r="M23" i="1"/>
  <c r="L23" i="1"/>
  <c r="N23" i="1" s="1"/>
  <c r="H23" i="1"/>
  <c r="G23" i="1"/>
  <c r="F23" i="1"/>
  <c r="E23" i="1"/>
  <c r="D23" i="1"/>
  <c r="C23" i="1"/>
  <c r="P22" i="1"/>
  <c r="M22" i="1"/>
  <c r="L22" i="1" s="1"/>
  <c r="N22" i="1" s="1"/>
  <c r="G22" i="1"/>
  <c r="F22" i="1"/>
  <c r="H22" i="1" s="1"/>
  <c r="D22" i="1"/>
  <c r="C22" i="1"/>
  <c r="P21" i="1"/>
  <c r="O21" i="1"/>
  <c r="M21" i="1"/>
  <c r="L21" i="1"/>
  <c r="G21" i="1"/>
  <c r="F21" i="1"/>
  <c r="H21" i="1" s="1"/>
  <c r="D21" i="1"/>
  <c r="C21" i="1"/>
  <c r="E21" i="1" s="1"/>
  <c r="C16" i="1"/>
  <c r="F14" i="1"/>
  <c r="F13" i="1"/>
  <c r="V33" i="1" s="1"/>
  <c r="U33" i="1" s="1"/>
  <c r="W33" i="1" s="1"/>
  <c r="I8" i="1"/>
  <c r="H8" i="1"/>
  <c r="G8" i="1"/>
  <c r="F8" i="1"/>
  <c r="E8" i="1"/>
  <c r="D8" i="1"/>
  <c r="C8" i="1"/>
  <c r="D16" i="1" s="1"/>
  <c r="D15" i="1"/>
  <c r="D14" i="1"/>
  <c r="D13" i="1"/>
  <c r="D12" i="1"/>
  <c r="F12" i="1" s="1"/>
  <c r="J42" i="1" s="1"/>
  <c r="I42" i="1" s="1"/>
  <c r="K42" i="1" s="1"/>
  <c r="D11" i="1"/>
  <c r="S43" i="1" l="1"/>
  <c r="R43" i="1" s="1"/>
  <c r="T43" i="1" s="1"/>
  <c r="H13" i="1"/>
  <c r="S23" i="1"/>
  <c r="R23" i="1" s="1"/>
  <c r="T23" i="1" s="1"/>
  <c r="M33" i="1"/>
  <c r="L33" i="1" s="1"/>
  <c r="N33" i="1" s="1"/>
  <c r="M43" i="1"/>
  <c r="L43" i="1" s="1"/>
  <c r="N43" i="1" s="1"/>
  <c r="V43" i="1"/>
  <c r="U43" i="1" s="1"/>
  <c r="W43" i="1" s="1"/>
  <c r="J45" i="1"/>
  <c r="I45" i="1" s="1"/>
  <c r="K45" i="1" s="1"/>
  <c r="J35" i="1"/>
  <c r="I35" i="1" s="1"/>
  <c r="K35" i="1" s="1"/>
  <c r="J25" i="1"/>
  <c r="G45" i="1"/>
  <c r="F45" i="1" s="1"/>
  <c r="H45" i="1" s="1"/>
  <c r="G35" i="1"/>
  <c r="F35" i="1" s="1"/>
  <c r="H35" i="1" s="1"/>
  <c r="D45" i="1"/>
  <c r="D35" i="1"/>
  <c r="P45" i="1"/>
  <c r="O45" i="1" s="1"/>
  <c r="Q45" i="1" s="1"/>
  <c r="P35" i="1"/>
  <c r="O35" i="1" s="1"/>
  <c r="Q35" i="1" s="1"/>
  <c r="S25" i="1"/>
  <c r="R25" i="1" s="1"/>
  <c r="T25" i="1" s="1"/>
  <c r="V35" i="1"/>
  <c r="U35" i="1" s="1"/>
  <c r="W35" i="1" s="1"/>
  <c r="S35" i="1"/>
  <c r="R35" i="1" s="1"/>
  <c r="T35" i="1" s="1"/>
  <c r="V45" i="1"/>
  <c r="U45" i="1" s="1"/>
  <c r="W45" i="1" s="1"/>
  <c r="M35" i="1"/>
  <c r="L35" i="1" s="1"/>
  <c r="N35" i="1" s="1"/>
  <c r="H15" i="1"/>
  <c r="S45" i="1"/>
  <c r="R45" i="1" s="1"/>
  <c r="T45" i="1" s="1"/>
  <c r="V25" i="1"/>
  <c r="U25" i="1" s="1"/>
  <c r="W25" i="1" s="1"/>
  <c r="M45" i="1"/>
  <c r="L45" i="1" s="1"/>
  <c r="N45" i="1" s="1"/>
  <c r="Q21" i="1"/>
  <c r="G10" i="4"/>
  <c r="F10" i="4"/>
  <c r="E13" i="4"/>
  <c r="C14" i="5" s="1"/>
  <c r="G14" i="3"/>
  <c r="F14" i="3"/>
  <c r="E17" i="3"/>
  <c r="C13" i="5" s="1"/>
  <c r="G12" i="4"/>
  <c r="F12" i="4"/>
  <c r="E25" i="1"/>
  <c r="G11" i="4"/>
  <c r="F11" i="4"/>
  <c r="G15" i="3"/>
  <c r="F15" i="3"/>
  <c r="G44" i="1"/>
  <c r="F44" i="1" s="1"/>
  <c r="H44" i="1" s="1"/>
  <c r="G34" i="1"/>
  <c r="F34" i="1" s="1"/>
  <c r="H34" i="1" s="1"/>
  <c r="J44" i="1"/>
  <c r="I44" i="1" s="1"/>
  <c r="K44" i="1" s="1"/>
  <c r="V34" i="1"/>
  <c r="U34" i="1" s="1"/>
  <c r="W34" i="1" s="1"/>
  <c r="V24" i="1"/>
  <c r="U24" i="1" s="1"/>
  <c r="W24" i="1" s="1"/>
  <c r="D44" i="1"/>
  <c r="V44" i="1"/>
  <c r="U44" i="1" s="1"/>
  <c r="W44" i="1" s="1"/>
  <c r="P34" i="1"/>
  <c r="O34" i="1" s="1"/>
  <c r="Q34" i="1" s="1"/>
  <c r="S34" i="1"/>
  <c r="R34" i="1" s="1"/>
  <c r="T34" i="1" s="1"/>
  <c r="S24" i="1"/>
  <c r="R24" i="1" s="1"/>
  <c r="T24" i="1" s="1"/>
  <c r="M34" i="1"/>
  <c r="L34" i="1" s="1"/>
  <c r="N34" i="1" s="1"/>
  <c r="S44" i="1"/>
  <c r="R44" i="1" s="1"/>
  <c r="T44" i="1" s="1"/>
  <c r="H14" i="1"/>
  <c r="J22" i="1"/>
  <c r="I22" i="1" s="1"/>
  <c r="K22" i="1" s="1"/>
  <c r="O22" i="1"/>
  <c r="Q22" i="1" s="1"/>
  <c r="P26" i="1"/>
  <c r="C24" i="1"/>
  <c r="J34" i="1"/>
  <c r="I34" i="1" s="1"/>
  <c r="K34" i="1" s="1"/>
  <c r="M44" i="1"/>
  <c r="L44" i="1" s="1"/>
  <c r="N44" i="1" s="1"/>
  <c r="D32" i="1"/>
  <c r="F17" i="2"/>
  <c r="F19" i="2" s="1"/>
  <c r="D12" i="5" s="1"/>
  <c r="E19" i="2"/>
  <c r="C12" i="5" s="1"/>
  <c r="F29" i="2"/>
  <c r="D20" i="5" s="1"/>
  <c r="G5" i="3"/>
  <c r="G8" i="3" s="1"/>
  <c r="E5" i="5" s="1"/>
  <c r="F5" i="3"/>
  <c r="E8" i="3"/>
  <c r="C5" i="5" s="1"/>
  <c r="H24" i="1"/>
  <c r="H26" i="1" s="1"/>
  <c r="F26" i="1"/>
  <c r="P44" i="1"/>
  <c r="O44" i="1" s="1"/>
  <c r="Q44" i="1" s="1"/>
  <c r="D34" i="1"/>
  <c r="M26" i="1"/>
  <c r="G27" i="2"/>
  <c r="E29" i="2"/>
  <c r="C20" i="5" s="1"/>
  <c r="F27" i="2"/>
  <c r="F16" i="3"/>
  <c r="G42" i="1"/>
  <c r="F42" i="1" s="1"/>
  <c r="H42" i="1" s="1"/>
  <c r="G32" i="1"/>
  <c r="F32" i="1" s="1"/>
  <c r="H32" i="1" s="1"/>
  <c r="V32" i="1"/>
  <c r="U32" i="1" s="1"/>
  <c r="W32" i="1" s="1"/>
  <c r="D42" i="1"/>
  <c r="H12" i="1"/>
  <c r="S32" i="1"/>
  <c r="R32" i="1" s="1"/>
  <c r="T32" i="1" s="1"/>
  <c r="V42" i="1"/>
  <c r="U42" i="1" s="1"/>
  <c r="W42" i="1" s="1"/>
  <c r="P32" i="1"/>
  <c r="O32" i="1" s="1"/>
  <c r="Q32" i="1" s="1"/>
  <c r="V22" i="1"/>
  <c r="U22" i="1" s="1"/>
  <c r="W22" i="1" s="1"/>
  <c r="M32" i="1"/>
  <c r="L32" i="1" s="1"/>
  <c r="N32" i="1" s="1"/>
  <c r="S42" i="1"/>
  <c r="R42" i="1" s="1"/>
  <c r="T42" i="1" s="1"/>
  <c r="J32" i="1"/>
  <c r="I32" i="1" s="1"/>
  <c r="K32" i="1" s="1"/>
  <c r="S22" i="1"/>
  <c r="R22" i="1" s="1"/>
  <c r="T22" i="1" s="1"/>
  <c r="P42" i="1"/>
  <c r="O42" i="1" s="1"/>
  <c r="Q42" i="1" s="1"/>
  <c r="L26" i="1"/>
  <c r="N21" i="1"/>
  <c r="N26" i="1" s="1"/>
  <c r="J24" i="1"/>
  <c r="I24" i="1" s="1"/>
  <c r="K24" i="1" s="1"/>
  <c r="M42" i="1"/>
  <c r="L42" i="1" s="1"/>
  <c r="N42" i="1" s="1"/>
  <c r="G17" i="3"/>
  <c r="E13" i="5" s="1"/>
  <c r="G29" i="2"/>
  <c r="E20" i="5" s="1"/>
  <c r="S33" i="1"/>
  <c r="R33" i="1" s="1"/>
  <c r="T33" i="1" s="1"/>
  <c r="G4" i="2"/>
  <c r="G9" i="2" s="1"/>
  <c r="E4" i="5" s="1"/>
  <c r="E9" i="2"/>
  <c r="C4" i="5" s="1"/>
  <c r="F3" i="2"/>
  <c r="G19" i="2"/>
  <c r="E12" i="5" s="1"/>
  <c r="V23" i="1"/>
  <c r="U23" i="1" s="1"/>
  <c r="W23" i="1" s="1"/>
  <c r="E22" i="1"/>
  <c r="G5" i="2"/>
  <c r="F3" i="3"/>
  <c r="F12" i="3"/>
  <c r="E26" i="3"/>
  <c r="C21" i="5" s="1"/>
  <c r="F11" i="1"/>
  <c r="J43" i="1"/>
  <c r="I43" i="1" s="1"/>
  <c r="K43" i="1" s="1"/>
  <c r="J33" i="1"/>
  <c r="I33" i="1" s="1"/>
  <c r="K33" i="1" s="1"/>
  <c r="J23" i="1"/>
  <c r="G43" i="1"/>
  <c r="F43" i="1" s="1"/>
  <c r="H43" i="1" s="1"/>
  <c r="G33" i="1"/>
  <c r="F33" i="1" s="1"/>
  <c r="H33" i="1" s="1"/>
  <c r="D43" i="1"/>
  <c r="D33" i="1"/>
  <c r="P43" i="1"/>
  <c r="O43" i="1" s="1"/>
  <c r="Q43" i="1" s="1"/>
  <c r="P33" i="1"/>
  <c r="O33" i="1" s="1"/>
  <c r="Q33" i="1" s="1"/>
  <c r="G24" i="3"/>
  <c r="G26" i="3" s="1"/>
  <c r="E21" i="5" s="1"/>
  <c r="F7" i="2"/>
  <c r="F13" i="3"/>
  <c r="F21" i="3"/>
  <c r="F26" i="3" s="1"/>
  <c r="D21" i="5" s="1"/>
  <c r="J41" i="1" l="1"/>
  <c r="J31" i="1"/>
  <c r="I31" i="1" s="1"/>
  <c r="J21" i="1"/>
  <c r="G41" i="1"/>
  <c r="G31" i="1"/>
  <c r="D41" i="1"/>
  <c r="D31" i="1"/>
  <c r="F16" i="1"/>
  <c r="P41" i="1"/>
  <c r="P31" i="1"/>
  <c r="V31" i="1"/>
  <c r="S21" i="1"/>
  <c r="M31" i="1"/>
  <c r="S31" i="1"/>
  <c r="V41" i="1"/>
  <c r="H11" i="1"/>
  <c r="H16" i="1" s="1"/>
  <c r="S41" i="1"/>
  <c r="V21" i="1"/>
  <c r="M41" i="1"/>
  <c r="Y44" i="1"/>
  <c r="C44" i="1"/>
  <c r="X24" i="1"/>
  <c r="E24" i="1"/>
  <c r="Z24" i="1" s="1"/>
  <c r="C26" i="1"/>
  <c r="C35" i="1"/>
  <c r="Y35" i="1"/>
  <c r="Y24" i="1"/>
  <c r="C45" i="1"/>
  <c r="Y45" i="1"/>
  <c r="Y42" i="1"/>
  <c r="C42" i="1"/>
  <c r="F8" i="3"/>
  <c r="D5" i="5" s="1"/>
  <c r="Y32" i="1"/>
  <c r="C32" i="1"/>
  <c r="F13" i="4"/>
  <c r="D14" i="5" s="1"/>
  <c r="Y34" i="1"/>
  <c r="C34" i="1"/>
  <c r="G13" i="4"/>
  <c r="E14" i="5" s="1"/>
  <c r="Y23" i="1"/>
  <c r="I23" i="1"/>
  <c r="F9" i="2"/>
  <c r="D4" i="5" s="1"/>
  <c r="Q26" i="1"/>
  <c r="Z22" i="1"/>
  <c r="E26" i="1"/>
  <c r="O26" i="1"/>
  <c r="Y22" i="1"/>
  <c r="I25" i="1"/>
  <c r="Y25" i="1"/>
  <c r="Y33" i="1"/>
  <c r="C33" i="1"/>
  <c r="F17" i="3"/>
  <c r="D13" i="5" s="1"/>
  <c r="C43" i="1"/>
  <c r="Y43" i="1"/>
  <c r="X22" i="1"/>
  <c r="U41" i="1" l="1"/>
  <c r="V46" i="1"/>
  <c r="X42" i="1"/>
  <c r="E42" i="1"/>
  <c r="Z42" i="1" s="1"/>
  <c r="L31" i="1"/>
  <c r="M36" i="1"/>
  <c r="U31" i="1"/>
  <c r="V36" i="1"/>
  <c r="E45" i="1"/>
  <c r="Z45" i="1" s="1"/>
  <c r="X45" i="1"/>
  <c r="O31" i="1"/>
  <c r="P36" i="1"/>
  <c r="X34" i="1"/>
  <c r="E34" i="1"/>
  <c r="Z34" i="1" s="1"/>
  <c r="D46" i="1"/>
  <c r="C41" i="1"/>
  <c r="Y41" i="1"/>
  <c r="Y46" i="1" s="1"/>
  <c r="D19" i="5" s="1"/>
  <c r="D23" i="5" s="1"/>
  <c r="E43" i="1"/>
  <c r="Z43" i="1" s="1"/>
  <c r="X43" i="1"/>
  <c r="G36" i="1"/>
  <c r="F31" i="1"/>
  <c r="G46" i="1"/>
  <c r="F41" i="1"/>
  <c r="X33" i="1"/>
  <c r="E33" i="1"/>
  <c r="Z33" i="1" s="1"/>
  <c r="X32" i="1"/>
  <c r="E32" i="1"/>
  <c r="Z32" i="1" s="1"/>
  <c r="I21" i="1"/>
  <c r="Y21" i="1"/>
  <c r="Y26" i="1" s="1"/>
  <c r="D3" i="5" s="1"/>
  <c r="D7" i="5" s="1"/>
  <c r="J26" i="1"/>
  <c r="U21" i="1"/>
  <c r="V26" i="1"/>
  <c r="I36" i="1"/>
  <c r="K31" i="1"/>
  <c r="K36" i="1" s="1"/>
  <c r="K25" i="1"/>
  <c r="Z25" i="1" s="1"/>
  <c r="X25" i="1"/>
  <c r="R31" i="1"/>
  <c r="S36" i="1"/>
  <c r="S26" i="1"/>
  <c r="R21" i="1"/>
  <c r="X35" i="1"/>
  <c r="E35" i="1"/>
  <c r="Z35" i="1" s="1"/>
  <c r="K23" i="1"/>
  <c r="Z23" i="1" s="1"/>
  <c r="X23" i="1"/>
  <c r="O41" i="1"/>
  <c r="P46" i="1"/>
  <c r="M6" i="1"/>
  <c r="J36" i="1"/>
  <c r="C31" i="1"/>
  <c r="D36" i="1"/>
  <c r="Y31" i="1"/>
  <c r="Y36" i="1" s="1"/>
  <c r="D11" i="5" s="1"/>
  <c r="D15" i="5" s="1"/>
  <c r="X44" i="1"/>
  <c r="E44" i="1"/>
  <c r="Z44" i="1" s="1"/>
  <c r="M46" i="1"/>
  <c r="L41" i="1"/>
  <c r="R41" i="1"/>
  <c r="S46" i="1"/>
  <c r="J46" i="1"/>
  <c r="I41" i="1"/>
  <c r="I26" i="1" l="1"/>
  <c r="K21" i="1"/>
  <c r="X21" i="1"/>
  <c r="X26" i="1" s="1"/>
  <c r="C3" i="5" s="1"/>
  <c r="C7" i="5" s="1"/>
  <c r="W21" i="1"/>
  <c r="W26" i="1" s="1"/>
  <c r="U26" i="1"/>
  <c r="O46" i="1"/>
  <c r="Q41" i="1"/>
  <c r="Q46" i="1" s="1"/>
  <c r="O36" i="1"/>
  <c r="Q31" i="1"/>
  <c r="Q36" i="1" s="1"/>
  <c r="R46" i="1"/>
  <c r="T41" i="1"/>
  <c r="T46" i="1" s="1"/>
  <c r="L46" i="1"/>
  <c r="N41" i="1"/>
  <c r="N46" i="1" s="1"/>
  <c r="W31" i="1"/>
  <c r="W36" i="1" s="1"/>
  <c r="U36" i="1"/>
  <c r="R36" i="1"/>
  <c r="T31" i="1"/>
  <c r="T36" i="1" s="1"/>
  <c r="H31" i="1"/>
  <c r="H36" i="1" s="1"/>
  <c r="F36" i="1"/>
  <c r="L36" i="1"/>
  <c r="N31" i="1"/>
  <c r="N36" i="1" s="1"/>
  <c r="R26" i="1"/>
  <c r="T21" i="1"/>
  <c r="T26" i="1" s="1"/>
  <c r="E41" i="1"/>
  <c r="X41" i="1"/>
  <c r="X46" i="1" s="1"/>
  <c r="C19" i="5" s="1"/>
  <c r="C23" i="5" s="1"/>
  <c r="C46" i="1"/>
  <c r="I46" i="1"/>
  <c r="K41" i="1"/>
  <c r="K46" i="1" s="1"/>
  <c r="F46" i="1"/>
  <c r="H41" i="1"/>
  <c r="H46" i="1" s="1"/>
  <c r="C36" i="1"/>
  <c r="E31" i="1"/>
  <c r="X31" i="1"/>
  <c r="X36" i="1" s="1"/>
  <c r="C11" i="5" s="1"/>
  <c r="C15" i="5" s="1"/>
  <c r="W41" i="1"/>
  <c r="W46" i="1" s="1"/>
  <c r="U46" i="1"/>
  <c r="K26" i="1" l="1"/>
  <c r="Z21" i="1"/>
  <c r="Z26" i="1" s="1"/>
  <c r="E3" i="5" s="1"/>
  <c r="E7" i="5" s="1"/>
  <c r="Z31" i="1"/>
  <c r="Z36" i="1" s="1"/>
  <c r="E11" i="5" s="1"/>
  <c r="E15" i="5" s="1"/>
  <c r="E36" i="1"/>
  <c r="Z41" i="1"/>
  <c r="Z46" i="1" s="1"/>
  <c r="E19" i="5" s="1"/>
  <c r="E23" i="5" s="1"/>
  <c r="E46" i="1"/>
</calcChain>
</file>

<file path=xl/sharedStrings.xml><?xml version="1.0" encoding="utf-8"?>
<sst xmlns="http://schemas.openxmlformats.org/spreadsheetml/2006/main" count="370" uniqueCount="69">
  <si>
    <t>No.</t>
  </si>
  <si>
    <t>Keterangan</t>
  </si>
  <si>
    <t>Jumlah</t>
  </si>
  <si>
    <t>Televisi (60 W)</t>
  </si>
  <si>
    <t>Lampu (35 W)</t>
  </si>
  <si>
    <t>Kulkas (200 W)</t>
  </si>
  <si>
    <t>AC (220 W)</t>
  </si>
  <si>
    <t>Dispenser (50 W)</t>
  </si>
  <si>
    <t>Pemanas Air (100 W)</t>
  </si>
  <si>
    <t>PC (150 W)</t>
  </si>
  <si>
    <t>RT 1</t>
  </si>
  <si>
    <t>RT 2</t>
  </si>
  <si>
    <t>RT 3</t>
  </si>
  <si>
    <t>RT 4</t>
  </si>
  <si>
    <t>Total KK</t>
  </si>
  <si>
    <t>RT 5</t>
  </si>
  <si>
    <t>V_rating (V)</t>
  </si>
  <si>
    <t>Total</t>
  </si>
  <si>
    <t>PF</t>
  </si>
  <si>
    <t>Perbandingan</t>
  </si>
  <si>
    <t>Jumlah KK Ternormalisasi</t>
  </si>
  <si>
    <t>Jumlah Daya</t>
  </si>
  <si>
    <t>05.00-17.00</t>
  </si>
  <si>
    <t>S (VA)</t>
  </si>
  <si>
    <t>P (W)</t>
  </si>
  <si>
    <t>Q (VAR)</t>
  </si>
  <si>
    <t>17.00-22.00</t>
  </si>
  <si>
    <t>22.00-05.00</t>
  </si>
  <si>
    <t>V_rating (kV)</t>
  </si>
  <si>
    <t>Jumlah Pelanggan</t>
  </si>
  <si>
    <t>Industri kecil</t>
  </si>
  <si>
    <t>Industri sedang</t>
  </si>
  <si>
    <t>Industri besar</t>
  </si>
  <si>
    <t>UKM</t>
  </si>
  <si>
    <t>Restoran &amp; toko</t>
  </si>
  <si>
    <t>Mall &amp; hotel</t>
  </si>
  <si>
    <t>S (kA)</t>
  </si>
  <si>
    <t>Rumah sakit</t>
  </si>
  <si>
    <t>Pusat server data</t>
  </si>
  <si>
    <t>Kantor lembaga negara</t>
  </si>
  <si>
    <t>Istana negara</t>
  </si>
  <si>
    <t>Pangkalan militer</t>
  </si>
  <si>
    <t>Rumah ibadah</t>
  </si>
  <si>
    <t>Sekolah dan universitas</t>
  </si>
  <si>
    <t>Penerangan jalan umum</t>
  </si>
  <si>
    <t>Beban</t>
  </si>
  <si>
    <t>Rumah tangga</t>
  </si>
  <si>
    <t>Industri-komersial</t>
  </si>
  <si>
    <t>Prioritas</t>
  </si>
  <si>
    <t>Publik &amp; sosial</t>
  </si>
  <si>
    <t>Daya Total (W)</t>
  </si>
  <si>
    <t>Faktor</t>
  </si>
  <si>
    <t>Generator</t>
  </si>
  <si>
    <t>Kapasitas (MW)</t>
  </si>
  <si>
    <t>Fungsi</t>
  </si>
  <si>
    <t>Waktu</t>
  </si>
  <si>
    <t>PLTP</t>
  </si>
  <si>
    <t>Swing</t>
  </si>
  <si>
    <t>PLTU</t>
  </si>
  <si>
    <t>PV</t>
  </si>
  <si>
    <t>PLTA</t>
  </si>
  <si>
    <t>PLTB</t>
  </si>
  <si>
    <t>PLTP kapasitas maksimal 90%</t>
  </si>
  <si>
    <t>https://coaction.id/seri-energi-terbarukan-pembangkit-listrik-tenaga-panas-bumi/</t>
  </si>
  <si>
    <t>PLTU kapasitas maksimal 100%</t>
  </si>
  <si>
    <t>PLTA kapasitas maksimal 80-100%</t>
  </si>
  <si>
    <t>https://ekonomi.bisnis.com/read/20190708/44/1121422/tiga-jenis-pembangkit-energi-terbarukan-ini-miliki-efisiensi-tinggi#:~:text=Pelaksana%20Tugas%20Direktur%20Utama%20PT,biomassa%2C%20efisiensinya%20sebesar%2080%20persen.</t>
  </si>
  <si>
    <t>PLTB kapasitas maksimal 84%</t>
  </si>
  <si>
    <t>Daya Total (MVA)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</si>
</sst>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b/>
      <sz val="11"/>
      <color theme="1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B4A7D6"/>
        <bgColor rgb="FFB4A7D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8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11" fontId="2" fillId="3" borderId="0" xfId="0" applyNumberFormat="1" applyFont="1" applyFill="1"/>
    <xf numFmtId="11" fontId="2" fillId="4" borderId="0" xfId="0" applyNumberFormat="1" applyFont="1" applyFill="1"/>
    <xf numFmtId="11" fontId="2" fillId="5" borderId="0" xfId="0" applyNumberFormat="1" applyFont="1" applyFill="1"/>
    <xf numFmtId="0" fontId="2" fillId="6" borderId="0" xfId="0" applyFont="1" applyFill="1"/>
    <xf numFmtId="0" fontId="3" fillId="0" borderId="0" xfId="0" applyFont="1"/>
    <xf numFmtId="0" fontId="3" fillId="0" borderId="0" xfId="0" applyFont="1" applyAlignment="1">
      <alignment horizontal="right"/>
    </xf>
    <xf numFmtId="11" fontId="2" fillId="0" borderId="0" xfId="0" applyNumberFormat="1" applyFont="1"/>
    <xf numFmtId="0" fontId="2" fillId="4" borderId="0" xfId="0" applyFont="1" applyFill="1"/>
    <xf numFmtId="0" fontId="0" fillId="0" borderId="0" xfId="0"/>
    <xf numFmtId="0" fontId="2" fillId="3" borderId="0" xfId="0" applyFont="1" applyFill="1"/>
    <xf numFmtId="0" fontId="2" fillId="0" borderId="0" xfId="0" applyFont="1"/>
    <xf numFmtId="0" fontId="5" fillId="7" borderId="1" xfId="1" applyFont="1" applyFill="1" applyBorder="1" applyAlignment="1">
      <alignment horizontal="center" vertical="center"/>
    </xf>
    <xf numFmtId="0" fontId="1" fillId="0" borderId="0" xfId="1"/>
    <xf numFmtId="0" fontId="5" fillId="8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vertical="center"/>
    </xf>
    <xf numFmtId="0" fontId="1" fillId="0" borderId="1" xfId="1" applyBorder="1" applyAlignment="1">
      <alignment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5" fillId="8" borderId="1" xfId="1" applyFont="1" applyFill="1" applyBorder="1" applyAlignment="1">
      <alignment horizontal="center" vertical="center"/>
    </xf>
    <xf numFmtId="0" fontId="0" fillId="0" borderId="0" xfId="0" applyAlignment="1"/>
    <xf numFmtId="0" fontId="4" fillId="0" borderId="0" xfId="0" applyFont="1"/>
    <xf numFmtId="0" fontId="4" fillId="9" borderId="0" xfId="0" applyFont="1" applyFill="1"/>
    <xf numFmtId="0" fontId="4" fillId="9" borderId="0" xfId="0" applyFont="1" applyFill="1" applyBorder="1"/>
  </cellXfs>
  <cellStyles count="2">
    <cellStyle name="Normal" xfId="0" builtinId="0"/>
    <cellStyle name="Normal 2" xfId="1" xr:uid="{E8DDC5B0-2D9E-4A9D-9C80-494D9D4A439E}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rgb="FFD9D9D9"/>
          <bgColor rgb="FFD9D9D9"/>
        </patternFill>
      </fill>
    </dxf>
    <dxf>
      <border outline="0">
        <bottom style="thin">
          <color rgb="FF000000"/>
        </bottom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15" formatCode="0.00E+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22/11/relationships/FeaturePropertyBag" Target="featurePropertyBag/featurePropertyBag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64B7F9-A617-4986-BF92-85247763A387}" name="Table7" displayName="Table7" ref="B21:E26" totalsRowShown="0" headerRowDxfId="8">
  <autoFilter ref="B21:E26" xr:uid="{5164B7F9-A617-4986-BF92-85247763A387}"/>
  <tableColumns count="4">
    <tableColumn id="1" xr3:uid="{FAE771CA-2127-4EC1-A34B-54B130EDE8F7}" name="No."/>
    <tableColumn id="2" xr3:uid="{7EDF466C-F9FE-4277-9F69-A3DB56D24C11}" name="Generator"/>
    <tableColumn id="3" xr3:uid="{E22CAF9A-1260-430A-922F-09D44871C2AB}" name="Kapasitas (MW)"/>
    <tableColumn id="4" xr3:uid="{7D74F645-FD13-447D-8F94-A71E0C018B2A}" name="Daya Total (MVA)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3CAD49-597A-48C7-A985-1BA0C2A6C274}" name="Table8" displayName="Table8" ref="B30:E35" totalsRowShown="0" headerRowDxfId="7">
  <autoFilter ref="B30:E35" xr:uid="{7B3CAD49-597A-48C7-A985-1BA0C2A6C274}"/>
  <tableColumns count="4">
    <tableColumn id="1" xr3:uid="{04BB9DC2-B475-485D-91DE-0E42C46BD754}" name="No."/>
    <tableColumn id="2" xr3:uid="{B0B8C800-7020-4FDA-B489-582A8CFB7F2D}" name="Generator"/>
    <tableColumn id="3" xr3:uid="{20272FA9-2B1E-4651-A0EB-4A89634F96B4}" name="Kapasitas (MW)"/>
    <tableColumn id="4" xr3:uid="{3F5B6011-E7CB-4ACD-BD04-5992CDF4B4F8}" name="Daya Total (MVA)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9B0823F-9E3D-402F-99B1-9E604F09FC3F}" name="Table9" displayName="Table9" ref="B11:E16" totalsRowShown="0" headerRowDxfId="0" dataDxfId="1" tableBorderDxfId="6">
  <autoFilter ref="B11:E16" xr:uid="{39B0823F-9E3D-402F-99B1-9E604F09FC3F}"/>
  <tableColumns count="4">
    <tableColumn id="1" xr3:uid="{39679DD4-D465-4150-AA7B-9CDD69BEF2C7}" name="No." dataDxfId="5"/>
    <tableColumn id="2" xr3:uid="{54798CFC-BADE-4C11-BAFE-B8C36D1BA491}" name="Generator" dataDxfId="4"/>
    <tableColumn id="3" xr3:uid="{CA16E3A1-65E1-4D13-83F0-7620EA2D0E09}" name="Kapasitas (MW)" dataDxfId="3"/>
    <tableColumn id="4" xr3:uid="{DA7AF2AC-3088-4A72-BE3D-50D38ACEA357}" name="Daya Total (MVA)" dataDxfId="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5662D0-04C1-4FA4-BEB7-A27FCDAC0C39}" name="Table1" displayName="Table1" ref="A10:F16" totalsRowShown="0" headerRowDxfId="30" dataDxfId="31">
  <autoFilter ref="A10:F16" xr:uid="{A05662D0-04C1-4FA4-BEB7-A27FCDAC0C39}"/>
  <tableColumns count="6">
    <tableColumn id="1" xr3:uid="{A0FF265C-34EE-4914-B497-6E494B7FA300}" name="No." dataDxfId="37"/>
    <tableColumn id="2" xr3:uid="{E306D330-0E1E-47CD-8893-FD25B8847DCE}" name="Keterangan" dataDxfId="36"/>
    <tableColumn id="3" xr3:uid="{783D5233-341B-4BC2-90B5-245BC9900CF2}" name="Perbandingan" dataDxfId="35"/>
    <tableColumn id="4" xr3:uid="{A6851C95-B474-454A-B4F7-9D164733031A}" name="Daya Total (W)" dataDxfId="34">
      <calculatedColumnFormula>60*C3+35*D3+200*E3+220*F3+50*G3+100*H3+150*I3</calculatedColumnFormula>
    </tableColumn>
    <tableColumn id="5" xr3:uid="{6B6CE6EE-68F2-47A1-91E0-B7FC0568DD44}" name="Faktor" dataDxfId="33"/>
    <tableColumn id="6" xr3:uid="{E5CC4998-6BA9-4DC2-8381-FE847F696FD0}" name="Jumlah KK Ternormalisasi" dataDxfId="3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B86D97-4E08-4B26-96AE-0C8BEC19F29A}" name="Table2" displayName="Table2" ref="A2:E7" totalsRowShown="0" headerRowDxfId="23" dataDxfId="24">
  <autoFilter ref="A2:E7" xr:uid="{D6B86D97-4E08-4B26-96AE-0C8BEC19F29A}"/>
  <tableColumns count="5">
    <tableColumn id="1" xr3:uid="{CDCFC98C-1929-4D01-9119-E87935C55A69}" name="No." dataDxfId="29"/>
    <tableColumn id="2" xr3:uid="{8D2B89A5-8B37-4CA5-A4A8-7898AA315382}" name="Beban" dataDxfId="28"/>
    <tableColumn id="3" xr3:uid="{B2685800-4490-4AF6-A455-25F74EE289AE}" name="S (VA)" dataDxfId="27"/>
    <tableColumn id="4" xr3:uid="{A86B36DF-798C-474F-83C7-5DC2B9307F41}" name="P (W)" dataDxfId="26"/>
    <tableColumn id="5" xr3:uid="{9E051893-92B5-4577-9B38-037AB5B5059A}" name="Q (VAR)" dataDxfId="2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B47BDB-2D7E-4E89-BBBC-E283924F55A4}" name="Table3" displayName="Table3" ref="A10:E15" totalsRowShown="0" headerRowDxfId="16" dataDxfId="17">
  <autoFilter ref="A10:E15" xr:uid="{10B47BDB-2D7E-4E89-BBBC-E283924F55A4}"/>
  <tableColumns count="5">
    <tableColumn id="1" xr3:uid="{0CE177EC-E630-48F5-B2DE-1EA4A9F4AFC2}" name="No." dataDxfId="22"/>
    <tableColumn id="2" xr3:uid="{646637F4-E8C9-4B4F-9EF1-FA5D5932B340}" name="Beban" dataDxfId="21"/>
    <tableColumn id="3" xr3:uid="{FB6FF6BE-4C4B-440B-885B-7B7838ECC55C}" name="S (VA)" dataDxfId="20"/>
    <tableColumn id="4" xr3:uid="{71E37070-EEEC-4D3F-8DF3-A9D91C806984}" name="P (W)" dataDxfId="19"/>
    <tableColumn id="5" xr3:uid="{00E745DB-2E6F-466A-91F1-CE02B54DC4AD}" name="Q (VAR)" dataDxfId="18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D3BB1E-AB35-47B9-8631-66528C7C5329}" name="Table4" displayName="Table4" ref="A18:E23" totalsRowShown="0" headerRowDxfId="9" dataDxfId="10">
  <autoFilter ref="A18:E23" xr:uid="{BAD3BB1E-AB35-47B9-8631-66528C7C5329}"/>
  <tableColumns count="5">
    <tableColumn id="1" xr3:uid="{CC53967A-F12A-40F3-B65D-6CD59511128B}" name="No." dataDxfId="15"/>
    <tableColumn id="2" xr3:uid="{98001488-B96F-4235-B4B5-353014F359B4}" name="Beban" dataDxfId="14"/>
    <tableColumn id="3" xr3:uid="{16C6080B-E97B-471F-A359-B10101B4893E}" name="S (VA)" dataDxfId="13"/>
    <tableColumn id="4" xr3:uid="{DAD51019-6897-4BC4-8BAA-8ABF42CB6298}" name="P (W)" dataDxfId="12"/>
    <tableColumn id="5" xr3:uid="{55831D08-73E9-4C2D-9591-90B2FEA6A62B}" name="Q (VAR)" dataDxf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39A63-E09E-421B-86FF-FAD66D293812}">
  <dimension ref="B2:J35"/>
  <sheetViews>
    <sheetView tabSelected="1" topLeftCell="A10" zoomScaleNormal="100" workbookViewId="0">
      <selection activeCell="B30" sqref="B30:E35"/>
    </sheetView>
  </sheetViews>
  <sheetFormatPr defaultRowHeight="13.8" x14ac:dyDescent="0.25"/>
  <cols>
    <col min="1" max="1" width="8.88671875" style="18"/>
    <col min="2" max="2" width="10" style="18" customWidth="1"/>
    <col min="3" max="3" width="17.77734375" style="18" customWidth="1"/>
    <col min="4" max="4" width="16" style="18" customWidth="1"/>
    <col min="5" max="5" width="31.6640625" style="18" customWidth="1"/>
    <col min="6" max="6" width="13.33203125" style="18" customWidth="1"/>
    <col min="7" max="7" width="12.109375" style="18" customWidth="1"/>
    <col min="8" max="8" width="11.109375" style="18" customWidth="1"/>
    <col min="9" max="10" width="11.33203125" style="18" customWidth="1"/>
    <col min="11" max="12" width="8.88671875" style="18"/>
    <col min="13" max="13" width="17.44140625" style="18" customWidth="1"/>
    <col min="14" max="16384" width="8.88671875" style="18"/>
  </cols>
  <sheetData>
    <row r="2" spans="2:10" x14ac:dyDescent="0.25">
      <c r="C2" s="17" t="s">
        <v>52</v>
      </c>
      <c r="D2" s="17" t="s">
        <v>53</v>
      </c>
      <c r="E2" s="17" t="s">
        <v>54</v>
      </c>
      <c r="F2" s="17" t="s">
        <v>55</v>
      </c>
      <c r="G2" s="17"/>
      <c r="H2" s="17"/>
      <c r="J2" s="18" t="s">
        <v>18</v>
      </c>
    </row>
    <row r="3" spans="2:10" x14ac:dyDescent="0.25">
      <c r="B3" s="18" t="s">
        <v>0</v>
      </c>
      <c r="C3" s="17"/>
      <c r="D3" s="17"/>
      <c r="E3" s="17"/>
      <c r="F3" s="19" t="s">
        <v>22</v>
      </c>
      <c r="G3" s="19" t="s">
        <v>26</v>
      </c>
      <c r="H3" s="19" t="s">
        <v>27</v>
      </c>
      <c r="J3" s="18">
        <v>0.9</v>
      </c>
    </row>
    <row r="4" spans="2:10" x14ac:dyDescent="0.25">
      <c r="B4" s="18">
        <v>1</v>
      </c>
      <c r="C4" s="20" t="s">
        <v>56</v>
      </c>
      <c r="D4" s="21">
        <f>D5*0.8</f>
        <v>80</v>
      </c>
      <c r="E4" s="21" t="s">
        <v>57</v>
      </c>
      <c r="F4" s="22" t="b">
        <v>1</v>
      </c>
      <c r="G4" s="22" t="b">
        <v>1</v>
      </c>
      <c r="H4" s="22" t="b">
        <v>1</v>
      </c>
    </row>
    <row r="5" spans="2:10" x14ac:dyDescent="0.25">
      <c r="B5" s="18">
        <v>2</v>
      </c>
      <c r="C5" s="20" t="s">
        <v>58</v>
      </c>
      <c r="D5" s="21">
        <v>100</v>
      </c>
      <c r="E5" s="21" t="s">
        <v>59</v>
      </c>
      <c r="F5" s="22" t="b">
        <v>1</v>
      </c>
      <c r="G5" s="22" t="b">
        <v>1</v>
      </c>
      <c r="H5" s="22" t="b">
        <v>1</v>
      </c>
    </row>
    <row r="6" spans="2:10" x14ac:dyDescent="0.25">
      <c r="B6" s="18">
        <v>3</v>
      </c>
      <c r="C6" s="20" t="s">
        <v>60</v>
      </c>
      <c r="D6" s="21">
        <f>0.3*D5</f>
        <v>30</v>
      </c>
      <c r="E6" s="21" t="s">
        <v>57</v>
      </c>
      <c r="F6" s="22" t="b">
        <v>0</v>
      </c>
      <c r="G6" s="22" t="b">
        <v>1</v>
      </c>
      <c r="H6" s="22" t="b">
        <v>1</v>
      </c>
    </row>
    <row r="7" spans="2:10" x14ac:dyDescent="0.25">
      <c r="B7" s="18">
        <v>4</v>
      </c>
      <c r="C7" s="20" t="s">
        <v>61</v>
      </c>
      <c r="D7" s="21">
        <f>D5*0.1</f>
        <v>10</v>
      </c>
      <c r="E7" s="21" t="s">
        <v>59</v>
      </c>
      <c r="F7" s="22" t="b">
        <v>0</v>
      </c>
      <c r="G7" s="22" t="b">
        <v>1</v>
      </c>
      <c r="H7" s="22" t="b">
        <v>1</v>
      </c>
    </row>
    <row r="8" spans="2:10" x14ac:dyDescent="0.25">
      <c r="D8" s="18">
        <f>SUM(D4:D7)</f>
        <v>220</v>
      </c>
    </row>
    <row r="10" spans="2:10" x14ac:dyDescent="0.25">
      <c r="C10" s="23" t="s">
        <v>22</v>
      </c>
      <c r="D10" s="23"/>
      <c r="E10" s="23"/>
      <c r="G10" s="18" t="s">
        <v>62</v>
      </c>
      <c r="J10" s="18" t="s">
        <v>63</v>
      </c>
    </row>
    <row r="11" spans="2:10" x14ac:dyDescent="0.25">
      <c r="B11" s="25" t="s">
        <v>0</v>
      </c>
      <c r="C11" s="25" t="s">
        <v>52</v>
      </c>
      <c r="D11" s="25" t="s">
        <v>53</v>
      </c>
      <c r="E11" s="25" t="s">
        <v>68</v>
      </c>
      <c r="G11" s="18" t="s">
        <v>64</v>
      </c>
    </row>
    <row r="12" spans="2:10" x14ac:dyDescent="0.25">
      <c r="B12" s="26">
        <v>1</v>
      </c>
      <c r="C12" s="26" t="s">
        <v>56</v>
      </c>
      <c r="D12" s="26">
        <v>80</v>
      </c>
      <c r="E12" s="26">
        <v>72</v>
      </c>
      <c r="G12" s="18" t="s">
        <v>65</v>
      </c>
      <c r="J12" s="18" t="s">
        <v>66</v>
      </c>
    </row>
    <row r="13" spans="2:10" x14ac:dyDescent="0.25">
      <c r="B13" s="25">
        <v>2</v>
      </c>
      <c r="C13" s="25" t="s">
        <v>58</v>
      </c>
      <c r="D13" s="25">
        <v>100</v>
      </c>
      <c r="E13" s="25">
        <v>90</v>
      </c>
      <c r="G13" s="18" t="s">
        <v>67</v>
      </c>
    </row>
    <row r="14" spans="2:10" x14ac:dyDescent="0.25">
      <c r="B14" s="26">
        <v>3</v>
      </c>
      <c r="C14" s="26" t="s">
        <v>60</v>
      </c>
      <c r="D14" s="26">
        <v>0</v>
      </c>
      <c r="E14" s="26">
        <v>0</v>
      </c>
    </row>
    <row r="15" spans="2:10" x14ac:dyDescent="0.25">
      <c r="B15" s="25">
        <v>4</v>
      </c>
      <c r="C15" s="25" t="s">
        <v>61</v>
      </c>
      <c r="D15" s="25">
        <v>0</v>
      </c>
      <c r="E15" s="25">
        <v>0</v>
      </c>
    </row>
    <row r="16" spans="2:10" x14ac:dyDescent="0.25">
      <c r="B16" s="27">
        <v>5</v>
      </c>
      <c r="C16" s="27" t="s">
        <v>17</v>
      </c>
      <c r="D16" s="27">
        <v>180</v>
      </c>
      <c r="E16" s="27">
        <v>162</v>
      </c>
    </row>
    <row r="17" spans="2:5" x14ac:dyDescent="0.25">
      <c r="B17"/>
      <c r="C17"/>
      <c r="D17"/>
      <c r="E17"/>
    </row>
    <row r="18" spans="2:5" x14ac:dyDescent="0.25">
      <c r="B18"/>
      <c r="C18"/>
      <c r="D18"/>
      <c r="E18"/>
    </row>
    <row r="19" spans="2:5" x14ac:dyDescent="0.25">
      <c r="C19" s="23" t="s">
        <v>26</v>
      </c>
      <c r="D19" s="23"/>
      <c r="E19" s="23"/>
    </row>
    <row r="21" spans="2:5" x14ac:dyDescent="0.25">
      <c r="B21" s="24" t="s">
        <v>0</v>
      </c>
      <c r="C21" s="24" t="s">
        <v>52</v>
      </c>
      <c r="D21" s="24" t="s">
        <v>53</v>
      </c>
      <c r="E21" s="24" t="s">
        <v>68</v>
      </c>
    </row>
    <row r="22" spans="2:5" x14ac:dyDescent="0.25">
      <c r="B22">
        <v>1</v>
      </c>
      <c r="C22" t="s">
        <v>56</v>
      </c>
      <c r="D22">
        <f>D23*0.8</f>
        <v>80</v>
      </c>
      <c r="E22">
        <f>D22*$J$3</f>
        <v>72</v>
      </c>
    </row>
    <row r="23" spans="2:5" x14ac:dyDescent="0.25">
      <c r="B23">
        <v>2</v>
      </c>
      <c r="C23" t="s">
        <v>58</v>
      </c>
      <c r="D23">
        <v>100</v>
      </c>
      <c r="E23">
        <f t="shared" ref="E23:E25" si="0">D23*$J$3</f>
        <v>90</v>
      </c>
    </row>
    <row r="24" spans="2:5" x14ac:dyDescent="0.25">
      <c r="B24">
        <v>3</v>
      </c>
      <c r="C24" t="s">
        <v>60</v>
      </c>
      <c r="D24">
        <f>0.3*D23</f>
        <v>30</v>
      </c>
      <c r="E24">
        <f t="shared" si="0"/>
        <v>27</v>
      </c>
    </row>
    <row r="25" spans="2:5" x14ac:dyDescent="0.25">
      <c r="B25">
        <v>4</v>
      </c>
      <c r="C25" t="s">
        <v>61</v>
      </c>
      <c r="D25">
        <f>D23*0.1</f>
        <v>10</v>
      </c>
      <c r="E25">
        <f t="shared" si="0"/>
        <v>9</v>
      </c>
    </row>
    <row r="26" spans="2:5" x14ac:dyDescent="0.25">
      <c r="B26">
        <v>5</v>
      </c>
      <c r="C26" t="s">
        <v>17</v>
      </c>
      <c r="D26">
        <f>SUM(D22:D25)</f>
        <v>220</v>
      </c>
      <c r="E26">
        <f>SUM(E22:E25)</f>
        <v>198</v>
      </c>
    </row>
    <row r="28" spans="2:5" x14ac:dyDescent="0.25">
      <c r="C28" s="23" t="s">
        <v>27</v>
      </c>
      <c r="D28" s="23"/>
      <c r="E28" s="23"/>
    </row>
    <row r="30" spans="2:5" x14ac:dyDescent="0.25">
      <c r="B30" s="24" t="s">
        <v>0</v>
      </c>
      <c r="C30" s="24" t="s">
        <v>52</v>
      </c>
      <c r="D30" s="24" t="s">
        <v>53</v>
      </c>
      <c r="E30" s="24" t="s">
        <v>68</v>
      </c>
    </row>
    <row r="31" spans="2:5" x14ac:dyDescent="0.25">
      <c r="B31">
        <v>1</v>
      </c>
      <c r="C31" t="s">
        <v>56</v>
      </c>
      <c r="D31">
        <f>D32*0.8</f>
        <v>80</v>
      </c>
      <c r="E31">
        <f>D31*$J$3</f>
        <v>72</v>
      </c>
    </row>
    <row r="32" spans="2:5" x14ac:dyDescent="0.25">
      <c r="B32">
        <v>2</v>
      </c>
      <c r="C32" t="s">
        <v>58</v>
      </c>
      <c r="D32">
        <v>100</v>
      </c>
      <c r="E32">
        <f t="shared" ref="E32:E34" si="1">D32*$J$3</f>
        <v>90</v>
      </c>
    </row>
    <row r="33" spans="2:5" x14ac:dyDescent="0.25">
      <c r="B33">
        <v>3</v>
      </c>
      <c r="C33" t="s">
        <v>60</v>
      </c>
      <c r="D33">
        <f>0.3*D32</f>
        <v>30</v>
      </c>
      <c r="E33">
        <f t="shared" si="1"/>
        <v>27</v>
      </c>
    </row>
    <row r="34" spans="2:5" x14ac:dyDescent="0.25">
      <c r="B34">
        <v>4</v>
      </c>
      <c r="C34" t="s">
        <v>61</v>
      </c>
      <c r="D34">
        <f>D32*0.1</f>
        <v>10</v>
      </c>
      <c r="E34">
        <f t="shared" si="1"/>
        <v>9</v>
      </c>
    </row>
    <row r="35" spans="2:5" x14ac:dyDescent="0.25">
      <c r="B35">
        <v>5</v>
      </c>
      <c r="C35" t="s">
        <v>17</v>
      </c>
      <c r="D35">
        <f>SUM(D31:D34)</f>
        <v>220</v>
      </c>
      <c r="E35">
        <f>SUM(E31:E34)</f>
        <v>198</v>
      </c>
    </row>
  </sheetData>
  <mergeCells count="7">
    <mergeCell ref="C19:E19"/>
    <mergeCell ref="C28:E28"/>
    <mergeCell ref="C2:C3"/>
    <mergeCell ref="D2:D3"/>
    <mergeCell ref="E2:E3"/>
    <mergeCell ref="F2:H2"/>
    <mergeCell ref="C10:E10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7"/>
  <sheetViews>
    <sheetView topLeftCell="A13" workbookViewId="0">
      <selection activeCell="E8" sqref="E8"/>
    </sheetView>
  </sheetViews>
  <sheetFormatPr defaultColWidth="12.6640625" defaultRowHeight="15.75" customHeight="1" x14ac:dyDescent="0.25"/>
  <cols>
    <col min="1" max="1" width="10.77734375" bestFit="1" customWidth="1"/>
    <col min="2" max="2" width="12.21875" customWidth="1"/>
    <col min="3" max="3" width="14.21875" customWidth="1"/>
    <col min="4" max="4" width="15.33203125" customWidth="1"/>
    <col min="5" max="5" width="40.77734375" bestFit="1" customWidth="1"/>
    <col min="6" max="6" width="24" customWidth="1"/>
    <col min="7" max="7" width="15.6640625" bestFit="1" customWidth="1"/>
    <col min="8" max="8" width="19" bestFit="1" customWidth="1"/>
    <col min="9" max="9" width="10.88671875" bestFit="1" customWidth="1"/>
    <col min="10" max="11" width="8.88671875" bestFit="1" customWidth="1"/>
    <col min="12" max="12" width="10.88671875" bestFit="1" customWidth="1"/>
    <col min="13" max="17" width="8.88671875" bestFit="1" customWidth="1"/>
    <col min="18" max="18" width="19" bestFit="1" customWidth="1"/>
    <col min="19" max="26" width="8.88671875" bestFit="1" customWidth="1"/>
  </cols>
  <sheetData>
    <row r="1" spans="1:14" x14ac:dyDescent="0.25">
      <c r="A1" s="16" t="s">
        <v>0</v>
      </c>
      <c r="B1" s="16" t="s">
        <v>1</v>
      </c>
      <c r="C1" s="16" t="s">
        <v>2</v>
      </c>
      <c r="D1" s="14"/>
      <c r="E1" s="14"/>
      <c r="F1" s="14"/>
      <c r="G1" s="14"/>
      <c r="H1" s="14"/>
      <c r="I1" s="14"/>
    </row>
    <row r="2" spans="1:14" x14ac:dyDescent="0.25">
      <c r="A2" s="14"/>
      <c r="B2" s="14"/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4" x14ac:dyDescent="0.25">
      <c r="A3" s="1">
        <v>1</v>
      </c>
      <c r="B3" s="1" t="s">
        <v>10</v>
      </c>
      <c r="C3" s="1">
        <v>1</v>
      </c>
      <c r="D3" s="1">
        <v>3</v>
      </c>
      <c r="E3" s="1">
        <v>0</v>
      </c>
      <c r="F3" s="1">
        <v>0</v>
      </c>
      <c r="G3" s="1">
        <v>1</v>
      </c>
      <c r="H3" s="1">
        <v>0</v>
      </c>
      <c r="I3" s="1">
        <v>0</v>
      </c>
    </row>
    <row r="4" spans="1:14" x14ac:dyDescent="0.25">
      <c r="A4" s="1">
        <v>2</v>
      </c>
      <c r="B4" s="1" t="s">
        <v>11</v>
      </c>
      <c r="C4" s="1">
        <v>2</v>
      </c>
      <c r="D4" s="1">
        <v>5</v>
      </c>
      <c r="E4" s="1">
        <v>1</v>
      </c>
      <c r="F4" s="1">
        <v>0</v>
      </c>
      <c r="G4" s="1">
        <v>1</v>
      </c>
      <c r="H4" s="1">
        <v>0</v>
      </c>
      <c r="I4" s="1">
        <v>0</v>
      </c>
    </row>
    <row r="5" spans="1:14" x14ac:dyDescent="0.25">
      <c r="A5" s="1">
        <v>3</v>
      </c>
      <c r="B5" s="1" t="s">
        <v>12</v>
      </c>
      <c r="C5" s="1">
        <v>2</v>
      </c>
      <c r="D5" s="1">
        <v>10</v>
      </c>
      <c r="E5" s="1">
        <v>1</v>
      </c>
      <c r="F5" s="1">
        <v>0</v>
      </c>
      <c r="G5" s="1">
        <v>1</v>
      </c>
      <c r="H5" s="1">
        <v>1</v>
      </c>
      <c r="I5" s="1">
        <v>1</v>
      </c>
    </row>
    <row r="6" spans="1:14" x14ac:dyDescent="0.25">
      <c r="A6" s="1">
        <v>4</v>
      </c>
      <c r="B6" s="1" t="s">
        <v>13</v>
      </c>
      <c r="C6" s="1">
        <v>3</v>
      </c>
      <c r="D6" s="1">
        <v>15</v>
      </c>
      <c r="E6" s="1">
        <v>1</v>
      </c>
      <c r="F6" s="1">
        <v>1</v>
      </c>
      <c r="G6" s="1">
        <v>2</v>
      </c>
      <c r="H6" s="1">
        <v>1</v>
      </c>
      <c r="I6" s="1">
        <v>2</v>
      </c>
      <c r="L6" s="1" t="s">
        <v>14</v>
      </c>
      <c r="M6" s="1">
        <f>F16</f>
        <v>133000</v>
      </c>
    </row>
    <row r="7" spans="1:14" x14ac:dyDescent="0.25">
      <c r="A7" s="1">
        <v>5</v>
      </c>
      <c r="B7" s="1" t="s">
        <v>15</v>
      </c>
      <c r="C7" s="1">
        <v>4</v>
      </c>
      <c r="D7" s="1">
        <v>20</v>
      </c>
      <c r="E7" s="1">
        <v>2</v>
      </c>
      <c r="F7" s="1">
        <v>3</v>
      </c>
      <c r="G7" s="1">
        <v>3</v>
      </c>
      <c r="H7" s="1">
        <v>2</v>
      </c>
      <c r="I7" s="1">
        <v>3</v>
      </c>
      <c r="L7" s="1" t="s">
        <v>16</v>
      </c>
      <c r="M7" s="1">
        <v>380</v>
      </c>
    </row>
    <row r="8" spans="1:14" x14ac:dyDescent="0.25">
      <c r="B8" s="1" t="s">
        <v>17</v>
      </c>
      <c r="C8" s="1">
        <f t="shared" ref="C8:I8" si="0">SUM(C3:C7)</f>
        <v>12</v>
      </c>
      <c r="D8" s="1">
        <f t="shared" si="0"/>
        <v>53</v>
      </c>
      <c r="E8" s="1">
        <f t="shared" si="0"/>
        <v>5</v>
      </c>
      <c r="F8" s="1">
        <f t="shared" si="0"/>
        <v>4</v>
      </c>
      <c r="G8" s="1">
        <f t="shared" si="0"/>
        <v>8</v>
      </c>
      <c r="H8" s="1">
        <f t="shared" si="0"/>
        <v>4</v>
      </c>
      <c r="I8" s="1">
        <f t="shared" si="0"/>
        <v>6</v>
      </c>
      <c r="L8" s="1" t="s">
        <v>18</v>
      </c>
      <c r="M8" s="1">
        <v>0.9</v>
      </c>
    </row>
    <row r="10" spans="1:14" x14ac:dyDescent="0.25">
      <c r="A10" s="1" t="s">
        <v>0</v>
      </c>
      <c r="B10" s="1" t="s">
        <v>1</v>
      </c>
      <c r="C10" s="1" t="s">
        <v>19</v>
      </c>
      <c r="D10" s="1" t="s">
        <v>50</v>
      </c>
      <c r="E10" s="1" t="s">
        <v>51</v>
      </c>
      <c r="F10" s="1" t="s">
        <v>20</v>
      </c>
      <c r="H10" s="1" t="s">
        <v>21</v>
      </c>
      <c r="I10" s="2"/>
      <c r="J10" s="2"/>
      <c r="M10" s="2"/>
      <c r="N10" s="2"/>
    </row>
    <row r="11" spans="1:14" x14ac:dyDescent="0.25">
      <c r="A11" s="1">
        <v>1</v>
      </c>
      <c r="B11" s="1" t="s">
        <v>10</v>
      </c>
      <c r="C11" s="1">
        <v>20</v>
      </c>
      <c r="D11" s="1">
        <f>60*C3+35*D3+200*E3+220*F3+50*G3+100*H3+150*I3</f>
        <v>215</v>
      </c>
      <c r="E11" s="1">
        <f>ROUND(C11/D11, 3)</f>
        <v>9.2999999999999999E-2</v>
      </c>
      <c r="F11" s="1">
        <f t="shared" ref="F11:F15" si="1">CEILING(E11*700000,1)</f>
        <v>65100</v>
      </c>
      <c r="H11" s="1">
        <f>F11*D11</f>
        <v>13996500</v>
      </c>
      <c r="I11" s="2"/>
      <c r="J11" s="2"/>
      <c r="M11" s="2"/>
      <c r="N11" s="2"/>
    </row>
    <row r="12" spans="1:14" x14ac:dyDescent="0.25">
      <c r="A12" s="1">
        <v>2</v>
      </c>
      <c r="B12" s="1" t="s">
        <v>11</v>
      </c>
      <c r="C12" s="1">
        <v>40</v>
      </c>
      <c r="D12" s="1">
        <f>60*C4+35*D4+200*E4+220*F4+50*G4+100*H4+150*I4</f>
        <v>545</v>
      </c>
      <c r="E12" s="1">
        <f t="shared" ref="E12:E15" si="2">ROUND(C12/D12, 3)</f>
        <v>7.2999999999999995E-2</v>
      </c>
      <c r="F12" s="1">
        <f t="shared" si="1"/>
        <v>51100</v>
      </c>
      <c r="H12" s="1">
        <f>F12*D12</f>
        <v>27849500</v>
      </c>
      <c r="I12" s="2"/>
      <c r="J12" s="2"/>
      <c r="M12" s="2"/>
      <c r="N12" s="2"/>
    </row>
    <row r="13" spans="1:14" x14ac:dyDescent="0.25">
      <c r="A13" s="1">
        <v>3</v>
      </c>
      <c r="B13" s="1" t="s">
        <v>12</v>
      </c>
      <c r="C13" s="1">
        <v>17</v>
      </c>
      <c r="D13" s="1">
        <f>60*C5+35*D5+200*E5+220*F5+50*G5+100*H5+150*I5</f>
        <v>970</v>
      </c>
      <c r="E13" s="1">
        <f t="shared" si="2"/>
        <v>1.7999999999999999E-2</v>
      </c>
      <c r="F13" s="1">
        <f t="shared" si="1"/>
        <v>12600</v>
      </c>
      <c r="H13" s="1">
        <f>F13*D13</f>
        <v>12222000</v>
      </c>
      <c r="I13" s="2"/>
      <c r="J13" s="2"/>
      <c r="M13" s="2"/>
      <c r="N13" s="2"/>
    </row>
    <row r="14" spans="1:14" x14ac:dyDescent="0.25">
      <c r="A14" s="1">
        <v>4</v>
      </c>
      <c r="B14" s="1" t="s">
        <v>13</v>
      </c>
      <c r="C14" s="1">
        <v>7</v>
      </c>
      <c r="D14" s="1">
        <f>60*C6+35*D6+200*E6+220*F6+50*G6+100*H6+150*I6</f>
        <v>1625</v>
      </c>
      <c r="E14" s="1">
        <f t="shared" si="2"/>
        <v>4.0000000000000001E-3</v>
      </c>
      <c r="F14" s="1">
        <f t="shared" si="1"/>
        <v>2800</v>
      </c>
      <c r="H14" s="1">
        <f>F14*D14</f>
        <v>4550000</v>
      </c>
      <c r="I14" s="2"/>
      <c r="J14" s="2"/>
      <c r="K14" s="2"/>
      <c r="L14" s="2"/>
      <c r="M14" s="2"/>
      <c r="N14" s="2"/>
    </row>
    <row r="15" spans="1:14" x14ac:dyDescent="0.25">
      <c r="A15" s="1">
        <v>5</v>
      </c>
      <c r="B15" s="1" t="s">
        <v>15</v>
      </c>
      <c r="C15" s="1">
        <v>6</v>
      </c>
      <c r="D15" s="1">
        <f>60*C7+35*D7+200*E7+220*F7+50*G7+100*H7+150*I7</f>
        <v>2800</v>
      </c>
      <c r="E15" s="1">
        <f t="shared" si="2"/>
        <v>2E-3</v>
      </c>
      <c r="F15" s="1">
        <f t="shared" si="1"/>
        <v>1400</v>
      </c>
      <c r="H15" s="1">
        <f>F15*D15</f>
        <v>3920000</v>
      </c>
      <c r="I15" s="2"/>
      <c r="J15" s="2"/>
      <c r="K15" s="2"/>
      <c r="L15" s="2"/>
      <c r="M15" s="2"/>
      <c r="N15" s="2"/>
    </row>
    <row r="16" spans="1:14" x14ac:dyDescent="0.25">
      <c r="A16" s="1">
        <v>6</v>
      </c>
      <c r="B16" s="1" t="s">
        <v>17</v>
      </c>
      <c r="C16" s="1">
        <f t="shared" ref="C16:F16" si="3">SUM(C11:C15)</f>
        <v>90</v>
      </c>
      <c r="D16" s="1">
        <f>60*C8+35*D8+200*E8+220*F8+50*G8+100*H8+150*I8</f>
        <v>6155</v>
      </c>
      <c r="E16" s="1">
        <f>ROUND(SUM(E11:E15), 3)</f>
        <v>0.19</v>
      </c>
      <c r="F16" s="1">
        <f>SUM(F11:F15)</f>
        <v>133000</v>
      </c>
      <c r="H16" s="1">
        <f>SUM(H11:H15)</f>
        <v>62538000</v>
      </c>
      <c r="I16" s="2"/>
      <c r="J16" s="2"/>
      <c r="K16" s="2"/>
      <c r="L16" s="2"/>
      <c r="M16" s="2"/>
      <c r="N16" s="2"/>
    </row>
    <row r="18" spans="1:26" x14ac:dyDescent="0.25">
      <c r="A18" s="1" t="s">
        <v>22</v>
      </c>
    </row>
    <row r="19" spans="1:26" x14ac:dyDescent="0.25">
      <c r="A19" s="16" t="s">
        <v>0</v>
      </c>
      <c r="B19" s="16" t="s">
        <v>1</v>
      </c>
      <c r="C19" s="15" t="s">
        <v>3</v>
      </c>
      <c r="D19" s="14"/>
      <c r="E19" s="14"/>
      <c r="F19" s="15" t="s">
        <v>4</v>
      </c>
      <c r="G19" s="14"/>
      <c r="H19" s="14"/>
      <c r="I19" s="13" t="s">
        <v>5</v>
      </c>
      <c r="J19" s="14"/>
      <c r="K19" s="14"/>
      <c r="L19" s="15" t="s">
        <v>6</v>
      </c>
      <c r="M19" s="14"/>
      <c r="N19" s="14"/>
      <c r="O19" s="15" t="s">
        <v>7</v>
      </c>
      <c r="P19" s="14"/>
      <c r="Q19" s="14"/>
      <c r="R19" s="4" t="s">
        <v>8</v>
      </c>
      <c r="S19" s="4"/>
      <c r="T19" s="4"/>
      <c r="U19" s="15" t="s">
        <v>9</v>
      </c>
      <c r="V19" s="14"/>
      <c r="W19" s="14"/>
      <c r="X19" s="5" t="s">
        <v>17</v>
      </c>
      <c r="Y19" s="5"/>
      <c r="Z19" s="5"/>
    </row>
    <row r="20" spans="1:26" x14ac:dyDescent="0.25">
      <c r="A20" s="14"/>
      <c r="B20" s="14"/>
      <c r="C20" s="3" t="s">
        <v>23</v>
      </c>
      <c r="D20" s="3" t="s">
        <v>24</v>
      </c>
      <c r="E20" s="3" t="s">
        <v>25</v>
      </c>
      <c r="F20" s="3" t="s">
        <v>23</v>
      </c>
      <c r="G20" s="3" t="s">
        <v>24</v>
      </c>
      <c r="H20" s="3" t="s">
        <v>25</v>
      </c>
      <c r="I20" s="4" t="s">
        <v>23</v>
      </c>
      <c r="J20" s="4" t="s">
        <v>24</v>
      </c>
      <c r="K20" s="4" t="s">
        <v>25</v>
      </c>
      <c r="L20" s="3" t="s">
        <v>23</v>
      </c>
      <c r="M20" s="3" t="s">
        <v>24</v>
      </c>
      <c r="N20" s="3" t="s">
        <v>25</v>
      </c>
      <c r="O20" s="3" t="s">
        <v>23</v>
      </c>
      <c r="P20" s="3" t="s">
        <v>24</v>
      </c>
      <c r="Q20" s="3" t="s">
        <v>25</v>
      </c>
      <c r="R20" s="4" t="s">
        <v>23</v>
      </c>
      <c r="S20" s="4" t="s">
        <v>24</v>
      </c>
      <c r="T20" s="4" t="s">
        <v>25</v>
      </c>
      <c r="U20" s="3" t="s">
        <v>23</v>
      </c>
      <c r="V20" s="3" t="s">
        <v>24</v>
      </c>
      <c r="W20" s="3" t="s">
        <v>25</v>
      </c>
      <c r="X20" s="5" t="s">
        <v>23</v>
      </c>
      <c r="Y20" s="5" t="s">
        <v>24</v>
      </c>
      <c r="Z20" s="5" t="s">
        <v>25</v>
      </c>
    </row>
    <row r="21" spans="1:26" x14ac:dyDescent="0.25">
      <c r="A21" s="1">
        <v>1</v>
      </c>
      <c r="B21" s="1" t="s">
        <v>10</v>
      </c>
      <c r="C21" s="6">
        <f t="shared" ref="C21:C25" si="4">D21/$M$8</f>
        <v>0</v>
      </c>
      <c r="D21" s="6">
        <f t="shared" ref="D21:D25" si="5">0*C3*O10</f>
        <v>0</v>
      </c>
      <c r="E21" s="6">
        <f t="shared" ref="E21:E25" si="6">SQRT(C21^2-D21^2)</f>
        <v>0</v>
      </c>
      <c r="F21" s="6">
        <f t="shared" ref="F21:F25" si="7">G21/$M$8</f>
        <v>0</v>
      </c>
      <c r="G21" s="6">
        <f t="shared" ref="G21:G25" si="8">0*D3*O10</f>
        <v>0</v>
      </c>
      <c r="H21" s="6">
        <f t="shared" ref="H21:H25" si="9">SQRT(F21^2-G21^2)</f>
        <v>0</v>
      </c>
      <c r="I21" s="7">
        <f t="shared" ref="I21:I25" si="10">J21/$M$8</f>
        <v>0</v>
      </c>
      <c r="J21" s="7">
        <f>200*E3*F11</f>
        <v>0</v>
      </c>
      <c r="K21" s="7">
        <f t="shared" ref="K21:K25" si="11">SQRT(I21^2-J21^2)</f>
        <v>0</v>
      </c>
      <c r="L21" s="6">
        <f t="shared" ref="L21:L25" si="12">M21/$M$8</f>
        <v>0</v>
      </c>
      <c r="M21" s="6">
        <f t="shared" ref="M21:M25" si="13">0*F3*O10</f>
        <v>0</v>
      </c>
      <c r="N21" s="6">
        <f t="shared" ref="N21:N25" si="14">SQRT(L21^2-M21^2)</f>
        <v>0</v>
      </c>
      <c r="O21" s="6">
        <f t="shared" ref="O21:O25" si="15">P21/$M$8</f>
        <v>0</v>
      </c>
      <c r="P21" s="6">
        <f t="shared" ref="P21:P25" si="16">0*G3*O10</f>
        <v>0</v>
      </c>
      <c r="Q21" s="6">
        <f t="shared" ref="Q21:Q25" si="17">SQRT(O21^2-P21^2)</f>
        <v>0</v>
      </c>
      <c r="R21" s="7">
        <f t="shared" ref="R21:R25" si="18">S21/$M$8</f>
        <v>0</v>
      </c>
      <c r="S21" s="7">
        <f>100*H3*F11</f>
        <v>0</v>
      </c>
      <c r="T21" s="7">
        <f t="shared" ref="T21:T25" si="19">SQRT(R21^2-S21^2)</f>
        <v>0</v>
      </c>
      <c r="U21" s="6">
        <f t="shared" ref="U21:U25" si="20">V21/$M$8</f>
        <v>0</v>
      </c>
      <c r="V21" s="6">
        <f>0*I3*F11</f>
        <v>0</v>
      </c>
      <c r="W21" s="6">
        <f t="shared" ref="W21:W25" si="21">SQRT(U21^2-V21^2)</f>
        <v>0</v>
      </c>
      <c r="X21" s="8">
        <f t="shared" ref="X21:Z21" si="22">SUM(C21,F21,I21,L21,O21,R21,U21)</f>
        <v>0</v>
      </c>
      <c r="Y21" s="8">
        <f t="shared" si="22"/>
        <v>0</v>
      </c>
      <c r="Z21" s="8">
        <f t="shared" si="22"/>
        <v>0</v>
      </c>
    </row>
    <row r="22" spans="1:26" x14ac:dyDescent="0.25">
      <c r="A22" s="1">
        <v>2</v>
      </c>
      <c r="B22" s="1" t="s">
        <v>11</v>
      </c>
      <c r="C22" s="6">
        <f t="shared" si="4"/>
        <v>0</v>
      </c>
      <c r="D22" s="6">
        <f t="shared" si="5"/>
        <v>0</v>
      </c>
      <c r="E22" s="6">
        <f t="shared" si="6"/>
        <v>0</v>
      </c>
      <c r="F22" s="6">
        <f t="shared" si="7"/>
        <v>0</v>
      </c>
      <c r="G22" s="6">
        <f t="shared" si="8"/>
        <v>0</v>
      </c>
      <c r="H22" s="6">
        <f t="shared" si="9"/>
        <v>0</v>
      </c>
      <c r="I22" s="7">
        <f t="shared" si="10"/>
        <v>11355555.555555556</v>
      </c>
      <c r="J22" s="7">
        <f>200*E4*F12</f>
        <v>10220000</v>
      </c>
      <c r="K22" s="7">
        <f t="shared" si="11"/>
        <v>4949771.9114428554</v>
      </c>
      <c r="L22" s="6">
        <f t="shared" si="12"/>
        <v>0</v>
      </c>
      <c r="M22" s="6">
        <f t="shared" si="13"/>
        <v>0</v>
      </c>
      <c r="N22" s="6">
        <f t="shared" si="14"/>
        <v>0</v>
      </c>
      <c r="O22" s="6">
        <f t="shared" si="15"/>
        <v>0</v>
      </c>
      <c r="P22" s="6">
        <f t="shared" si="16"/>
        <v>0</v>
      </c>
      <c r="Q22" s="6">
        <f t="shared" si="17"/>
        <v>0</v>
      </c>
      <c r="R22" s="7">
        <f t="shared" si="18"/>
        <v>0</v>
      </c>
      <c r="S22" s="7">
        <f>100*H4*F12</f>
        <v>0</v>
      </c>
      <c r="T22" s="7">
        <f t="shared" si="19"/>
        <v>0</v>
      </c>
      <c r="U22" s="6">
        <f t="shared" si="20"/>
        <v>0</v>
      </c>
      <c r="V22" s="6">
        <f>0*I4*F12</f>
        <v>0</v>
      </c>
      <c r="W22" s="6">
        <f t="shared" si="21"/>
        <v>0</v>
      </c>
      <c r="X22" s="8">
        <f t="shared" ref="X22:Z22" si="23">SUM(C22,F22,I22,L22,O22,R22,U22)</f>
        <v>11355555.555555556</v>
      </c>
      <c r="Y22" s="8">
        <f t="shared" si="23"/>
        <v>10220000</v>
      </c>
      <c r="Z22" s="8">
        <f t="shared" si="23"/>
        <v>4949771.9114428554</v>
      </c>
    </row>
    <row r="23" spans="1:26" x14ac:dyDescent="0.25">
      <c r="A23" s="1">
        <v>3</v>
      </c>
      <c r="B23" s="1" t="s">
        <v>12</v>
      </c>
      <c r="C23" s="6">
        <f t="shared" si="4"/>
        <v>0</v>
      </c>
      <c r="D23" s="6">
        <f t="shared" si="5"/>
        <v>0</v>
      </c>
      <c r="E23" s="6">
        <f t="shared" si="6"/>
        <v>0</v>
      </c>
      <c r="F23" s="6">
        <f t="shared" si="7"/>
        <v>0</v>
      </c>
      <c r="G23" s="6">
        <f t="shared" si="8"/>
        <v>0</v>
      </c>
      <c r="H23" s="6">
        <f t="shared" si="9"/>
        <v>0</v>
      </c>
      <c r="I23" s="7">
        <f t="shared" si="10"/>
        <v>2800000</v>
      </c>
      <c r="J23" s="7">
        <f>200*E5*F13</f>
        <v>2520000</v>
      </c>
      <c r="K23" s="7">
        <f t="shared" si="11"/>
        <v>1220491.7041913886</v>
      </c>
      <c r="L23" s="6">
        <f t="shared" si="12"/>
        <v>0</v>
      </c>
      <c r="M23" s="6">
        <f t="shared" si="13"/>
        <v>0</v>
      </c>
      <c r="N23" s="6">
        <f t="shared" si="14"/>
        <v>0</v>
      </c>
      <c r="O23" s="6">
        <f t="shared" si="15"/>
        <v>0</v>
      </c>
      <c r="P23" s="6">
        <f t="shared" si="16"/>
        <v>0</v>
      </c>
      <c r="Q23" s="6">
        <f t="shared" si="17"/>
        <v>0</v>
      </c>
      <c r="R23" s="7">
        <f t="shared" si="18"/>
        <v>1400000</v>
      </c>
      <c r="S23" s="7">
        <f>100*H5*F13</f>
        <v>1260000</v>
      </c>
      <c r="T23" s="7">
        <f t="shared" si="19"/>
        <v>610245.85209569428</v>
      </c>
      <c r="U23" s="6">
        <f t="shared" si="20"/>
        <v>0</v>
      </c>
      <c r="V23" s="6">
        <f>0*I5*F13</f>
        <v>0</v>
      </c>
      <c r="W23" s="6">
        <f t="shared" si="21"/>
        <v>0</v>
      </c>
      <c r="X23" s="8">
        <f t="shared" ref="X23:Z23" si="24">SUM(C23,F23,I23,L23,O23,R23,U23)</f>
        <v>4200000</v>
      </c>
      <c r="Y23" s="8">
        <f t="shared" si="24"/>
        <v>3780000</v>
      </c>
      <c r="Z23" s="8">
        <f t="shared" si="24"/>
        <v>1830737.5562870828</v>
      </c>
    </row>
    <row r="24" spans="1:26" x14ac:dyDescent="0.25">
      <c r="A24" s="1">
        <v>4</v>
      </c>
      <c r="B24" s="1" t="s">
        <v>13</v>
      </c>
      <c r="C24" s="6">
        <f t="shared" si="4"/>
        <v>0</v>
      </c>
      <c r="D24" s="6">
        <f t="shared" si="5"/>
        <v>0</v>
      </c>
      <c r="E24" s="6">
        <f t="shared" si="6"/>
        <v>0</v>
      </c>
      <c r="F24" s="6">
        <f t="shared" si="7"/>
        <v>0</v>
      </c>
      <c r="G24" s="6">
        <f t="shared" si="8"/>
        <v>0</v>
      </c>
      <c r="H24" s="6">
        <f t="shared" si="9"/>
        <v>0</v>
      </c>
      <c r="I24" s="7">
        <f t="shared" si="10"/>
        <v>622222.22222222225</v>
      </c>
      <c r="J24" s="7">
        <f>200*E6*F14</f>
        <v>560000</v>
      </c>
      <c r="K24" s="7">
        <f t="shared" si="11"/>
        <v>271220.37870919751</v>
      </c>
      <c r="L24" s="6">
        <f t="shared" si="12"/>
        <v>0</v>
      </c>
      <c r="M24" s="6">
        <f t="shared" si="13"/>
        <v>0</v>
      </c>
      <c r="N24" s="6">
        <f t="shared" si="14"/>
        <v>0</v>
      </c>
      <c r="O24" s="6">
        <f t="shared" si="15"/>
        <v>0</v>
      </c>
      <c r="P24" s="6">
        <f t="shared" si="16"/>
        <v>0</v>
      </c>
      <c r="Q24" s="6">
        <f t="shared" si="17"/>
        <v>0</v>
      </c>
      <c r="R24" s="7">
        <f t="shared" si="18"/>
        <v>311111.11111111112</v>
      </c>
      <c r="S24" s="7">
        <f>100*H6*F14</f>
        <v>280000</v>
      </c>
      <c r="T24" s="7">
        <f t="shared" si="19"/>
        <v>135610.18935459876</v>
      </c>
      <c r="U24" s="6">
        <f t="shared" si="20"/>
        <v>0</v>
      </c>
      <c r="V24" s="6">
        <f>0*I6*F14</f>
        <v>0</v>
      </c>
      <c r="W24" s="6">
        <f t="shared" si="21"/>
        <v>0</v>
      </c>
      <c r="X24" s="8">
        <f t="shared" ref="X24:Z24" si="25">SUM(C24,F24,I24,L24,O24,R24,U24)</f>
        <v>933333.33333333337</v>
      </c>
      <c r="Y24" s="8">
        <f t="shared" si="25"/>
        <v>840000</v>
      </c>
      <c r="Z24" s="8">
        <f t="shared" si="25"/>
        <v>406830.56806379627</v>
      </c>
    </row>
    <row r="25" spans="1:26" x14ac:dyDescent="0.25">
      <c r="A25" s="1">
        <v>5</v>
      </c>
      <c r="B25" s="1" t="s">
        <v>15</v>
      </c>
      <c r="C25" s="6">
        <f t="shared" si="4"/>
        <v>0</v>
      </c>
      <c r="D25" s="6">
        <f t="shared" si="5"/>
        <v>0</v>
      </c>
      <c r="E25" s="6">
        <f t="shared" si="6"/>
        <v>0</v>
      </c>
      <c r="F25" s="6">
        <f t="shared" si="7"/>
        <v>0</v>
      </c>
      <c r="G25" s="6">
        <f t="shared" si="8"/>
        <v>0</v>
      </c>
      <c r="H25" s="6">
        <f t="shared" si="9"/>
        <v>0</v>
      </c>
      <c r="I25" s="7">
        <f t="shared" si="10"/>
        <v>622222.22222222225</v>
      </c>
      <c r="J25" s="7">
        <f>200*E7*F15</f>
        <v>560000</v>
      </c>
      <c r="K25" s="7">
        <f t="shared" si="11"/>
        <v>271220.37870919751</v>
      </c>
      <c r="L25" s="6">
        <f t="shared" si="12"/>
        <v>0</v>
      </c>
      <c r="M25" s="6">
        <f t="shared" si="13"/>
        <v>0</v>
      </c>
      <c r="N25" s="6">
        <f t="shared" si="14"/>
        <v>0</v>
      </c>
      <c r="O25" s="6">
        <f t="shared" si="15"/>
        <v>0</v>
      </c>
      <c r="P25" s="6">
        <f t="shared" si="16"/>
        <v>0</v>
      </c>
      <c r="Q25" s="6">
        <f t="shared" si="17"/>
        <v>0</v>
      </c>
      <c r="R25" s="7">
        <f t="shared" si="18"/>
        <v>311111.11111111112</v>
      </c>
      <c r="S25" s="7">
        <f>100*H7*F15</f>
        <v>280000</v>
      </c>
      <c r="T25" s="7">
        <f t="shared" si="19"/>
        <v>135610.18935459876</v>
      </c>
      <c r="U25" s="6">
        <f t="shared" si="20"/>
        <v>0</v>
      </c>
      <c r="V25" s="6">
        <f>0*I7*F15</f>
        <v>0</v>
      </c>
      <c r="W25" s="6">
        <f t="shared" si="21"/>
        <v>0</v>
      </c>
      <c r="X25" s="8">
        <f t="shared" ref="X25:Z25" si="26">SUM(C25,F25,I25,L25,O25,R25,U25)</f>
        <v>933333.33333333337</v>
      </c>
      <c r="Y25" s="8">
        <f t="shared" si="26"/>
        <v>840000</v>
      </c>
      <c r="Z25" s="8">
        <f t="shared" si="26"/>
        <v>406830.56806379627</v>
      </c>
    </row>
    <row r="26" spans="1:26" x14ac:dyDescent="0.25">
      <c r="B26" s="1" t="s">
        <v>17</v>
      </c>
      <c r="C26" s="6">
        <f t="shared" ref="C26:Z26" si="27">SUM(C21:C25)</f>
        <v>0</v>
      </c>
      <c r="D26" s="6">
        <f t="shared" si="27"/>
        <v>0</v>
      </c>
      <c r="E26" s="6">
        <f t="shared" si="27"/>
        <v>0</v>
      </c>
      <c r="F26" s="6">
        <f t="shared" si="27"/>
        <v>0</v>
      </c>
      <c r="G26" s="6">
        <f t="shared" si="27"/>
        <v>0</v>
      </c>
      <c r="H26" s="6">
        <f t="shared" si="27"/>
        <v>0</v>
      </c>
      <c r="I26" s="7">
        <f t="shared" si="27"/>
        <v>15400000</v>
      </c>
      <c r="J26" s="7">
        <f t="shared" si="27"/>
        <v>13860000</v>
      </c>
      <c r="K26" s="7">
        <f t="shared" si="27"/>
        <v>6712704.373052638</v>
      </c>
      <c r="L26" s="6">
        <f t="shared" si="27"/>
        <v>0</v>
      </c>
      <c r="M26" s="6">
        <f t="shared" si="27"/>
        <v>0</v>
      </c>
      <c r="N26" s="6">
        <f t="shared" si="27"/>
        <v>0</v>
      </c>
      <c r="O26" s="6">
        <f t="shared" si="27"/>
        <v>0</v>
      </c>
      <c r="P26" s="6">
        <f t="shared" si="27"/>
        <v>0</v>
      </c>
      <c r="Q26" s="6">
        <f t="shared" si="27"/>
        <v>0</v>
      </c>
      <c r="R26" s="7">
        <f t="shared" si="27"/>
        <v>2022222.222222222</v>
      </c>
      <c r="S26" s="7">
        <f t="shared" si="27"/>
        <v>1820000</v>
      </c>
      <c r="T26" s="7">
        <f t="shared" si="27"/>
        <v>881466.23080489179</v>
      </c>
      <c r="U26" s="6">
        <f t="shared" si="27"/>
        <v>0</v>
      </c>
      <c r="V26" s="6">
        <f t="shared" si="27"/>
        <v>0</v>
      </c>
      <c r="W26" s="6">
        <f t="shared" si="27"/>
        <v>0</v>
      </c>
      <c r="X26" s="8">
        <f t="shared" si="27"/>
        <v>17422222.222222224</v>
      </c>
      <c r="Y26" s="8">
        <f t="shared" si="27"/>
        <v>15680000</v>
      </c>
      <c r="Z26" s="8">
        <f t="shared" si="27"/>
        <v>7594170.6038575312</v>
      </c>
    </row>
    <row r="27" spans="1:26" x14ac:dyDescent="0.25">
      <c r="I27" s="9"/>
      <c r="J27" s="9"/>
      <c r="K27" s="9"/>
    </row>
    <row r="28" spans="1:26" x14ac:dyDescent="0.25">
      <c r="A28" s="1" t="s">
        <v>26</v>
      </c>
      <c r="I28" s="9"/>
      <c r="J28" s="9"/>
      <c r="K28" s="9"/>
    </row>
    <row r="29" spans="1:26" x14ac:dyDescent="0.25">
      <c r="A29" s="16" t="s">
        <v>0</v>
      </c>
      <c r="B29" s="16" t="s">
        <v>1</v>
      </c>
      <c r="C29" s="13" t="s">
        <v>3</v>
      </c>
      <c r="D29" s="14"/>
      <c r="E29" s="14"/>
      <c r="F29" s="13" t="s">
        <v>4</v>
      </c>
      <c r="G29" s="14"/>
      <c r="H29" s="14"/>
      <c r="I29" s="13" t="s">
        <v>5</v>
      </c>
      <c r="J29" s="14"/>
      <c r="K29" s="14"/>
      <c r="L29" s="13" t="s">
        <v>6</v>
      </c>
      <c r="M29" s="14"/>
      <c r="N29" s="14"/>
      <c r="O29" s="13" t="s">
        <v>7</v>
      </c>
      <c r="P29" s="14"/>
      <c r="Q29" s="14"/>
      <c r="R29" s="4" t="s">
        <v>8</v>
      </c>
      <c r="S29" s="4"/>
      <c r="T29" s="4"/>
      <c r="U29" s="13" t="s">
        <v>9</v>
      </c>
      <c r="V29" s="14"/>
      <c r="W29" s="14"/>
      <c r="X29" s="5" t="s">
        <v>17</v>
      </c>
      <c r="Y29" s="5"/>
      <c r="Z29" s="5"/>
    </row>
    <row r="30" spans="1:26" x14ac:dyDescent="0.25">
      <c r="A30" s="14"/>
      <c r="B30" s="14"/>
      <c r="C30" s="4" t="s">
        <v>23</v>
      </c>
      <c r="D30" s="4" t="s">
        <v>24</v>
      </c>
      <c r="E30" s="4" t="s">
        <v>25</v>
      </c>
      <c r="F30" s="4" t="s">
        <v>23</v>
      </c>
      <c r="G30" s="4" t="s">
        <v>24</v>
      </c>
      <c r="H30" s="4" t="s">
        <v>25</v>
      </c>
      <c r="I30" s="4" t="s">
        <v>23</v>
      </c>
      <c r="J30" s="4" t="s">
        <v>24</v>
      </c>
      <c r="K30" s="4" t="s">
        <v>25</v>
      </c>
      <c r="L30" s="4" t="s">
        <v>23</v>
      </c>
      <c r="M30" s="4" t="s">
        <v>24</v>
      </c>
      <c r="N30" s="4" t="s">
        <v>25</v>
      </c>
      <c r="O30" s="4" t="s">
        <v>23</v>
      </c>
      <c r="P30" s="4" t="s">
        <v>24</v>
      </c>
      <c r="Q30" s="4" t="s">
        <v>25</v>
      </c>
      <c r="R30" s="4" t="s">
        <v>23</v>
      </c>
      <c r="S30" s="4" t="s">
        <v>24</v>
      </c>
      <c r="T30" s="4" t="s">
        <v>25</v>
      </c>
      <c r="U30" s="4" t="s">
        <v>23</v>
      </c>
      <c r="V30" s="4" t="s">
        <v>24</v>
      </c>
      <c r="W30" s="4" t="s">
        <v>25</v>
      </c>
      <c r="X30" s="5" t="s">
        <v>23</v>
      </c>
      <c r="Y30" s="5" t="s">
        <v>24</v>
      </c>
      <c r="Z30" s="5" t="s">
        <v>25</v>
      </c>
    </row>
    <row r="31" spans="1:26" x14ac:dyDescent="0.25">
      <c r="A31" s="1">
        <v>1</v>
      </c>
      <c r="B31" s="1" t="s">
        <v>10</v>
      </c>
      <c r="C31" s="7">
        <f t="shared" ref="C31:C35" si="28">D31/$M$8</f>
        <v>4340000</v>
      </c>
      <c r="D31" s="7">
        <f>60*C3*F11</f>
        <v>3906000</v>
      </c>
      <c r="E31" s="7">
        <f t="shared" ref="E31:E35" si="29">SQRT(C31^2-D31^2)</f>
        <v>1891762.1414966523</v>
      </c>
      <c r="F31" s="7">
        <f t="shared" ref="F31:F35" si="30">G31/$M$8</f>
        <v>7595000</v>
      </c>
      <c r="G31" s="7">
        <f>35*D3*F11</f>
        <v>6835500</v>
      </c>
      <c r="H31" s="7">
        <f t="shared" ref="H31:H35" si="31">SQRT(F31^2-G31^2)</f>
        <v>3310583.7476191414</v>
      </c>
      <c r="I31" s="7">
        <f t="shared" ref="I31:I35" si="32">J31/$M$8</f>
        <v>0</v>
      </c>
      <c r="J31" s="7">
        <f>200*E3*F11</f>
        <v>0</v>
      </c>
      <c r="K31" s="7">
        <f t="shared" ref="K31:K35" si="33">SQRT(I31^2-J31^2)</f>
        <v>0</v>
      </c>
      <c r="L31" s="7">
        <f t="shared" ref="L31:L35" si="34">M31/$M$8</f>
        <v>0</v>
      </c>
      <c r="M31" s="7">
        <f>220*F3*F11</f>
        <v>0</v>
      </c>
      <c r="N31" s="7">
        <f t="shared" ref="N31:N35" si="35">SQRT(L31^2-M31^2)</f>
        <v>0</v>
      </c>
      <c r="O31" s="7">
        <f t="shared" ref="O31:O35" si="36">P31/$M$8</f>
        <v>3616666.6666666665</v>
      </c>
      <c r="P31" s="7">
        <f>50*G3*F11</f>
        <v>3255000</v>
      </c>
      <c r="Q31" s="7">
        <f t="shared" ref="Q31:Q35" si="37">SQRT(O31^2-P31^2)</f>
        <v>1576468.4512472101</v>
      </c>
      <c r="R31" s="7">
        <f t="shared" ref="R31:R35" si="38">S31/$M$8</f>
        <v>0</v>
      </c>
      <c r="S31" s="7">
        <f>100*H3*F11</f>
        <v>0</v>
      </c>
      <c r="T31" s="7">
        <f t="shared" ref="T31:T35" si="39">SQRT(R31^2-S31^2)</f>
        <v>0</v>
      </c>
      <c r="U31" s="7">
        <f t="shared" ref="U31:U35" si="40">V31/$M$8</f>
        <v>0</v>
      </c>
      <c r="V31" s="7">
        <f>150*I3*F11</f>
        <v>0</v>
      </c>
      <c r="W31" s="7">
        <f t="shared" ref="W31:W35" si="41">SQRT(U31^2-V31^2)</f>
        <v>0</v>
      </c>
      <c r="X31" s="8">
        <f t="shared" ref="X31:Z31" si="42">SUM(C31,F31,I31,L31,O31,R31,U31)</f>
        <v>15551666.666666666</v>
      </c>
      <c r="Y31" s="8">
        <f t="shared" si="42"/>
        <v>13996500</v>
      </c>
      <c r="Z31" s="8">
        <f t="shared" si="42"/>
        <v>6778814.3403630033</v>
      </c>
    </row>
    <row r="32" spans="1:26" x14ac:dyDescent="0.25">
      <c r="A32" s="1">
        <v>2</v>
      </c>
      <c r="B32" s="1" t="s">
        <v>11</v>
      </c>
      <c r="C32" s="7">
        <f t="shared" si="28"/>
        <v>6813333.333333333</v>
      </c>
      <c r="D32" s="7">
        <f>60*C4*F12</f>
        <v>6132000</v>
      </c>
      <c r="E32" s="7">
        <f t="shared" si="29"/>
        <v>2969863.146865712</v>
      </c>
      <c r="F32" s="7">
        <f t="shared" si="30"/>
        <v>9936111.1111111101</v>
      </c>
      <c r="G32" s="7">
        <f>35*D4*F12</f>
        <v>8942500</v>
      </c>
      <c r="H32" s="7">
        <f t="shared" si="31"/>
        <v>4331050.422512494</v>
      </c>
      <c r="I32" s="7">
        <f t="shared" si="32"/>
        <v>11355555.555555556</v>
      </c>
      <c r="J32" s="7">
        <f>200*E4*F12</f>
        <v>10220000</v>
      </c>
      <c r="K32" s="7">
        <f t="shared" si="33"/>
        <v>4949771.9114428554</v>
      </c>
      <c r="L32" s="7">
        <f t="shared" si="34"/>
        <v>0</v>
      </c>
      <c r="M32" s="7">
        <f>220*F4*F12</f>
        <v>0</v>
      </c>
      <c r="N32" s="7">
        <f t="shared" si="35"/>
        <v>0</v>
      </c>
      <c r="O32" s="7">
        <f t="shared" si="36"/>
        <v>2838888.888888889</v>
      </c>
      <c r="P32" s="7">
        <f>50*G4*F12</f>
        <v>2555000</v>
      </c>
      <c r="Q32" s="7">
        <f t="shared" si="37"/>
        <v>1237442.9778607138</v>
      </c>
      <c r="R32" s="7">
        <f t="shared" si="38"/>
        <v>0</v>
      </c>
      <c r="S32" s="7">
        <f>100*H4*F12</f>
        <v>0</v>
      </c>
      <c r="T32" s="7">
        <f t="shared" si="39"/>
        <v>0</v>
      </c>
      <c r="U32" s="7">
        <f t="shared" si="40"/>
        <v>0</v>
      </c>
      <c r="V32" s="7">
        <f>150*I4*F12</f>
        <v>0</v>
      </c>
      <c r="W32" s="7">
        <f t="shared" si="41"/>
        <v>0</v>
      </c>
      <c r="X32" s="8">
        <f t="shared" ref="X32:Z32" si="43">SUM(C32,F32,I32,L32,O32,R32,U32)</f>
        <v>30943888.888888888</v>
      </c>
      <c r="Y32" s="8">
        <f t="shared" si="43"/>
        <v>27849500</v>
      </c>
      <c r="Z32" s="8">
        <f t="shared" si="43"/>
        <v>13488128.458681775</v>
      </c>
    </row>
    <row r="33" spans="1:26" x14ac:dyDescent="0.25">
      <c r="A33" s="1">
        <v>3</v>
      </c>
      <c r="B33" s="1" t="s">
        <v>12</v>
      </c>
      <c r="C33" s="7">
        <f t="shared" si="28"/>
        <v>1680000</v>
      </c>
      <c r="D33" s="7">
        <f>60*C5*F13</f>
        <v>1512000</v>
      </c>
      <c r="E33" s="7">
        <f t="shared" si="29"/>
        <v>732295.02251483314</v>
      </c>
      <c r="F33" s="7">
        <f t="shared" si="30"/>
        <v>4900000</v>
      </c>
      <c r="G33" s="7">
        <f>35*D5*F13</f>
        <v>4410000</v>
      </c>
      <c r="H33" s="7">
        <f t="shared" si="31"/>
        <v>2135860.48233493</v>
      </c>
      <c r="I33" s="7">
        <f t="shared" si="32"/>
        <v>2800000</v>
      </c>
      <c r="J33" s="7">
        <f>200*E5*F13</f>
        <v>2520000</v>
      </c>
      <c r="K33" s="7">
        <f t="shared" si="33"/>
        <v>1220491.7041913886</v>
      </c>
      <c r="L33" s="7">
        <f t="shared" si="34"/>
        <v>0</v>
      </c>
      <c r="M33" s="7">
        <f>220*F5*F13</f>
        <v>0</v>
      </c>
      <c r="N33" s="7">
        <f t="shared" si="35"/>
        <v>0</v>
      </c>
      <c r="O33" s="7">
        <f t="shared" si="36"/>
        <v>700000</v>
      </c>
      <c r="P33" s="7">
        <f>50*G5*F13</f>
        <v>630000</v>
      </c>
      <c r="Q33" s="7">
        <f t="shared" si="37"/>
        <v>305122.92604784714</v>
      </c>
      <c r="R33" s="7">
        <f t="shared" si="38"/>
        <v>1400000</v>
      </c>
      <c r="S33" s="7">
        <f>100*H5*F13</f>
        <v>1260000</v>
      </c>
      <c r="T33" s="7">
        <f t="shared" si="39"/>
        <v>610245.85209569428</v>
      </c>
      <c r="U33" s="7">
        <f t="shared" si="40"/>
        <v>2100000</v>
      </c>
      <c r="V33" s="7">
        <f>150*I5*F13</f>
        <v>1890000</v>
      </c>
      <c r="W33" s="7">
        <f t="shared" si="41"/>
        <v>915368.77814354142</v>
      </c>
      <c r="X33" s="8">
        <f t="shared" ref="X33:Z33" si="44">SUM(C33,F33,I33,L33,O33,R33,U33)</f>
        <v>13580000</v>
      </c>
      <c r="Y33" s="8">
        <f t="shared" si="44"/>
        <v>12222000</v>
      </c>
      <c r="Z33" s="8">
        <f t="shared" si="44"/>
        <v>5919384.7653282341</v>
      </c>
    </row>
    <row r="34" spans="1:26" x14ac:dyDescent="0.25">
      <c r="A34" s="1">
        <v>4</v>
      </c>
      <c r="B34" s="1" t="s">
        <v>13</v>
      </c>
      <c r="C34" s="7">
        <f t="shared" si="28"/>
        <v>560000</v>
      </c>
      <c r="D34" s="7">
        <f>60*C6*F14</f>
        <v>504000</v>
      </c>
      <c r="E34" s="7">
        <f t="shared" si="29"/>
        <v>244098.34083827771</v>
      </c>
      <c r="F34" s="7">
        <f t="shared" si="30"/>
        <v>1633333.3333333333</v>
      </c>
      <c r="G34" s="7">
        <f>35*D6*F14</f>
        <v>1470000</v>
      </c>
      <c r="H34" s="7">
        <f t="shared" si="31"/>
        <v>711953.49411164306</v>
      </c>
      <c r="I34" s="7">
        <f t="shared" si="32"/>
        <v>622222.22222222225</v>
      </c>
      <c r="J34" s="7">
        <f>200*E6*F14</f>
        <v>560000</v>
      </c>
      <c r="K34" s="7">
        <f t="shared" si="33"/>
        <v>271220.37870919751</v>
      </c>
      <c r="L34" s="7">
        <f t="shared" si="34"/>
        <v>684444.44444444438</v>
      </c>
      <c r="M34" s="7">
        <f>220*F6*F14</f>
        <v>616000</v>
      </c>
      <c r="N34" s="7">
        <f t="shared" si="35"/>
        <v>298342.41658011713</v>
      </c>
      <c r="O34" s="7">
        <f t="shared" si="36"/>
        <v>311111.11111111112</v>
      </c>
      <c r="P34" s="7">
        <f>50*G6*F14</f>
        <v>280000</v>
      </c>
      <c r="Q34" s="7">
        <f t="shared" si="37"/>
        <v>135610.18935459876</v>
      </c>
      <c r="R34" s="7">
        <f t="shared" si="38"/>
        <v>311111.11111111112</v>
      </c>
      <c r="S34" s="7">
        <f>100*H6*F14</f>
        <v>280000</v>
      </c>
      <c r="T34" s="7">
        <f t="shared" si="39"/>
        <v>135610.18935459876</v>
      </c>
      <c r="U34" s="7">
        <f t="shared" si="40"/>
        <v>933333.33333333326</v>
      </c>
      <c r="V34" s="7">
        <f>150*I6*F14</f>
        <v>840000</v>
      </c>
      <c r="W34" s="7">
        <f t="shared" si="41"/>
        <v>406830.56806379603</v>
      </c>
      <c r="X34" s="8">
        <f t="shared" ref="X34:Z34" si="45">SUM(C34,F34,I34,L34,O34,R34,U34)</f>
        <v>5055555.555555555</v>
      </c>
      <c r="Y34" s="8">
        <f t="shared" si="45"/>
        <v>4550000</v>
      </c>
      <c r="Z34" s="8">
        <f t="shared" si="45"/>
        <v>2203665.5770122288</v>
      </c>
    </row>
    <row r="35" spans="1:26" x14ac:dyDescent="0.25">
      <c r="A35" s="1">
        <v>5</v>
      </c>
      <c r="B35" s="1" t="s">
        <v>15</v>
      </c>
      <c r="C35" s="7">
        <f t="shared" si="28"/>
        <v>373333.33333333331</v>
      </c>
      <c r="D35" s="7">
        <f>60*C7*F15</f>
        <v>336000</v>
      </c>
      <c r="E35" s="7">
        <f t="shared" si="29"/>
        <v>162732.22722551847</v>
      </c>
      <c r="F35" s="7">
        <f t="shared" si="30"/>
        <v>1088888.8888888888</v>
      </c>
      <c r="G35" s="7">
        <f>35*D7*F15</f>
        <v>980000</v>
      </c>
      <c r="H35" s="7">
        <f t="shared" si="31"/>
        <v>474635.66274109524</v>
      </c>
      <c r="I35" s="7">
        <f t="shared" si="32"/>
        <v>622222.22222222225</v>
      </c>
      <c r="J35" s="7">
        <f>200*E7*F15</f>
        <v>560000</v>
      </c>
      <c r="K35" s="7">
        <f t="shared" si="33"/>
        <v>271220.37870919751</v>
      </c>
      <c r="L35" s="7">
        <f t="shared" si="34"/>
        <v>1026666.6666666666</v>
      </c>
      <c r="M35" s="7">
        <f>220*F7*F15</f>
        <v>924000</v>
      </c>
      <c r="N35" s="7">
        <f t="shared" si="35"/>
        <v>447513.62487017567</v>
      </c>
      <c r="O35" s="7">
        <f t="shared" si="36"/>
        <v>233333.33333333331</v>
      </c>
      <c r="P35" s="7">
        <f>50*G7*F15</f>
        <v>210000</v>
      </c>
      <c r="Q35" s="7">
        <f t="shared" si="37"/>
        <v>101707.64201594901</v>
      </c>
      <c r="R35" s="7">
        <f t="shared" si="38"/>
        <v>311111.11111111112</v>
      </c>
      <c r="S35" s="7">
        <f>100*H7*F15</f>
        <v>280000</v>
      </c>
      <c r="T35" s="7">
        <f t="shared" si="39"/>
        <v>135610.18935459876</v>
      </c>
      <c r="U35" s="7">
        <f t="shared" si="40"/>
        <v>700000</v>
      </c>
      <c r="V35" s="7">
        <f>150*I7*F15</f>
        <v>630000</v>
      </c>
      <c r="W35" s="7">
        <f t="shared" si="41"/>
        <v>305122.92604784714</v>
      </c>
      <c r="X35" s="8">
        <f t="shared" ref="X35:Z35" si="46">SUM(C35,F35,I35,L35,O35,R35,U35)</f>
        <v>4355555.555555556</v>
      </c>
      <c r="Y35" s="8">
        <f t="shared" si="46"/>
        <v>3920000</v>
      </c>
      <c r="Z35" s="8">
        <f t="shared" si="46"/>
        <v>1898542.6509643819</v>
      </c>
    </row>
    <row r="36" spans="1:26" x14ac:dyDescent="0.25">
      <c r="B36" s="1" t="s">
        <v>17</v>
      </c>
      <c r="C36" s="7">
        <f t="shared" ref="C36:I36" si="47">SUM(C31:C35)</f>
        <v>13766666.666666666</v>
      </c>
      <c r="D36" s="7">
        <f t="shared" si="47"/>
        <v>12390000</v>
      </c>
      <c r="E36" s="7">
        <f t="shared" si="47"/>
        <v>6000750.8789409939</v>
      </c>
      <c r="F36" s="7">
        <f t="shared" si="47"/>
        <v>25153333.333333332</v>
      </c>
      <c r="G36" s="7">
        <f t="shared" si="47"/>
        <v>22638000</v>
      </c>
      <c r="H36" s="7">
        <f t="shared" si="47"/>
        <v>10964083.809319302</v>
      </c>
      <c r="I36" s="7">
        <f t="shared" si="47"/>
        <v>15400000</v>
      </c>
      <c r="J36" s="7">
        <f>200*E8*F16</f>
        <v>133000000</v>
      </c>
      <c r="K36" s="7">
        <f t="shared" ref="K36:Z36" si="48">SUM(K31:K35)</f>
        <v>6712704.373052638</v>
      </c>
      <c r="L36" s="7">
        <f t="shared" si="48"/>
        <v>1711111.111111111</v>
      </c>
      <c r="M36" s="7">
        <f t="shared" si="48"/>
        <v>1540000</v>
      </c>
      <c r="N36" s="7">
        <f t="shared" si="48"/>
        <v>745856.0414502928</v>
      </c>
      <c r="O36" s="7">
        <f t="shared" si="48"/>
        <v>7700000</v>
      </c>
      <c r="P36" s="7">
        <f t="shared" si="48"/>
        <v>6930000</v>
      </c>
      <c r="Q36" s="7">
        <f t="shared" si="48"/>
        <v>3356352.186526319</v>
      </c>
      <c r="R36" s="7">
        <f t="shared" si="48"/>
        <v>2022222.222222222</v>
      </c>
      <c r="S36" s="7">
        <f t="shared" si="48"/>
        <v>1820000</v>
      </c>
      <c r="T36" s="7">
        <f t="shared" si="48"/>
        <v>881466.23080489179</v>
      </c>
      <c r="U36" s="7">
        <f t="shared" si="48"/>
        <v>3733333.333333333</v>
      </c>
      <c r="V36" s="7">
        <f t="shared" si="48"/>
        <v>3360000</v>
      </c>
      <c r="W36" s="7">
        <f t="shared" si="48"/>
        <v>1627322.2722551846</v>
      </c>
      <c r="X36" s="8">
        <f t="shared" si="48"/>
        <v>69486666.666666657</v>
      </c>
      <c r="Y36" s="8">
        <f t="shared" si="48"/>
        <v>62538000</v>
      </c>
      <c r="Z36" s="8">
        <f t="shared" si="48"/>
        <v>30288535.792349629</v>
      </c>
    </row>
    <row r="37" spans="1:26" x14ac:dyDescent="0.25">
      <c r="I37" s="9"/>
      <c r="J37" s="9"/>
      <c r="K37" s="9"/>
    </row>
    <row r="38" spans="1:26" x14ac:dyDescent="0.25">
      <c r="A38" s="1" t="s">
        <v>27</v>
      </c>
      <c r="I38" s="9"/>
      <c r="J38" s="9"/>
      <c r="K38" s="9"/>
    </row>
    <row r="39" spans="1:26" x14ac:dyDescent="0.25">
      <c r="A39" s="16" t="s">
        <v>0</v>
      </c>
      <c r="B39" s="16" t="s">
        <v>1</v>
      </c>
      <c r="C39" s="13" t="s">
        <v>3</v>
      </c>
      <c r="D39" s="14"/>
      <c r="E39" s="14"/>
      <c r="F39" s="15" t="s">
        <v>4</v>
      </c>
      <c r="G39" s="14"/>
      <c r="H39" s="14"/>
      <c r="I39" s="13" t="s">
        <v>5</v>
      </c>
      <c r="J39" s="14"/>
      <c r="K39" s="14"/>
      <c r="L39" s="13" t="s">
        <v>6</v>
      </c>
      <c r="M39" s="14"/>
      <c r="N39" s="14"/>
      <c r="O39" s="15" t="s">
        <v>7</v>
      </c>
      <c r="P39" s="14"/>
      <c r="Q39" s="14"/>
      <c r="R39" s="3" t="s">
        <v>8</v>
      </c>
      <c r="S39" s="3"/>
      <c r="T39" s="3"/>
      <c r="U39" s="15" t="s">
        <v>9</v>
      </c>
      <c r="V39" s="14"/>
      <c r="W39" s="14"/>
      <c r="X39" s="5" t="s">
        <v>17</v>
      </c>
      <c r="Y39" s="5"/>
      <c r="Z39" s="5"/>
    </row>
    <row r="40" spans="1:26" x14ac:dyDescent="0.25">
      <c r="A40" s="14"/>
      <c r="B40" s="14"/>
      <c r="C40" s="4" t="s">
        <v>23</v>
      </c>
      <c r="D40" s="4" t="s">
        <v>24</v>
      </c>
      <c r="E40" s="4" t="s">
        <v>25</v>
      </c>
      <c r="F40" s="3" t="s">
        <v>23</v>
      </c>
      <c r="G40" s="3" t="s">
        <v>24</v>
      </c>
      <c r="H40" s="3" t="s">
        <v>25</v>
      </c>
      <c r="I40" s="4" t="s">
        <v>23</v>
      </c>
      <c r="J40" s="4" t="s">
        <v>24</v>
      </c>
      <c r="K40" s="4" t="s">
        <v>25</v>
      </c>
      <c r="L40" s="4" t="s">
        <v>23</v>
      </c>
      <c r="M40" s="4" t="s">
        <v>24</v>
      </c>
      <c r="N40" s="4" t="s">
        <v>25</v>
      </c>
      <c r="O40" s="3" t="s">
        <v>23</v>
      </c>
      <c r="P40" s="3" t="s">
        <v>24</v>
      </c>
      <c r="Q40" s="3" t="s">
        <v>25</v>
      </c>
      <c r="R40" s="3" t="s">
        <v>23</v>
      </c>
      <c r="S40" s="3" t="s">
        <v>24</v>
      </c>
      <c r="T40" s="3" t="s">
        <v>25</v>
      </c>
      <c r="U40" s="3" t="s">
        <v>23</v>
      </c>
      <c r="V40" s="3" t="s">
        <v>24</v>
      </c>
      <c r="W40" s="3" t="s">
        <v>25</v>
      </c>
      <c r="X40" s="5" t="s">
        <v>23</v>
      </c>
      <c r="Y40" s="5" t="s">
        <v>24</v>
      </c>
      <c r="Z40" s="5" t="s">
        <v>25</v>
      </c>
    </row>
    <row r="41" spans="1:26" x14ac:dyDescent="0.25">
      <c r="A41" s="1">
        <v>1</v>
      </c>
      <c r="B41" s="1" t="s">
        <v>10</v>
      </c>
      <c r="C41" s="7">
        <f t="shared" ref="C41:C45" si="49">D41/$M$8</f>
        <v>4340000</v>
      </c>
      <c r="D41" s="7">
        <f>60*C3*F11</f>
        <v>3906000</v>
      </c>
      <c r="E41" s="7">
        <f t="shared" ref="E41:E45" si="50">SQRT(C41^2-D41^2)</f>
        <v>1891762.1414966523</v>
      </c>
      <c r="F41" s="6">
        <f t="shared" ref="F41:F45" si="51">G41/$M$8</f>
        <v>0</v>
      </c>
      <c r="G41" s="6">
        <f>0*D3*F11</f>
        <v>0</v>
      </c>
      <c r="H41" s="6">
        <f t="shared" ref="H41:H45" si="52">SQRT(F41^2-G41^2)</f>
        <v>0</v>
      </c>
      <c r="I41" s="7">
        <f t="shared" ref="I41:I45" si="53">J41/$M$8</f>
        <v>0</v>
      </c>
      <c r="J41" s="7">
        <f>200*E3*F11</f>
        <v>0</v>
      </c>
      <c r="K41" s="7">
        <f t="shared" ref="K41:K45" si="54">SQRT(I41^2-J41^2)</f>
        <v>0</v>
      </c>
      <c r="L41" s="7">
        <f t="shared" ref="L41:L45" si="55">M41/$M$8</f>
        <v>0</v>
      </c>
      <c r="M41" s="7">
        <f>220*F3*F11</f>
        <v>0</v>
      </c>
      <c r="N41" s="7">
        <f t="shared" ref="N41:N45" si="56">SQRT(L41^2-M41^2)</f>
        <v>0</v>
      </c>
      <c r="O41" s="6">
        <f t="shared" ref="O41:O45" si="57">P41/$M$8</f>
        <v>0</v>
      </c>
      <c r="P41" s="6">
        <f>0*G3*F11</f>
        <v>0</v>
      </c>
      <c r="Q41" s="6">
        <f t="shared" ref="Q41:Q45" si="58">SQRT(O41^2-P41^2)</f>
        <v>0</v>
      </c>
      <c r="R41" s="6">
        <f t="shared" ref="R41:R45" si="59">S41/$M$8</f>
        <v>0</v>
      </c>
      <c r="S41" s="6">
        <f>0*H3*F11</f>
        <v>0</v>
      </c>
      <c r="T41" s="6">
        <f t="shared" ref="T41:T45" si="60">SQRT(R41^2-S41^2)</f>
        <v>0</v>
      </c>
      <c r="U41" s="6">
        <f t="shared" ref="U41:U45" si="61">V41/$M$8</f>
        <v>0</v>
      </c>
      <c r="V41" s="6">
        <f>0*I3*F11</f>
        <v>0</v>
      </c>
      <c r="W41" s="6">
        <f t="shared" ref="W41:W45" si="62">SQRT(U41^2-V41^2)</f>
        <v>0</v>
      </c>
      <c r="X41" s="8">
        <f t="shared" ref="X41:Z41" si="63">SUM(C41,F41,I41,L41,O41,R41,U41)</f>
        <v>4340000</v>
      </c>
      <c r="Y41" s="8">
        <f t="shared" si="63"/>
        <v>3906000</v>
      </c>
      <c r="Z41" s="8">
        <f t="shared" si="63"/>
        <v>1891762.1414966523</v>
      </c>
    </row>
    <row r="42" spans="1:26" x14ac:dyDescent="0.25">
      <c r="A42" s="1">
        <v>2</v>
      </c>
      <c r="B42" s="1" t="s">
        <v>11</v>
      </c>
      <c r="C42" s="7">
        <f t="shared" si="49"/>
        <v>6813333.333333333</v>
      </c>
      <c r="D42" s="7">
        <f>60*C4*F12</f>
        <v>6132000</v>
      </c>
      <c r="E42" s="7">
        <f t="shared" si="50"/>
        <v>2969863.146865712</v>
      </c>
      <c r="F42" s="6">
        <f t="shared" si="51"/>
        <v>0</v>
      </c>
      <c r="G42" s="6">
        <f>0*D4*F12</f>
        <v>0</v>
      </c>
      <c r="H42" s="6">
        <f t="shared" si="52"/>
        <v>0</v>
      </c>
      <c r="I42" s="7">
        <f t="shared" si="53"/>
        <v>11355555.555555556</v>
      </c>
      <c r="J42" s="7">
        <f>200*E4*F12</f>
        <v>10220000</v>
      </c>
      <c r="K42" s="7">
        <f t="shared" si="54"/>
        <v>4949771.9114428554</v>
      </c>
      <c r="L42" s="7">
        <f t="shared" si="55"/>
        <v>0</v>
      </c>
      <c r="M42" s="7">
        <f>220*F4*F12</f>
        <v>0</v>
      </c>
      <c r="N42" s="7">
        <f t="shared" si="56"/>
        <v>0</v>
      </c>
      <c r="O42" s="6">
        <f t="shared" si="57"/>
        <v>0</v>
      </c>
      <c r="P42" s="6">
        <f>0*G4*F12</f>
        <v>0</v>
      </c>
      <c r="Q42" s="6">
        <f t="shared" si="58"/>
        <v>0</v>
      </c>
      <c r="R42" s="6">
        <f t="shared" si="59"/>
        <v>0</v>
      </c>
      <c r="S42" s="6">
        <f>0*H4*F12</f>
        <v>0</v>
      </c>
      <c r="T42" s="6">
        <f t="shared" si="60"/>
        <v>0</v>
      </c>
      <c r="U42" s="6">
        <f t="shared" si="61"/>
        <v>0</v>
      </c>
      <c r="V42" s="6">
        <f>0*I4*F12</f>
        <v>0</v>
      </c>
      <c r="W42" s="6">
        <f t="shared" si="62"/>
        <v>0</v>
      </c>
      <c r="X42" s="8">
        <f t="shared" ref="X42:Z42" si="64">SUM(C42,F42,I42,L42,O42,R42,U42)</f>
        <v>18168888.888888888</v>
      </c>
      <c r="Y42" s="8">
        <f t="shared" si="64"/>
        <v>16352000</v>
      </c>
      <c r="Z42" s="8">
        <f t="shared" si="64"/>
        <v>7919635.0583085679</v>
      </c>
    </row>
    <row r="43" spans="1:26" x14ac:dyDescent="0.25">
      <c r="A43" s="1">
        <v>3</v>
      </c>
      <c r="B43" s="1" t="s">
        <v>12</v>
      </c>
      <c r="C43" s="7">
        <f t="shared" si="49"/>
        <v>1680000</v>
      </c>
      <c r="D43" s="7">
        <f>60*C5*F13</f>
        <v>1512000</v>
      </c>
      <c r="E43" s="7">
        <f t="shared" si="50"/>
        <v>732295.02251483314</v>
      </c>
      <c r="F43" s="6">
        <f t="shared" si="51"/>
        <v>0</v>
      </c>
      <c r="G43" s="6">
        <f>0*D5*F13</f>
        <v>0</v>
      </c>
      <c r="H43" s="6">
        <f t="shared" si="52"/>
        <v>0</v>
      </c>
      <c r="I43" s="7">
        <f t="shared" si="53"/>
        <v>2800000</v>
      </c>
      <c r="J43" s="7">
        <f>200*E5*F13</f>
        <v>2520000</v>
      </c>
      <c r="K43" s="7">
        <f t="shared" si="54"/>
        <v>1220491.7041913886</v>
      </c>
      <c r="L43" s="7">
        <f t="shared" si="55"/>
        <v>0</v>
      </c>
      <c r="M43" s="7">
        <f>220*F5*F13</f>
        <v>0</v>
      </c>
      <c r="N43" s="7">
        <f t="shared" si="56"/>
        <v>0</v>
      </c>
      <c r="O43" s="6">
        <f t="shared" si="57"/>
        <v>0</v>
      </c>
      <c r="P43" s="6">
        <f>0*G5*F13</f>
        <v>0</v>
      </c>
      <c r="Q43" s="6">
        <f t="shared" si="58"/>
        <v>0</v>
      </c>
      <c r="R43" s="6">
        <f t="shared" si="59"/>
        <v>0</v>
      </c>
      <c r="S43" s="6">
        <f>0*H5*F13</f>
        <v>0</v>
      </c>
      <c r="T43" s="6">
        <f t="shared" si="60"/>
        <v>0</v>
      </c>
      <c r="U43" s="6">
        <f t="shared" si="61"/>
        <v>0</v>
      </c>
      <c r="V43" s="6">
        <f>0*I5*F13</f>
        <v>0</v>
      </c>
      <c r="W43" s="6">
        <f t="shared" si="62"/>
        <v>0</v>
      </c>
      <c r="X43" s="8">
        <f t="shared" ref="X43:Z43" si="65">SUM(C43,F43,I43,L43,O43,R43,U43)</f>
        <v>4480000</v>
      </c>
      <c r="Y43" s="8">
        <f t="shared" si="65"/>
        <v>4032000</v>
      </c>
      <c r="Z43" s="8">
        <f t="shared" si="65"/>
        <v>1952786.7267062217</v>
      </c>
    </row>
    <row r="44" spans="1:26" x14ac:dyDescent="0.25">
      <c r="A44" s="1">
        <v>4</v>
      </c>
      <c r="B44" s="1" t="s">
        <v>13</v>
      </c>
      <c r="C44" s="7">
        <f t="shared" si="49"/>
        <v>560000</v>
      </c>
      <c r="D44" s="7">
        <f>60*C6*F14</f>
        <v>504000</v>
      </c>
      <c r="E44" s="7">
        <f t="shared" si="50"/>
        <v>244098.34083827771</v>
      </c>
      <c r="F44" s="6">
        <f t="shared" si="51"/>
        <v>0</v>
      </c>
      <c r="G44" s="6">
        <f>0*D6*F14</f>
        <v>0</v>
      </c>
      <c r="H44" s="6">
        <f t="shared" si="52"/>
        <v>0</v>
      </c>
      <c r="I44" s="7">
        <f t="shared" si="53"/>
        <v>622222.22222222225</v>
      </c>
      <c r="J44" s="7">
        <f>200*E6*F14</f>
        <v>560000</v>
      </c>
      <c r="K44" s="7">
        <f t="shared" si="54"/>
        <v>271220.37870919751</v>
      </c>
      <c r="L44" s="7">
        <f t="shared" si="55"/>
        <v>684444.44444444438</v>
      </c>
      <c r="M44" s="7">
        <f>220*F6*F14</f>
        <v>616000</v>
      </c>
      <c r="N44" s="7">
        <f t="shared" si="56"/>
        <v>298342.41658011713</v>
      </c>
      <c r="O44" s="6">
        <f t="shared" si="57"/>
        <v>0</v>
      </c>
      <c r="P44" s="6">
        <f>0*G6*F14</f>
        <v>0</v>
      </c>
      <c r="Q44" s="6">
        <f t="shared" si="58"/>
        <v>0</v>
      </c>
      <c r="R44" s="6">
        <f t="shared" si="59"/>
        <v>0</v>
      </c>
      <c r="S44" s="6">
        <f>0*H6*F14</f>
        <v>0</v>
      </c>
      <c r="T44" s="6">
        <f t="shared" si="60"/>
        <v>0</v>
      </c>
      <c r="U44" s="6">
        <f t="shared" si="61"/>
        <v>0</v>
      </c>
      <c r="V44" s="6">
        <f>0*I6*F14</f>
        <v>0</v>
      </c>
      <c r="W44" s="6">
        <f t="shared" si="62"/>
        <v>0</v>
      </c>
      <c r="X44" s="8">
        <f t="shared" ref="X44:Z44" si="66">SUM(C44,F44,I44,L44,O44,R44,U44)</f>
        <v>1866666.6666666665</v>
      </c>
      <c r="Y44" s="8">
        <f t="shared" si="66"/>
        <v>1680000</v>
      </c>
      <c r="Z44" s="8">
        <f t="shared" si="66"/>
        <v>813661.1361275923</v>
      </c>
    </row>
    <row r="45" spans="1:26" x14ac:dyDescent="0.25">
      <c r="A45" s="1">
        <v>5</v>
      </c>
      <c r="B45" s="1" t="s">
        <v>15</v>
      </c>
      <c r="C45" s="7">
        <f t="shared" si="49"/>
        <v>373333.33333333331</v>
      </c>
      <c r="D45" s="7">
        <f>60*C7*F15</f>
        <v>336000</v>
      </c>
      <c r="E45" s="7">
        <f t="shared" si="50"/>
        <v>162732.22722551847</v>
      </c>
      <c r="F45" s="6">
        <f t="shared" si="51"/>
        <v>0</v>
      </c>
      <c r="G45" s="6">
        <f>0*D7*F15</f>
        <v>0</v>
      </c>
      <c r="H45" s="6">
        <f t="shared" si="52"/>
        <v>0</v>
      </c>
      <c r="I45" s="7">
        <f t="shared" si="53"/>
        <v>622222.22222222225</v>
      </c>
      <c r="J45" s="7">
        <f>200*E7*F15</f>
        <v>560000</v>
      </c>
      <c r="K45" s="7">
        <f t="shared" si="54"/>
        <v>271220.37870919751</v>
      </c>
      <c r="L45" s="7">
        <f t="shared" si="55"/>
        <v>1026666.6666666666</v>
      </c>
      <c r="M45" s="7">
        <f>220*F7*F15</f>
        <v>924000</v>
      </c>
      <c r="N45" s="7">
        <f t="shared" si="56"/>
        <v>447513.62487017567</v>
      </c>
      <c r="O45" s="6">
        <f t="shared" si="57"/>
        <v>0</v>
      </c>
      <c r="P45" s="6">
        <f>0*G7*F15</f>
        <v>0</v>
      </c>
      <c r="Q45" s="6">
        <f t="shared" si="58"/>
        <v>0</v>
      </c>
      <c r="R45" s="6">
        <f t="shared" si="59"/>
        <v>0</v>
      </c>
      <c r="S45" s="6">
        <f>0*H7*F15</f>
        <v>0</v>
      </c>
      <c r="T45" s="6">
        <f t="shared" si="60"/>
        <v>0</v>
      </c>
      <c r="U45" s="6">
        <f t="shared" si="61"/>
        <v>0</v>
      </c>
      <c r="V45" s="6">
        <f>0*I7*F15</f>
        <v>0</v>
      </c>
      <c r="W45" s="6">
        <f t="shared" si="62"/>
        <v>0</v>
      </c>
      <c r="X45" s="8">
        <f t="shared" ref="X45:Z45" si="67">SUM(C45,F45,I45,L45,O45,R45,U45)</f>
        <v>2022222.222222222</v>
      </c>
      <c r="Y45" s="8">
        <f t="shared" si="67"/>
        <v>1820000</v>
      </c>
      <c r="Z45" s="8">
        <f t="shared" si="67"/>
        <v>881466.23080489156</v>
      </c>
    </row>
    <row r="46" spans="1:26" x14ac:dyDescent="0.25">
      <c r="B46" s="1" t="s">
        <v>17</v>
      </c>
      <c r="C46" s="7">
        <f t="shared" ref="C46:Z46" si="68">SUM(C41:C45)</f>
        <v>13766666.666666666</v>
      </c>
      <c r="D46" s="7">
        <f t="shared" si="68"/>
        <v>12390000</v>
      </c>
      <c r="E46" s="7">
        <f t="shared" si="68"/>
        <v>6000750.8789409939</v>
      </c>
      <c r="F46" s="6">
        <f t="shared" si="68"/>
        <v>0</v>
      </c>
      <c r="G46" s="6">
        <f t="shared" si="68"/>
        <v>0</v>
      </c>
      <c r="H46" s="6">
        <f t="shared" si="68"/>
        <v>0</v>
      </c>
      <c r="I46" s="7">
        <f t="shared" si="68"/>
        <v>15400000</v>
      </c>
      <c r="J46" s="7">
        <f t="shared" si="68"/>
        <v>13860000</v>
      </c>
      <c r="K46" s="7">
        <f t="shared" si="68"/>
        <v>6712704.373052638</v>
      </c>
      <c r="L46" s="7">
        <f t="shared" si="68"/>
        <v>1711111.111111111</v>
      </c>
      <c r="M46" s="7">
        <f t="shared" si="68"/>
        <v>1540000</v>
      </c>
      <c r="N46" s="7">
        <f t="shared" si="68"/>
        <v>745856.0414502928</v>
      </c>
      <c r="O46" s="6">
        <f t="shared" si="68"/>
        <v>0</v>
      </c>
      <c r="P46" s="6">
        <f t="shared" si="68"/>
        <v>0</v>
      </c>
      <c r="Q46" s="6">
        <f t="shared" si="68"/>
        <v>0</v>
      </c>
      <c r="R46" s="6">
        <f t="shared" si="68"/>
        <v>0</v>
      </c>
      <c r="S46" s="6">
        <f t="shared" si="68"/>
        <v>0</v>
      </c>
      <c r="T46" s="6">
        <f t="shared" si="68"/>
        <v>0</v>
      </c>
      <c r="U46" s="6">
        <f t="shared" si="68"/>
        <v>0</v>
      </c>
      <c r="V46" s="6">
        <f t="shared" si="68"/>
        <v>0</v>
      </c>
      <c r="W46" s="6">
        <f t="shared" si="68"/>
        <v>0</v>
      </c>
      <c r="X46" s="8">
        <f t="shared" si="68"/>
        <v>30877777.777777776</v>
      </c>
      <c r="Y46" s="8">
        <f t="shared" si="68"/>
        <v>27790000</v>
      </c>
      <c r="Z46" s="8">
        <f t="shared" si="68"/>
        <v>13459311.293443928</v>
      </c>
    </row>
    <row r="47" spans="1:26" x14ac:dyDescent="0.25">
      <c r="A47" s="10"/>
      <c r="B47" s="10"/>
      <c r="C47" s="11"/>
      <c r="D47" s="11"/>
      <c r="E47" s="11"/>
      <c r="F47" s="11"/>
      <c r="G47" s="11"/>
    </row>
  </sheetData>
  <mergeCells count="27">
    <mergeCell ref="L39:N39"/>
    <mergeCell ref="O39:Q39"/>
    <mergeCell ref="U39:W39"/>
    <mergeCell ref="A1:A2"/>
    <mergeCell ref="B1:B2"/>
    <mergeCell ref="C1:I1"/>
    <mergeCell ref="A19:A20"/>
    <mergeCell ref="B19:B20"/>
    <mergeCell ref="C19:E19"/>
    <mergeCell ref="F19:H19"/>
    <mergeCell ref="A39:A40"/>
    <mergeCell ref="B39:B40"/>
    <mergeCell ref="C39:E39"/>
    <mergeCell ref="F39:H39"/>
    <mergeCell ref="I39:K39"/>
    <mergeCell ref="I19:K19"/>
    <mergeCell ref="L19:N19"/>
    <mergeCell ref="O19:Q19"/>
    <mergeCell ref="U19:W19"/>
    <mergeCell ref="A29:A30"/>
    <mergeCell ref="B29:B30"/>
    <mergeCell ref="C29:E29"/>
    <mergeCell ref="F29:H29"/>
    <mergeCell ref="I29:K29"/>
    <mergeCell ref="L29:N29"/>
    <mergeCell ref="O29:Q29"/>
    <mergeCell ref="U29:W29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29"/>
  <sheetViews>
    <sheetView workbookViewId="0"/>
  </sheetViews>
  <sheetFormatPr defaultColWidth="12.6640625" defaultRowHeight="15.75" customHeight="1" x14ac:dyDescent="0.25"/>
  <sheetData>
    <row r="1" spans="1:10" x14ac:dyDescent="0.25">
      <c r="A1" s="1" t="s">
        <v>22</v>
      </c>
      <c r="I1" s="1" t="s">
        <v>28</v>
      </c>
      <c r="J1" s="1">
        <v>20</v>
      </c>
    </row>
    <row r="2" spans="1:10" x14ac:dyDescent="0.25">
      <c r="A2" s="1" t="s">
        <v>0</v>
      </c>
      <c r="B2" s="1" t="s">
        <v>1</v>
      </c>
      <c r="C2" s="1" t="s">
        <v>23</v>
      </c>
      <c r="D2" s="1" t="s">
        <v>29</v>
      </c>
      <c r="E2" s="1" t="s">
        <v>23</v>
      </c>
      <c r="F2" s="1" t="s">
        <v>24</v>
      </c>
      <c r="G2" s="1" t="s">
        <v>25</v>
      </c>
      <c r="I2" s="1" t="s">
        <v>18</v>
      </c>
      <c r="J2" s="1">
        <v>0.9</v>
      </c>
    </row>
    <row r="3" spans="1:10" x14ac:dyDescent="0.25">
      <c r="A3" s="1">
        <v>1</v>
      </c>
      <c r="B3" s="1" t="s">
        <v>30</v>
      </c>
      <c r="C3" s="1">
        <v>2200</v>
      </c>
      <c r="D3" s="1">
        <v>3000</v>
      </c>
      <c r="E3" s="12">
        <f t="shared" ref="E3:E8" si="0">C3*D3</f>
        <v>6600000</v>
      </c>
      <c r="F3" s="12">
        <f t="shared" ref="F3:F8" si="1">E3*$J$2</f>
        <v>5940000</v>
      </c>
      <c r="G3" s="12">
        <f t="shared" ref="G3:G8" si="2">E3*SIN(ACOS($J$2))</f>
        <v>2876873.3027368439</v>
      </c>
    </row>
    <row r="4" spans="1:10" x14ac:dyDescent="0.25">
      <c r="A4" s="1">
        <v>2</v>
      </c>
      <c r="B4" s="1" t="s">
        <v>31</v>
      </c>
      <c r="C4" s="1">
        <v>50000</v>
      </c>
      <c r="D4" s="1">
        <v>1000</v>
      </c>
      <c r="E4" s="12">
        <f t="shared" si="0"/>
        <v>50000000</v>
      </c>
      <c r="F4" s="12">
        <f t="shared" si="1"/>
        <v>45000000</v>
      </c>
      <c r="G4" s="12">
        <f t="shared" si="2"/>
        <v>21794494.717703365</v>
      </c>
    </row>
    <row r="5" spans="1:10" x14ac:dyDescent="0.25">
      <c r="A5" s="1">
        <v>3</v>
      </c>
      <c r="B5" s="1" t="s">
        <v>32</v>
      </c>
      <c r="C5" s="1">
        <v>200000</v>
      </c>
      <c r="D5" s="1">
        <v>50</v>
      </c>
      <c r="E5" s="12">
        <f t="shared" si="0"/>
        <v>10000000</v>
      </c>
      <c r="F5" s="12">
        <f t="shared" si="1"/>
        <v>9000000</v>
      </c>
      <c r="G5" s="12">
        <f t="shared" si="2"/>
        <v>4358898.9435406728</v>
      </c>
    </row>
    <row r="6" spans="1:10" x14ac:dyDescent="0.25">
      <c r="A6" s="1">
        <v>4</v>
      </c>
      <c r="B6" s="1" t="s">
        <v>33</v>
      </c>
      <c r="C6" s="1">
        <v>1300</v>
      </c>
      <c r="D6" s="1">
        <v>5000</v>
      </c>
      <c r="E6" s="12">
        <f t="shared" si="0"/>
        <v>6500000</v>
      </c>
      <c r="F6" s="12">
        <f t="shared" si="1"/>
        <v>5850000</v>
      </c>
      <c r="G6" s="12">
        <f t="shared" si="2"/>
        <v>2833284.3133014371</v>
      </c>
    </row>
    <row r="7" spans="1:10" x14ac:dyDescent="0.25">
      <c r="A7" s="1">
        <v>5</v>
      </c>
      <c r="B7" s="1" t="s">
        <v>34</v>
      </c>
      <c r="C7" s="1">
        <v>5000</v>
      </c>
      <c r="D7" s="1">
        <v>1000</v>
      </c>
      <c r="E7" s="12">
        <f t="shared" si="0"/>
        <v>5000000</v>
      </c>
      <c r="F7" s="12">
        <f t="shared" si="1"/>
        <v>4500000</v>
      </c>
      <c r="G7" s="12">
        <f t="shared" si="2"/>
        <v>2179449.4717703364</v>
      </c>
    </row>
    <row r="8" spans="1:10" x14ac:dyDescent="0.25">
      <c r="A8" s="1">
        <v>6</v>
      </c>
      <c r="B8" s="1" t="s">
        <v>35</v>
      </c>
      <c r="C8" s="1">
        <v>50000</v>
      </c>
      <c r="D8" s="1">
        <v>20</v>
      </c>
      <c r="E8" s="12">
        <f t="shared" si="0"/>
        <v>1000000</v>
      </c>
      <c r="F8" s="12">
        <f t="shared" si="1"/>
        <v>900000</v>
      </c>
      <c r="G8" s="12">
        <f t="shared" si="2"/>
        <v>435889.89435406728</v>
      </c>
    </row>
    <row r="9" spans="1:10" x14ac:dyDescent="0.25">
      <c r="B9" s="1" t="s">
        <v>17</v>
      </c>
      <c r="C9" s="1">
        <f t="shared" ref="C9:G9" si="3">SUM(C3:C8)</f>
        <v>308500</v>
      </c>
      <c r="D9" s="1">
        <f t="shared" si="3"/>
        <v>10070</v>
      </c>
      <c r="E9" s="12">
        <f t="shared" si="3"/>
        <v>79100000</v>
      </c>
      <c r="F9" s="12">
        <f t="shared" si="3"/>
        <v>71190000</v>
      </c>
      <c r="G9" s="12">
        <f t="shared" si="3"/>
        <v>34478890.643406726</v>
      </c>
    </row>
    <row r="11" spans="1:10" x14ac:dyDescent="0.25">
      <c r="A11" s="1" t="s">
        <v>26</v>
      </c>
    </row>
    <row r="12" spans="1:10" x14ac:dyDescent="0.25">
      <c r="A12" s="1" t="s">
        <v>0</v>
      </c>
      <c r="B12" s="1" t="s">
        <v>1</v>
      </c>
      <c r="C12" s="1" t="s">
        <v>36</v>
      </c>
      <c r="D12" s="1" t="s">
        <v>29</v>
      </c>
      <c r="E12" s="1" t="s">
        <v>23</v>
      </c>
      <c r="F12" s="1" t="s">
        <v>24</v>
      </c>
      <c r="G12" s="1" t="s">
        <v>25</v>
      </c>
    </row>
    <row r="13" spans="1:10" x14ac:dyDescent="0.25">
      <c r="A13" s="1">
        <v>1</v>
      </c>
      <c r="B13" s="1" t="s">
        <v>30</v>
      </c>
      <c r="C13" s="1">
        <v>2200</v>
      </c>
      <c r="D13" s="1">
        <v>3000</v>
      </c>
      <c r="E13" s="12">
        <f t="shared" ref="E13:E18" si="4">C13*D13</f>
        <v>6600000</v>
      </c>
      <c r="F13" s="12">
        <f t="shared" ref="F13:F18" si="5">E13*$J$2</f>
        <v>5940000</v>
      </c>
      <c r="G13" s="12">
        <f t="shared" ref="G13:G18" si="6">E13*SIN(ACOS($J$2))</f>
        <v>2876873.3027368439</v>
      </c>
    </row>
    <row r="14" spans="1:10" x14ac:dyDescent="0.25">
      <c r="A14" s="1">
        <v>2</v>
      </c>
      <c r="B14" s="1" t="s">
        <v>31</v>
      </c>
      <c r="C14" s="1">
        <v>50000</v>
      </c>
      <c r="D14" s="1">
        <v>1000</v>
      </c>
      <c r="E14" s="12">
        <f t="shared" si="4"/>
        <v>50000000</v>
      </c>
      <c r="F14" s="12">
        <f t="shared" si="5"/>
        <v>45000000</v>
      </c>
      <c r="G14" s="12">
        <f t="shared" si="6"/>
        <v>21794494.717703365</v>
      </c>
    </row>
    <row r="15" spans="1:10" x14ac:dyDescent="0.25">
      <c r="A15" s="1">
        <v>3</v>
      </c>
      <c r="B15" s="1" t="s">
        <v>32</v>
      </c>
      <c r="C15" s="1">
        <v>200000</v>
      </c>
      <c r="D15" s="1">
        <v>50</v>
      </c>
      <c r="E15" s="12">
        <f t="shared" si="4"/>
        <v>10000000</v>
      </c>
      <c r="F15" s="12">
        <f t="shared" si="5"/>
        <v>9000000</v>
      </c>
      <c r="G15" s="12">
        <f t="shared" si="6"/>
        <v>4358898.9435406728</v>
      </c>
    </row>
    <row r="16" spans="1:10" x14ac:dyDescent="0.25">
      <c r="A16" s="1">
        <v>4</v>
      </c>
      <c r="B16" s="1" t="s">
        <v>33</v>
      </c>
      <c r="C16" s="1">
        <v>0</v>
      </c>
      <c r="D16" s="1">
        <v>5000</v>
      </c>
      <c r="E16" s="12">
        <f t="shared" si="4"/>
        <v>0</v>
      </c>
      <c r="F16" s="12">
        <f t="shared" si="5"/>
        <v>0</v>
      </c>
      <c r="G16" s="12">
        <f t="shared" si="6"/>
        <v>0</v>
      </c>
    </row>
    <row r="17" spans="1:7" x14ac:dyDescent="0.25">
      <c r="A17" s="1">
        <v>5</v>
      </c>
      <c r="B17" s="1" t="s">
        <v>34</v>
      </c>
      <c r="C17" s="1">
        <v>5000</v>
      </c>
      <c r="D17" s="1">
        <v>1000</v>
      </c>
      <c r="E17" s="12">
        <f t="shared" si="4"/>
        <v>5000000</v>
      </c>
      <c r="F17" s="12">
        <f t="shared" si="5"/>
        <v>4500000</v>
      </c>
      <c r="G17" s="12">
        <f t="shared" si="6"/>
        <v>2179449.4717703364</v>
      </c>
    </row>
    <row r="18" spans="1:7" x14ac:dyDescent="0.25">
      <c r="A18" s="1">
        <v>6</v>
      </c>
      <c r="B18" s="1" t="s">
        <v>35</v>
      </c>
      <c r="C18" s="1">
        <v>50000</v>
      </c>
      <c r="D18" s="1">
        <v>20</v>
      </c>
      <c r="E18" s="12">
        <f t="shared" si="4"/>
        <v>1000000</v>
      </c>
      <c r="F18" s="12">
        <f t="shared" si="5"/>
        <v>900000</v>
      </c>
      <c r="G18" s="12">
        <f t="shared" si="6"/>
        <v>435889.89435406728</v>
      </c>
    </row>
    <row r="19" spans="1:7" x14ac:dyDescent="0.25">
      <c r="B19" s="1" t="s">
        <v>17</v>
      </c>
      <c r="C19" s="1">
        <f t="shared" ref="C19:G19" si="7">SUM(C13:C18)</f>
        <v>307200</v>
      </c>
      <c r="D19" s="1">
        <f t="shared" si="7"/>
        <v>10070</v>
      </c>
      <c r="E19" s="12">
        <f t="shared" si="7"/>
        <v>72600000</v>
      </c>
      <c r="F19" s="12">
        <f t="shared" si="7"/>
        <v>65340000</v>
      </c>
      <c r="G19" s="12">
        <f t="shared" si="7"/>
        <v>31645606.330105286</v>
      </c>
    </row>
    <row r="21" spans="1:7" x14ac:dyDescent="0.25">
      <c r="A21" s="1" t="s">
        <v>27</v>
      </c>
    </row>
    <row r="22" spans="1:7" x14ac:dyDescent="0.25">
      <c r="A22" s="1" t="s">
        <v>0</v>
      </c>
      <c r="B22" s="1" t="s">
        <v>1</v>
      </c>
      <c r="C22" s="1" t="s">
        <v>23</v>
      </c>
      <c r="D22" s="1" t="s">
        <v>29</v>
      </c>
      <c r="E22" s="1" t="s">
        <v>23</v>
      </c>
      <c r="F22" s="1" t="s">
        <v>24</v>
      </c>
      <c r="G22" s="1" t="s">
        <v>25</v>
      </c>
    </row>
    <row r="23" spans="1:7" x14ac:dyDescent="0.25">
      <c r="A23" s="1">
        <v>1</v>
      </c>
      <c r="B23" s="1" t="s">
        <v>30</v>
      </c>
      <c r="C23" s="1">
        <v>2200</v>
      </c>
      <c r="D23" s="1">
        <v>3000</v>
      </c>
      <c r="E23" s="12">
        <f t="shared" ref="E23:E28" si="8">C23*D23</f>
        <v>6600000</v>
      </c>
      <c r="F23" s="12">
        <f t="shared" ref="F23:F28" si="9">E23*$J$2</f>
        <v>5940000</v>
      </c>
      <c r="G23" s="12">
        <f t="shared" ref="G23:G28" si="10">E23*SIN(ACOS($J$2))</f>
        <v>2876873.3027368439</v>
      </c>
    </row>
    <row r="24" spans="1:7" x14ac:dyDescent="0.25">
      <c r="A24" s="1">
        <v>2</v>
      </c>
      <c r="B24" s="1" t="s">
        <v>31</v>
      </c>
      <c r="C24" s="1">
        <v>50000</v>
      </c>
      <c r="D24" s="1">
        <v>1000</v>
      </c>
      <c r="E24" s="12">
        <f t="shared" si="8"/>
        <v>50000000</v>
      </c>
      <c r="F24" s="12">
        <f t="shared" si="9"/>
        <v>45000000</v>
      </c>
      <c r="G24" s="12">
        <f t="shared" si="10"/>
        <v>21794494.717703365</v>
      </c>
    </row>
    <row r="25" spans="1:7" x14ac:dyDescent="0.25">
      <c r="A25" s="1">
        <v>3</v>
      </c>
      <c r="B25" s="1" t="s">
        <v>32</v>
      </c>
      <c r="C25" s="1">
        <v>200000</v>
      </c>
      <c r="D25" s="1">
        <v>50</v>
      </c>
      <c r="E25" s="12">
        <f t="shared" si="8"/>
        <v>10000000</v>
      </c>
      <c r="F25" s="12">
        <f t="shared" si="9"/>
        <v>9000000</v>
      </c>
      <c r="G25" s="12">
        <f t="shared" si="10"/>
        <v>4358898.9435406728</v>
      </c>
    </row>
    <row r="26" spans="1:7" x14ac:dyDescent="0.25">
      <c r="A26" s="1">
        <v>4</v>
      </c>
      <c r="B26" s="1" t="s">
        <v>33</v>
      </c>
      <c r="C26" s="1">
        <v>0</v>
      </c>
      <c r="D26" s="1">
        <v>5000</v>
      </c>
      <c r="E26" s="12">
        <f t="shared" si="8"/>
        <v>0</v>
      </c>
      <c r="F26" s="12">
        <f t="shared" si="9"/>
        <v>0</v>
      </c>
      <c r="G26" s="12">
        <f t="shared" si="10"/>
        <v>0</v>
      </c>
    </row>
    <row r="27" spans="1:7" x14ac:dyDescent="0.25">
      <c r="A27" s="1">
        <v>5</v>
      </c>
      <c r="B27" s="1" t="s">
        <v>34</v>
      </c>
      <c r="C27" s="1">
        <v>0</v>
      </c>
      <c r="D27" s="1">
        <v>1000</v>
      </c>
      <c r="E27" s="12">
        <f t="shared" si="8"/>
        <v>0</v>
      </c>
      <c r="F27" s="12">
        <f t="shared" si="9"/>
        <v>0</v>
      </c>
      <c r="G27" s="12">
        <f t="shared" si="10"/>
        <v>0</v>
      </c>
    </row>
    <row r="28" spans="1:7" x14ac:dyDescent="0.25">
      <c r="A28" s="1">
        <v>6</v>
      </c>
      <c r="B28" s="1" t="s">
        <v>35</v>
      </c>
      <c r="C28" s="1">
        <v>50000</v>
      </c>
      <c r="D28" s="1">
        <v>20</v>
      </c>
      <c r="E28" s="12">
        <f t="shared" si="8"/>
        <v>1000000</v>
      </c>
      <c r="F28" s="12">
        <f t="shared" si="9"/>
        <v>900000</v>
      </c>
      <c r="G28" s="12">
        <f t="shared" si="10"/>
        <v>435889.89435406728</v>
      </c>
    </row>
    <row r="29" spans="1:7" x14ac:dyDescent="0.25">
      <c r="B29" s="1" t="s">
        <v>17</v>
      </c>
      <c r="C29" s="1">
        <f t="shared" ref="C29:G29" si="11">SUM(C23:C28)</f>
        <v>302200</v>
      </c>
      <c r="D29" s="1">
        <f t="shared" si="11"/>
        <v>10070</v>
      </c>
      <c r="E29" s="12">
        <f t="shared" si="11"/>
        <v>67600000</v>
      </c>
      <c r="F29" s="12">
        <f t="shared" si="11"/>
        <v>60840000</v>
      </c>
      <c r="G29" s="12">
        <f t="shared" si="11"/>
        <v>29466156.858334951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6"/>
  <sheetViews>
    <sheetView workbookViewId="0"/>
  </sheetViews>
  <sheetFormatPr defaultColWidth="12.6640625" defaultRowHeight="15.75" customHeight="1" x14ac:dyDescent="0.25"/>
  <sheetData>
    <row r="1" spans="1:10" x14ac:dyDescent="0.25">
      <c r="A1" s="1" t="s">
        <v>22</v>
      </c>
      <c r="I1" s="1" t="s">
        <v>28</v>
      </c>
      <c r="J1" s="1">
        <v>20</v>
      </c>
    </row>
    <row r="2" spans="1:10" x14ac:dyDescent="0.25">
      <c r="A2" s="1" t="s">
        <v>0</v>
      </c>
      <c r="B2" s="1" t="s">
        <v>1</v>
      </c>
      <c r="C2" s="1" t="s">
        <v>23</v>
      </c>
      <c r="D2" s="1" t="s">
        <v>29</v>
      </c>
      <c r="E2" s="1" t="s">
        <v>23</v>
      </c>
      <c r="F2" s="1" t="s">
        <v>24</v>
      </c>
      <c r="G2" s="1" t="s">
        <v>25</v>
      </c>
      <c r="I2" s="1" t="s">
        <v>18</v>
      </c>
      <c r="J2" s="1">
        <v>0.9</v>
      </c>
    </row>
    <row r="3" spans="1:10" x14ac:dyDescent="0.25">
      <c r="A3" s="1">
        <v>1</v>
      </c>
      <c r="B3" s="1" t="s">
        <v>37</v>
      </c>
      <c r="C3" s="1">
        <v>50000</v>
      </c>
      <c r="D3" s="1">
        <v>20</v>
      </c>
      <c r="E3" s="12">
        <f t="shared" ref="E3:E7" si="0">C3*D3</f>
        <v>1000000</v>
      </c>
      <c r="F3" s="12">
        <f t="shared" ref="F3:F7" si="1">E3*$J$2</f>
        <v>900000</v>
      </c>
      <c r="G3" s="12">
        <f t="shared" ref="G3:G7" si="2">E3*SIN(ACOS($J$2))</f>
        <v>435889.89435406728</v>
      </c>
    </row>
    <row r="4" spans="1:10" x14ac:dyDescent="0.25">
      <c r="A4" s="1">
        <v>2</v>
      </c>
      <c r="B4" s="1" t="s">
        <v>38</v>
      </c>
      <c r="C4" s="1">
        <v>5000</v>
      </c>
      <c r="D4" s="1">
        <v>5</v>
      </c>
      <c r="E4" s="12">
        <f t="shared" si="0"/>
        <v>25000</v>
      </c>
      <c r="F4" s="12">
        <f t="shared" si="1"/>
        <v>22500</v>
      </c>
      <c r="G4" s="12">
        <f t="shared" si="2"/>
        <v>10897.247358851682</v>
      </c>
    </row>
    <row r="5" spans="1:10" x14ac:dyDescent="0.25">
      <c r="A5" s="1">
        <v>3</v>
      </c>
      <c r="B5" s="1" t="s">
        <v>39</v>
      </c>
      <c r="C5" s="1">
        <v>100000</v>
      </c>
      <c r="D5" s="1">
        <v>10</v>
      </c>
      <c r="E5" s="12">
        <f t="shared" si="0"/>
        <v>1000000</v>
      </c>
      <c r="F5" s="12">
        <f t="shared" si="1"/>
        <v>900000</v>
      </c>
      <c r="G5" s="12">
        <f t="shared" si="2"/>
        <v>435889.89435406728</v>
      </c>
    </row>
    <row r="6" spans="1:10" x14ac:dyDescent="0.25">
      <c r="A6" s="1">
        <v>4</v>
      </c>
      <c r="B6" s="1" t="s">
        <v>40</v>
      </c>
      <c r="C6" s="1">
        <v>1000000</v>
      </c>
      <c r="D6" s="1">
        <v>1</v>
      </c>
      <c r="E6" s="12">
        <f t="shared" si="0"/>
        <v>1000000</v>
      </c>
      <c r="F6" s="12">
        <f t="shared" si="1"/>
        <v>900000</v>
      </c>
      <c r="G6" s="12">
        <f t="shared" si="2"/>
        <v>435889.89435406728</v>
      </c>
    </row>
    <row r="7" spans="1:10" x14ac:dyDescent="0.25">
      <c r="A7" s="1">
        <v>5</v>
      </c>
      <c r="B7" s="1" t="s">
        <v>41</v>
      </c>
      <c r="C7" s="1">
        <v>750000</v>
      </c>
      <c r="D7" s="1">
        <v>3</v>
      </c>
      <c r="E7" s="12">
        <f t="shared" si="0"/>
        <v>2250000</v>
      </c>
      <c r="F7" s="12">
        <f t="shared" si="1"/>
        <v>2025000</v>
      </c>
      <c r="G7" s="12">
        <f t="shared" si="2"/>
        <v>980752.26229665137</v>
      </c>
    </row>
    <row r="8" spans="1:10" x14ac:dyDescent="0.25">
      <c r="B8" s="1" t="s">
        <v>17</v>
      </c>
      <c r="C8" s="1">
        <f t="shared" ref="C8:G8" si="3">SUM(C3:C7)</f>
        <v>1905000</v>
      </c>
      <c r="D8" s="1">
        <f t="shared" si="3"/>
        <v>39</v>
      </c>
      <c r="E8" s="12">
        <f t="shared" si="3"/>
        <v>5275000</v>
      </c>
      <c r="F8" s="12">
        <f t="shared" si="3"/>
        <v>4747500</v>
      </c>
      <c r="G8" s="12">
        <f t="shared" si="3"/>
        <v>2299319.1927177049</v>
      </c>
    </row>
    <row r="9" spans="1:10" x14ac:dyDescent="0.25">
      <c r="F9" s="12"/>
    </row>
    <row r="10" spans="1:10" x14ac:dyDescent="0.25">
      <c r="A10" s="1" t="s">
        <v>26</v>
      </c>
    </row>
    <row r="11" spans="1:10" x14ac:dyDescent="0.25">
      <c r="A11" s="1" t="s">
        <v>0</v>
      </c>
      <c r="B11" s="1" t="s">
        <v>1</v>
      </c>
      <c r="C11" s="1" t="s">
        <v>23</v>
      </c>
      <c r="D11" s="1" t="s">
        <v>29</v>
      </c>
      <c r="E11" s="1" t="s">
        <v>23</v>
      </c>
      <c r="F11" s="1" t="s">
        <v>24</v>
      </c>
      <c r="G11" s="1" t="s">
        <v>25</v>
      </c>
    </row>
    <row r="12" spans="1:10" x14ac:dyDescent="0.25">
      <c r="A12" s="1">
        <v>1</v>
      </c>
      <c r="B12" s="1" t="s">
        <v>37</v>
      </c>
      <c r="C12" s="1">
        <v>50000</v>
      </c>
      <c r="D12" s="1">
        <v>20</v>
      </c>
      <c r="E12" s="12">
        <f t="shared" ref="E12:E16" si="4">C12*D12</f>
        <v>1000000</v>
      </c>
      <c r="F12" s="12">
        <f t="shared" ref="F12:F16" si="5">E12*$J$2</f>
        <v>900000</v>
      </c>
      <c r="G12" s="12">
        <f t="shared" ref="G12:G16" si="6">E12*SIN(ACOS($J$2))</f>
        <v>435889.89435406728</v>
      </c>
    </row>
    <row r="13" spans="1:10" x14ac:dyDescent="0.25">
      <c r="A13" s="1">
        <v>2</v>
      </c>
      <c r="B13" s="1" t="s">
        <v>38</v>
      </c>
      <c r="C13" s="1">
        <v>5000</v>
      </c>
      <c r="D13" s="1">
        <v>5</v>
      </c>
      <c r="E13" s="12">
        <f t="shared" si="4"/>
        <v>25000</v>
      </c>
      <c r="F13" s="12">
        <f t="shared" si="5"/>
        <v>22500</v>
      </c>
      <c r="G13" s="12">
        <f t="shared" si="6"/>
        <v>10897.247358851682</v>
      </c>
    </row>
    <row r="14" spans="1:10" x14ac:dyDescent="0.25">
      <c r="A14" s="1">
        <v>3</v>
      </c>
      <c r="B14" s="1" t="s">
        <v>39</v>
      </c>
      <c r="C14" s="1">
        <v>100000</v>
      </c>
      <c r="D14" s="1">
        <v>10</v>
      </c>
      <c r="E14" s="12">
        <f t="shared" si="4"/>
        <v>1000000</v>
      </c>
      <c r="F14" s="12">
        <f t="shared" si="5"/>
        <v>900000</v>
      </c>
      <c r="G14" s="12">
        <f t="shared" si="6"/>
        <v>435889.89435406728</v>
      </c>
    </row>
    <row r="15" spans="1:10" x14ac:dyDescent="0.25">
      <c r="A15" s="1">
        <v>4</v>
      </c>
      <c r="B15" s="1" t="s">
        <v>40</v>
      </c>
      <c r="C15" s="1">
        <v>1000000</v>
      </c>
      <c r="D15" s="1">
        <v>1</v>
      </c>
      <c r="E15" s="12">
        <f t="shared" si="4"/>
        <v>1000000</v>
      </c>
      <c r="F15" s="12">
        <f t="shared" si="5"/>
        <v>900000</v>
      </c>
      <c r="G15" s="12">
        <f t="shared" si="6"/>
        <v>435889.89435406728</v>
      </c>
    </row>
    <row r="16" spans="1:10" x14ac:dyDescent="0.25">
      <c r="A16" s="1">
        <v>5</v>
      </c>
      <c r="B16" s="1" t="s">
        <v>41</v>
      </c>
      <c r="C16" s="1">
        <v>750000</v>
      </c>
      <c r="D16" s="1">
        <v>3</v>
      </c>
      <c r="E16" s="12">
        <f t="shared" si="4"/>
        <v>2250000</v>
      </c>
      <c r="F16" s="12">
        <f t="shared" si="5"/>
        <v>2025000</v>
      </c>
      <c r="G16" s="12">
        <f t="shared" si="6"/>
        <v>980752.26229665137</v>
      </c>
    </row>
    <row r="17" spans="1:7" x14ac:dyDescent="0.25">
      <c r="B17" s="1" t="s">
        <v>17</v>
      </c>
      <c r="C17" s="1">
        <f t="shared" ref="C17:G17" si="7">SUM(C12:C16)</f>
        <v>1905000</v>
      </c>
      <c r="D17" s="1">
        <f t="shared" si="7"/>
        <v>39</v>
      </c>
      <c r="E17" s="12">
        <f t="shared" si="7"/>
        <v>5275000</v>
      </c>
      <c r="F17" s="12">
        <f t="shared" si="7"/>
        <v>4747500</v>
      </c>
      <c r="G17" s="12">
        <f t="shared" si="7"/>
        <v>2299319.1927177049</v>
      </c>
    </row>
    <row r="19" spans="1:7" x14ac:dyDescent="0.25">
      <c r="A19" s="1" t="s">
        <v>27</v>
      </c>
    </row>
    <row r="20" spans="1:7" x14ac:dyDescent="0.25">
      <c r="A20" s="1" t="s">
        <v>0</v>
      </c>
      <c r="B20" s="1" t="s">
        <v>1</v>
      </c>
      <c r="C20" s="1" t="s">
        <v>23</v>
      </c>
      <c r="D20" s="1" t="s">
        <v>29</v>
      </c>
      <c r="E20" s="1" t="s">
        <v>23</v>
      </c>
      <c r="F20" s="1" t="s">
        <v>24</v>
      </c>
      <c r="G20" s="1" t="s">
        <v>25</v>
      </c>
    </row>
    <row r="21" spans="1:7" x14ac:dyDescent="0.25">
      <c r="A21" s="1">
        <v>1</v>
      </c>
      <c r="B21" s="1" t="s">
        <v>37</v>
      </c>
      <c r="C21" s="1">
        <v>50000</v>
      </c>
      <c r="D21" s="1">
        <v>20</v>
      </c>
      <c r="E21" s="12">
        <f t="shared" ref="E21:E25" si="8">C21*D21</f>
        <v>1000000</v>
      </c>
      <c r="F21" s="12">
        <f t="shared" ref="F21:F25" si="9">E21*$J$2</f>
        <v>900000</v>
      </c>
      <c r="G21" s="12">
        <f t="shared" ref="G21:G25" si="10">E21*SIN(ACOS($J$2))</f>
        <v>435889.89435406728</v>
      </c>
    </row>
    <row r="22" spans="1:7" x14ac:dyDescent="0.25">
      <c r="A22" s="1">
        <v>2</v>
      </c>
      <c r="B22" s="1" t="s">
        <v>38</v>
      </c>
      <c r="C22" s="1">
        <v>5000</v>
      </c>
      <c r="D22" s="1">
        <v>5</v>
      </c>
      <c r="E22" s="12">
        <f t="shared" si="8"/>
        <v>25000</v>
      </c>
      <c r="F22" s="12">
        <f t="shared" si="9"/>
        <v>22500</v>
      </c>
      <c r="G22" s="12">
        <f t="shared" si="10"/>
        <v>10897.247358851682</v>
      </c>
    </row>
    <row r="23" spans="1:7" x14ac:dyDescent="0.25">
      <c r="A23" s="1">
        <v>3</v>
      </c>
      <c r="B23" s="1" t="s">
        <v>39</v>
      </c>
      <c r="C23" s="1">
        <v>100000</v>
      </c>
      <c r="D23" s="1">
        <v>10</v>
      </c>
      <c r="E23" s="12">
        <f t="shared" si="8"/>
        <v>1000000</v>
      </c>
      <c r="F23" s="12">
        <f t="shared" si="9"/>
        <v>900000</v>
      </c>
      <c r="G23" s="12">
        <f t="shared" si="10"/>
        <v>435889.89435406728</v>
      </c>
    </row>
    <row r="24" spans="1:7" x14ac:dyDescent="0.25">
      <c r="A24" s="1">
        <v>4</v>
      </c>
      <c r="B24" s="1" t="s">
        <v>40</v>
      </c>
      <c r="C24" s="1">
        <v>1000000</v>
      </c>
      <c r="D24" s="1">
        <v>1</v>
      </c>
      <c r="E24" s="12">
        <f t="shared" si="8"/>
        <v>1000000</v>
      </c>
      <c r="F24" s="12">
        <f t="shared" si="9"/>
        <v>900000</v>
      </c>
      <c r="G24" s="12">
        <f t="shared" si="10"/>
        <v>435889.89435406728</v>
      </c>
    </row>
    <row r="25" spans="1:7" x14ac:dyDescent="0.25">
      <c r="A25" s="1">
        <v>5</v>
      </c>
      <c r="B25" s="1" t="s">
        <v>41</v>
      </c>
      <c r="C25" s="1">
        <v>750000</v>
      </c>
      <c r="D25" s="1">
        <v>3</v>
      </c>
      <c r="E25" s="12">
        <f t="shared" si="8"/>
        <v>2250000</v>
      </c>
      <c r="F25" s="12">
        <f t="shared" si="9"/>
        <v>2025000</v>
      </c>
      <c r="G25" s="12">
        <f t="shared" si="10"/>
        <v>980752.26229665137</v>
      </c>
    </row>
    <row r="26" spans="1:7" x14ac:dyDescent="0.25">
      <c r="B26" s="1" t="s">
        <v>17</v>
      </c>
      <c r="C26" s="1">
        <f t="shared" ref="C26:G26" si="11">SUM(C21:C25)</f>
        <v>1905000</v>
      </c>
      <c r="D26" s="1">
        <f t="shared" si="11"/>
        <v>39</v>
      </c>
      <c r="E26" s="12">
        <f t="shared" si="11"/>
        <v>5275000</v>
      </c>
      <c r="F26" s="12">
        <f t="shared" si="11"/>
        <v>4747500</v>
      </c>
      <c r="G26" s="12">
        <f t="shared" si="11"/>
        <v>2299319.1927177049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20"/>
  <sheetViews>
    <sheetView workbookViewId="0"/>
  </sheetViews>
  <sheetFormatPr defaultColWidth="12.6640625" defaultRowHeight="15.75" customHeight="1" x14ac:dyDescent="0.25"/>
  <sheetData>
    <row r="1" spans="1:10" x14ac:dyDescent="0.25">
      <c r="A1" s="1" t="s">
        <v>22</v>
      </c>
      <c r="I1" s="1" t="s">
        <v>16</v>
      </c>
      <c r="J1" s="1">
        <v>380</v>
      </c>
    </row>
    <row r="2" spans="1:10" x14ac:dyDescent="0.25">
      <c r="A2" s="1" t="s">
        <v>0</v>
      </c>
      <c r="B2" s="1" t="s">
        <v>1</v>
      </c>
      <c r="C2" s="1" t="s">
        <v>23</v>
      </c>
      <c r="D2" s="1" t="s">
        <v>29</v>
      </c>
      <c r="E2" s="1" t="s">
        <v>23</v>
      </c>
      <c r="F2" s="1" t="s">
        <v>24</v>
      </c>
      <c r="G2" s="1" t="s">
        <v>25</v>
      </c>
      <c r="I2" s="1" t="s">
        <v>18</v>
      </c>
      <c r="J2" s="1">
        <v>0.9</v>
      </c>
    </row>
    <row r="3" spans="1:10" x14ac:dyDescent="0.25">
      <c r="A3" s="1">
        <v>1</v>
      </c>
      <c r="B3" s="1" t="s">
        <v>42</v>
      </c>
      <c r="C3" s="1">
        <v>6600</v>
      </c>
      <c r="D3" s="1">
        <v>200</v>
      </c>
      <c r="E3" s="12">
        <f t="shared" ref="E3:E5" si="0">C3*D3</f>
        <v>1320000</v>
      </c>
      <c r="F3" s="12">
        <f t="shared" ref="F3:F5" si="1">E3*$J$2</f>
        <v>1188000</v>
      </c>
      <c r="G3" s="12">
        <f t="shared" ref="G3:G5" si="2">E3*SIN(ACOS($J$2))</f>
        <v>575374.66054736881</v>
      </c>
    </row>
    <row r="4" spans="1:10" x14ac:dyDescent="0.25">
      <c r="A4" s="1">
        <v>2</v>
      </c>
      <c r="B4" s="1" t="s">
        <v>43</v>
      </c>
      <c r="C4" s="1">
        <v>10000</v>
      </c>
      <c r="D4" s="1">
        <v>100</v>
      </c>
      <c r="E4" s="12">
        <f t="shared" si="0"/>
        <v>1000000</v>
      </c>
      <c r="F4" s="12">
        <f t="shared" si="1"/>
        <v>900000</v>
      </c>
      <c r="G4" s="12">
        <f t="shared" si="2"/>
        <v>435889.89435406728</v>
      </c>
    </row>
    <row r="5" spans="1:10" x14ac:dyDescent="0.25">
      <c r="A5" s="1">
        <v>3</v>
      </c>
      <c r="B5" s="1" t="s">
        <v>44</v>
      </c>
      <c r="C5" s="1">
        <v>0</v>
      </c>
      <c r="D5" s="1">
        <v>20000</v>
      </c>
      <c r="E5" s="12">
        <f t="shared" si="0"/>
        <v>0</v>
      </c>
      <c r="F5" s="12">
        <f t="shared" si="1"/>
        <v>0</v>
      </c>
      <c r="G5" s="12">
        <f t="shared" si="2"/>
        <v>0</v>
      </c>
    </row>
    <row r="6" spans="1:10" x14ac:dyDescent="0.25">
      <c r="B6" s="1" t="s">
        <v>17</v>
      </c>
      <c r="C6" s="1">
        <f t="shared" ref="C6:G6" si="3">SUM(C3:C5)</f>
        <v>16600</v>
      </c>
      <c r="D6" s="1">
        <f t="shared" si="3"/>
        <v>20300</v>
      </c>
      <c r="E6" s="12">
        <f t="shared" si="3"/>
        <v>2320000</v>
      </c>
      <c r="F6" s="12">
        <f t="shared" si="3"/>
        <v>2088000</v>
      </c>
      <c r="G6" s="12">
        <f t="shared" si="3"/>
        <v>1011264.5549014361</v>
      </c>
    </row>
    <row r="8" spans="1:10" x14ac:dyDescent="0.25">
      <c r="A8" s="1" t="s">
        <v>26</v>
      </c>
    </row>
    <row r="9" spans="1:10" x14ac:dyDescent="0.25">
      <c r="A9" s="1" t="s">
        <v>0</v>
      </c>
      <c r="B9" s="1" t="s">
        <v>1</v>
      </c>
      <c r="C9" s="1" t="s">
        <v>23</v>
      </c>
      <c r="D9" s="1" t="s">
        <v>29</v>
      </c>
      <c r="E9" s="1" t="s">
        <v>23</v>
      </c>
      <c r="F9" s="1" t="s">
        <v>24</v>
      </c>
      <c r="G9" s="1" t="s">
        <v>25</v>
      </c>
    </row>
    <row r="10" spans="1:10" x14ac:dyDescent="0.25">
      <c r="A10" s="1">
        <v>1</v>
      </c>
      <c r="B10" s="1" t="s">
        <v>42</v>
      </c>
      <c r="C10" s="1">
        <v>6600</v>
      </c>
      <c r="D10" s="1">
        <v>200</v>
      </c>
      <c r="E10" s="12">
        <f t="shared" ref="E10:E12" si="4">C10*D10</f>
        <v>1320000</v>
      </c>
      <c r="F10" s="12">
        <f t="shared" ref="F10:F12" si="5">E10*$J$2</f>
        <v>1188000</v>
      </c>
      <c r="G10" s="12">
        <f t="shared" ref="G10:G12" si="6">E10*SIN(ACOS($J$2))</f>
        <v>575374.66054736881</v>
      </c>
    </row>
    <row r="11" spans="1:10" x14ac:dyDescent="0.25">
      <c r="A11" s="1">
        <v>2</v>
      </c>
      <c r="B11" s="1" t="s">
        <v>43</v>
      </c>
      <c r="C11" s="1">
        <v>0</v>
      </c>
      <c r="D11" s="1">
        <v>100</v>
      </c>
      <c r="E11" s="12">
        <f t="shared" si="4"/>
        <v>0</v>
      </c>
      <c r="F11" s="12">
        <f t="shared" si="5"/>
        <v>0</v>
      </c>
      <c r="G11" s="12">
        <f t="shared" si="6"/>
        <v>0</v>
      </c>
    </row>
    <row r="12" spans="1:10" x14ac:dyDescent="0.25">
      <c r="A12" s="1">
        <v>3</v>
      </c>
      <c r="B12" s="1" t="s">
        <v>44</v>
      </c>
      <c r="C12" s="1">
        <v>100</v>
      </c>
      <c r="D12" s="1">
        <v>20000</v>
      </c>
      <c r="E12" s="12">
        <f t="shared" si="4"/>
        <v>2000000</v>
      </c>
      <c r="F12" s="12">
        <f t="shared" si="5"/>
        <v>1800000</v>
      </c>
      <c r="G12" s="12">
        <f t="shared" si="6"/>
        <v>871779.78870813455</v>
      </c>
    </row>
    <row r="13" spans="1:10" x14ac:dyDescent="0.25">
      <c r="B13" s="1" t="s">
        <v>17</v>
      </c>
      <c r="C13" s="1">
        <f t="shared" ref="C13:G13" si="7">SUM(C10:C12)</f>
        <v>6700</v>
      </c>
      <c r="D13" s="1">
        <f t="shared" si="7"/>
        <v>20300</v>
      </c>
      <c r="E13" s="12">
        <f t="shared" si="7"/>
        <v>3320000</v>
      </c>
      <c r="F13" s="12">
        <f t="shared" si="7"/>
        <v>2988000</v>
      </c>
      <c r="G13" s="12">
        <f t="shared" si="7"/>
        <v>1447154.4492555032</v>
      </c>
    </row>
    <row r="15" spans="1:10" x14ac:dyDescent="0.25">
      <c r="A15" s="1" t="s">
        <v>27</v>
      </c>
    </row>
    <row r="16" spans="1:10" x14ac:dyDescent="0.25">
      <c r="A16" s="1" t="s">
        <v>0</v>
      </c>
      <c r="B16" s="1" t="s">
        <v>1</v>
      </c>
      <c r="C16" s="1" t="s">
        <v>23</v>
      </c>
      <c r="D16" s="1" t="s">
        <v>29</v>
      </c>
      <c r="E16" s="1" t="s">
        <v>23</v>
      </c>
      <c r="F16" s="1" t="s">
        <v>24</v>
      </c>
      <c r="G16" s="1" t="s">
        <v>25</v>
      </c>
    </row>
    <row r="17" spans="1:7" x14ac:dyDescent="0.25">
      <c r="A17" s="1">
        <v>1</v>
      </c>
      <c r="B17" s="1" t="s">
        <v>42</v>
      </c>
      <c r="C17" s="1">
        <v>0</v>
      </c>
      <c r="D17" s="1">
        <v>200</v>
      </c>
      <c r="E17" s="12">
        <f t="shared" ref="E17:E19" si="8">C17*D17</f>
        <v>0</v>
      </c>
      <c r="F17" s="12">
        <f t="shared" ref="F17:F19" si="9">E17*$J$2</f>
        <v>0</v>
      </c>
      <c r="G17" s="12">
        <f t="shared" ref="G17:G19" si="10">E17*SIN(ACOS($J$2))</f>
        <v>0</v>
      </c>
    </row>
    <row r="18" spans="1:7" x14ac:dyDescent="0.25">
      <c r="A18" s="1">
        <v>2</v>
      </c>
      <c r="B18" s="1" t="s">
        <v>43</v>
      </c>
      <c r="C18" s="1">
        <v>0</v>
      </c>
      <c r="D18" s="1">
        <v>100</v>
      </c>
      <c r="E18" s="12">
        <f t="shared" si="8"/>
        <v>0</v>
      </c>
      <c r="F18" s="12">
        <f t="shared" si="9"/>
        <v>0</v>
      </c>
      <c r="G18" s="12">
        <f t="shared" si="10"/>
        <v>0</v>
      </c>
    </row>
    <row r="19" spans="1:7" x14ac:dyDescent="0.25">
      <c r="A19" s="1">
        <v>3</v>
      </c>
      <c r="B19" s="1" t="s">
        <v>44</v>
      </c>
      <c r="C19" s="1">
        <v>100</v>
      </c>
      <c r="D19" s="1">
        <v>20000</v>
      </c>
      <c r="E19" s="12">
        <f t="shared" si="8"/>
        <v>2000000</v>
      </c>
      <c r="F19" s="12">
        <f t="shared" si="9"/>
        <v>1800000</v>
      </c>
      <c r="G19" s="12">
        <f t="shared" si="10"/>
        <v>871779.78870813455</v>
      </c>
    </row>
    <row r="20" spans="1:7" x14ac:dyDescent="0.25">
      <c r="B20" s="1" t="s">
        <v>17</v>
      </c>
      <c r="C20" s="1">
        <f t="shared" ref="C20:G20" si="11">SUM(C17:C19)</f>
        <v>100</v>
      </c>
      <c r="D20" s="1">
        <f t="shared" si="11"/>
        <v>20300</v>
      </c>
      <c r="E20" s="12">
        <f t="shared" si="11"/>
        <v>2000000</v>
      </c>
      <c r="F20" s="12">
        <f t="shared" si="11"/>
        <v>1800000</v>
      </c>
      <c r="G20" s="12">
        <f t="shared" si="11"/>
        <v>871779.78870813455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23"/>
  <sheetViews>
    <sheetView workbookViewId="0">
      <selection activeCell="A18" sqref="A18:E23"/>
    </sheetView>
  </sheetViews>
  <sheetFormatPr defaultColWidth="12.6640625" defaultRowHeight="15.75" customHeight="1" x14ac:dyDescent="0.25"/>
  <sheetData>
    <row r="1" spans="1:5" x14ac:dyDescent="0.25">
      <c r="A1" s="1" t="s">
        <v>22</v>
      </c>
    </row>
    <row r="2" spans="1:5" x14ac:dyDescent="0.25">
      <c r="A2" s="1" t="s">
        <v>0</v>
      </c>
      <c r="B2" s="1" t="s">
        <v>45</v>
      </c>
      <c r="C2" s="1" t="s">
        <v>23</v>
      </c>
      <c r="D2" s="1" t="s">
        <v>24</v>
      </c>
      <c r="E2" s="1" t="s">
        <v>25</v>
      </c>
    </row>
    <row r="3" spans="1:5" x14ac:dyDescent="0.25">
      <c r="A3" s="1">
        <v>1</v>
      </c>
      <c r="B3" s="1" t="s">
        <v>46</v>
      </c>
      <c r="C3" s="12">
        <f>'Rumah Tangga'!X26</f>
        <v>17422222.222222224</v>
      </c>
      <c r="D3" s="12">
        <f>'Rumah Tangga'!Y26</f>
        <v>15680000</v>
      </c>
      <c r="E3" s="12">
        <f>'Rumah Tangga'!Z26</f>
        <v>7594170.6038575312</v>
      </c>
    </row>
    <row r="4" spans="1:5" x14ac:dyDescent="0.25">
      <c r="A4" s="1">
        <v>2</v>
      </c>
      <c r="B4" s="1" t="s">
        <v>47</v>
      </c>
      <c r="C4" s="12">
        <f>'Industri-Komersial'!E9</f>
        <v>79100000</v>
      </c>
      <c r="D4" s="12">
        <f>'Industri-Komersial'!F9</f>
        <v>71190000</v>
      </c>
      <c r="E4" s="12">
        <f>'Industri-Komersial'!G9</f>
        <v>34478890.643406726</v>
      </c>
    </row>
    <row r="5" spans="1:5" x14ac:dyDescent="0.25">
      <c r="A5" s="1">
        <v>3</v>
      </c>
      <c r="B5" s="1" t="s">
        <v>48</v>
      </c>
      <c r="C5" s="12">
        <f>Prioritas!E8</f>
        <v>5275000</v>
      </c>
      <c r="D5" s="12">
        <f>Prioritas!F8</f>
        <v>4747500</v>
      </c>
      <c r="E5" s="12">
        <f>Prioritas!G8</f>
        <v>2299319.1927177049</v>
      </c>
    </row>
    <row r="6" spans="1:5" x14ac:dyDescent="0.25">
      <c r="A6" s="1">
        <v>4</v>
      </c>
      <c r="B6" s="1" t="s">
        <v>49</v>
      </c>
      <c r="C6" s="12">
        <f>'Publik &amp; Sosial'!E6</f>
        <v>2320000</v>
      </c>
      <c r="D6" s="12">
        <f>'Publik &amp; Sosial'!F6</f>
        <v>2088000</v>
      </c>
      <c r="E6" s="12">
        <f>'Publik &amp; Sosial'!G6</f>
        <v>1011264.5549014361</v>
      </c>
    </row>
    <row r="7" spans="1:5" x14ac:dyDescent="0.25">
      <c r="A7" s="1">
        <v>5</v>
      </c>
      <c r="B7" s="1" t="s">
        <v>17</v>
      </c>
      <c r="C7" s="12">
        <f t="shared" ref="C7:E7" si="0">SUM(C3:C6)</f>
        <v>104117222.22222222</v>
      </c>
      <c r="D7" s="12">
        <f t="shared" si="0"/>
        <v>93705500</v>
      </c>
      <c r="E7" s="12">
        <f t="shared" si="0"/>
        <v>45383644.994883403</v>
      </c>
    </row>
    <row r="9" spans="1:5" x14ac:dyDescent="0.25">
      <c r="A9" s="1" t="s">
        <v>26</v>
      </c>
    </row>
    <row r="10" spans="1:5" x14ac:dyDescent="0.25">
      <c r="A10" s="1" t="s">
        <v>0</v>
      </c>
      <c r="B10" s="1" t="s">
        <v>45</v>
      </c>
      <c r="C10" s="1" t="s">
        <v>23</v>
      </c>
      <c r="D10" s="1" t="s">
        <v>24</v>
      </c>
      <c r="E10" s="1" t="s">
        <v>25</v>
      </c>
    </row>
    <row r="11" spans="1:5" x14ac:dyDescent="0.25">
      <c r="A11" s="1">
        <v>1</v>
      </c>
      <c r="B11" s="1" t="s">
        <v>46</v>
      </c>
      <c r="C11" s="12">
        <f>'Rumah Tangga'!X36</f>
        <v>69486666.666666657</v>
      </c>
      <c r="D11" s="12">
        <f>'Rumah Tangga'!Y36</f>
        <v>62538000</v>
      </c>
      <c r="E11" s="12">
        <f>'Rumah Tangga'!Z36</f>
        <v>30288535.792349629</v>
      </c>
    </row>
    <row r="12" spans="1:5" x14ac:dyDescent="0.25">
      <c r="A12" s="1">
        <v>2</v>
      </c>
      <c r="B12" s="1" t="s">
        <v>47</v>
      </c>
      <c r="C12" s="12">
        <f>'Industri-Komersial'!E19</f>
        <v>72600000</v>
      </c>
      <c r="D12" s="12">
        <f>'Industri-Komersial'!F19</f>
        <v>65340000</v>
      </c>
      <c r="E12" s="12">
        <f>'Industri-Komersial'!G19</f>
        <v>31645606.330105286</v>
      </c>
    </row>
    <row r="13" spans="1:5" x14ac:dyDescent="0.25">
      <c r="A13" s="1">
        <v>3</v>
      </c>
      <c r="B13" s="1" t="s">
        <v>48</v>
      </c>
      <c r="C13" s="12">
        <f>Prioritas!E17</f>
        <v>5275000</v>
      </c>
      <c r="D13" s="12">
        <f>Prioritas!F17</f>
        <v>4747500</v>
      </c>
      <c r="E13" s="12">
        <f>Prioritas!G17</f>
        <v>2299319.1927177049</v>
      </c>
    </row>
    <row r="14" spans="1:5" x14ac:dyDescent="0.25">
      <c r="A14" s="1">
        <v>4</v>
      </c>
      <c r="B14" s="1" t="s">
        <v>49</v>
      </c>
      <c r="C14" s="12">
        <f>'Publik &amp; Sosial'!E13</f>
        <v>3320000</v>
      </c>
      <c r="D14" s="12">
        <f>'Publik &amp; Sosial'!F13</f>
        <v>2988000</v>
      </c>
      <c r="E14" s="12">
        <f>'Publik &amp; Sosial'!G13</f>
        <v>1447154.4492555032</v>
      </c>
    </row>
    <row r="15" spans="1:5" x14ac:dyDescent="0.25">
      <c r="A15" s="1">
        <v>5</v>
      </c>
      <c r="B15" s="1" t="s">
        <v>17</v>
      </c>
      <c r="C15" s="12">
        <f t="shared" ref="C15:E15" si="1">SUM(C11:C14)</f>
        <v>150681666.66666666</v>
      </c>
      <c r="D15" s="12">
        <f t="shared" si="1"/>
        <v>135613500</v>
      </c>
      <c r="E15" s="12">
        <f t="shared" si="1"/>
        <v>65680615.764428116</v>
      </c>
    </row>
    <row r="17" spans="1:5" x14ac:dyDescent="0.25">
      <c r="A17" s="1" t="s">
        <v>27</v>
      </c>
    </row>
    <row r="18" spans="1:5" x14ac:dyDescent="0.25">
      <c r="A18" s="1" t="s">
        <v>0</v>
      </c>
      <c r="B18" s="1" t="s">
        <v>45</v>
      </c>
      <c r="C18" s="1" t="s">
        <v>23</v>
      </c>
      <c r="D18" s="1" t="s">
        <v>24</v>
      </c>
      <c r="E18" s="1" t="s">
        <v>25</v>
      </c>
    </row>
    <row r="19" spans="1:5" x14ac:dyDescent="0.25">
      <c r="A19" s="1">
        <v>1</v>
      </c>
      <c r="B19" s="1" t="s">
        <v>46</v>
      </c>
      <c r="C19" s="12">
        <f>'Rumah Tangga'!X46</f>
        <v>30877777.777777776</v>
      </c>
      <c r="D19" s="12">
        <f>'Rumah Tangga'!Y46</f>
        <v>27790000</v>
      </c>
      <c r="E19" s="12">
        <f>'Rumah Tangga'!Z46</f>
        <v>13459311.293443928</v>
      </c>
    </row>
    <row r="20" spans="1:5" x14ac:dyDescent="0.25">
      <c r="A20" s="1">
        <v>2</v>
      </c>
      <c r="B20" s="1" t="s">
        <v>47</v>
      </c>
      <c r="C20" s="12">
        <f>'Industri-Komersial'!E29</f>
        <v>67600000</v>
      </c>
      <c r="D20" s="12">
        <f>'Industri-Komersial'!F29</f>
        <v>60840000</v>
      </c>
      <c r="E20" s="12">
        <f>'Industri-Komersial'!G29</f>
        <v>29466156.858334951</v>
      </c>
    </row>
    <row r="21" spans="1:5" x14ac:dyDescent="0.25">
      <c r="A21" s="1">
        <v>3</v>
      </c>
      <c r="B21" s="1" t="s">
        <v>48</v>
      </c>
      <c r="C21" s="12">
        <f>Prioritas!E26</f>
        <v>5275000</v>
      </c>
      <c r="D21" s="12">
        <f>Prioritas!F26</f>
        <v>4747500</v>
      </c>
      <c r="E21" s="12">
        <f>Prioritas!G26</f>
        <v>2299319.1927177049</v>
      </c>
    </row>
    <row r="22" spans="1:5" x14ac:dyDescent="0.25">
      <c r="A22" s="1">
        <v>4</v>
      </c>
      <c r="B22" s="1" t="s">
        <v>49</v>
      </c>
      <c r="C22" s="12">
        <f>'Publik &amp; Sosial'!E20</f>
        <v>2000000</v>
      </c>
      <c r="D22" s="12">
        <f>'Publik &amp; Sosial'!F20</f>
        <v>1800000</v>
      </c>
      <c r="E22" s="12">
        <f>'Publik &amp; Sosial'!G20</f>
        <v>871779.78870813455</v>
      </c>
    </row>
    <row r="23" spans="1:5" x14ac:dyDescent="0.25">
      <c r="A23" s="1">
        <v>5</v>
      </c>
      <c r="B23" s="1" t="s">
        <v>17</v>
      </c>
      <c r="C23" s="12">
        <f t="shared" ref="C23:E23" si="2">SUM(C19:C22)</f>
        <v>105752777.77777778</v>
      </c>
      <c r="D23" s="12">
        <f t="shared" si="2"/>
        <v>95177500</v>
      </c>
      <c r="E23" s="12">
        <f t="shared" si="2"/>
        <v>46096567.133204713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Generator</vt:lpstr>
      <vt:lpstr>Rumah Tangga</vt:lpstr>
      <vt:lpstr>Industri-Komersial</vt:lpstr>
      <vt:lpstr>Prioritas</vt:lpstr>
      <vt:lpstr>Publik &amp; Sosial</vt:lpstr>
      <vt:lpstr>Rekapitulasi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Rafi Ananta Alden</cp:lastModifiedBy>
  <dcterms:created xsi:type="dcterms:W3CDTF">2025-05-17T09:07:03Z</dcterms:created>
  <dcterms:modified xsi:type="dcterms:W3CDTF">2025-05-17T10:11:58Z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2025-05-17T09:07:46Z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5d28d234-506b-497f-892b-aed16b198c05</vt:lpwstr>
  </property>
  <property fmtid="{D5CDD505-2E9C-101B-9397-08002B2CF9AE}" pid="8" name="MSIP_Label_38b525e5-f3da-4501-8f1e-526b6769fc56_ContentBits">
    <vt:lpwstr>0</vt:lpwstr>
  </property>
  <property fmtid="{D5CDD505-2E9C-101B-9397-08002B2CF9AE}" pid="9" name="MSIP_Label_38b525e5-f3da-4501-8f1e-526b6769fc56_Tag">
    <vt:lpwstr>10, 3, 0, 1</vt:lpwstr>
  </property>
</Properties>
</file>