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cceew2.sharepoint.com/sites/DCCEEW-ElectricityInsightsandAnalysis/Shared Documents/Daily Data and Energy Essentials/Daily Data 4.2 - USE THIS VERSION/OUTPUT/ELECTRICITY/"/>
    </mc:Choice>
  </mc:AlternateContent>
  <xr:revisionPtr revIDLastSave="3" documentId="11_B4818A3FDEB16C414AAA5CA04B64C6AB275C14A5" xr6:coauthVersionLast="47" xr6:coauthVersionMax="47" xr10:uidLastSave="{69802CD7-7B6D-432E-A306-1DA73D7899F8}"/>
  <bookViews>
    <workbookView xWindow="-120" yWindow="-120" windowWidth="29040" windowHeight="17520" xr2:uid="{00000000-000D-0000-FFFF-FFFF00000000}"/>
  </bookViews>
  <sheets>
    <sheet name="DailyData" sheetId="1" r:id="rId1"/>
    <sheet name="EnergyEssentials" sheetId="2" r:id="rId2"/>
    <sheet name="NEM INFO" sheetId="3" r:id="rId3"/>
    <sheet name="WEM INFO" sheetId="4" r:id="rId4"/>
    <sheet name="DKIS INFO" sheetId="5" r:id="rId5"/>
    <sheet name="ASX" sheetId="6" r:id="rId6"/>
    <sheet name="7 Day Outlook" sheetId="7" r:id="rId7"/>
    <sheet name="Coal Outages" sheetId="8" r:id="rId8"/>
  </sheet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RandomNumberGenerator" hidden="1">7</definedName>
    <definedName name="_AtRisk_SimSetting_ReportsList" hidden="1">513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CIQWBGuid" hidden="1">"EY Assumptions Book (EON001) 2018-08-20a.xlsb"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42419.6529050926</definedName>
    <definedName name="IQ_NAMES_REVISION_DATE__1" hidden="1">42118.6535879629</definedName>
    <definedName name="IQ_NAMES_REVISION_DATE__1_1" hidden="1">42058.6794791667</definedName>
    <definedName name="IQ_NAMES_REVISION_DATE__1_1_1" hidden="1">42118.6535879629</definedName>
    <definedName name="IQ_NAMES_REVISION_DATE__1_1_1_1" hidden="1">42058.6794791667</definedName>
    <definedName name="IQ_NAMES_REVISION_DATE__1_1_1_1_1" hidden="1">42118.6535879629</definedName>
    <definedName name="IQ_NAMES_REVISION_DATE__2" hidden="1">42118.6535879629</definedName>
    <definedName name="IQ_NAMES_REVISION_DATE__2_1" hidden="1">42058.6794791667</definedName>
    <definedName name="IQ_NAMES_REVISION_DATE__2_1_1" hidden="1">42118.6535879629</definedName>
    <definedName name="IQ_NAMES_REVISION_DATE__2_1_1_1" hidden="1">42058.6794791667</definedName>
    <definedName name="IQ_NAMES_REVISION_DATE__2_1_1_1_1" hidden="1">42118.6535879629</definedName>
    <definedName name="IQ_NAMES_REVISION_DATE__3" hidden="1">42058.6794791667</definedName>
    <definedName name="IQ_NAMES_REVISION_DATE__3_1" hidden="1">42419.6529050926</definedName>
    <definedName name="IQ_NAMES_REVISION_DATE__3_1_1" hidden="1">42419.6529050926</definedName>
    <definedName name="IQ_NAMES_REVISION_DATE__4" hidden="1">42058.6794791667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DailyData!$A$1:$N$34</definedName>
    <definedName name="PVScenario">1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2" l="1"/>
  <c r="J26" i="2"/>
  <c r="I26" i="2"/>
  <c r="H26" i="2"/>
  <c r="G26" i="2"/>
  <c r="F26" i="2"/>
  <c r="E26" i="2"/>
  <c r="D26" i="2"/>
  <c r="J25" i="2"/>
  <c r="I25" i="2"/>
  <c r="H25" i="2"/>
  <c r="G25" i="2"/>
  <c r="F25" i="2"/>
  <c r="E25" i="2"/>
  <c r="D25" i="2"/>
  <c r="J24" i="2"/>
  <c r="I24" i="2"/>
  <c r="H24" i="2"/>
  <c r="G24" i="2"/>
  <c r="F24" i="2"/>
  <c r="E24" i="2"/>
  <c r="D24" i="2"/>
  <c r="J23" i="2"/>
  <c r="I23" i="2"/>
  <c r="H23" i="2"/>
  <c r="G23" i="2"/>
  <c r="F23" i="2"/>
  <c r="E23" i="2"/>
  <c r="D23" i="2"/>
  <c r="J22" i="2"/>
  <c r="I22" i="2"/>
  <c r="H22" i="2"/>
  <c r="G22" i="2"/>
  <c r="F22" i="2"/>
  <c r="E22" i="2"/>
  <c r="D22" i="2"/>
  <c r="J21" i="2"/>
  <c r="I21" i="2"/>
  <c r="H21" i="2"/>
  <c r="G21" i="2"/>
  <c r="F21" i="2"/>
  <c r="E21" i="2"/>
  <c r="D21" i="2" s="1"/>
  <c r="J14" i="2"/>
  <c r="E14" i="2"/>
  <c r="D14" i="2"/>
  <c r="C14" i="2"/>
  <c r="M14" i="2" s="1"/>
  <c r="G14" i="2" s="1"/>
  <c r="M13" i="2"/>
  <c r="F14" i="2" s="1"/>
  <c r="K13" i="2"/>
  <c r="F13" i="2"/>
  <c r="E13" i="2"/>
  <c r="D13" i="2"/>
  <c r="J13" i="2" s="1"/>
  <c r="C13" i="2"/>
  <c r="L13" i="2" s="1"/>
  <c r="L10" i="2"/>
  <c r="K10" i="2"/>
  <c r="J10" i="2"/>
  <c r="I10" i="2"/>
  <c r="H10" i="2"/>
  <c r="M10" i="2" s="1"/>
  <c r="G10" i="2"/>
  <c r="F10" i="2"/>
  <c r="L9" i="2"/>
  <c r="K9" i="2"/>
  <c r="J9" i="2"/>
  <c r="I9" i="2"/>
  <c r="H9" i="2"/>
  <c r="G9" i="2"/>
  <c r="F9" i="2"/>
  <c r="M9" i="2" s="1"/>
  <c r="L8" i="2"/>
  <c r="K8" i="2"/>
  <c r="J8" i="2"/>
  <c r="I8" i="2"/>
  <c r="H8" i="2"/>
  <c r="M8" i="2" s="1"/>
  <c r="G8" i="2"/>
  <c r="F8" i="2"/>
  <c r="L7" i="2"/>
  <c r="K7" i="2"/>
  <c r="J7" i="2"/>
  <c r="I7" i="2"/>
  <c r="H7" i="2"/>
  <c r="G7" i="2"/>
  <c r="F7" i="2"/>
  <c r="M7" i="2" s="1"/>
  <c r="L6" i="2"/>
  <c r="K6" i="2"/>
  <c r="J6" i="2"/>
  <c r="I6" i="2"/>
  <c r="H6" i="2"/>
  <c r="M6" i="2" s="1"/>
  <c r="G6" i="2"/>
  <c r="F6" i="2"/>
  <c r="L5" i="2"/>
  <c r="K5" i="2"/>
  <c r="J5" i="2"/>
  <c r="I5" i="2"/>
  <c r="H5" i="2"/>
  <c r="G5" i="2"/>
  <c r="F5" i="2"/>
  <c r="M5" i="2" s="1"/>
  <c r="L4" i="2"/>
  <c r="K4" i="2"/>
  <c r="J4" i="2"/>
  <c r="I4" i="2"/>
  <c r="H4" i="2"/>
  <c r="M4" i="2" s="1"/>
  <c r="G4" i="2"/>
  <c r="F4" i="2"/>
  <c r="B32" i="1"/>
  <c r="M28" i="1"/>
  <c r="L28" i="1"/>
  <c r="M27" i="1"/>
  <c r="L27" i="1"/>
  <c r="M26" i="1"/>
  <c r="L26" i="1"/>
  <c r="K26" i="1"/>
  <c r="J26" i="1"/>
  <c r="I26" i="1"/>
  <c r="H26" i="1"/>
  <c r="G26" i="1"/>
  <c r="F26" i="1"/>
  <c r="E26" i="1"/>
  <c r="D26" i="1"/>
  <c r="C26" i="1"/>
  <c r="M25" i="1"/>
  <c r="L25" i="1"/>
  <c r="M24" i="1"/>
  <c r="L24" i="1"/>
  <c r="M23" i="1"/>
  <c r="L23" i="1"/>
  <c r="M22" i="1"/>
  <c r="L22" i="1"/>
  <c r="M21" i="1"/>
  <c r="L21" i="1"/>
  <c r="B13" i="1"/>
  <c r="B12" i="1"/>
  <c r="B11" i="1"/>
  <c r="G10" i="1"/>
  <c r="F10" i="1"/>
  <c r="E10" i="1"/>
  <c r="D10" i="1"/>
  <c r="C10" i="1"/>
  <c r="G9" i="1"/>
  <c r="F9" i="1"/>
  <c r="E9" i="1"/>
  <c r="D9" i="1"/>
  <c r="C9" i="1"/>
  <c r="G8" i="1"/>
  <c r="H14" i="2" s="1"/>
  <c r="F8" i="1"/>
  <c r="I14" i="2" s="1"/>
  <c r="E8" i="1"/>
  <c r="D8" i="1"/>
  <c r="C8" i="1"/>
  <c r="G7" i="1"/>
  <c r="F7" i="1"/>
  <c r="E7" i="1"/>
  <c r="D7" i="1"/>
  <c r="C7" i="1"/>
  <c r="I6" i="1"/>
  <c r="H6" i="1"/>
  <c r="G6" i="1"/>
  <c r="F6" i="1"/>
  <c r="E6" i="1"/>
  <c r="D6" i="1"/>
  <c r="C6" i="1"/>
  <c r="I5" i="1"/>
  <c r="H5" i="1"/>
  <c r="G5" i="1"/>
  <c r="F5" i="1"/>
  <c r="E5" i="1"/>
  <c r="D5" i="1"/>
  <c r="C5" i="1"/>
  <c r="L4" i="1"/>
  <c r="G2" i="1" s="1"/>
  <c r="I4" i="1"/>
  <c r="H4" i="1"/>
  <c r="G4" i="1"/>
  <c r="F4" i="1"/>
  <c r="E4" i="1"/>
  <c r="D4" i="1"/>
  <c r="C4" i="1"/>
  <c r="L3" i="1"/>
  <c r="M3" i="1" s="1"/>
  <c r="L3" i="2" s="1"/>
  <c r="I3" i="1"/>
  <c r="H3" i="1"/>
  <c r="G3" i="1"/>
  <c r="F3" i="1"/>
  <c r="E3" i="1"/>
  <c r="D3" i="1"/>
  <c r="C3" i="1"/>
  <c r="E2" i="1"/>
  <c r="D2" i="1"/>
  <c r="B18" i="2" l="1"/>
  <c r="B17" i="2"/>
  <c r="B16" i="2"/>
  <c r="K3" i="2"/>
  <c r="J3" i="2" s="1"/>
  <c r="I3" i="2" s="1"/>
  <c r="H3" i="2" s="1"/>
  <c r="G3" i="2" s="1"/>
  <c r="F3" i="2" s="1"/>
  <c r="M12" i="2"/>
  <c r="L14" i="2" s="1"/>
  <c r="M11" i="2"/>
  <c r="K14" i="2" s="1"/>
  <c r="F2" i="1"/>
  <c r="B14" i="1"/>
  <c r="G13" i="2"/>
  <c r="H13" i="2"/>
  <c r="I13" i="2"/>
</calcChain>
</file>

<file path=xl/sharedStrings.xml><?xml version="1.0" encoding="utf-8"?>
<sst xmlns="http://schemas.openxmlformats.org/spreadsheetml/2006/main" count="306" uniqueCount="224">
  <si>
    <t>Table 1 - Wholesale Electricity Spot Prices ($ / MWh)</t>
  </si>
  <si>
    <t>Region</t>
  </si>
  <si>
    <t>Latest Available~#</t>
  </si>
  <si>
    <t>Futures prices 2025 *</t>
  </si>
  <si>
    <t>Futures prices 2026 *</t>
  </si>
  <si>
    <t>REPORT DATE</t>
  </si>
  <si>
    <t>NSW</t>
  </si>
  <si>
    <t>QLD</t>
  </si>
  <si>
    <t>SA</t>
  </si>
  <si>
    <t>UNCHANGED DATA from previous update</t>
  </si>
  <si>
    <t>VIC</t>
  </si>
  <si>
    <t>TAS</t>
  </si>
  <si>
    <t>NEM</t>
  </si>
  <si>
    <t>WEM (WA)</t>
  </si>
  <si>
    <t>DKIS (NT)</t>
  </si>
  <si>
    <t>NEM data source: AEMO MMS Database</t>
  </si>
  <si>
    <t>WEM data source: NEMReview v7</t>
  </si>
  <si>
    <t>DKIS data source: https://www.powerwater.com.au/market-operator/daily-price-and-trading-data/daily-market-information-files</t>
  </si>
  <si>
    <t>Table 2 - Generation capacity</t>
  </si>
  <si>
    <t>Black coal</t>
  </si>
  <si>
    <t>Brown coal</t>
  </si>
  <si>
    <t>Gas</t>
  </si>
  <si>
    <t>Hydro</t>
  </si>
  <si>
    <t>Wind</t>
  </si>
  <si>
    <t>Solar</t>
  </si>
  <si>
    <t>Liquid</t>
  </si>
  <si>
    <t>Battery</t>
  </si>
  <si>
    <t>Other</t>
  </si>
  <si>
    <t>Total Generation</t>
  </si>
  <si>
    <t>Peak demand^</t>
  </si>
  <si>
    <t>Queensland</t>
  </si>
  <si>
    <t>New South Wales</t>
  </si>
  <si>
    <t>Victoria</t>
  </si>
  <si>
    <t>South Australia</t>
  </si>
  <si>
    <t>Tasmania</t>
  </si>
  <si>
    <t>NEM-total</t>
  </si>
  <si>
    <t>Western Australia (SWIS)</t>
  </si>
  <si>
    <t>Northern Territory</t>
  </si>
  <si>
    <t>NEM data source: https://www.aer.gov.au/wholesale-markets/wholesale-statistics/registered-capacity-by-fuel-source-regions, as at 1 Jul 2024</t>
  </si>
  <si>
    <t>WA data source: OpenNEM (https://opennem.org.au/facilities/wem/?status=operating) and demand data from http://data.wa.aemo.com.au/, as at 1 May 2024</t>
  </si>
  <si>
    <t>NT data source: 2022 NT Electricity Outlook Report, tables 16-18 and demand data from https://www.powerwater.com.au/market-operator/daily-price-and-trading-data/daily-market-information-files</t>
  </si>
  <si>
    <t>Prices</t>
  </si>
  <si>
    <t>Wholesale electricity price
NEM regions: Volume weighted average spot price
WEM: average spot price</t>
  </si>
  <si>
    <t>Regions</t>
  </si>
  <si>
    <t>Weekly Average</t>
  </si>
  <si>
    <t>WEM</t>
  </si>
  <si>
    <t>Average NEM Prices: Comparison data</t>
  </si>
  <si>
    <t>Average price ($/MWh)</t>
  </si>
  <si>
    <t>% change</t>
  </si>
  <si>
    <t>Reserves</t>
  </si>
  <si>
    <t>Scheduled reserve
in NEM regions
(Scheduled capacity –
scheduled demand,
MW)</t>
  </si>
  <si>
    <t>05 Dec 2024</t>
  </si>
  <si>
    <t>Q4 - 2023</t>
  </si>
  <si>
    <t>Q4 - 2024~^</t>
  </si>
  <si>
    <t>YTD 2023</t>
  </si>
  <si>
    <t>YTD 2024</t>
  </si>
  <si>
    <t>-6</t>
  </si>
  <si>
    <t>-5</t>
  </si>
  <si>
    <t>-4</t>
  </si>
  <si>
    <t>-3</t>
  </si>
  <si>
    <t>-2</t>
  </si>
  <si>
    <t>-1</t>
  </si>
  <si>
    <t>Today</t>
  </si>
  <si>
    <t>Peak Demand</t>
  </si>
  <si>
    <t>MTD 2024</t>
  </si>
  <si>
    <t>Full Month 2023</t>
  </si>
  <si>
    <t>Full Previous Month 2024</t>
  </si>
  <si>
    <t>Full Previous Month 2023</t>
  </si>
  <si>
    <t>28 Day Average 2024</t>
  </si>
  <si>
    <t>28 Day Average 2023</t>
  </si>
  <si>
    <t>Q3 2024</t>
  </si>
  <si>
    <t>Q3 2023</t>
  </si>
  <si>
    <t>Q2 2023</t>
  </si>
  <si>
    <t>2023 CY Average</t>
  </si>
  <si>
    <t>NSW1</t>
  </si>
  <si>
    <t>QLD1</t>
  </si>
  <si>
    <t>SA1</t>
  </si>
  <si>
    <t>VIC1</t>
  </si>
  <si>
    <t>TAS1</t>
  </si>
  <si>
    <t>02 Dec 2024</t>
  </si>
  <si>
    <t>2024-12-05</t>
  </si>
  <si>
    <t>CY25</t>
  </si>
  <si>
    <t>CY26</t>
  </si>
  <si>
    <t>N</t>
  </si>
  <si>
    <t>Q</t>
  </si>
  <si>
    <t>S</t>
  </si>
  <si>
    <t>V</t>
  </si>
  <si>
    <t>REGIONID</t>
  </si>
  <si>
    <t>6-Dec-24</t>
  </si>
  <si>
    <t>7-Dec-24</t>
  </si>
  <si>
    <t>8-Dec-24</t>
  </si>
  <si>
    <t>9-Dec-24</t>
  </si>
  <si>
    <t>10-Dec-24</t>
  </si>
  <si>
    <t>11-Dec-24</t>
  </si>
  <si>
    <t>12-Dec-24</t>
  </si>
  <si>
    <t>10706</t>
  </si>
  <si>
    <t>11283</t>
  </si>
  <si>
    <t>8724</t>
  </si>
  <si>
    <t>8931</t>
  </si>
  <si>
    <t>9312</t>
  </si>
  <si>
    <t>9245</t>
  </si>
  <si>
    <t>7137</t>
  </si>
  <si>
    <t>2468</t>
  </si>
  <si>
    <t>2447</t>
  </si>
  <si>
    <t>4084</t>
  </si>
  <si>
    <t>3198</t>
  </si>
  <si>
    <t>2980</t>
  </si>
  <si>
    <t>3648</t>
  </si>
  <si>
    <t>4437</t>
  </si>
  <si>
    <t>8383</t>
  </si>
  <si>
    <t>8187</t>
  </si>
  <si>
    <t>9098</t>
  </si>
  <si>
    <t>8907</t>
  </si>
  <si>
    <t>8778</t>
  </si>
  <si>
    <t>8893</t>
  </si>
  <si>
    <t>6453</t>
  </si>
  <si>
    <t>3176</t>
  </si>
  <si>
    <t>3182</t>
  </si>
  <si>
    <t>2627</t>
  </si>
  <si>
    <t>2708</t>
  </si>
  <si>
    <t>2945</t>
  </si>
  <si>
    <t>2853</t>
  </si>
  <si>
    <t>3326</t>
  </si>
  <si>
    <t>2331</t>
  </si>
  <si>
    <t>1624</t>
  </si>
  <si>
    <t>1402</t>
  </si>
  <si>
    <t>1561</t>
  </si>
  <si>
    <t>1614</t>
  </si>
  <si>
    <t>1502</t>
  </si>
  <si>
    <t>1352</t>
  </si>
  <si>
    <t>1157</t>
  </si>
  <si>
    <t>1314</t>
  </si>
  <si>
    <t>2155</t>
  </si>
  <si>
    <t>1696</t>
  </si>
  <si>
    <t>1872</t>
  </si>
  <si>
    <t>1995</t>
  </si>
  <si>
    <t>1896</t>
  </si>
  <si>
    <t>6549</t>
  </si>
  <si>
    <t>5538</t>
  </si>
  <si>
    <t>4724</t>
  </si>
  <si>
    <t>5159</t>
  </si>
  <si>
    <t>5196</t>
  </si>
  <si>
    <t>5115</t>
  </si>
  <si>
    <t>4298</t>
  </si>
  <si>
    <t>2888</t>
  </si>
  <si>
    <t>4448</t>
  </si>
  <si>
    <t>4674</t>
  </si>
  <si>
    <t>4096</t>
  </si>
  <si>
    <t>4481</t>
  </si>
  <si>
    <t>5368</t>
  </si>
  <si>
    <t>4868</t>
  </si>
  <si>
    <t>1221</t>
  </si>
  <si>
    <t>1190</t>
  </si>
  <si>
    <t>1145</t>
  </si>
  <si>
    <t>1177</t>
  </si>
  <si>
    <t>1174</t>
  </si>
  <si>
    <t>1196</t>
  </si>
  <si>
    <t>1001</t>
  </si>
  <si>
    <t>1029</t>
  </si>
  <si>
    <t>1057</t>
  </si>
  <si>
    <t>1374</t>
  </si>
  <si>
    <t>1280</t>
  </si>
  <si>
    <t>1186</t>
  </si>
  <si>
    <t>1042</t>
  </si>
  <si>
    <t>1400</t>
  </si>
  <si>
    <t>2024-09-23</t>
  </si>
  <si>
    <t>Today Outages</t>
  </si>
  <si>
    <t>Duid</t>
  </si>
  <si>
    <t>Registered Capacity</t>
  </si>
  <si>
    <t>Outage Type</t>
  </si>
  <si>
    <t>Most Recent Unavailability</t>
  </si>
  <si>
    <t>Expected Return Date</t>
  </si>
  <si>
    <t>Bayswater 2</t>
  </si>
  <si>
    <t>BW02</t>
  </si>
  <si>
    <t>700.000</t>
  </si>
  <si>
    <t>Planned</t>
  </si>
  <si>
    <t>2024-09-08</t>
  </si>
  <si>
    <t>2024-12-08</t>
  </si>
  <si>
    <t>Callide 1</t>
  </si>
  <si>
    <t>Estimated coal generation (in MW) that will be offline based on MTPASA (4am, 14 October 2024):</t>
  </si>
  <si>
    <t>CALL_B_1</t>
  </si>
  <si>
    <t>350.000</t>
  </si>
  <si>
    <t>2024-07-18</t>
  </si>
  <si>
    <t>2024-10-24</t>
  </si>
  <si>
    <t>Callide 2</t>
  </si>
  <si>
    <t>15 Oct 2024</t>
  </si>
  <si>
    <t>16 Oct 2024</t>
  </si>
  <si>
    <t>17 Oct 2024</t>
  </si>
  <si>
    <t>18 Oct 2024</t>
  </si>
  <si>
    <t>19 Oct 2024</t>
  </si>
  <si>
    <t>20 Oct 2024</t>
  </si>
  <si>
    <t>21 Oct 2024</t>
  </si>
  <si>
    <t>Eraring 1</t>
  </si>
  <si>
    <t>Eraring 3</t>
  </si>
  <si>
    <t>ER03</t>
  </si>
  <si>
    <t>750.000</t>
  </si>
  <si>
    <t>2024-08-25</t>
  </si>
  <si>
    <t>2024-11-10</t>
  </si>
  <si>
    <t>Tarong 2</t>
  </si>
  <si>
    <t>TARONG#2</t>
  </si>
  <si>
    <t>385.000</t>
  </si>
  <si>
    <t>2024-09-13</t>
  </si>
  <si>
    <t>2024-11-29</t>
  </si>
  <si>
    <t>Yallourn W 3</t>
  </si>
  <si>
    <t>Coal units detected generating no power on 14 October 2024:</t>
  </si>
  <si>
    <t>YWPS3</t>
  </si>
  <si>
    <t>405.000</t>
  </si>
  <si>
    <t>2024-09-16</t>
  </si>
  <si>
    <t>2024-09-29</t>
  </si>
  <si>
    <t>Gladstone 2</t>
  </si>
  <si>
    <t>New</t>
  </si>
  <si>
    <t>Unclear</t>
  </si>
  <si>
    <t>New outage</t>
  </si>
  <si>
    <t>Existing</t>
  </si>
  <si>
    <t>Unplanned</t>
  </si>
  <si>
    <t>Callide B 1</t>
  </si>
  <si>
    <t>Callide B 2</t>
  </si>
  <si>
    <t>Gladstone 6</t>
  </si>
  <si>
    <t>Loy Yang A 2</t>
  </si>
  <si>
    <t>Loy Yang A 4</t>
  </si>
  <si>
    <t>Vales Point B 6</t>
  </si>
  <si>
    <t>Yallourn W 2</t>
  </si>
  <si>
    <t>Coal units returning to service after being offline on 13 October 2024:</t>
  </si>
  <si>
    <t>Mt Piper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</si>
</sst>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;[Red]\-&quot;$&quot;#,##0.00"/>
    <numFmt numFmtId="43" formatCode="_-* #,##0.00_-;\-* #,##0.00_-;_-* &quot;-&quot;??_-;_-@_-"/>
    <numFmt numFmtId="164" formatCode="&quot;$&quot;#,##0.00"/>
    <numFmt numFmtId="165" formatCode="d/mm/yyyy\ hh:mm"/>
    <numFmt numFmtId="166" formatCode="[$-F800]dddd\,\ mmmm\ dd\,\ yyyy"/>
    <numFmt numFmtId="167" formatCode="yyyy\-mm\-dd"/>
    <numFmt numFmtId="168" formatCode="_(&quot;$&quot;* #,##0.00_);_(&quot;$&quot;* \(#,##0.00\);_(&quot;$&quot;* &quot;-&quot;??_);_(@_)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 tint="0.499984740745262"/>
      <name val="Calibri"/>
      <family val="2"/>
      <scheme val="minor"/>
    </font>
    <font>
      <sz val="14"/>
      <color theme="0" tint="-0.34998626667073579"/>
      <name val="Calibri"/>
      <family val="2"/>
      <scheme val="minor"/>
    </font>
    <font>
      <b/>
      <sz val="14"/>
      <color theme="0" tint="-0.34998626667073579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8"/>
      <color rgb="FF000000"/>
      <name val="Calibri"/>
      <family val="2"/>
    </font>
    <font>
      <b/>
      <i/>
      <sz val="8"/>
      <color rgb="FF000000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name val="Calibri"/>
      <family val="2"/>
    </font>
    <font>
      <b/>
      <sz val="8"/>
      <color theme="1"/>
      <name val="Calibri"/>
      <family val="2"/>
    </font>
    <font>
      <sz val="9"/>
      <color theme="1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</font>
    <font>
      <b/>
      <i/>
      <sz val="9"/>
      <color rgb="FF000000"/>
      <name val="Calibri"/>
      <family val="2"/>
    </font>
    <font>
      <sz val="11"/>
      <name val="Calibri"/>
      <family val="2"/>
    </font>
    <font>
      <sz val="11"/>
      <color rgb="FF9C650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9"/>
      <color rgb="FFFFFFFF"/>
      <name val="Arial"/>
      <family val="2"/>
    </font>
    <font>
      <sz val="9"/>
      <color rgb="FFFFFFFF"/>
      <name val="Arial"/>
      <family val="2"/>
    </font>
    <font>
      <b/>
      <sz val="14"/>
      <color rgb="FFFFFFFF"/>
      <name val="Arial"/>
      <family val="2"/>
    </font>
    <font>
      <i/>
      <sz val="10"/>
      <color theme="1"/>
      <name val="Calibri"/>
      <family val="2"/>
      <scheme val="minor"/>
    </font>
    <font>
      <b/>
      <sz val="11"/>
      <name val="Calibri"/>
      <family val="2"/>
    </font>
    <font>
      <i/>
      <sz val="9"/>
      <color theme="1"/>
      <name val="Calibri"/>
      <family val="2"/>
    </font>
    <font>
      <i/>
      <sz val="9"/>
      <color rgb="FF000000"/>
      <name val="Calibri"/>
      <family val="2"/>
    </font>
    <font>
      <i/>
      <sz val="9"/>
      <name val="Calibri"/>
      <family val="2"/>
    </font>
    <font>
      <b/>
      <sz val="11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509590"/>
        <bgColor indexed="64"/>
      </patternFill>
    </fill>
    <fill>
      <patternFill patternType="solid">
        <fgColor rgb="FFD5DCE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D9D9D9"/>
      </left>
      <right/>
      <top style="medium">
        <color rgb="FFD9D9D9"/>
      </top>
      <bottom style="medium">
        <color rgb="FFD9D9D9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indexed="64"/>
      </left>
      <right style="medium">
        <color rgb="FFD9D9D9"/>
      </right>
      <top/>
      <bottom/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/>
      <right style="medium">
        <color rgb="FFD9D9D9"/>
      </right>
      <top/>
      <bottom style="medium">
        <color rgb="FFD9D9D9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9D9D9"/>
      </right>
      <top/>
      <bottom style="medium">
        <color indexed="64"/>
      </bottom>
      <diagonal/>
    </border>
    <border>
      <left style="medium">
        <color rgb="FFD9D9D9"/>
      </left>
      <right/>
      <top style="medium">
        <color rgb="FFD9D9D9"/>
      </top>
      <bottom style="medium">
        <color indexed="64"/>
      </bottom>
      <diagonal/>
    </border>
    <border>
      <left style="medium">
        <color indexed="64"/>
      </left>
      <right style="medium">
        <color rgb="FFD9D9D9"/>
      </right>
      <top/>
      <bottom style="medium">
        <color indexed="64"/>
      </bottom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indexed="64"/>
      </left>
      <right style="medium">
        <color rgb="FFD9D9D9"/>
      </right>
      <top style="medium">
        <color rgb="FFBFBFBF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rgb="FFD9D9D9"/>
      </bottom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rgb="FFD9D9D9"/>
      </bottom>
      <diagonal/>
    </border>
    <border>
      <left style="medium">
        <color rgb="FFD9D9D9"/>
      </left>
      <right style="medium">
        <color theme="1"/>
      </right>
      <top style="medium">
        <color rgb="FFD9D9D9"/>
      </top>
      <bottom style="medium">
        <color rgb="FFD9D9D9"/>
      </bottom>
      <diagonal/>
    </border>
    <border>
      <left style="thin">
        <color theme="0" tint="-0.249977111117893"/>
      </left>
      <right style="medium">
        <color theme="1"/>
      </right>
      <top/>
      <bottom/>
      <diagonal/>
    </border>
    <border>
      <left style="medium">
        <color theme="1"/>
      </left>
      <right/>
      <top style="medium">
        <color theme="1"/>
      </top>
      <bottom style="medium">
        <color rgb="FFBFBFBF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rgb="FFD9D9D9"/>
      </right>
      <top style="medium">
        <color rgb="FFBFBFBF"/>
      </top>
      <bottom style="medium">
        <color indexed="64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medium">
        <color rgb="FFD9D9D9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medium">
        <color theme="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medium">
        <color theme="1"/>
      </left>
      <right style="medium">
        <color rgb="FFD9D9D9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3">
    <xf numFmtId="0" fontId="0" fillId="0" borderId="0"/>
    <xf numFmtId="43" fontId="1" fillId="0" borderId="0"/>
    <xf numFmtId="0" fontId="2" fillId="2" borderId="1"/>
    <xf numFmtId="9" fontId="1" fillId="0" borderId="0"/>
    <xf numFmtId="43" fontId="1" fillId="0" borderId="0"/>
    <xf numFmtId="0" fontId="27" fillId="9" borderId="0"/>
    <xf numFmtId="0" fontId="23" fillId="10" borderId="0"/>
    <xf numFmtId="0" fontId="23" fillId="11" borderId="0"/>
    <xf numFmtId="0" fontId="23" fillId="12" borderId="0"/>
    <xf numFmtId="0" fontId="23" fillId="13" borderId="0"/>
    <xf numFmtId="0" fontId="23" fillId="14" borderId="0"/>
    <xf numFmtId="0" fontId="23" fillId="15" borderId="0"/>
    <xf numFmtId="0" fontId="1" fillId="0" borderId="0"/>
    <xf numFmtId="0" fontId="28" fillId="16" borderId="29"/>
    <xf numFmtId="0" fontId="20" fillId="0" borderId="0"/>
    <xf numFmtId="43" fontId="1" fillId="0" borderId="0"/>
    <xf numFmtId="0" fontId="22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15" borderId="0"/>
    <xf numFmtId="43" fontId="1" fillId="0" borderId="0"/>
    <xf numFmtId="168" fontId="1" fillId="0" borderId="0"/>
    <xf numFmtId="43" fontId="1" fillId="0" borderId="0"/>
    <xf numFmtId="43" fontId="1" fillId="0" borderId="0"/>
    <xf numFmtId="0" fontId="27" fillId="9" borderId="0"/>
    <xf numFmtId="0" fontId="23" fillId="10" borderId="0"/>
    <xf numFmtId="0" fontId="23" fillId="11" borderId="0"/>
    <xf numFmtId="0" fontId="23" fillId="12" borderId="0"/>
    <xf numFmtId="0" fontId="23" fillId="13" borderId="0"/>
    <xf numFmtId="0" fontId="23" fillId="14" borderId="0"/>
    <xf numFmtId="0" fontId="23" fillId="15" borderId="0"/>
    <xf numFmtId="168" fontId="1" fillId="0" borderId="0"/>
    <xf numFmtId="43" fontId="1" fillId="0" borderId="0"/>
    <xf numFmtId="43" fontId="1" fillId="0" borderId="0"/>
    <xf numFmtId="168" fontId="1" fillId="0" borderId="0"/>
    <xf numFmtId="43" fontId="1" fillId="0" borderId="0"/>
    <xf numFmtId="0" fontId="26" fillId="0" borderId="0"/>
    <xf numFmtId="43" fontId="1" fillId="0" borderId="0"/>
    <xf numFmtId="168" fontId="1" fillId="0" borderId="0"/>
    <xf numFmtId="43" fontId="1" fillId="0" borderId="0"/>
    <xf numFmtId="43" fontId="1" fillId="0" borderId="0"/>
    <xf numFmtId="168" fontId="1" fillId="0" borderId="0"/>
    <xf numFmtId="43" fontId="1" fillId="0" borderId="0"/>
    <xf numFmtId="43" fontId="1" fillId="0" borderId="0"/>
    <xf numFmtId="168" fontId="1" fillId="0" borderId="0"/>
    <xf numFmtId="43" fontId="1" fillId="0" borderId="0"/>
    <xf numFmtId="43" fontId="1" fillId="0" borderId="0"/>
    <xf numFmtId="168" fontId="1" fillId="0" borderId="0"/>
    <xf numFmtId="43" fontId="1" fillId="0" borderId="0"/>
    <xf numFmtId="0" fontId="26" fillId="0" borderId="0"/>
  </cellStyleXfs>
  <cellXfs count="115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1" fontId="6" fillId="0" borderId="0" xfId="0" applyNumberFormat="1" applyFont="1"/>
    <xf numFmtId="1" fontId="4" fillId="0" borderId="0" xfId="0" applyNumberFormat="1" applyFont="1"/>
    <xf numFmtId="43" fontId="4" fillId="0" borderId="0" xfId="0" applyNumberFormat="1" applyFont="1"/>
    <xf numFmtId="0" fontId="12" fillId="0" borderId="0" xfId="0" applyFont="1"/>
    <xf numFmtId="0" fontId="3" fillId="0" borderId="0" xfId="0" applyFont="1" applyAlignment="1">
      <alignment horizontal="right"/>
    </xf>
    <xf numFmtId="0" fontId="0" fillId="0" borderId="2" xfId="0" applyBorder="1"/>
    <xf numFmtId="0" fontId="3" fillId="0" borderId="0" xfId="0" applyFont="1"/>
    <xf numFmtId="14" fontId="14" fillId="6" borderId="4" xfId="0" applyNumberFormat="1" applyFont="1" applyFill="1" applyBorder="1" applyAlignment="1">
      <alignment vertical="center" wrapText="1"/>
    </xf>
    <xf numFmtId="8" fontId="15" fillId="0" borderId="4" xfId="0" applyNumberFormat="1" applyFont="1" applyBorder="1" applyAlignment="1">
      <alignment vertical="center" wrapText="1"/>
    </xf>
    <xf numFmtId="8" fontId="16" fillId="0" borderId="4" xfId="0" applyNumberFormat="1" applyFont="1" applyBorder="1" applyAlignment="1">
      <alignment vertical="center" wrapText="1"/>
    </xf>
    <xf numFmtId="8" fontId="17" fillId="0" borderId="4" xfId="0" applyNumberFormat="1" applyFont="1" applyBorder="1" applyAlignment="1">
      <alignment vertical="center" wrapText="1"/>
    </xf>
    <xf numFmtId="14" fontId="13" fillId="0" borderId="8" xfId="0" applyNumberFormat="1" applyFont="1" applyBorder="1" applyAlignment="1">
      <alignment horizontal="center" vertical="center" wrapText="1"/>
    </xf>
    <xf numFmtId="0" fontId="18" fillId="0" borderId="4" xfId="0" applyFont="1" applyBorder="1" applyAlignment="1">
      <alignment vertical="center" wrapText="1"/>
    </xf>
    <xf numFmtId="0" fontId="0" fillId="0" borderId="9" xfId="0" applyBorder="1"/>
    <xf numFmtId="164" fontId="19" fillId="0" borderId="11" xfId="0" applyNumberFormat="1" applyFont="1" applyBorder="1" applyAlignment="1">
      <alignment vertical="center" wrapText="1"/>
    </xf>
    <xf numFmtId="165" fontId="2" fillId="2" borderId="1" xfId="2" applyNumberFormat="1" applyAlignment="1">
      <alignment horizontal="right"/>
    </xf>
    <xf numFmtId="165" fontId="4" fillId="0" borderId="0" xfId="0" applyNumberFormat="1" applyFont="1"/>
    <xf numFmtId="165" fontId="0" fillId="0" borderId="0" xfId="0" applyNumberFormat="1"/>
    <xf numFmtId="1" fontId="0" fillId="0" borderId="0" xfId="0" applyNumberFormat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164" fontId="15" fillId="0" borderId="10" xfId="0" applyNumberFormat="1" applyFont="1" applyBorder="1" applyAlignment="1">
      <alignment horizontal="center" vertical="center" wrapText="1"/>
    </xf>
    <xf numFmtId="9" fontId="19" fillId="0" borderId="11" xfId="0" applyNumberFormat="1" applyFont="1" applyBorder="1" applyAlignment="1">
      <alignment horizontal="center" vertical="center" wrapText="1"/>
    </xf>
    <xf numFmtId="0" fontId="24" fillId="7" borderId="4" xfId="0" applyFont="1" applyFill="1" applyBorder="1" applyAlignment="1">
      <alignment vertical="center" wrapText="1"/>
    </xf>
    <xf numFmtId="0" fontId="16" fillId="7" borderId="5" xfId="0" applyFont="1" applyFill="1" applyBorder="1" applyAlignment="1">
      <alignment vertical="center" wrapText="1"/>
    </xf>
    <xf numFmtId="0" fontId="0" fillId="0" borderId="22" xfId="0" applyBorder="1"/>
    <xf numFmtId="0" fontId="3" fillId="0" borderId="16" xfId="0" applyFont="1" applyBorder="1"/>
    <xf numFmtId="0" fontId="0" fillId="0" borderId="23" xfId="0" applyBorder="1"/>
    <xf numFmtId="0" fontId="20" fillId="8" borderId="27" xfId="0" applyFont="1" applyFill="1" applyBorder="1"/>
    <xf numFmtId="0" fontId="23" fillId="0" borderId="0" xfId="0" applyFont="1"/>
    <xf numFmtId="0" fontId="21" fillId="0" borderId="0" xfId="0" applyFont="1"/>
    <xf numFmtId="14" fontId="21" fillId="0" borderId="0" xfId="0" applyNumberFormat="1" applyFont="1"/>
    <xf numFmtId="2" fontId="0" fillId="0" borderId="0" xfId="0" applyNumberFormat="1"/>
    <xf numFmtId="166" fontId="23" fillId="0" borderId="0" xfId="0" applyNumberFormat="1" applyFont="1"/>
    <xf numFmtId="14" fontId="25" fillId="6" borderId="4" xfId="0" applyNumberFormat="1" applyFont="1" applyFill="1" applyBorder="1" applyAlignment="1">
      <alignment horizontal="center" vertical="center" wrapText="1"/>
    </xf>
    <xf numFmtId="14" fontId="25" fillId="6" borderId="20" xfId="0" applyNumberFormat="1" applyFont="1" applyFill="1" applyBorder="1" applyAlignment="1">
      <alignment horizontal="center" vertical="center" wrapText="1"/>
    </xf>
    <xf numFmtId="14" fontId="14" fillId="6" borderId="4" xfId="0" applyNumberFormat="1" applyFont="1" applyFill="1" applyBorder="1" applyAlignment="1">
      <alignment horizontal="center" vertical="center" wrapText="1"/>
    </xf>
    <xf numFmtId="14" fontId="14" fillId="6" borderId="20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2" fontId="21" fillId="0" borderId="0" xfId="0" applyNumberFormat="1" applyFont="1"/>
    <xf numFmtId="8" fontId="31" fillId="0" borderId="0" xfId="0" applyNumberFormat="1" applyFont="1"/>
    <xf numFmtId="14" fontId="0" fillId="0" borderId="0" xfId="0" applyNumberFormat="1"/>
    <xf numFmtId="164" fontId="15" fillId="0" borderId="0" xfId="0" applyNumberFormat="1" applyFont="1" applyAlignment="1">
      <alignment horizontal="center" vertical="center" wrapText="1"/>
    </xf>
    <xf numFmtId="8" fontId="19" fillId="0" borderId="0" xfId="0" applyNumberFormat="1" applyFont="1" applyAlignment="1">
      <alignment horizontal="center" vertical="center" wrapText="1"/>
    </xf>
    <xf numFmtId="164" fontId="19" fillId="0" borderId="0" xfId="0" applyNumberFormat="1" applyFont="1" applyAlignment="1">
      <alignment horizontal="center" vertical="center" wrapText="1"/>
    </xf>
    <xf numFmtId="9" fontId="19" fillId="0" borderId="0" xfId="0" applyNumberFormat="1" applyFont="1" applyAlignment="1">
      <alignment horizontal="center" vertical="center" wrapText="1"/>
    </xf>
    <xf numFmtId="164" fontId="19" fillId="0" borderId="0" xfId="0" applyNumberFormat="1" applyFont="1" applyAlignment="1">
      <alignment vertical="center" wrapText="1"/>
    </xf>
    <xf numFmtId="0" fontId="32" fillId="0" borderId="0" xfId="0" applyFont="1" applyAlignment="1">
      <alignment horizontal="left" vertical="center" indent="8"/>
    </xf>
    <xf numFmtId="0" fontId="32" fillId="0" borderId="0" xfId="0" applyFont="1" applyAlignment="1">
      <alignment horizontal="left" vertical="center" indent="5"/>
    </xf>
    <xf numFmtId="0" fontId="18" fillId="0" borderId="4" xfId="0" applyFont="1" applyBorder="1" applyAlignment="1">
      <alignment horizontal="center" vertical="center" wrapText="1"/>
    </xf>
    <xf numFmtId="0" fontId="21" fillId="0" borderId="25" xfId="0" applyFont="1" applyBorder="1" applyAlignment="1">
      <alignment vertical="center"/>
    </xf>
    <xf numFmtId="0" fontId="21" fillId="0" borderId="27" xfId="0" applyFont="1" applyBorder="1" applyAlignment="1">
      <alignment vertical="center"/>
    </xf>
    <xf numFmtId="0" fontId="21" fillId="0" borderId="28" xfId="0" applyFont="1" applyBorder="1" applyAlignment="1">
      <alignment vertical="center"/>
    </xf>
    <xf numFmtId="8" fontId="19" fillId="0" borderId="3" xfId="0" applyNumberFormat="1" applyFont="1" applyBorder="1" applyAlignment="1">
      <alignment vertical="center"/>
    </xf>
    <xf numFmtId="9" fontId="23" fillId="0" borderId="21" xfId="3" applyFont="1" applyBorder="1" applyAlignment="1">
      <alignment vertical="center"/>
    </xf>
    <xf numFmtId="0" fontId="23" fillId="0" borderId="0" xfId="0" applyFont="1" applyAlignment="1">
      <alignment vertical="center"/>
    </xf>
    <xf numFmtId="0" fontId="23" fillId="0" borderId="17" xfId="0" applyFont="1" applyBorder="1" applyAlignment="1">
      <alignment vertical="center"/>
    </xf>
    <xf numFmtId="14" fontId="3" fillId="0" borderId="0" xfId="0" applyNumberFormat="1" applyFont="1"/>
    <xf numFmtId="0" fontId="7" fillId="0" borderId="31" xfId="0" applyFont="1" applyBorder="1"/>
    <xf numFmtId="0" fontId="7" fillId="4" borderId="31" xfId="0" applyFont="1" applyFill="1" applyBorder="1"/>
    <xf numFmtId="0" fontId="8" fillId="3" borderId="31" xfId="0" applyFont="1" applyFill="1" applyBorder="1"/>
    <xf numFmtId="0" fontId="7" fillId="3" borderId="31" xfId="0" applyFont="1" applyFill="1" applyBorder="1"/>
    <xf numFmtId="0" fontId="4" fillId="0" borderId="31" xfId="0" applyFont="1" applyBorder="1"/>
    <xf numFmtId="2" fontId="4" fillId="0" borderId="31" xfId="0" applyNumberFormat="1" applyFont="1" applyBorder="1"/>
    <xf numFmtId="43" fontId="10" fillId="4" borderId="31" xfId="1" applyFont="1" applyFill="1" applyBorder="1" applyAlignment="1">
      <alignment wrapText="1"/>
    </xf>
    <xf numFmtId="43" fontId="6" fillId="4" borderId="31" xfId="1" applyFont="1" applyFill="1" applyBorder="1" applyAlignment="1">
      <alignment wrapText="1"/>
    </xf>
    <xf numFmtId="43" fontId="10" fillId="3" borderId="31" xfId="1" applyFont="1" applyFill="1" applyBorder="1" applyAlignment="1">
      <alignment wrapText="1"/>
    </xf>
    <xf numFmtId="43" fontId="6" fillId="3" borderId="31" xfId="1" applyFont="1" applyFill="1" applyBorder="1" applyAlignment="1">
      <alignment wrapText="1"/>
    </xf>
    <xf numFmtId="43" fontId="10" fillId="4" borderId="31" xfId="1" applyFont="1" applyFill="1" applyBorder="1"/>
    <xf numFmtId="43" fontId="6" fillId="4" borderId="31" xfId="1" applyFont="1" applyFill="1" applyBorder="1"/>
    <xf numFmtId="43" fontId="10" fillId="3" borderId="31" xfId="1" applyFont="1" applyFill="1" applyBorder="1"/>
    <xf numFmtId="43" fontId="6" fillId="3" borderId="31" xfId="1" applyFont="1" applyFill="1" applyBorder="1"/>
    <xf numFmtId="2" fontId="7" fillId="0" borderId="31" xfId="0" applyNumberFormat="1" applyFont="1" applyBorder="1"/>
    <xf numFmtId="43" fontId="11" fillId="4" borderId="31" xfId="1" applyFont="1" applyFill="1" applyBorder="1"/>
    <xf numFmtId="43" fontId="8" fillId="4" borderId="31" xfId="1" applyFont="1" applyFill="1" applyBorder="1"/>
    <xf numFmtId="43" fontId="11" fillId="3" borderId="31" xfId="1" applyFont="1" applyFill="1" applyBorder="1"/>
    <xf numFmtId="43" fontId="8" fillId="3" borderId="31" xfId="1" applyFont="1" applyFill="1" applyBorder="1"/>
    <xf numFmtId="2" fontId="9" fillId="0" borderId="31" xfId="0" applyNumberFormat="1" applyFont="1" applyBorder="1"/>
    <xf numFmtId="43" fontId="9" fillId="4" borderId="31" xfId="1" applyFont="1" applyFill="1" applyBorder="1"/>
    <xf numFmtId="43" fontId="9" fillId="3" borderId="31" xfId="1" applyFont="1" applyFill="1" applyBorder="1"/>
    <xf numFmtId="1" fontId="6" fillId="0" borderId="31" xfId="0" applyNumberFormat="1" applyFont="1" applyBorder="1"/>
    <xf numFmtId="1" fontId="7" fillId="0" borderId="31" xfId="0" applyNumberFormat="1" applyFont="1" applyBorder="1"/>
    <xf numFmtId="1" fontId="4" fillId="0" borderId="31" xfId="0" applyNumberFormat="1" applyFont="1" applyBorder="1"/>
    <xf numFmtId="0" fontId="20" fillId="8" borderId="31" xfId="1" applyNumberFormat="1" applyFont="1" applyFill="1" applyBorder="1"/>
    <xf numFmtId="0" fontId="21" fillId="0" borderId="31" xfId="0" applyFont="1" applyBorder="1" applyAlignment="1">
      <alignment vertical="center"/>
    </xf>
    <xf numFmtId="0" fontId="20" fillId="8" borderId="31" xfId="0" applyFont="1" applyFill="1" applyBorder="1"/>
    <xf numFmtId="0" fontId="33" fillId="0" borderId="32" xfId="0" applyFont="1" applyBorder="1" applyAlignment="1">
      <alignment horizontal="center" vertical="top"/>
    </xf>
    <xf numFmtId="164" fontId="34" fillId="0" borderId="11" xfId="0" applyNumberFormat="1" applyFont="1" applyBorder="1" applyAlignment="1">
      <alignment vertical="center" wrapText="1"/>
    </xf>
    <xf numFmtId="167" fontId="0" fillId="0" borderId="0" xfId="0" applyNumberFormat="1"/>
    <xf numFmtId="0" fontId="1" fillId="0" borderId="0" xfId="0" applyFont="1"/>
    <xf numFmtId="167" fontId="1" fillId="0" borderId="0" xfId="0" applyNumberFormat="1" applyFont="1"/>
    <xf numFmtId="8" fontId="35" fillId="0" borderId="4" xfId="0" applyNumberFormat="1" applyFont="1" applyBorder="1" applyAlignment="1">
      <alignment vertical="center" wrapText="1"/>
    </xf>
    <xf numFmtId="8" fontId="25" fillId="0" borderId="4" xfId="0" applyNumberFormat="1" applyFont="1" applyBorder="1" applyAlignment="1">
      <alignment vertical="center" wrapText="1"/>
    </xf>
    <xf numFmtId="8" fontId="36" fillId="0" borderId="4" xfId="0" applyNumberFormat="1" applyFont="1" applyBorder="1" applyAlignment="1">
      <alignment vertical="center" wrapText="1"/>
    </xf>
    <xf numFmtId="9" fontId="34" fillId="0" borderId="11" xfId="0" applyNumberFormat="1" applyFont="1" applyBorder="1" applyAlignment="1">
      <alignment horizontal="center" vertical="center" wrapText="1"/>
    </xf>
    <xf numFmtId="0" fontId="37" fillId="0" borderId="33" xfId="0" applyFont="1" applyBorder="1" applyAlignment="1">
      <alignment horizontal="center" vertical="top"/>
    </xf>
    <xf numFmtId="0" fontId="24" fillId="7" borderId="13" xfId="0" applyFont="1" applyFill="1" applyBorder="1" applyAlignment="1">
      <alignment horizontal="center" vertical="center" wrapText="1"/>
    </xf>
    <xf numFmtId="0" fontId="0" fillId="0" borderId="5" xfId="0" applyBorder="1"/>
    <xf numFmtId="0" fontId="13" fillId="7" borderId="13" xfId="0" applyFont="1" applyFill="1" applyBorder="1" applyAlignment="1">
      <alignment horizontal="left" vertical="center" wrapText="1"/>
    </xf>
    <xf numFmtId="0" fontId="0" fillId="0" borderId="7" xfId="0" applyBorder="1"/>
    <xf numFmtId="0" fontId="30" fillId="5" borderId="24" xfId="0" applyFont="1" applyFill="1" applyBorder="1" applyAlignment="1">
      <alignment horizontal="center" vertical="center" wrapText="1"/>
    </xf>
    <xf numFmtId="0" fontId="0" fillId="0" borderId="26" xfId="0" applyBorder="1"/>
    <xf numFmtId="0" fontId="0" fillId="0" borderId="30" xfId="0" applyBorder="1"/>
    <xf numFmtId="0" fontId="16" fillId="6" borderId="13" xfId="0" applyFont="1" applyFill="1" applyBorder="1" applyAlignment="1">
      <alignment horizontal="left" vertical="center" wrapText="1"/>
    </xf>
    <xf numFmtId="0" fontId="29" fillId="5" borderId="14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12" xfId="0" applyBorder="1"/>
    <xf numFmtId="0" fontId="16" fillId="7" borderId="13" xfId="0" applyFont="1" applyFill="1" applyBorder="1" applyAlignment="1">
      <alignment horizontal="center" vertical="center" wrapText="1"/>
    </xf>
    <xf numFmtId="0" fontId="18" fillId="6" borderId="4" xfId="0" applyFont="1" applyFill="1" applyBorder="1" applyAlignment="1">
      <alignment horizontal="center" vertical="center" wrapText="1"/>
    </xf>
  </cellXfs>
  <cellStyles count="53">
    <cellStyle name="60% - Accent1 2" xfId="17" xr:uid="{00000000-0005-0000-0000-000011000000}"/>
    <cellStyle name="60% - Accent1 3" xfId="28" xr:uid="{00000000-0005-0000-0000-00001C000000}"/>
    <cellStyle name="60% - Accent1 4" xfId="6" xr:uid="{00000000-0005-0000-0000-000006000000}"/>
    <cellStyle name="60% - Accent2 2" xfId="18" xr:uid="{00000000-0005-0000-0000-000012000000}"/>
    <cellStyle name="60% - Accent2 3" xfId="29" xr:uid="{00000000-0005-0000-0000-00001D000000}"/>
    <cellStyle name="60% - Accent2 4" xfId="7" xr:uid="{00000000-0005-0000-0000-000007000000}"/>
    <cellStyle name="60% - Accent3 2" xfId="19" xr:uid="{00000000-0005-0000-0000-000013000000}"/>
    <cellStyle name="60% - Accent3 3" xfId="30" xr:uid="{00000000-0005-0000-0000-00001E000000}"/>
    <cellStyle name="60% - Accent3 4" xfId="8" xr:uid="{00000000-0005-0000-0000-000008000000}"/>
    <cellStyle name="60% - Accent4 2" xfId="20" xr:uid="{00000000-0005-0000-0000-000014000000}"/>
    <cellStyle name="60% - Accent4 3" xfId="31" xr:uid="{00000000-0005-0000-0000-00001F000000}"/>
    <cellStyle name="60% - Accent4 4" xfId="9" xr:uid="{00000000-0005-0000-0000-000009000000}"/>
    <cellStyle name="60% - Accent5 2" xfId="21" xr:uid="{00000000-0005-0000-0000-000015000000}"/>
    <cellStyle name="60% - Accent5 3" xfId="32" xr:uid="{00000000-0005-0000-0000-000020000000}"/>
    <cellStyle name="60% - Accent5 4" xfId="10" xr:uid="{00000000-0005-0000-0000-00000A000000}"/>
    <cellStyle name="60% - Accent6 2" xfId="22" xr:uid="{00000000-0005-0000-0000-000016000000}"/>
    <cellStyle name="60% - Accent6 3" xfId="33" xr:uid="{00000000-0005-0000-0000-000021000000}"/>
    <cellStyle name="60% - Accent6 4" xfId="11" xr:uid="{00000000-0005-0000-0000-00000B000000}"/>
    <cellStyle name="Calculation 2" xfId="2" xr:uid="{00000000-0005-0000-0000-000002000000}"/>
    <cellStyle name="Comma 2" xfId="1" xr:uid="{00000000-0005-0000-0000-000001000000}"/>
    <cellStyle name="Comma 2 2" xfId="25" xr:uid="{00000000-0005-0000-0000-000019000000}"/>
    <cellStyle name="Comma 2 2 2" xfId="38" xr:uid="{00000000-0005-0000-0000-000026000000}"/>
    <cellStyle name="Comma 2 2 2 2" xfId="51" xr:uid="{00000000-0005-0000-0000-000033000000}"/>
    <cellStyle name="Comma 2 2 3" xfId="45" xr:uid="{00000000-0005-0000-0000-00002D000000}"/>
    <cellStyle name="Comma 2 3" xfId="35" xr:uid="{00000000-0005-0000-0000-000023000000}"/>
    <cellStyle name="Comma 2 3 2" xfId="48" xr:uid="{00000000-0005-0000-0000-000030000000}"/>
    <cellStyle name="Comma 2 4" xfId="42" xr:uid="{00000000-0005-0000-0000-00002A000000}"/>
    <cellStyle name="Comma 2 5" xfId="15" xr:uid="{00000000-0005-0000-0000-00000F000000}"/>
    <cellStyle name="Comma 3" xfId="23" xr:uid="{00000000-0005-0000-0000-000017000000}"/>
    <cellStyle name="Comma 3 2" xfId="36" xr:uid="{00000000-0005-0000-0000-000024000000}"/>
    <cellStyle name="Comma 3 2 2" xfId="49" xr:uid="{00000000-0005-0000-0000-000031000000}"/>
    <cellStyle name="Comma 3 3" xfId="43" xr:uid="{00000000-0005-0000-0000-00002B000000}"/>
    <cellStyle name="Comma 4" xfId="26" xr:uid="{00000000-0005-0000-0000-00001A000000}"/>
    <cellStyle name="Comma 4 2" xfId="46" xr:uid="{00000000-0005-0000-0000-00002E000000}"/>
    <cellStyle name="Comma 5" xfId="40" xr:uid="{00000000-0005-0000-0000-000028000000}"/>
    <cellStyle name="Comma 6" xfId="4" xr:uid="{00000000-0005-0000-0000-000004000000}"/>
    <cellStyle name="Currency 2" xfId="24" xr:uid="{00000000-0005-0000-0000-000018000000}"/>
    <cellStyle name="Currency 2 2" xfId="37" xr:uid="{00000000-0005-0000-0000-000025000000}"/>
    <cellStyle name="Currency 2 2 2" xfId="50" xr:uid="{00000000-0005-0000-0000-000032000000}"/>
    <cellStyle name="Currency 2 3" xfId="44" xr:uid="{00000000-0005-0000-0000-00002C000000}"/>
    <cellStyle name="Currency 3" xfId="34" xr:uid="{00000000-0005-0000-0000-000022000000}"/>
    <cellStyle name="Currency 3 2" xfId="47" xr:uid="{00000000-0005-0000-0000-00002F000000}"/>
    <cellStyle name="Currency 4" xfId="41" xr:uid="{00000000-0005-0000-0000-000029000000}"/>
    <cellStyle name="Neutral 2" xfId="16" xr:uid="{00000000-0005-0000-0000-000010000000}"/>
    <cellStyle name="Neutral 3" xfId="27" xr:uid="{00000000-0005-0000-0000-00001B000000}"/>
    <cellStyle name="Neutral 4" xfId="5" xr:uid="{00000000-0005-0000-0000-000005000000}"/>
    <cellStyle name="Normal" xfId="0" builtinId="0"/>
    <cellStyle name="Normal 2" xfId="12" xr:uid="{00000000-0005-0000-0000-00000C000000}"/>
    <cellStyle name="Normal 3" xfId="39" xr:uid="{00000000-0005-0000-0000-000027000000}"/>
    <cellStyle name="Normal 4" xfId="52" xr:uid="{00000000-0005-0000-0000-000034000000}"/>
    <cellStyle name="Percent" xfId="3" builtinId="5"/>
    <cellStyle name="Table Heading" xfId="13" xr:uid="{00000000-0005-0000-0000-00000D000000}"/>
    <cellStyle name="Table Text" xfId="14" xr:uid="{00000000-0005-0000-0000-00000E000000}"/>
  </cellStyles>
  <dxfs count="1">
    <dxf>
      <font>
        <color rgb="FF9C000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59999389629810485"/>
  </sheetPr>
  <dimension ref="B1:O33"/>
  <sheetViews>
    <sheetView tabSelected="1" view="pageBreakPreview" zoomScale="85" zoomScaleNormal="100" zoomScaleSheetLayoutView="85" workbookViewId="0">
      <selection activeCell="H13" sqref="H13"/>
    </sheetView>
  </sheetViews>
  <sheetFormatPr defaultColWidth="14.42578125" defaultRowHeight="15" x14ac:dyDescent="0.25"/>
  <cols>
    <col min="1" max="1" width="8.5703125" customWidth="1"/>
    <col min="2" max="2" width="18.5703125" customWidth="1"/>
    <col min="3" max="5" width="17" customWidth="1"/>
    <col min="6" max="6" width="25.42578125" customWidth="1"/>
    <col min="7" max="7" width="30.5703125" bestFit="1" customWidth="1"/>
    <col min="8" max="8" width="26.42578125" bestFit="1" customWidth="1"/>
    <col min="9" max="9" width="23.42578125" customWidth="1"/>
    <col min="10" max="10" width="18.5703125" customWidth="1"/>
    <col min="11" max="11" width="17" customWidth="1"/>
    <col min="12" max="12" width="44" bestFit="1" customWidth="1"/>
    <col min="13" max="14" width="17" customWidth="1"/>
  </cols>
  <sheetData>
    <row r="1" spans="2:15" x14ac:dyDescent="0.25">
      <c r="B1" t="s">
        <v>0</v>
      </c>
    </row>
    <row r="2" spans="2:15" ht="18.600000000000001" customHeight="1" x14ac:dyDescent="0.3">
      <c r="B2" s="64" t="s">
        <v>1</v>
      </c>
      <c r="C2" s="64" t="s">
        <v>2</v>
      </c>
      <c r="D2" s="65" t="str">
        <f>'NEM INFO'!C1</f>
        <v>Q4 - 2023</v>
      </c>
      <c r="E2" s="65" t="str">
        <f>'NEM INFO'!D1</f>
        <v>Q4 - 2024~^</v>
      </c>
      <c r="F2" s="66" t="str">
        <f>"1 Jan - " &amp; L4 &amp;" 2023~"</f>
        <v>1 Jan - 5 Dec 2023~</v>
      </c>
      <c r="G2" s="67" t="str">
        <f>"YTD(1 Jan - "&amp;L4&amp;" 2024)~"</f>
        <v>YTD(1 Jan - 5 Dec 2024)~</v>
      </c>
      <c r="H2" s="64" t="s">
        <v>3</v>
      </c>
      <c r="I2" s="64" t="s">
        <v>4</v>
      </c>
      <c r="K2" s="1"/>
      <c r="L2" s="8" t="s">
        <v>5</v>
      </c>
      <c r="M2" s="1"/>
    </row>
    <row r="3" spans="2:15" ht="18.600000000000001" customHeight="1" x14ac:dyDescent="0.3">
      <c r="B3" s="68" t="s">
        <v>6</v>
      </c>
      <c r="C3" s="69">
        <f>'NEM INFO'!B2</f>
        <v>116.25</v>
      </c>
      <c r="D3" s="70">
        <f>'NEM INFO'!C2</f>
        <v>73.37</v>
      </c>
      <c r="E3" s="71">
        <f>'NEM INFO'!D2</f>
        <v>191.99</v>
      </c>
      <c r="F3" s="72">
        <f>'NEM INFO'!E2</f>
        <v>108.44</v>
      </c>
      <c r="G3" s="73">
        <f>'NEM INFO'!F2</f>
        <v>154.56</v>
      </c>
      <c r="H3" s="69">
        <f>ASX!B2</f>
        <v>127.87</v>
      </c>
      <c r="I3" s="69">
        <f>ASX!C2</f>
        <v>119.5</v>
      </c>
      <c r="K3" s="1"/>
      <c r="L3" s="19" t="str">
        <f>'NEM INFO'!B1</f>
        <v>05 Dec 2024</v>
      </c>
      <c r="M3" s="39" t="str">
        <f>TEXT(L3,"dd/mm/yyyy")</f>
        <v>05/12/2024</v>
      </c>
    </row>
    <row r="4" spans="2:15" ht="18.600000000000001" customHeight="1" x14ac:dyDescent="0.3">
      <c r="B4" s="68" t="s">
        <v>7</v>
      </c>
      <c r="C4" s="69">
        <f>'NEM INFO'!B3</f>
        <v>139.08000000000001</v>
      </c>
      <c r="D4" s="74">
        <f>'NEM INFO'!C3</f>
        <v>80.989999999999995</v>
      </c>
      <c r="E4" s="75">
        <f>'NEM INFO'!D3</f>
        <v>162.01</v>
      </c>
      <c r="F4" s="76">
        <f>'NEM INFO'!E3</f>
        <v>102.9</v>
      </c>
      <c r="G4" s="77">
        <f>'NEM INFO'!F3</f>
        <v>130.63999999999999</v>
      </c>
      <c r="H4" s="69">
        <f>ASX!B3</f>
        <v>111.58</v>
      </c>
      <c r="I4" s="69">
        <f>ASX!C3</f>
        <v>100.66</v>
      </c>
      <c r="K4" s="1"/>
      <c r="L4" s="35" t="str">
        <f>IF(LEFT(TEXT(L3,"dd"),1)="0",RIGHT(TEXT(L3,"dd"),1),TEXT(L3,"dd"))&amp;" "&amp;TEXT(L3,"mmm")</f>
        <v>5 Dec</v>
      </c>
      <c r="O4" s="21"/>
    </row>
    <row r="5" spans="2:15" ht="18.600000000000001" customHeight="1" x14ac:dyDescent="0.3">
      <c r="B5" s="68" t="s">
        <v>8</v>
      </c>
      <c r="C5" s="69">
        <f>'NEM INFO'!B4</f>
        <v>116.15</v>
      </c>
      <c r="D5" s="74">
        <f>'NEM INFO'!C4</f>
        <v>55.38</v>
      </c>
      <c r="E5" s="75">
        <f>'NEM INFO'!D4</f>
        <v>77.3</v>
      </c>
      <c r="F5" s="76">
        <f>'NEM INFO'!E4</f>
        <v>107.59</v>
      </c>
      <c r="G5" s="77">
        <f>'NEM INFO'!F4</f>
        <v>137.72</v>
      </c>
      <c r="H5" s="69">
        <f>ASX!B4</f>
        <v>107.68</v>
      </c>
      <c r="I5" s="69">
        <f>ASX!C4</f>
        <v>103.23</v>
      </c>
      <c r="K5" s="1"/>
      <c r="L5" s="7" t="s">
        <v>9</v>
      </c>
    </row>
    <row r="6" spans="2:15" ht="18.600000000000001" customHeight="1" x14ac:dyDescent="0.3">
      <c r="B6" s="68" t="s">
        <v>10</v>
      </c>
      <c r="C6" s="69">
        <f>'NEM INFO'!B5</f>
        <v>103.61</v>
      </c>
      <c r="D6" s="74">
        <f>'NEM INFO'!C5</f>
        <v>34.99</v>
      </c>
      <c r="E6" s="75">
        <f>'NEM INFO'!D5</f>
        <v>56.6</v>
      </c>
      <c r="F6" s="76">
        <f>'NEM INFO'!E5</f>
        <v>67.59</v>
      </c>
      <c r="G6" s="77">
        <f>'NEM INFO'!F5</f>
        <v>106</v>
      </c>
      <c r="H6" s="69">
        <f>ASX!B5</f>
        <v>79.489999999999995</v>
      </c>
      <c r="I6" s="69">
        <f>ASX!C5</f>
        <v>73.260000000000005</v>
      </c>
      <c r="K6" s="1"/>
      <c r="L6" s="20"/>
      <c r="M6" s="1"/>
    </row>
    <row r="7" spans="2:15" ht="18.600000000000001" customHeight="1" x14ac:dyDescent="0.3">
      <c r="B7" s="68" t="s">
        <v>11</v>
      </c>
      <c r="C7" s="69">
        <f>'NEM INFO'!B6</f>
        <v>110.1</v>
      </c>
      <c r="D7" s="74">
        <f>'NEM INFO'!C6</f>
        <v>50.88</v>
      </c>
      <c r="E7" s="75">
        <f>'NEM INFO'!D6</f>
        <v>76.540000000000006</v>
      </c>
      <c r="F7" s="76">
        <f>'NEM INFO'!E6</f>
        <v>57.02</v>
      </c>
      <c r="G7" s="77">
        <f>'NEM INFO'!F6</f>
        <v>104.91</v>
      </c>
      <c r="H7" s="68"/>
      <c r="I7" s="68"/>
      <c r="K7" s="1"/>
      <c r="L7" s="1"/>
      <c r="M7" s="1"/>
    </row>
    <row r="8" spans="2:15" ht="18.600000000000001" customHeight="1" x14ac:dyDescent="0.3">
      <c r="B8" s="64" t="s">
        <v>12</v>
      </c>
      <c r="C8" s="78">
        <f>'NEM INFO'!B7</f>
        <v>121.45</v>
      </c>
      <c r="D8" s="79">
        <f>'NEM INFO'!C7</f>
        <v>65.27</v>
      </c>
      <c r="E8" s="80">
        <f>'NEM INFO'!D7</f>
        <v>140.13</v>
      </c>
      <c r="F8" s="81">
        <f>'NEM INFO'!E7</f>
        <v>94.6</v>
      </c>
      <c r="G8" s="82">
        <f>'NEM INFO'!F7</f>
        <v>132.62</v>
      </c>
      <c r="H8" s="64"/>
      <c r="I8" s="64"/>
      <c r="K8" s="1"/>
      <c r="M8" s="1"/>
    </row>
    <row r="9" spans="2:15" ht="18.600000000000001" customHeight="1" x14ac:dyDescent="0.3">
      <c r="B9" s="68" t="s">
        <v>13</v>
      </c>
      <c r="C9" s="69">
        <f>'WEM INFO'!A2</f>
        <v>79.25</v>
      </c>
      <c r="D9" s="74">
        <f>'WEM INFO'!B2</f>
        <v>83.82</v>
      </c>
      <c r="E9" s="75">
        <f>'WEM INFO'!C2</f>
        <v>77.290000000000006</v>
      </c>
      <c r="F9" s="76">
        <f>'WEM INFO'!D2</f>
        <v>152.11000000000001</v>
      </c>
      <c r="G9" s="77">
        <f>'WEM INFO'!E2</f>
        <v>79.680000000000007</v>
      </c>
      <c r="H9" s="64"/>
      <c r="I9" s="64"/>
      <c r="K9" s="44"/>
      <c r="M9" s="1"/>
    </row>
    <row r="10" spans="2:15" ht="18.600000000000001" customHeight="1" x14ac:dyDescent="0.3">
      <c r="B10" s="68" t="s">
        <v>14</v>
      </c>
      <c r="C10" s="83">
        <f>'DKIS INFO'!A2</f>
        <v>115.75</v>
      </c>
      <c r="D10" s="74">
        <f>'DKIS INFO'!B2</f>
        <v>130.26</v>
      </c>
      <c r="E10" s="84">
        <f>'DKIS INFO'!C2</f>
        <v>127.72</v>
      </c>
      <c r="F10" s="76">
        <f>'DKIS INFO'!D2</f>
        <v>110.61</v>
      </c>
      <c r="G10" s="85">
        <f>'DKIS INFO'!E2</f>
        <v>132.44999999999999</v>
      </c>
      <c r="H10" s="64"/>
      <c r="I10" s="64"/>
      <c r="K10" s="1"/>
      <c r="M10" s="1"/>
    </row>
    <row r="11" spans="2:15" ht="18.600000000000001" customHeight="1" x14ac:dyDescent="0.3">
      <c r="B11" s="1" t="str">
        <f>"* ASX baseload calendar year futures contracts closing price ("&amp;TEXT(ASX!A1-1,"dd mmm yyyy")&amp;" 16:00)"</f>
        <v>* ASX baseload calendar year futures contracts closing price (04 Dec 2024 16:00)</v>
      </c>
      <c r="C11" s="1"/>
      <c r="D11" s="1"/>
      <c r="E11" s="1"/>
      <c r="G11" s="1"/>
      <c r="H11" s="1"/>
      <c r="I11" s="1"/>
      <c r="J11" s="1"/>
      <c r="M11" s="1"/>
    </row>
    <row r="12" spans="2:15" ht="18.600000000000001" customHeight="1" x14ac:dyDescent="0.3">
      <c r="B12" s="1" t="str">
        <f>"~ Volume weighted (or time weighted for WEM/WA) average Wholesale electricity spot price (" &amp; L3 &amp;" 00:00, or "&amp; 'WEM INFO'!A1 &amp; " 00:00 for WEM, or "&amp;'DKIS INFO'!A1&amp;" 00:00 for DKIS.)"</f>
        <v>~ Volume weighted (or time weighted for WEM/WA) average Wholesale electricity spot price (05 Dec 2024 00:00, or 05 Dec 2024 00:00 for WEM, or 02 Dec 2024 00:00 for DKIS.)</v>
      </c>
      <c r="C12" s="1"/>
      <c r="D12" s="1"/>
      <c r="E12" s="1"/>
      <c r="F12" s="1"/>
      <c r="G12" s="1"/>
      <c r="H12" s="1"/>
      <c r="I12" s="1"/>
      <c r="J12" s="1"/>
      <c r="M12" s="1"/>
    </row>
    <row r="13" spans="2:15" ht="18.600000000000001" customHeight="1" x14ac:dyDescent="0.3">
      <c r="B13" s="1" t="str">
        <f>"# 24 hour weighted average electricity price to "&amp;L3&amp;" 00:00. DKIS data is for 24 hours to "&amp;'DKIS INFO'!A1&amp;" 00:00."</f>
        <v># 24 hour weighted average electricity price to 05 Dec 2024 00:00. DKIS data is for 24 hours to 02 Dec 2024 00:00.</v>
      </c>
      <c r="C13" s="1"/>
      <c r="E13" s="1"/>
      <c r="F13" s="1"/>
      <c r="G13" s="1"/>
      <c r="H13" s="1"/>
      <c r="I13" s="1"/>
      <c r="J13" s="1"/>
      <c r="K13" s="1"/>
      <c r="M13" s="1"/>
    </row>
    <row r="14" spans="2:15" ht="18.600000000000001" customHeight="1" x14ac:dyDescent="0.3">
      <c r="B14" s="1" t="str">
        <f>"^ Ongoing quarterly weighted average Wholesale electricity spot price (as at "&amp;L3&amp;" 00:00), or "&amp;'DKIS INFO'!A1&amp;" 00:00 for DKIS."</f>
        <v>^ Ongoing quarterly weighted average Wholesale electricity spot price (as at 05 Dec 2024 00:00), or 02 Dec 2024 00:00 for DKIS.</v>
      </c>
      <c r="C14" s="1"/>
      <c r="D14" s="1"/>
      <c r="E14" s="1"/>
      <c r="F14" s="1"/>
      <c r="G14" s="1"/>
      <c r="H14" s="1"/>
      <c r="I14" s="1"/>
      <c r="J14" s="1"/>
      <c r="K14" s="1"/>
      <c r="M14" s="1"/>
    </row>
    <row r="15" spans="2:15" ht="18.600000000000001" customHeight="1" x14ac:dyDescent="0.3">
      <c r="B15" s="1" t="s">
        <v>15</v>
      </c>
      <c r="C15" s="1"/>
      <c r="D15" s="1"/>
      <c r="F15" s="1"/>
      <c r="G15" s="1"/>
      <c r="H15" s="1"/>
      <c r="I15" s="1"/>
      <c r="J15" s="1"/>
      <c r="K15" s="1"/>
      <c r="M15" s="1"/>
    </row>
    <row r="16" spans="2:15" ht="18.600000000000001" customHeight="1" x14ac:dyDescent="0.3">
      <c r="B16" s="1" t="s">
        <v>16</v>
      </c>
      <c r="C16" s="1"/>
      <c r="E16" s="6"/>
      <c r="F16" s="1"/>
      <c r="G16" s="1"/>
      <c r="H16" s="1"/>
      <c r="I16" s="1"/>
      <c r="J16" s="1"/>
      <c r="K16" s="1"/>
      <c r="M16" s="1"/>
    </row>
    <row r="17" spans="2:14" ht="18.600000000000001" customHeight="1" x14ac:dyDescent="0.3">
      <c r="B17" s="1" t="s">
        <v>17</v>
      </c>
      <c r="C17" s="1"/>
      <c r="E17" s="6"/>
      <c r="F17" s="1"/>
      <c r="G17" s="1"/>
      <c r="H17" s="1"/>
      <c r="I17" s="1"/>
      <c r="J17" s="1"/>
      <c r="K17" s="1"/>
      <c r="M17" s="1"/>
    </row>
    <row r="18" spans="2:14" ht="16.350000000000001" customHeight="1" x14ac:dyDescent="0.3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2:14" ht="18.600000000000001" customHeight="1" x14ac:dyDescent="0.3">
      <c r="B19" t="s">
        <v>18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2:14" ht="18.600000000000001" customHeight="1" x14ac:dyDescent="0.3">
      <c r="B20" s="64" t="s">
        <v>1</v>
      </c>
      <c r="C20" s="64" t="s">
        <v>19</v>
      </c>
      <c r="D20" s="64" t="s">
        <v>20</v>
      </c>
      <c r="E20" s="64" t="s">
        <v>21</v>
      </c>
      <c r="F20" s="64" t="s">
        <v>22</v>
      </c>
      <c r="G20" s="64" t="s">
        <v>23</v>
      </c>
      <c r="H20" s="64" t="s">
        <v>24</v>
      </c>
      <c r="I20" s="64" t="s">
        <v>25</v>
      </c>
      <c r="J20" s="64" t="s">
        <v>26</v>
      </c>
      <c r="K20" s="64" t="s">
        <v>27</v>
      </c>
      <c r="L20" s="64" t="s">
        <v>28</v>
      </c>
      <c r="M20" s="64" t="s">
        <v>29</v>
      </c>
    </row>
    <row r="21" spans="2:14" ht="18.600000000000001" customHeight="1" x14ac:dyDescent="0.3">
      <c r="B21" s="64" t="s">
        <v>30</v>
      </c>
      <c r="C21" s="68">
        <v>8119</v>
      </c>
      <c r="D21" s="68">
        <v>0</v>
      </c>
      <c r="E21" s="68">
        <v>2997</v>
      </c>
      <c r="F21" s="68">
        <v>714</v>
      </c>
      <c r="G21" s="68">
        <v>1011</v>
      </c>
      <c r="H21" s="68">
        <v>3690</v>
      </c>
      <c r="I21" s="68">
        <v>419</v>
      </c>
      <c r="J21" s="68">
        <v>201</v>
      </c>
      <c r="K21" s="68">
        <v>0</v>
      </c>
      <c r="L21" s="86">
        <f>SUM(C21:K21)</f>
        <v>17151</v>
      </c>
      <c r="M21" s="86">
        <f>'NEM INFO'!N3</f>
        <v>8901.56</v>
      </c>
    </row>
    <row r="22" spans="2:14" ht="18.600000000000001" customHeight="1" x14ac:dyDescent="0.3">
      <c r="B22" s="64" t="s">
        <v>31</v>
      </c>
      <c r="C22" s="68">
        <v>8270</v>
      </c>
      <c r="D22" s="68">
        <v>0</v>
      </c>
      <c r="E22" s="68">
        <v>2335</v>
      </c>
      <c r="F22" s="68">
        <v>2525</v>
      </c>
      <c r="G22" s="68">
        <v>2592</v>
      </c>
      <c r="H22" s="68">
        <v>4427</v>
      </c>
      <c r="I22" s="68">
        <v>28</v>
      </c>
      <c r="J22" s="68">
        <v>355</v>
      </c>
      <c r="K22" s="68">
        <v>0</v>
      </c>
      <c r="L22" s="86">
        <f>SUM(C22:K22)</f>
        <v>20532</v>
      </c>
      <c r="M22" s="86">
        <f>'NEM INFO'!N2</f>
        <v>9422.81</v>
      </c>
    </row>
    <row r="23" spans="2:14" ht="18.600000000000001" customHeight="1" x14ac:dyDescent="0.3">
      <c r="B23" s="64" t="s">
        <v>32</v>
      </c>
      <c r="C23" s="68">
        <v>0</v>
      </c>
      <c r="D23" s="68">
        <v>4690</v>
      </c>
      <c r="E23" s="68">
        <v>2372</v>
      </c>
      <c r="F23" s="68">
        <v>2196</v>
      </c>
      <c r="G23" s="68">
        <v>3915</v>
      </c>
      <c r="H23" s="68">
        <v>1197</v>
      </c>
      <c r="I23" s="68">
        <v>0</v>
      </c>
      <c r="J23" s="68">
        <v>651</v>
      </c>
      <c r="K23" s="68">
        <v>0</v>
      </c>
      <c r="L23" s="86">
        <f>SUM(C23:K23)</f>
        <v>15021</v>
      </c>
      <c r="M23" s="86">
        <f>'NEM INFO'!N5</f>
        <v>5511</v>
      </c>
    </row>
    <row r="24" spans="2:14" ht="18.600000000000001" customHeight="1" x14ac:dyDescent="0.3">
      <c r="B24" s="64" t="s">
        <v>33</v>
      </c>
      <c r="C24" s="68">
        <v>0</v>
      </c>
      <c r="D24" s="68">
        <v>0</v>
      </c>
      <c r="E24" s="68">
        <v>2786</v>
      </c>
      <c r="F24" s="68">
        <v>0</v>
      </c>
      <c r="G24" s="68">
        <v>2560</v>
      </c>
      <c r="H24" s="68">
        <v>729</v>
      </c>
      <c r="I24" s="68">
        <v>202</v>
      </c>
      <c r="J24" s="68">
        <v>192</v>
      </c>
      <c r="K24" s="68">
        <v>0</v>
      </c>
      <c r="L24" s="86">
        <f>SUM(C24:K24)</f>
        <v>6469</v>
      </c>
      <c r="M24" s="86">
        <f>'NEM INFO'!N4</f>
        <v>1826.37</v>
      </c>
    </row>
    <row r="25" spans="2:14" ht="18.600000000000001" customHeight="1" x14ac:dyDescent="0.3">
      <c r="B25" s="64" t="s">
        <v>34</v>
      </c>
      <c r="C25" s="68">
        <v>0</v>
      </c>
      <c r="D25" s="68">
        <v>0</v>
      </c>
      <c r="E25" s="68">
        <v>371</v>
      </c>
      <c r="F25" s="68">
        <v>2174</v>
      </c>
      <c r="G25" s="68">
        <v>427</v>
      </c>
      <c r="H25" s="68">
        <v>0</v>
      </c>
      <c r="I25" s="68">
        <v>0</v>
      </c>
      <c r="J25" s="68">
        <v>0</v>
      </c>
      <c r="K25" s="68">
        <v>0</v>
      </c>
      <c r="L25" s="86">
        <f>SUM(C25:K25)</f>
        <v>2972</v>
      </c>
      <c r="M25" s="86">
        <f>'NEM INFO'!N6</f>
        <v>1136.46</v>
      </c>
    </row>
    <row r="26" spans="2:14" ht="18.600000000000001" customHeight="1" x14ac:dyDescent="0.3">
      <c r="B26" s="64" t="s">
        <v>35</v>
      </c>
      <c r="C26" s="64">
        <f t="shared" ref="C26:L26" si="0">SUM(C21:C25)</f>
        <v>16389</v>
      </c>
      <c r="D26" s="64">
        <f t="shared" si="0"/>
        <v>4690</v>
      </c>
      <c r="E26" s="64">
        <f t="shared" si="0"/>
        <v>10861</v>
      </c>
      <c r="F26" s="64">
        <f t="shared" si="0"/>
        <v>7609</v>
      </c>
      <c r="G26" s="64">
        <f t="shared" si="0"/>
        <v>10505</v>
      </c>
      <c r="H26" s="64">
        <f t="shared" si="0"/>
        <v>10043</v>
      </c>
      <c r="I26" s="64">
        <f t="shared" si="0"/>
        <v>649</v>
      </c>
      <c r="J26" s="64">
        <f t="shared" si="0"/>
        <v>1399</v>
      </c>
      <c r="K26" s="64">
        <f t="shared" si="0"/>
        <v>0</v>
      </c>
      <c r="L26" s="64">
        <f t="shared" si="0"/>
        <v>62145</v>
      </c>
      <c r="M26" s="87">
        <f>'NEM INFO'!N7</f>
        <v>26398.01</v>
      </c>
      <c r="N26" s="22"/>
    </row>
    <row r="27" spans="2:14" ht="18.600000000000001" customHeight="1" x14ac:dyDescent="0.3">
      <c r="B27" s="64" t="s">
        <v>36</v>
      </c>
      <c r="C27" s="88">
        <v>1566.9</v>
      </c>
      <c r="D27" s="88">
        <v>0</v>
      </c>
      <c r="E27" s="88">
        <v>3138</v>
      </c>
      <c r="F27" s="88">
        <v>0</v>
      </c>
      <c r="G27" s="88">
        <v>1081</v>
      </c>
      <c r="H27" s="88">
        <v>118.71</v>
      </c>
      <c r="I27" s="88">
        <v>104.1</v>
      </c>
      <c r="J27" s="88">
        <v>100</v>
      </c>
      <c r="K27" s="88">
        <v>65.13</v>
      </c>
      <c r="L27" s="86">
        <f>SUM(C27:K27)</f>
        <v>6173.84</v>
      </c>
      <c r="M27" s="86">
        <f>'WEM INFO'!M3</f>
        <v>2452.3589999999999</v>
      </c>
    </row>
    <row r="28" spans="2:14" ht="18.600000000000001" customHeight="1" x14ac:dyDescent="0.3">
      <c r="B28" s="64" t="s">
        <v>37</v>
      </c>
      <c r="C28" s="88">
        <v>0</v>
      </c>
      <c r="D28" s="88">
        <v>0</v>
      </c>
      <c r="E28" s="88">
        <v>553.29999999999973</v>
      </c>
      <c r="F28" s="88">
        <v>0</v>
      </c>
      <c r="G28" s="88">
        <v>0</v>
      </c>
      <c r="H28" s="88">
        <v>72.100000000000009</v>
      </c>
      <c r="I28" s="88">
        <v>4.7</v>
      </c>
      <c r="J28" s="88">
        <v>0</v>
      </c>
      <c r="K28" s="88">
        <v>38</v>
      </c>
      <c r="L28" s="86">
        <f>SUM(C28:K28)</f>
        <v>668.0999999999998</v>
      </c>
      <c r="M28" s="86">
        <f>'DKIS INFO'!M2</f>
        <v>240.37998962402341</v>
      </c>
    </row>
    <row r="29" spans="2:14" ht="18.600000000000001" customHeight="1" x14ac:dyDescent="0.3">
      <c r="B29" s="1" t="s">
        <v>38</v>
      </c>
      <c r="C29" s="5"/>
      <c r="D29" s="5"/>
      <c r="E29" s="5"/>
      <c r="F29" s="5"/>
      <c r="G29" s="5"/>
      <c r="H29" s="5"/>
      <c r="I29" s="5"/>
      <c r="J29" s="5"/>
      <c r="K29" s="5"/>
      <c r="L29" s="4"/>
      <c r="M29" s="4"/>
    </row>
    <row r="30" spans="2:14" ht="18.600000000000001" customHeight="1" x14ac:dyDescent="0.3">
      <c r="B30" s="1" t="s">
        <v>39</v>
      </c>
      <c r="C30" s="1"/>
      <c r="D30" s="1"/>
      <c r="E30" s="1"/>
      <c r="F30" s="1"/>
      <c r="G30" s="3"/>
      <c r="H30" s="3"/>
      <c r="I30" s="3"/>
      <c r="J30" s="3"/>
      <c r="K30" s="3"/>
      <c r="L30" s="3"/>
      <c r="M30" s="3"/>
      <c r="N30" s="2"/>
    </row>
    <row r="31" spans="2:14" ht="18.600000000000001" customHeight="1" x14ac:dyDescent="0.3">
      <c r="B31" s="1" t="s">
        <v>40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2:14" ht="18.600000000000001" customHeight="1" x14ac:dyDescent="0.3">
      <c r="B32" s="1" t="str">
        <f>"^ Peak daily demand (MW) in 24 hours to "&amp;L3&amp;" 00:00, or to "&amp;'WEM INFO'!A1&amp;" 00:00 for WEM, or to "&amp;'DKIS INFO'!A1&amp;" 00:00 for DKIS."</f>
        <v>^ Peak daily demand (MW) in 24 hours to 05 Dec 2024 00:00, or to 05 Dec 2024 00:00 for WEM, or to 02 Dec 2024 00:00 for DKIS.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2:13" ht="18.600000000000001" customHeight="1" x14ac:dyDescent="0.3">
      <c r="B33" s="1"/>
      <c r="G33" s="1"/>
      <c r="H33" s="1"/>
      <c r="I33" s="1"/>
      <c r="J33" s="1"/>
      <c r="K33" s="1"/>
      <c r="L33" s="1"/>
      <c r="M33" s="1"/>
    </row>
  </sheetData>
  <pageMargins left="0.7" right="0.7" top="0.75" bottom="0.75" header="0.3" footer="0.3"/>
  <pageSetup paperSize="9" scale="40" orientation="landscape" horizontalDpi="300" verticalDpi="300" r:id="rId1"/>
  <headerFooter>
    <oddHeader>&amp;C&amp;"Calibri"&amp;11&amp;K000000&amp;"Calibri"&amp;11&amp;K000000&amp;"Calibri"&amp;11&amp;K000000&amp;"Calibri"&amp;11&amp;K000000&amp;"Calibri"&amp;11&amp;K000000&amp;"Calibri"&amp;11&amp;K000000&amp;"Calibri"&amp;11&amp;K000000&amp;"Calibri"&amp;11&amp;K000000&amp;"Calibri"&amp;11&amp;K000000&amp;"Calibri"&amp;1 &amp;KFF0000 OFFICIAL#_x000D_</oddHeader>
    <oddFooter>&amp;C&amp;"Calibri"&amp;12 &amp;KFF0000_x000D_# OFFICIAL</oddFooter>
  </headerFooter>
  <colBreaks count="1" manualBreakCount="1">
    <brk id="14" max="22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39997558519241921"/>
  </sheetPr>
  <dimension ref="B1:Z55"/>
  <sheetViews>
    <sheetView topLeftCell="B1" zoomScaleNormal="100" workbookViewId="0">
      <selection activeCell="K14" sqref="K14:L14"/>
    </sheetView>
  </sheetViews>
  <sheetFormatPr defaultRowHeight="15" x14ac:dyDescent="0.25"/>
  <cols>
    <col min="2" max="2" width="17.42578125" customWidth="1"/>
    <col min="3" max="3" width="12" bestFit="1" customWidth="1"/>
    <col min="4" max="4" width="11.5703125" bestFit="1" customWidth="1"/>
    <col min="5" max="6" width="9.5703125" bestFit="1" customWidth="1"/>
    <col min="7" max="7" width="25.42578125" customWidth="1"/>
    <col min="8" max="8" width="12.42578125" customWidth="1"/>
    <col min="9" max="9" width="10.42578125" customWidth="1"/>
    <col min="10" max="10" width="10" bestFit="1" customWidth="1"/>
    <col min="11" max="11" width="11.42578125" bestFit="1" customWidth="1"/>
    <col min="12" max="12" width="18.140625" bestFit="1" customWidth="1"/>
    <col min="13" max="13" width="10.5703125" customWidth="1"/>
    <col min="14" max="14" width="15.5703125" customWidth="1"/>
    <col min="15" max="15" width="12.42578125" customWidth="1"/>
    <col min="23" max="23" width="9.42578125" bestFit="1" customWidth="1"/>
  </cols>
  <sheetData>
    <row r="1" spans="2:15" ht="15" customHeight="1" thickBot="1" x14ac:dyDescent="0.3"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25"/>
    </row>
    <row r="2" spans="2:15" ht="15" customHeight="1" thickBot="1" x14ac:dyDescent="0.3">
      <c r="B2" s="9"/>
      <c r="C2" s="10" t="s">
        <v>41</v>
      </c>
      <c r="L2" s="23"/>
      <c r="M2" s="26"/>
    </row>
    <row r="3" spans="2:15" ht="24.6" customHeight="1" thickBot="1" x14ac:dyDescent="0.3">
      <c r="B3" s="110" t="s">
        <v>42</v>
      </c>
      <c r="C3" s="109" t="s">
        <v>43</v>
      </c>
      <c r="D3" s="105"/>
      <c r="E3" s="103"/>
      <c r="F3" s="40">
        <f t="shared" ref="F3:K3" si="0">G3-1</f>
        <v>45624</v>
      </c>
      <c r="G3" s="40">
        <f t="shared" si="0"/>
        <v>45625</v>
      </c>
      <c r="H3" s="40">
        <f t="shared" si="0"/>
        <v>45626</v>
      </c>
      <c r="I3" s="40">
        <f t="shared" si="0"/>
        <v>45627</v>
      </c>
      <c r="J3" s="40">
        <f t="shared" si="0"/>
        <v>45628</v>
      </c>
      <c r="K3" s="40">
        <f t="shared" si="0"/>
        <v>45629</v>
      </c>
      <c r="L3" s="40">
        <f>DailyData!M3-1</f>
        <v>45630</v>
      </c>
      <c r="M3" s="41" t="s">
        <v>44</v>
      </c>
    </row>
    <row r="4" spans="2:15" ht="15" customHeight="1" thickBot="1" x14ac:dyDescent="0.3">
      <c r="B4" s="111"/>
      <c r="C4" s="104" t="s">
        <v>6</v>
      </c>
      <c r="D4" s="105"/>
      <c r="E4" s="103"/>
      <c r="F4" s="12">
        <f>'NEM INFO'!G2</f>
        <v>171.66</v>
      </c>
      <c r="G4" s="12">
        <f>'NEM INFO'!H2</f>
        <v>284.85000000000002</v>
      </c>
      <c r="H4" s="12">
        <f>'NEM INFO'!I2</f>
        <v>160.05000000000001</v>
      </c>
      <c r="I4" s="12">
        <f>'NEM INFO'!J2</f>
        <v>123.18</v>
      </c>
      <c r="J4" s="12">
        <f>'NEM INFO'!K2</f>
        <v>850.23</v>
      </c>
      <c r="K4" s="12">
        <f>'NEM INFO'!L2</f>
        <v>394.31</v>
      </c>
      <c r="L4" s="97">
        <f>'NEM INFO'!M2</f>
        <v>116.25</v>
      </c>
      <c r="M4" s="59">
        <f t="shared" ref="M4:M10" si="1">AVERAGE(F4:L4)</f>
        <v>300.07571428571424</v>
      </c>
    </row>
    <row r="5" spans="2:15" ht="15" customHeight="1" thickBot="1" x14ac:dyDescent="0.3">
      <c r="B5" s="111"/>
      <c r="C5" s="104" t="s">
        <v>7</v>
      </c>
      <c r="D5" s="105"/>
      <c r="E5" s="103"/>
      <c r="F5" s="12">
        <f>'NEM INFO'!G3</f>
        <v>144.55000000000001</v>
      </c>
      <c r="G5" s="12">
        <f>'NEM INFO'!H3</f>
        <v>151.38999999999999</v>
      </c>
      <c r="H5" s="12">
        <f>'NEM INFO'!I3</f>
        <v>159.47</v>
      </c>
      <c r="I5" s="12">
        <f>'NEM INFO'!J3</f>
        <v>131.84</v>
      </c>
      <c r="J5" s="12">
        <f>'NEM INFO'!K3</f>
        <v>722.23</v>
      </c>
      <c r="K5" s="12">
        <f>'NEM INFO'!L3</f>
        <v>170.64</v>
      </c>
      <c r="L5" s="97">
        <f>'NEM INFO'!M3</f>
        <v>139.08000000000001</v>
      </c>
      <c r="M5" s="59">
        <f t="shared" si="1"/>
        <v>231.31428571428569</v>
      </c>
      <c r="O5" s="46">
        <v>91.69</v>
      </c>
    </row>
    <row r="6" spans="2:15" ht="15" customHeight="1" thickBot="1" x14ac:dyDescent="0.3">
      <c r="B6" s="111"/>
      <c r="C6" s="104" t="s">
        <v>8</v>
      </c>
      <c r="D6" s="105"/>
      <c r="E6" s="103"/>
      <c r="F6" s="12">
        <f>'NEM INFO'!G4</f>
        <v>90.09</v>
      </c>
      <c r="G6" s="12">
        <f>'NEM INFO'!H4</f>
        <v>119.72</v>
      </c>
      <c r="H6" s="12">
        <f>'NEM INFO'!I4</f>
        <v>128.16999999999999</v>
      </c>
      <c r="I6" s="12">
        <f>'NEM INFO'!J4</f>
        <v>88.45</v>
      </c>
      <c r="J6" s="12">
        <f>'NEM INFO'!K4</f>
        <v>93.21</v>
      </c>
      <c r="K6" s="12">
        <f>'NEM INFO'!L4</f>
        <v>95.14</v>
      </c>
      <c r="L6" s="97">
        <f>'NEM INFO'!M4</f>
        <v>116.15</v>
      </c>
      <c r="M6" s="59">
        <f t="shared" si="1"/>
        <v>104.41857142857143</v>
      </c>
    </row>
    <row r="7" spans="2:15" ht="15" customHeight="1" thickBot="1" x14ac:dyDescent="0.3">
      <c r="B7" s="111"/>
      <c r="C7" s="104" t="s">
        <v>10</v>
      </c>
      <c r="D7" s="105"/>
      <c r="E7" s="103"/>
      <c r="F7" s="12">
        <f>'NEM INFO'!G5</f>
        <v>90.52</v>
      </c>
      <c r="G7" s="12">
        <f>'NEM INFO'!H5</f>
        <v>128.15</v>
      </c>
      <c r="H7" s="12">
        <f>'NEM INFO'!I5</f>
        <v>138.86000000000001</v>
      </c>
      <c r="I7" s="12">
        <f>'NEM INFO'!J5</f>
        <v>55.82</v>
      </c>
      <c r="J7" s="12">
        <f>'NEM INFO'!K5</f>
        <v>103.07</v>
      </c>
      <c r="K7" s="12">
        <f>'NEM INFO'!L5</f>
        <v>69.58</v>
      </c>
      <c r="L7" s="97">
        <f>'NEM INFO'!M5</f>
        <v>103.61</v>
      </c>
      <c r="M7" s="59">
        <f t="shared" si="1"/>
        <v>98.51571428571431</v>
      </c>
    </row>
    <row r="8" spans="2:15" ht="15" customHeight="1" thickBot="1" x14ac:dyDescent="0.3">
      <c r="B8" s="111"/>
      <c r="C8" s="104" t="s">
        <v>11</v>
      </c>
      <c r="D8" s="105"/>
      <c r="E8" s="103"/>
      <c r="F8" s="12">
        <f>'NEM INFO'!G6</f>
        <v>106.62</v>
      </c>
      <c r="G8" s="12">
        <f>'NEM INFO'!H6</f>
        <v>121.95</v>
      </c>
      <c r="H8" s="12">
        <f>'NEM INFO'!I6</f>
        <v>131.46</v>
      </c>
      <c r="I8" s="12">
        <f>'NEM INFO'!J6</f>
        <v>55.23</v>
      </c>
      <c r="J8" s="12">
        <f>'NEM INFO'!K6</f>
        <v>84.7</v>
      </c>
      <c r="K8" s="12">
        <f>'NEM INFO'!L6</f>
        <v>186.11</v>
      </c>
      <c r="L8" s="97">
        <f>'NEM INFO'!M6</f>
        <v>110.1</v>
      </c>
      <c r="M8" s="59">
        <f t="shared" si="1"/>
        <v>113.73857142857142</v>
      </c>
    </row>
    <row r="9" spans="2:15" ht="15" customHeight="1" thickBot="1" x14ac:dyDescent="0.3">
      <c r="B9" s="111"/>
      <c r="C9" s="104" t="s">
        <v>12</v>
      </c>
      <c r="D9" s="105"/>
      <c r="E9" s="103"/>
      <c r="F9" s="13">
        <f>'NEM INFO'!G7</f>
        <v>139.4</v>
      </c>
      <c r="G9" s="13">
        <f>'NEM INFO'!H7</f>
        <v>193.29</v>
      </c>
      <c r="H9" s="13">
        <f>'NEM INFO'!I7</f>
        <v>152.41999999999999</v>
      </c>
      <c r="I9" s="13">
        <f>'NEM INFO'!J7</f>
        <v>108.19</v>
      </c>
      <c r="J9" s="13">
        <f>'NEM INFO'!K7</f>
        <v>570.29</v>
      </c>
      <c r="K9" s="13">
        <f>'NEM INFO'!L7</f>
        <v>230.24</v>
      </c>
      <c r="L9" s="98">
        <f>'NEM INFO'!M7</f>
        <v>121.45</v>
      </c>
      <c r="M9" s="59">
        <f t="shared" si="1"/>
        <v>216.46857142857144</v>
      </c>
    </row>
    <row r="10" spans="2:15" ht="15" customHeight="1" thickBot="1" x14ac:dyDescent="0.3">
      <c r="B10" s="111"/>
      <c r="C10" s="104" t="s">
        <v>45</v>
      </c>
      <c r="D10" s="105"/>
      <c r="E10" s="103"/>
      <c r="F10" s="14">
        <f>'WEM INFO'!F2</f>
        <v>77.33</v>
      </c>
      <c r="G10" s="14">
        <f>'WEM INFO'!G2</f>
        <v>97.27</v>
      </c>
      <c r="H10" s="14">
        <f>'WEM INFO'!H2</f>
        <v>98.39</v>
      </c>
      <c r="I10" s="14">
        <f>'WEM INFO'!I2</f>
        <v>76.61</v>
      </c>
      <c r="J10" s="14">
        <f>'WEM INFO'!J2</f>
        <v>82.7</v>
      </c>
      <c r="K10" s="14">
        <f>'WEM INFO'!K2</f>
        <v>96.95</v>
      </c>
      <c r="L10" s="99">
        <f>'WEM INFO'!L2</f>
        <v>79.25</v>
      </c>
      <c r="M10" s="59">
        <f t="shared" si="1"/>
        <v>86.928571428571431</v>
      </c>
    </row>
    <row r="11" spans="2:15" ht="15" customHeight="1" thickBot="1" x14ac:dyDescent="0.3">
      <c r="B11" s="111"/>
      <c r="C11" s="114" t="s">
        <v>46</v>
      </c>
      <c r="D11" s="105"/>
      <c r="E11" s="105"/>
      <c r="F11" s="105"/>
      <c r="G11" s="105"/>
      <c r="H11" s="105"/>
      <c r="I11" s="105"/>
      <c r="J11" s="105"/>
      <c r="K11" s="105"/>
      <c r="L11" s="105"/>
      <c r="M11" s="60">
        <f>H14/I14-1</f>
        <v>0.40190274841437645</v>
      </c>
    </row>
    <row r="12" spans="2:15" ht="32.1" customHeight="1" thickBot="1" x14ac:dyDescent="0.35">
      <c r="B12" s="111"/>
      <c r="C12" s="113" t="s">
        <v>47</v>
      </c>
      <c r="D12" s="105"/>
      <c r="E12" s="103"/>
      <c r="F12" s="29" t="s">
        <v>48</v>
      </c>
      <c r="G12" s="30"/>
      <c r="H12" s="102" t="s">
        <v>47</v>
      </c>
      <c r="I12" s="105"/>
      <c r="J12" s="103"/>
      <c r="K12" s="102" t="s">
        <v>47</v>
      </c>
      <c r="L12" s="103"/>
      <c r="M12" s="60">
        <f>H14/J14-1</f>
        <v>0.41869918699186992</v>
      </c>
      <c r="O12" s="6"/>
    </row>
    <row r="13" spans="2:15" ht="21.6" customHeight="1" thickBot="1" x14ac:dyDescent="0.3">
      <c r="B13" s="111"/>
      <c r="C13" s="15" t="str">
        <f>'NEM INFO'!U1</f>
        <v>Q3 2024</v>
      </c>
      <c r="D13" s="15" t="str">
        <f>'NEM INFO'!V1</f>
        <v>Q3 2023</v>
      </c>
      <c r="E13" s="15" t="str">
        <f>'NEM INFO'!W1</f>
        <v>Q2 2023</v>
      </c>
      <c r="F13" s="16" t="str">
        <f>LEFT(C13,3)&amp;RIGHT(C13,2)&amp;" vs "&amp;LEFT(D13,3)&amp;RIGHT(D13,2)</f>
        <v>Q3 24 vs Q3 23</v>
      </c>
      <c r="G13" s="55" t="str">
        <f>LEFT(C13,3)&amp;RIGHT(C13,2)&amp;" vs "&amp;LEFT(E13,3)&amp;RIGHT(E13,2)</f>
        <v>Q3 24 vs Q2 23</v>
      </c>
      <c r="H13" s="16" t="str">
        <f>RIGHT(C13,4)&amp;" YTD Average"</f>
        <v>2024 YTD Average</v>
      </c>
      <c r="I13" s="16" t="str">
        <f>RIGHT(D13,4)&amp;" YTD Average"</f>
        <v>2023 YTD Average</v>
      </c>
      <c r="J13" s="16" t="str">
        <f>RIGHT(D13,4)&amp;" CY Average"</f>
        <v>2023 CY Average</v>
      </c>
      <c r="K13" s="16" t="str">
        <f>RIGHT(C13,4)&amp;" YTD vs "&amp;RIGHT(D13,4)&amp;" YTD"</f>
        <v>2024 YTD vs 2023 YTD</v>
      </c>
      <c r="L13" s="16" t="str">
        <f>RIGHT(C13,4)&amp;" YTD vs "&amp;RIGHT(D13,4)&amp;" CY"</f>
        <v>2024 YTD vs 2023 CY</v>
      </c>
      <c r="M13" s="61">
        <f>C14/D14-1</f>
        <v>0.75639542357629486</v>
      </c>
      <c r="N13" s="9"/>
    </row>
    <row r="14" spans="2:15" ht="15" customHeight="1" thickBot="1" x14ac:dyDescent="0.3">
      <c r="B14" s="112"/>
      <c r="C14" s="27">
        <f>'NEM INFO'!U7</f>
        <v>136.63</v>
      </c>
      <c r="D14" s="27">
        <f>'NEM INFO'!V7</f>
        <v>77.790000000000006</v>
      </c>
      <c r="E14" s="27">
        <f>'NEM INFO'!W7</f>
        <v>150.94</v>
      </c>
      <c r="F14" s="28" t="str">
        <f>IF(M13&lt;0,ROUND(100*M13,0)&amp;"%","+"&amp;ROUND(100*M13,0)&amp;"%")</f>
        <v>+76%</v>
      </c>
      <c r="G14" s="28" t="str">
        <f>IF(M14&lt;0,ROUND(100*M14,0)&amp;"%","+"&amp;ROUND(100*M14,0)&amp;"%")</f>
        <v>-9%</v>
      </c>
      <c r="H14" s="93">
        <f>DailyData!G8</f>
        <v>132.62</v>
      </c>
      <c r="I14" s="93">
        <f>DailyData!F8</f>
        <v>94.6</v>
      </c>
      <c r="J14" s="18">
        <f>'NEM INFO'!X7</f>
        <v>93.48</v>
      </c>
      <c r="K14" s="100" t="str">
        <f>IF(M11&lt;0,ROUND(100*M11,0)&amp;"%","+"&amp;ROUND(100*M11,0)&amp;"%")</f>
        <v>+40%</v>
      </c>
      <c r="L14" s="100" t="str">
        <f>IF(M12&lt;0,ROUND(100*M12,0)&amp;"%","+"&amp;ROUND(100*M12,0)&amp;"%")</f>
        <v>+42%</v>
      </c>
      <c r="M14" s="62">
        <f>C14/E14-1</f>
        <v>-9.4805883132370483E-2</v>
      </c>
    </row>
    <row r="15" spans="2:15" ht="15" customHeight="1" x14ac:dyDescent="0.25">
      <c r="C15" s="48"/>
      <c r="D15" s="49"/>
      <c r="E15" s="50"/>
      <c r="F15" s="51"/>
      <c r="G15" s="51"/>
      <c r="H15" s="52"/>
      <c r="I15" s="52"/>
      <c r="J15" s="52"/>
      <c r="K15" s="51"/>
      <c r="L15" s="51"/>
    </row>
    <row r="16" spans="2:15" ht="15" customHeight="1" x14ac:dyDescent="0.25">
      <c r="B16" s="54" t="str">
        <f>" The National Electricity Market (NEM) volume weighted average spot price on "&amp;TEXT(L3,"dd mmm yyyy")&amp;" was $"&amp;ROUND(L9,0)&amp;"/MWh."</f>
        <v xml:space="preserve"> The National Electricity Market (NEM) volume weighted average spot price on 04 Dec 2024 was $121/MWh.</v>
      </c>
      <c r="C16" s="48"/>
      <c r="D16" s="49"/>
      <c r="E16" s="50"/>
      <c r="F16" s="51"/>
      <c r="G16" s="51"/>
      <c r="H16" s="52"/>
      <c r="I16" s="52"/>
      <c r="J16" s="52"/>
      <c r="K16" s="51"/>
      <c r="L16" s="51"/>
    </row>
    <row r="17" spans="2:26" ht="15" customHeight="1" x14ac:dyDescent="0.25">
      <c r="B17" s="53" t="str">
        <f>"The "&amp;TEXT(L3,"mmmm")&amp;"-to-date monthly average price is currently $"&amp;ROUND('NEM INFO'!O7,0)&amp;"/MWh, which is "&amp;ABS(ROUND(100*('NEM INFO'!O7/'NEM INFO'!P7-1),0))&amp;" per cent "&amp;IF('NEM INFO'!O7&lt;'NEM INFO'!P7,"lower","higher")&amp;" than the "&amp;TEXT(L3,"mmmm")&amp;" 2023 monthly average price of $"&amp;ROUND('NEM INFO'!P7,0)&amp;"/MWh."</f>
        <v>The December-to-date monthly average price is currently $264/MWh, which is 242 per cent higher than the December 2023 monthly average price of $77/MWh.</v>
      </c>
      <c r="D17" s="49"/>
      <c r="E17" s="50"/>
      <c r="F17" s="51"/>
      <c r="G17" s="51"/>
      <c r="H17" s="52"/>
      <c r="I17" s="52"/>
      <c r="J17" s="52"/>
      <c r="K17" s="51"/>
    </row>
    <row r="18" spans="2:26" x14ac:dyDescent="0.25">
      <c r="B18" s="53" t="str">
        <f>"The monthly average price for "&amp;TEXT(EOMONTH(L3,-1),"mmmm")&amp;" 2024 was $"&amp;ROUND('NEM INFO'!Q7,0)&amp;"/MWh, which was "&amp;ABS(ROUND(100*('NEM INFO'!Q7/'NEM INFO'!R7-1),0))&amp;" per cent "&amp;IF('NEM INFO'!Q7&lt;'NEM INFO'!R7,"lower","higher")&amp;" than the "&amp;TEXT(EOMONTH(L3,-1),"mmmm")&amp;" 2023 average price of $"&amp;ROUND('NEM INFO'!R7,0)&amp;"/MWh."</f>
        <v>The monthly average price for November 2024 was $189/MWh, which was 148 per cent higher than the November 2023 average price of $76/MWh.</v>
      </c>
      <c r="L18" s="53"/>
    </row>
    <row r="19" spans="2:26" ht="15" customHeight="1" thickBot="1" x14ac:dyDescent="0.3"/>
    <row r="20" spans="2:26" ht="15" customHeight="1" thickBot="1" x14ac:dyDescent="0.3">
      <c r="B20" s="31"/>
      <c r="C20" s="32" t="s">
        <v>49</v>
      </c>
      <c r="D20" s="24"/>
      <c r="E20" s="24"/>
      <c r="F20" s="24"/>
      <c r="G20" s="24"/>
      <c r="H20" s="24"/>
      <c r="I20" s="24"/>
      <c r="J20" s="33"/>
    </row>
    <row r="21" spans="2:26" ht="21.6" customHeight="1" thickBot="1" x14ac:dyDescent="0.3">
      <c r="B21" s="106" t="s">
        <v>50</v>
      </c>
      <c r="C21" s="11" t="s">
        <v>43</v>
      </c>
      <c r="D21" s="42" t="str">
        <f>TEXT(E21-1,"dd/mm/yyy")</f>
        <v>06/12/2024</v>
      </c>
      <c r="E21" s="42" t="str">
        <f>TEXT('7 Day Outlook'!C1,"dd/mm/yyyy")</f>
        <v>07/12/2024</v>
      </c>
      <c r="F21" s="42" t="str">
        <f>TEXT('7 Day Outlook'!D1,"dd/mm/yyyy")</f>
        <v>08/12/2024</v>
      </c>
      <c r="G21" s="42" t="str">
        <f>TEXT('7 Day Outlook'!E1,"dd/mm/yyyy")</f>
        <v>09/12/2024</v>
      </c>
      <c r="H21" s="42" t="str">
        <f>TEXT('7 Day Outlook'!F1,"dd/mm/yyyy")</f>
        <v>10/12/2024</v>
      </c>
      <c r="I21" s="42" t="str">
        <f>TEXT('7 Day Outlook'!G1,"dd/mm/yyyy")</f>
        <v>11/12/2024</v>
      </c>
      <c r="J21" s="43" t="str">
        <f>TEXT('7 Day Outlook'!H1,"dd/mm/yyyy")</f>
        <v>12/12/2024</v>
      </c>
    </row>
    <row r="22" spans="2:26" x14ac:dyDescent="0.25">
      <c r="B22" s="107"/>
      <c r="C22" s="89" t="s">
        <v>6</v>
      </c>
      <c r="D22" s="90" t="str">
        <f>'7 Day Outlook'!B2</f>
        <v>10706</v>
      </c>
      <c r="E22" s="90" t="str">
        <f>'7 Day Outlook'!C2</f>
        <v>11283</v>
      </c>
      <c r="F22" s="90" t="str">
        <f>'7 Day Outlook'!D2</f>
        <v>8724</v>
      </c>
      <c r="G22" s="90" t="str">
        <f>'7 Day Outlook'!E2</f>
        <v>8931</v>
      </c>
      <c r="H22" s="90" t="str">
        <f>'7 Day Outlook'!F2</f>
        <v>9312</v>
      </c>
      <c r="I22" s="90" t="str">
        <f>'7 Day Outlook'!G2</f>
        <v>9245</v>
      </c>
      <c r="J22" s="56" t="str">
        <f>'7 Day Outlook'!H2</f>
        <v>7137</v>
      </c>
    </row>
    <row r="23" spans="2:26" x14ac:dyDescent="0.25">
      <c r="B23" s="107"/>
      <c r="C23" s="91" t="s">
        <v>7</v>
      </c>
      <c r="D23" s="90" t="str">
        <f>'7 Day Outlook'!B3</f>
        <v>8383</v>
      </c>
      <c r="E23" s="90" t="str">
        <f>'7 Day Outlook'!C3</f>
        <v>8187</v>
      </c>
      <c r="F23" s="90" t="str">
        <f>'7 Day Outlook'!D3</f>
        <v>9098</v>
      </c>
      <c r="G23" s="90" t="str">
        <f>'7 Day Outlook'!E3</f>
        <v>8907</v>
      </c>
      <c r="H23" s="90" t="str">
        <f>'7 Day Outlook'!F3</f>
        <v>8778</v>
      </c>
      <c r="I23" s="90" t="str">
        <f>'7 Day Outlook'!G3</f>
        <v>8893</v>
      </c>
      <c r="J23" s="56" t="str">
        <f>'7 Day Outlook'!H3</f>
        <v>6453</v>
      </c>
    </row>
    <row r="24" spans="2:26" x14ac:dyDescent="0.25">
      <c r="B24" s="107"/>
      <c r="C24" s="91" t="s">
        <v>8</v>
      </c>
      <c r="D24" s="90" t="str">
        <f>'7 Day Outlook'!B4</f>
        <v>2331</v>
      </c>
      <c r="E24" s="90" t="str">
        <f>'7 Day Outlook'!C4</f>
        <v>1624</v>
      </c>
      <c r="F24" s="90" t="str">
        <f>'7 Day Outlook'!D4</f>
        <v>1402</v>
      </c>
      <c r="G24" s="90" t="str">
        <f>'7 Day Outlook'!E4</f>
        <v>1561</v>
      </c>
      <c r="H24" s="90" t="str">
        <f>'7 Day Outlook'!F4</f>
        <v>1614</v>
      </c>
      <c r="I24" s="90" t="str">
        <f>'7 Day Outlook'!G4</f>
        <v>1502</v>
      </c>
      <c r="J24" s="56" t="str">
        <f>'7 Day Outlook'!H4</f>
        <v>1352</v>
      </c>
    </row>
    <row r="25" spans="2:26" x14ac:dyDescent="0.25">
      <c r="B25" s="107"/>
      <c r="C25" s="91" t="s">
        <v>10</v>
      </c>
      <c r="D25" s="90" t="str">
        <f>'7 Day Outlook'!B5</f>
        <v>6549</v>
      </c>
      <c r="E25" s="90" t="str">
        <f>'7 Day Outlook'!C5</f>
        <v>5538</v>
      </c>
      <c r="F25" s="90" t="str">
        <f>'7 Day Outlook'!D5</f>
        <v>4724</v>
      </c>
      <c r="G25" s="90" t="str">
        <f>'7 Day Outlook'!E5</f>
        <v>5159</v>
      </c>
      <c r="H25" s="90" t="str">
        <f>'7 Day Outlook'!F5</f>
        <v>5196</v>
      </c>
      <c r="I25" s="90" t="str">
        <f>'7 Day Outlook'!G5</f>
        <v>5115</v>
      </c>
      <c r="J25" s="56" t="str">
        <f>'7 Day Outlook'!H5</f>
        <v>4298</v>
      </c>
    </row>
    <row r="26" spans="2:26" ht="15" customHeight="1" thickBot="1" x14ac:dyDescent="0.3">
      <c r="B26" s="108"/>
      <c r="C26" s="34" t="s">
        <v>11</v>
      </c>
      <c r="D26" s="57" t="str">
        <f>'7 Day Outlook'!B6</f>
        <v>1221</v>
      </c>
      <c r="E26" s="57" t="str">
        <f>'7 Day Outlook'!C6</f>
        <v>1190</v>
      </c>
      <c r="F26" s="57" t="str">
        <f>'7 Day Outlook'!D6</f>
        <v>1145</v>
      </c>
      <c r="G26" s="57" t="str">
        <f>'7 Day Outlook'!E6</f>
        <v>1177</v>
      </c>
      <c r="H26" s="57" t="str">
        <f>'7 Day Outlook'!F6</f>
        <v>1174</v>
      </c>
      <c r="I26" s="57" t="str">
        <f>'7 Day Outlook'!G6</f>
        <v>1196</v>
      </c>
      <c r="J26" s="58" t="str">
        <f>'7 Day Outlook'!H6</f>
        <v>1001</v>
      </c>
    </row>
    <row r="28" spans="2:26" ht="15" customHeight="1" x14ac:dyDescent="0.25"/>
    <row r="29" spans="2:26" ht="15" customHeight="1" x14ac:dyDescent="0.25">
      <c r="B29" s="53" t="str">
        <f>"The 28 day average price to date is $"&amp;ROUND('NEM INFO'!S7,0)&amp;"/MWh, which is "&amp;ABS(ROUND(100*('NEM INFO'!S7/'NEM INFO'!T7-1),0))&amp;" per cent "&amp;IF('NEM INFO'!Y7&lt;'NEM INFO'!Z7,"lower","higher")&amp;" than the 28 day average price last year of $"&amp;ROUND('NEM INFO'!T7,0)&amp;"/MWh."</f>
        <v>The 28 day average price to date is $223/MWh, which is 175 per cent higher than the 28 day average price last year of $81/MWh.</v>
      </c>
    </row>
    <row r="30" spans="2:26" ht="12" customHeight="1" x14ac:dyDescent="0.25">
      <c r="F30" s="36"/>
      <c r="G30" s="36"/>
      <c r="H30" s="36"/>
      <c r="I30" s="36"/>
      <c r="J30" s="36"/>
      <c r="K30" s="36"/>
    </row>
    <row r="31" spans="2:26" x14ac:dyDescent="0.25">
      <c r="F31" s="36"/>
      <c r="G31" s="36"/>
      <c r="H31" s="36"/>
      <c r="I31" s="36"/>
      <c r="J31" s="36"/>
      <c r="K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spans="2:26" x14ac:dyDescent="0.25">
      <c r="F32" s="36"/>
      <c r="G32" s="36"/>
      <c r="H32" s="36"/>
      <c r="I32" s="36"/>
      <c r="J32" s="36"/>
      <c r="K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spans="5:26" x14ac:dyDescent="0.25">
      <c r="F33" s="36"/>
      <c r="G33" s="36"/>
      <c r="H33" s="36"/>
      <c r="I33" s="36"/>
      <c r="J33" s="36"/>
      <c r="K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spans="5:26" x14ac:dyDescent="0.25">
      <c r="F34" s="36"/>
      <c r="G34" s="36"/>
      <c r="H34" s="36"/>
      <c r="I34" s="36"/>
      <c r="J34" s="36"/>
      <c r="K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spans="5:26" ht="15" customHeight="1" x14ac:dyDescent="0.25">
      <c r="F35" s="36"/>
      <c r="G35" s="36"/>
      <c r="H35" s="36"/>
      <c r="I35" s="36"/>
      <c r="J35" s="36"/>
      <c r="K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spans="5:26" x14ac:dyDescent="0.25">
      <c r="F36" s="36"/>
      <c r="G36" s="36"/>
      <c r="H36" s="36"/>
      <c r="I36" s="36"/>
      <c r="J36" s="36"/>
      <c r="K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spans="5:26" x14ac:dyDescent="0.25">
      <c r="F37" s="36"/>
      <c r="G37" s="36"/>
      <c r="H37" s="36"/>
      <c r="I37" s="36"/>
      <c r="J37" s="36"/>
      <c r="K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spans="5:26" x14ac:dyDescent="0.25">
      <c r="F38" s="36"/>
      <c r="G38" s="36"/>
      <c r="H38" s="36"/>
      <c r="I38" s="36"/>
      <c r="J38" s="36"/>
      <c r="K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spans="5:26" x14ac:dyDescent="0.25">
      <c r="F39" s="36"/>
      <c r="G39" s="36"/>
      <c r="H39" s="36"/>
      <c r="I39" s="36"/>
      <c r="J39" s="36"/>
      <c r="K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spans="5:26" x14ac:dyDescent="0.25">
      <c r="F40" s="36"/>
      <c r="G40" s="36"/>
      <c r="H40" s="36"/>
      <c r="I40" s="36"/>
      <c r="J40" s="36"/>
      <c r="K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spans="5:26" x14ac:dyDescent="0.25">
      <c r="F41" s="36"/>
      <c r="G41" s="36"/>
      <c r="H41" s="36"/>
      <c r="I41" s="36"/>
      <c r="J41" s="36"/>
      <c r="K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spans="5:26" x14ac:dyDescent="0.25">
      <c r="F42" s="36"/>
      <c r="G42" s="36"/>
      <c r="H42" s="36"/>
      <c r="I42" s="36"/>
      <c r="J42" s="36"/>
      <c r="K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spans="5:26" ht="15" customHeight="1" x14ac:dyDescent="0.25">
      <c r="F43" s="36"/>
      <c r="G43" s="36"/>
      <c r="H43" s="36"/>
      <c r="I43" s="36"/>
      <c r="J43" s="36"/>
      <c r="K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spans="5:26" x14ac:dyDescent="0.25">
      <c r="F44" s="36"/>
      <c r="G44" s="36"/>
      <c r="H44" s="36"/>
      <c r="I44" s="36"/>
      <c r="J44" s="36"/>
      <c r="K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spans="5:26" x14ac:dyDescent="0.25">
      <c r="E45" s="36"/>
      <c r="F45" s="38"/>
      <c r="G45" s="45"/>
      <c r="I45" s="37"/>
      <c r="J45" s="36"/>
      <c r="Y45" s="36"/>
    </row>
    <row r="46" spans="5:26" x14ac:dyDescent="0.25">
      <c r="E46" s="36"/>
      <c r="G46" s="36"/>
      <c r="I46" s="37"/>
      <c r="J46" s="36"/>
    </row>
    <row r="47" spans="5:26" x14ac:dyDescent="0.25">
      <c r="E47" s="36"/>
      <c r="G47" s="36"/>
      <c r="I47" s="37"/>
      <c r="J47" s="37"/>
    </row>
    <row r="48" spans="5:26" x14ac:dyDescent="0.25">
      <c r="E48" s="36"/>
      <c r="G48" s="36"/>
      <c r="I48" s="37"/>
      <c r="J48" s="36"/>
    </row>
    <row r="49" spans="3:11" x14ac:dyDescent="0.25">
      <c r="E49" s="36"/>
      <c r="G49" s="36"/>
      <c r="I49" s="37"/>
      <c r="K49" s="36"/>
    </row>
    <row r="50" spans="3:11" x14ac:dyDescent="0.25">
      <c r="E50" s="36"/>
      <c r="G50" s="36"/>
      <c r="I50" s="37"/>
      <c r="K50" s="36"/>
    </row>
    <row r="51" spans="3:11" x14ac:dyDescent="0.25">
      <c r="I51" s="47"/>
    </row>
    <row r="52" spans="3:11" x14ac:dyDescent="0.25">
      <c r="C52" s="10"/>
      <c r="D52" s="10"/>
      <c r="E52" s="10"/>
      <c r="F52" s="10"/>
      <c r="G52" s="10"/>
      <c r="H52" s="10"/>
      <c r="I52" s="63"/>
      <c r="J52" s="10"/>
    </row>
    <row r="55" spans="3:11" x14ac:dyDescent="0.25">
      <c r="I55" s="47"/>
    </row>
  </sheetData>
  <mergeCells count="14">
    <mergeCell ref="C4:E4"/>
    <mergeCell ref="C6:E6"/>
    <mergeCell ref="C3:E3"/>
    <mergeCell ref="H12:J12"/>
    <mergeCell ref="B3:B14"/>
    <mergeCell ref="C7:E7"/>
    <mergeCell ref="C12:E12"/>
    <mergeCell ref="C11:L11"/>
    <mergeCell ref="C10:E10"/>
    <mergeCell ref="K12:L12"/>
    <mergeCell ref="C5:E5"/>
    <mergeCell ref="B21:B26"/>
    <mergeCell ref="C8:E8"/>
    <mergeCell ref="C9:E9"/>
  </mergeCells>
  <conditionalFormatting sqref="F4:L10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/>
  <headerFooter>
    <oddHeader>&amp;C&amp;"Calibri"&amp;11&amp;K000000&amp;"Calibri"&amp;11&amp;K000000&amp;"Calibri"&amp;11&amp;K000000&amp;"Calibri"&amp;11&amp;K000000&amp;"Calibri"&amp;11&amp;K000000&amp;"Calibri"&amp;11&amp;K000000&amp;"Calibri"&amp;11&amp;K000000&amp;"Calibri"&amp;11&amp;K000000&amp;"Calibri"&amp;11&amp;K000000&amp;"Calibri"&amp;1 &amp;KFF0000 OFFICIAL#_x000D_</oddHeader>
    <oddFooter>&amp;C&amp;"Calibri"&amp;12 &amp;KFF0000_x000D_# OFFICIAL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7"/>
  <sheetViews>
    <sheetView workbookViewId="0"/>
  </sheetViews>
  <sheetFormatPr defaultRowHeight="15" x14ac:dyDescent="0.25"/>
  <sheetData>
    <row r="1" spans="1:24" x14ac:dyDescent="0.25">
      <c r="A1" s="101" t="s">
        <v>1</v>
      </c>
      <c r="B1" s="101" t="s">
        <v>51</v>
      </c>
      <c r="C1" s="101" t="s">
        <v>52</v>
      </c>
      <c r="D1" s="101" t="s">
        <v>53</v>
      </c>
      <c r="E1" s="101" t="s">
        <v>54</v>
      </c>
      <c r="F1" s="101" t="s">
        <v>55</v>
      </c>
      <c r="G1" s="101" t="s">
        <v>56</v>
      </c>
      <c r="H1" s="101" t="s">
        <v>57</v>
      </c>
      <c r="I1" s="101" t="s">
        <v>58</v>
      </c>
      <c r="J1" s="101" t="s">
        <v>59</v>
      </c>
      <c r="K1" s="101" t="s">
        <v>60</v>
      </c>
      <c r="L1" s="101" t="s">
        <v>61</v>
      </c>
      <c r="M1" s="101" t="s">
        <v>62</v>
      </c>
      <c r="N1" s="101" t="s">
        <v>63</v>
      </c>
      <c r="O1" s="101" t="s">
        <v>64</v>
      </c>
      <c r="P1" s="101" t="s">
        <v>65</v>
      </c>
      <c r="Q1" s="101" t="s">
        <v>66</v>
      </c>
      <c r="R1" s="101" t="s">
        <v>67</v>
      </c>
      <c r="S1" s="101" t="s">
        <v>68</v>
      </c>
      <c r="T1" s="101" t="s">
        <v>69</v>
      </c>
      <c r="U1" s="101" t="s">
        <v>70</v>
      </c>
      <c r="V1" s="101" t="s">
        <v>71</v>
      </c>
      <c r="W1" s="101" t="s">
        <v>72</v>
      </c>
      <c r="X1" s="101" t="s">
        <v>73</v>
      </c>
    </row>
    <row r="2" spans="1:24" x14ac:dyDescent="0.25">
      <c r="A2" s="101" t="s">
        <v>74</v>
      </c>
      <c r="B2">
        <v>116.25</v>
      </c>
      <c r="C2">
        <v>73.37</v>
      </c>
      <c r="D2">
        <v>191.99</v>
      </c>
      <c r="E2">
        <v>108.44</v>
      </c>
      <c r="F2">
        <v>154.56</v>
      </c>
      <c r="G2">
        <v>171.66</v>
      </c>
      <c r="H2">
        <v>284.85000000000002</v>
      </c>
      <c r="I2">
        <v>160.05000000000001</v>
      </c>
      <c r="J2">
        <v>123.18</v>
      </c>
      <c r="K2">
        <v>850.23</v>
      </c>
      <c r="L2">
        <v>394.31</v>
      </c>
      <c r="M2">
        <v>116.25</v>
      </c>
      <c r="N2">
        <v>9422.81</v>
      </c>
      <c r="O2">
        <v>382.28</v>
      </c>
      <c r="P2">
        <v>76.05</v>
      </c>
      <c r="Q2">
        <v>263.45999999999998</v>
      </c>
      <c r="R2">
        <v>94.21</v>
      </c>
      <c r="S2">
        <v>316.47000000000003</v>
      </c>
      <c r="T2">
        <v>97.01</v>
      </c>
      <c r="U2">
        <v>145.27000000000001</v>
      </c>
      <c r="V2">
        <v>90.52</v>
      </c>
      <c r="W2">
        <v>191.21</v>
      </c>
      <c r="X2">
        <v>106.17</v>
      </c>
    </row>
    <row r="3" spans="1:24" x14ac:dyDescent="0.25">
      <c r="A3" s="101" t="s">
        <v>75</v>
      </c>
      <c r="B3">
        <v>139.08000000000001</v>
      </c>
      <c r="C3">
        <v>80.989999999999995</v>
      </c>
      <c r="D3">
        <v>162.01</v>
      </c>
      <c r="E3">
        <v>102.9</v>
      </c>
      <c r="F3">
        <v>130.63999999999999</v>
      </c>
      <c r="G3">
        <v>144.55000000000001</v>
      </c>
      <c r="H3">
        <v>151.38999999999999</v>
      </c>
      <c r="I3">
        <v>159.47</v>
      </c>
      <c r="J3">
        <v>131.84</v>
      </c>
      <c r="K3">
        <v>722.23</v>
      </c>
      <c r="L3">
        <v>170.64</v>
      </c>
      <c r="M3">
        <v>139.08000000000001</v>
      </c>
      <c r="N3">
        <v>8901.56</v>
      </c>
      <c r="O3">
        <v>291.54000000000002</v>
      </c>
      <c r="P3">
        <v>109.23</v>
      </c>
      <c r="Q3">
        <v>215.21</v>
      </c>
      <c r="R3">
        <v>81.86</v>
      </c>
      <c r="S3">
        <v>253.17</v>
      </c>
      <c r="T3">
        <v>90.29</v>
      </c>
      <c r="U3">
        <v>118.06</v>
      </c>
      <c r="V3">
        <v>76.42</v>
      </c>
      <c r="W3">
        <v>111.14</v>
      </c>
      <c r="X3">
        <v>103.63</v>
      </c>
    </row>
    <row r="4" spans="1:24" x14ac:dyDescent="0.25">
      <c r="A4" s="101" t="s">
        <v>76</v>
      </c>
      <c r="B4">
        <v>116.15</v>
      </c>
      <c r="C4">
        <v>55.38</v>
      </c>
      <c r="D4">
        <v>77.3</v>
      </c>
      <c r="E4">
        <v>107.59</v>
      </c>
      <c r="F4">
        <v>137.72</v>
      </c>
      <c r="G4">
        <v>90.09</v>
      </c>
      <c r="H4">
        <v>119.72</v>
      </c>
      <c r="I4">
        <v>128.16999999999999</v>
      </c>
      <c r="J4">
        <v>88.45</v>
      </c>
      <c r="K4">
        <v>93.21</v>
      </c>
      <c r="L4">
        <v>95.14</v>
      </c>
      <c r="M4">
        <v>116.15</v>
      </c>
      <c r="N4">
        <v>1826.37</v>
      </c>
      <c r="O4">
        <v>98.24</v>
      </c>
      <c r="P4">
        <v>65.099999999999994</v>
      </c>
      <c r="Q4">
        <v>86.58</v>
      </c>
      <c r="R4">
        <v>71.260000000000005</v>
      </c>
      <c r="S4">
        <v>96.97</v>
      </c>
      <c r="T4">
        <v>74.040000000000006</v>
      </c>
      <c r="U4">
        <v>203.87</v>
      </c>
      <c r="V4">
        <v>116.07</v>
      </c>
      <c r="W4">
        <v>150.43</v>
      </c>
      <c r="X4">
        <v>104.98</v>
      </c>
    </row>
    <row r="5" spans="1:24" x14ac:dyDescent="0.25">
      <c r="A5" s="101" t="s">
        <v>77</v>
      </c>
      <c r="B5">
        <v>103.61</v>
      </c>
      <c r="C5">
        <v>34.99</v>
      </c>
      <c r="D5">
        <v>56.6</v>
      </c>
      <c r="E5">
        <v>67.59</v>
      </c>
      <c r="F5">
        <v>106</v>
      </c>
      <c r="G5">
        <v>90.52</v>
      </c>
      <c r="H5">
        <v>128.15</v>
      </c>
      <c r="I5">
        <v>138.86000000000001</v>
      </c>
      <c r="J5">
        <v>55.82</v>
      </c>
      <c r="K5">
        <v>103.07</v>
      </c>
      <c r="L5">
        <v>69.58</v>
      </c>
      <c r="M5">
        <v>103.61</v>
      </c>
      <c r="N5">
        <v>5511</v>
      </c>
      <c r="O5">
        <v>83.55</v>
      </c>
      <c r="P5">
        <v>37.33</v>
      </c>
      <c r="Q5">
        <v>77.290000000000006</v>
      </c>
      <c r="R5">
        <v>43.75</v>
      </c>
      <c r="S5">
        <v>86.39</v>
      </c>
      <c r="T5">
        <v>47.98</v>
      </c>
      <c r="U5">
        <v>130.04</v>
      </c>
      <c r="V5">
        <v>60.52</v>
      </c>
      <c r="W5">
        <v>140.51</v>
      </c>
      <c r="X5">
        <v>65.739999999999995</v>
      </c>
    </row>
    <row r="6" spans="1:24" x14ac:dyDescent="0.25">
      <c r="A6" s="101" t="s">
        <v>78</v>
      </c>
      <c r="B6">
        <v>110.1</v>
      </c>
      <c r="C6">
        <v>50.88</v>
      </c>
      <c r="D6">
        <v>76.540000000000006</v>
      </c>
      <c r="E6">
        <v>57.02</v>
      </c>
      <c r="F6">
        <v>104.91</v>
      </c>
      <c r="G6">
        <v>106.62</v>
      </c>
      <c r="H6">
        <v>121.95</v>
      </c>
      <c r="I6">
        <v>131.46</v>
      </c>
      <c r="J6">
        <v>55.23</v>
      </c>
      <c r="K6">
        <v>84.7</v>
      </c>
      <c r="L6">
        <v>186.11</v>
      </c>
      <c r="M6">
        <v>110.1</v>
      </c>
      <c r="N6">
        <v>1136.46</v>
      </c>
      <c r="O6">
        <v>110.03</v>
      </c>
      <c r="P6">
        <v>53.07</v>
      </c>
      <c r="Q6">
        <v>97.8</v>
      </c>
      <c r="R6">
        <v>61.1</v>
      </c>
      <c r="S6">
        <v>104.95</v>
      </c>
      <c r="T6">
        <v>64.13</v>
      </c>
      <c r="U6">
        <v>122.14</v>
      </c>
      <c r="V6">
        <v>31.01</v>
      </c>
      <c r="W6">
        <v>136.18</v>
      </c>
      <c r="X6">
        <v>56.74</v>
      </c>
    </row>
    <row r="7" spans="1:24" x14ac:dyDescent="0.25">
      <c r="A7" s="101" t="s">
        <v>12</v>
      </c>
      <c r="B7">
        <v>121.45</v>
      </c>
      <c r="C7">
        <v>65.27</v>
      </c>
      <c r="D7">
        <v>140.13</v>
      </c>
      <c r="E7">
        <v>94.6</v>
      </c>
      <c r="F7">
        <v>132.62</v>
      </c>
      <c r="G7">
        <v>139.4</v>
      </c>
      <c r="H7">
        <v>193.29</v>
      </c>
      <c r="I7">
        <v>152.41999999999999</v>
      </c>
      <c r="J7">
        <v>108.19</v>
      </c>
      <c r="K7">
        <v>570.29</v>
      </c>
      <c r="L7">
        <v>230.24</v>
      </c>
      <c r="M7">
        <v>121.45</v>
      </c>
      <c r="N7">
        <v>26398.01</v>
      </c>
      <c r="O7">
        <v>264.29000000000002</v>
      </c>
      <c r="P7">
        <v>77.39</v>
      </c>
      <c r="Q7">
        <v>189.17</v>
      </c>
      <c r="R7">
        <v>76.319999999999993</v>
      </c>
      <c r="S7">
        <v>223.45</v>
      </c>
      <c r="T7">
        <v>81.31</v>
      </c>
      <c r="U7">
        <v>136.63</v>
      </c>
      <c r="V7">
        <v>77.790000000000006</v>
      </c>
      <c r="W7">
        <v>150.94</v>
      </c>
      <c r="X7">
        <v>93.48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"/>
  <sheetViews>
    <sheetView workbookViewId="0"/>
  </sheetViews>
  <sheetFormatPr defaultRowHeight="15" x14ac:dyDescent="0.25"/>
  <sheetData>
    <row r="1" spans="1:13" x14ac:dyDescent="0.25">
      <c r="A1" s="101" t="s">
        <v>51</v>
      </c>
      <c r="B1" s="101" t="s">
        <v>52</v>
      </c>
      <c r="C1" s="101" t="s">
        <v>53</v>
      </c>
      <c r="D1" s="101" t="s">
        <v>54</v>
      </c>
      <c r="E1" s="101" t="s">
        <v>55</v>
      </c>
      <c r="F1" s="101" t="s">
        <v>56</v>
      </c>
      <c r="G1" s="101" t="s">
        <v>57</v>
      </c>
      <c r="H1" s="101" t="s">
        <v>58</v>
      </c>
      <c r="I1" s="101" t="s">
        <v>59</v>
      </c>
      <c r="J1" s="101" t="s">
        <v>60</v>
      </c>
      <c r="K1" s="101" t="s">
        <v>61</v>
      </c>
      <c r="L1" s="101" t="s">
        <v>62</v>
      </c>
      <c r="M1" s="101" t="s">
        <v>63</v>
      </c>
    </row>
    <row r="2" spans="1:13" x14ac:dyDescent="0.25">
      <c r="A2">
        <v>79.25</v>
      </c>
      <c r="B2">
        <v>83.82</v>
      </c>
      <c r="C2">
        <v>77.290000000000006</v>
      </c>
      <c r="D2">
        <v>152.11000000000001</v>
      </c>
      <c r="E2">
        <v>79.680000000000007</v>
      </c>
      <c r="F2">
        <v>77.33</v>
      </c>
      <c r="G2">
        <v>97.27</v>
      </c>
      <c r="H2">
        <v>98.39</v>
      </c>
      <c r="I2">
        <v>76.61</v>
      </c>
      <c r="J2">
        <v>82.7</v>
      </c>
      <c r="K2">
        <v>96.95</v>
      </c>
      <c r="L2">
        <v>79.25</v>
      </c>
    </row>
    <row r="3" spans="1:13" x14ac:dyDescent="0.25">
      <c r="M3">
        <v>2452.3589999999999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"/>
  <sheetViews>
    <sheetView workbookViewId="0"/>
  </sheetViews>
  <sheetFormatPr defaultRowHeight="15" x14ac:dyDescent="0.25"/>
  <sheetData>
    <row r="1" spans="1:13" x14ac:dyDescent="0.25">
      <c r="A1" s="101" t="s">
        <v>79</v>
      </c>
      <c r="B1" s="101" t="s">
        <v>52</v>
      </c>
      <c r="C1" s="101" t="s">
        <v>53</v>
      </c>
      <c r="D1" s="101" t="s">
        <v>54</v>
      </c>
      <c r="E1" s="101" t="s">
        <v>55</v>
      </c>
      <c r="F1" s="101" t="s">
        <v>56</v>
      </c>
      <c r="G1" s="101" t="s">
        <v>57</v>
      </c>
      <c r="H1" s="101" t="s">
        <v>58</v>
      </c>
      <c r="I1" s="101" t="s">
        <v>59</v>
      </c>
      <c r="J1" s="101" t="s">
        <v>60</v>
      </c>
      <c r="K1" s="101" t="s">
        <v>61</v>
      </c>
      <c r="L1" s="101" t="s">
        <v>62</v>
      </c>
      <c r="M1" s="101" t="s">
        <v>63</v>
      </c>
    </row>
    <row r="2" spans="1:13" x14ac:dyDescent="0.25">
      <c r="A2">
        <v>115.75</v>
      </c>
      <c r="B2">
        <v>130.26</v>
      </c>
      <c r="C2">
        <v>127.72</v>
      </c>
      <c r="D2">
        <v>110.61</v>
      </c>
      <c r="E2">
        <v>132.44999999999999</v>
      </c>
      <c r="F2">
        <v>146.35</v>
      </c>
      <c r="G2">
        <v>152.9</v>
      </c>
      <c r="H2">
        <v>132.28</v>
      </c>
      <c r="I2">
        <v>168.45</v>
      </c>
      <c r="J2">
        <v>171</v>
      </c>
      <c r="K2">
        <v>80.66</v>
      </c>
      <c r="L2">
        <v>115.75</v>
      </c>
      <c r="M2">
        <v>240.37998962402341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"/>
  <sheetViews>
    <sheetView workbookViewId="0"/>
  </sheetViews>
  <sheetFormatPr defaultRowHeight="15" x14ac:dyDescent="0.25"/>
  <sheetData>
    <row r="1" spans="1:3" x14ac:dyDescent="0.25">
      <c r="A1" s="101" t="s">
        <v>80</v>
      </c>
      <c r="B1" s="101" t="s">
        <v>81</v>
      </c>
      <c r="C1" s="101" t="s">
        <v>82</v>
      </c>
    </row>
    <row r="2" spans="1:3" x14ac:dyDescent="0.25">
      <c r="A2" t="s">
        <v>83</v>
      </c>
      <c r="B2">
        <v>127.87</v>
      </c>
      <c r="C2">
        <v>119.5</v>
      </c>
    </row>
    <row r="3" spans="1:3" x14ac:dyDescent="0.25">
      <c r="A3" t="s">
        <v>84</v>
      </c>
      <c r="B3">
        <v>111.58</v>
      </c>
      <c r="C3">
        <v>100.66</v>
      </c>
    </row>
    <row r="4" spans="1:3" x14ac:dyDescent="0.25">
      <c r="A4" t="s">
        <v>85</v>
      </c>
      <c r="B4">
        <v>107.68</v>
      </c>
      <c r="C4">
        <v>103.23</v>
      </c>
    </row>
    <row r="5" spans="1:3" x14ac:dyDescent="0.25">
      <c r="A5" t="s">
        <v>86</v>
      </c>
      <c r="B5">
        <v>79.489999999999995</v>
      </c>
      <c r="C5">
        <v>73.260000000000005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6"/>
  <sheetViews>
    <sheetView workbookViewId="0"/>
  </sheetViews>
  <sheetFormatPr defaultRowHeight="15" x14ac:dyDescent="0.25"/>
  <sheetData>
    <row r="1" spans="1:15" x14ac:dyDescent="0.25">
      <c r="A1" s="101" t="s">
        <v>87</v>
      </c>
      <c r="B1" s="101" t="s">
        <v>88</v>
      </c>
      <c r="C1" s="101" t="s">
        <v>89</v>
      </c>
      <c r="D1" s="101" t="s">
        <v>90</v>
      </c>
      <c r="E1" s="101" t="s">
        <v>91</v>
      </c>
      <c r="F1" s="101" t="s">
        <v>92</v>
      </c>
      <c r="G1" s="101" t="s">
        <v>93</v>
      </c>
      <c r="H1" s="101" t="s">
        <v>94</v>
      </c>
      <c r="I1" s="101" t="s">
        <v>88</v>
      </c>
      <c r="J1" s="101" t="s">
        <v>89</v>
      </c>
      <c r="K1" s="101" t="s">
        <v>90</v>
      </c>
      <c r="L1" s="101" t="s">
        <v>91</v>
      </c>
      <c r="M1" s="101" t="s">
        <v>92</v>
      </c>
      <c r="N1" s="101" t="s">
        <v>93</v>
      </c>
      <c r="O1" s="101" t="s">
        <v>94</v>
      </c>
    </row>
    <row r="2" spans="1:15" x14ac:dyDescent="0.25">
      <c r="A2" s="101" t="s">
        <v>74</v>
      </c>
      <c r="B2" t="s">
        <v>95</v>
      </c>
      <c r="C2" t="s">
        <v>96</v>
      </c>
      <c r="D2" t="s">
        <v>97</v>
      </c>
      <c r="E2" t="s">
        <v>98</v>
      </c>
      <c r="F2" t="s">
        <v>99</v>
      </c>
      <c r="G2" t="s">
        <v>100</v>
      </c>
      <c r="H2" t="s">
        <v>101</v>
      </c>
      <c r="I2" t="s">
        <v>102</v>
      </c>
      <c r="J2" t="s">
        <v>103</v>
      </c>
      <c r="K2" t="s">
        <v>104</v>
      </c>
      <c r="L2" t="s">
        <v>105</v>
      </c>
      <c r="M2" t="s">
        <v>106</v>
      </c>
      <c r="N2" t="s">
        <v>107</v>
      </c>
      <c r="O2" t="s">
        <v>108</v>
      </c>
    </row>
    <row r="3" spans="1:15" x14ac:dyDescent="0.25">
      <c r="A3" s="101" t="s">
        <v>75</v>
      </c>
      <c r="B3" t="s">
        <v>109</v>
      </c>
      <c r="C3" t="s">
        <v>110</v>
      </c>
      <c r="D3" t="s">
        <v>111</v>
      </c>
      <c r="E3" t="s">
        <v>112</v>
      </c>
      <c r="F3" t="s">
        <v>113</v>
      </c>
      <c r="G3" t="s">
        <v>114</v>
      </c>
      <c r="H3" t="s">
        <v>115</v>
      </c>
      <c r="I3" t="s">
        <v>116</v>
      </c>
      <c r="J3" t="s">
        <v>117</v>
      </c>
      <c r="K3" t="s">
        <v>118</v>
      </c>
      <c r="L3" t="s">
        <v>119</v>
      </c>
      <c r="M3" t="s">
        <v>120</v>
      </c>
      <c r="N3" t="s">
        <v>121</v>
      </c>
      <c r="O3" t="s">
        <v>122</v>
      </c>
    </row>
    <row r="4" spans="1:15" x14ac:dyDescent="0.25">
      <c r="A4" s="101" t="s">
        <v>76</v>
      </c>
      <c r="B4" t="s">
        <v>123</v>
      </c>
      <c r="C4" t="s">
        <v>124</v>
      </c>
      <c r="D4" t="s">
        <v>125</v>
      </c>
      <c r="E4" t="s">
        <v>126</v>
      </c>
      <c r="F4" t="s">
        <v>127</v>
      </c>
      <c r="G4" t="s">
        <v>128</v>
      </c>
      <c r="H4" t="s">
        <v>129</v>
      </c>
      <c r="I4" t="s">
        <v>130</v>
      </c>
      <c r="J4" t="s">
        <v>131</v>
      </c>
      <c r="K4" t="s">
        <v>132</v>
      </c>
      <c r="L4" t="s">
        <v>133</v>
      </c>
      <c r="M4" t="s">
        <v>134</v>
      </c>
      <c r="N4" t="s">
        <v>135</v>
      </c>
      <c r="O4" t="s">
        <v>136</v>
      </c>
    </row>
    <row r="5" spans="1:15" x14ac:dyDescent="0.25">
      <c r="A5" s="101" t="s">
        <v>77</v>
      </c>
      <c r="B5" t="s">
        <v>137</v>
      </c>
      <c r="C5" t="s">
        <v>138</v>
      </c>
      <c r="D5" t="s">
        <v>139</v>
      </c>
      <c r="E5" t="s">
        <v>140</v>
      </c>
      <c r="F5" t="s">
        <v>141</v>
      </c>
      <c r="G5" t="s">
        <v>142</v>
      </c>
      <c r="H5" t="s">
        <v>143</v>
      </c>
      <c r="I5" t="s">
        <v>144</v>
      </c>
      <c r="J5" t="s">
        <v>145</v>
      </c>
      <c r="K5" t="s">
        <v>146</v>
      </c>
      <c r="L5" t="s">
        <v>147</v>
      </c>
      <c r="M5" t="s">
        <v>148</v>
      </c>
      <c r="N5" t="s">
        <v>149</v>
      </c>
      <c r="O5" t="s">
        <v>150</v>
      </c>
    </row>
    <row r="6" spans="1:15" x14ac:dyDescent="0.25">
      <c r="A6" s="101" t="s">
        <v>78</v>
      </c>
      <c r="B6" t="s">
        <v>151</v>
      </c>
      <c r="C6" t="s">
        <v>152</v>
      </c>
      <c r="D6" t="s">
        <v>153</v>
      </c>
      <c r="E6" t="s">
        <v>154</v>
      </c>
      <c r="F6" t="s">
        <v>155</v>
      </c>
      <c r="G6" t="s">
        <v>156</v>
      </c>
      <c r="H6" t="s">
        <v>157</v>
      </c>
      <c r="I6" t="s">
        <v>158</v>
      </c>
      <c r="J6" t="s">
        <v>159</v>
      </c>
      <c r="K6" t="s">
        <v>160</v>
      </c>
      <c r="L6" t="s">
        <v>161</v>
      </c>
      <c r="M6" t="s">
        <v>162</v>
      </c>
      <c r="N6" t="s">
        <v>163</v>
      </c>
      <c r="O6" t="s">
        <v>164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8"/>
  <sheetViews>
    <sheetView workbookViewId="0">
      <selection activeCell="K10" sqref="K10"/>
    </sheetView>
  </sheetViews>
  <sheetFormatPr defaultRowHeight="15" x14ac:dyDescent="0.25"/>
  <cols>
    <col min="7" max="7" width="20.42578125" bestFit="1" customWidth="1"/>
  </cols>
  <sheetData>
    <row r="1" spans="1:8" x14ac:dyDescent="0.25">
      <c r="A1" s="92" t="s">
        <v>165</v>
      </c>
      <c r="B1" s="92" t="s">
        <v>166</v>
      </c>
      <c r="C1" s="92" t="s">
        <v>167</v>
      </c>
      <c r="D1" s="92" t="s">
        <v>168</v>
      </c>
      <c r="E1" s="92" t="s">
        <v>169</v>
      </c>
      <c r="F1" s="92" t="s">
        <v>170</v>
      </c>
      <c r="G1" s="92" t="s">
        <v>171</v>
      </c>
    </row>
    <row r="2" spans="1:8" x14ac:dyDescent="0.25">
      <c r="A2" t="s">
        <v>172</v>
      </c>
      <c r="B2" t="s">
        <v>172</v>
      </c>
      <c r="C2" t="s">
        <v>173</v>
      </c>
      <c r="D2" t="s">
        <v>174</v>
      </c>
      <c r="E2" t="s">
        <v>175</v>
      </c>
      <c r="F2" t="s">
        <v>176</v>
      </c>
      <c r="G2" t="s">
        <v>177</v>
      </c>
    </row>
    <row r="3" spans="1:8" x14ac:dyDescent="0.25">
      <c r="A3" t="s">
        <v>178</v>
      </c>
      <c r="B3" t="s">
        <v>179</v>
      </c>
      <c r="C3" t="s">
        <v>180</v>
      </c>
      <c r="D3" t="s">
        <v>181</v>
      </c>
      <c r="E3" t="s">
        <v>175</v>
      </c>
      <c r="F3" t="s">
        <v>182</v>
      </c>
      <c r="G3" t="s">
        <v>183</v>
      </c>
    </row>
    <row r="4" spans="1:8" x14ac:dyDescent="0.25">
      <c r="A4" t="s">
        <v>184</v>
      </c>
      <c r="B4" t="s">
        <v>185</v>
      </c>
      <c r="C4" t="s">
        <v>186</v>
      </c>
      <c r="D4" t="s">
        <v>187</v>
      </c>
      <c r="E4" t="s">
        <v>188</v>
      </c>
      <c r="F4" t="s">
        <v>189</v>
      </c>
      <c r="G4" t="s">
        <v>190</v>
      </c>
      <c r="H4" t="s">
        <v>191</v>
      </c>
    </row>
    <row r="5" spans="1:8" x14ac:dyDescent="0.25">
      <c r="A5" t="s">
        <v>192</v>
      </c>
      <c r="B5">
        <v>4025</v>
      </c>
      <c r="C5">
        <v>3675</v>
      </c>
      <c r="D5">
        <v>3675</v>
      </c>
      <c r="E5">
        <v>3675</v>
      </c>
      <c r="F5">
        <v>3675</v>
      </c>
      <c r="G5">
        <v>3675</v>
      </c>
      <c r="H5">
        <v>3675</v>
      </c>
    </row>
    <row r="6" spans="1:8" x14ac:dyDescent="0.25">
      <c r="A6" t="s">
        <v>193</v>
      </c>
      <c r="B6" t="s">
        <v>193</v>
      </c>
      <c r="C6" t="s">
        <v>194</v>
      </c>
      <c r="D6" t="s">
        <v>195</v>
      </c>
      <c r="E6" t="s">
        <v>175</v>
      </c>
      <c r="F6" t="s">
        <v>196</v>
      </c>
      <c r="G6" t="s">
        <v>197</v>
      </c>
    </row>
    <row r="7" spans="1:8" x14ac:dyDescent="0.25">
      <c r="A7" t="s">
        <v>198</v>
      </c>
      <c r="B7" t="s">
        <v>198</v>
      </c>
      <c r="C7" t="s">
        <v>199</v>
      </c>
      <c r="D7" t="s">
        <v>200</v>
      </c>
      <c r="E7" t="s">
        <v>175</v>
      </c>
      <c r="F7" t="s">
        <v>201</v>
      </c>
      <c r="G7" t="s">
        <v>202</v>
      </c>
    </row>
    <row r="8" spans="1:8" x14ac:dyDescent="0.25">
      <c r="A8" t="s">
        <v>203</v>
      </c>
      <c r="B8" t="s">
        <v>204</v>
      </c>
      <c r="C8" t="s">
        <v>205</v>
      </c>
      <c r="D8" t="s">
        <v>206</v>
      </c>
      <c r="E8" t="s">
        <v>175</v>
      </c>
      <c r="F8" t="s">
        <v>207</v>
      </c>
      <c r="G8" t="s">
        <v>208</v>
      </c>
    </row>
    <row r="10" spans="1:8" x14ac:dyDescent="0.25">
      <c r="B10" t="s">
        <v>209</v>
      </c>
      <c r="C10" t="s">
        <v>210</v>
      </c>
      <c r="D10">
        <v>280</v>
      </c>
      <c r="E10" t="s">
        <v>211</v>
      </c>
      <c r="F10" t="s">
        <v>212</v>
      </c>
      <c r="G10" s="94">
        <v>45585</v>
      </c>
      <c r="H10">
        <v>6</v>
      </c>
    </row>
    <row r="11" spans="1:8" x14ac:dyDescent="0.25">
      <c r="B11" s="95" t="s">
        <v>172</v>
      </c>
      <c r="C11" s="95" t="s">
        <v>213</v>
      </c>
      <c r="D11" s="95">
        <v>685</v>
      </c>
      <c r="E11" s="95" t="s">
        <v>214</v>
      </c>
      <c r="F11" s="95">
        <v>36</v>
      </c>
      <c r="G11" s="96">
        <v>45634</v>
      </c>
      <c r="H11" s="95">
        <v>55</v>
      </c>
    </row>
    <row r="12" spans="1:8" x14ac:dyDescent="0.25">
      <c r="B12" s="95" t="s">
        <v>215</v>
      </c>
      <c r="C12" s="95" t="s">
        <v>213</v>
      </c>
      <c r="D12" s="95">
        <v>350</v>
      </c>
      <c r="E12" s="95" t="s">
        <v>214</v>
      </c>
      <c r="F12" s="95">
        <v>88</v>
      </c>
      <c r="G12" s="96">
        <v>45617</v>
      </c>
      <c r="H12" s="95">
        <v>38</v>
      </c>
    </row>
    <row r="13" spans="1:8" x14ac:dyDescent="0.25">
      <c r="B13" s="95" t="s">
        <v>216</v>
      </c>
      <c r="C13" s="95" t="s">
        <v>213</v>
      </c>
      <c r="D13" s="95">
        <v>350</v>
      </c>
      <c r="E13" s="95" t="s">
        <v>175</v>
      </c>
      <c r="F13" s="95">
        <v>32</v>
      </c>
      <c r="G13" s="96">
        <v>45585</v>
      </c>
      <c r="H13" s="95">
        <v>6</v>
      </c>
    </row>
    <row r="14" spans="1:8" x14ac:dyDescent="0.25">
      <c r="B14" s="95" t="s">
        <v>193</v>
      </c>
      <c r="C14" s="95" t="s">
        <v>213</v>
      </c>
      <c r="D14" s="95">
        <v>720</v>
      </c>
      <c r="E14" s="95" t="s">
        <v>175</v>
      </c>
      <c r="F14" s="95">
        <v>50</v>
      </c>
      <c r="G14" s="96">
        <v>45624</v>
      </c>
      <c r="H14" s="95">
        <v>45</v>
      </c>
    </row>
    <row r="15" spans="1:8" x14ac:dyDescent="0.25">
      <c r="B15" s="95" t="s">
        <v>217</v>
      </c>
      <c r="C15" s="95" t="s">
        <v>213</v>
      </c>
      <c r="D15" s="95">
        <v>280</v>
      </c>
      <c r="E15" s="95" t="s">
        <v>175</v>
      </c>
      <c r="F15" s="95">
        <v>22</v>
      </c>
      <c r="G15" s="96">
        <v>45585</v>
      </c>
      <c r="H15" s="95">
        <v>6</v>
      </c>
    </row>
    <row r="16" spans="1:8" x14ac:dyDescent="0.25">
      <c r="B16" s="95" t="s">
        <v>218</v>
      </c>
      <c r="C16" s="95" t="s">
        <v>213</v>
      </c>
      <c r="D16" s="95">
        <v>530</v>
      </c>
      <c r="E16" s="95" t="s">
        <v>214</v>
      </c>
      <c r="F16" s="95">
        <v>4</v>
      </c>
      <c r="G16" s="96">
        <v>45585</v>
      </c>
      <c r="H16" s="95">
        <v>6</v>
      </c>
    </row>
    <row r="17" spans="2:8" x14ac:dyDescent="0.25">
      <c r="B17" s="95" t="s">
        <v>219</v>
      </c>
      <c r="C17" s="95" t="s">
        <v>213</v>
      </c>
      <c r="D17" s="95">
        <v>560</v>
      </c>
      <c r="E17" s="95" t="s">
        <v>175</v>
      </c>
      <c r="F17" s="95">
        <v>14</v>
      </c>
      <c r="G17" s="96">
        <v>45620</v>
      </c>
      <c r="H17" s="95">
        <v>41</v>
      </c>
    </row>
    <row r="18" spans="2:8" x14ac:dyDescent="0.25">
      <c r="B18" s="95" t="s">
        <v>198</v>
      </c>
      <c r="C18" s="95" t="s">
        <v>213</v>
      </c>
      <c r="D18" s="95">
        <v>350</v>
      </c>
      <c r="E18" s="95" t="s">
        <v>175</v>
      </c>
      <c r="F18" s="95">
        <v>31</v>
      </c>
      <c r="G18" s="96">
        <v>45625</v>
      </c>
      <c r="H18" s="95">
        <v>46</v>
      </c>
    </row>
    <row r="19" spans="2:8" x14ac:dyDescent="0.25">
      <c r="B19" s="95" t="s">
        <v>220</v>
      </c>
      <c r="C19" s="95" t="s">
        <v>213</v>
      </c>
      <c r="D19" s="95">
        <v>660</v>
      </c>
      <c r="E19" s="95" t="s">
        <v>214</v>
      </c>
      <c r="F19" s="95">
        <v>19</v>
      </c>
      <c r="G19" s="96">
        <v>45621</v>
      </c>
      <c r="H19" s="95">
        <v>42</v>
      </c>
    </row>
    <row r="20" spans="2:8" x14ac:dyDescent="0.25">
      <c r="B20" s="95" t="s">
        <v>221</v>
      </c>
      <c r="C20" s="95" t="s">
        <v>213</v>
      </c>
      <c r="D20" s="95">
        <v>350</v>
      </c>
      <c r="E20" s="95" t="s">
        <v>175</v>
      </c>
      <c r="F20" s="95">
        <v>4</v>
      </c>
      <c r="G20" s="96">
        <v>45585</v>
      </c>
      <c r="H20" s="95">
        <v>6</v>
      </c>
    </row>
    <row r="21" spans="2:8" x14ac:dyDescent="0.25">
      <c r="D21">
        <v>2610</v>
      </c>
    </row>
    <row r="22" spans="2:8" x14ac:dyDescent="0.25">
      <c r="D22">
        <v>2225</v>
      </c>
    </row>
    <row r="23" spans="2:8" x14ac:dyDescent="0.25">
      <c r="D23">
        <v>5115</v>
      </c>
    </row>
    <row r="26" spans="2:8" x14ac:dyDescent="0.25">
      <c r="B26" t="s">
        <v>222</v>
      </c>
    </row>
    <row r="28" spans="2:8" x14ac:dyDescent="0.25">
      <c r="B28" t="s">
        <v>223</v>
      </c>
      <c r="C28">
        <v>730</v>
      </c>
      <c r="D28">
        <v>1</v>
      </c>
    </row>
  </sheetData>
  <pageMargins left="0.75" right="0.75" top="1" bottom="1" header="0.5" footer="0.5"/>
  <headerFooter>
    <oddHeader>&amp;C&amp;"Calibri"&amp;11&amp;K000000&amp;"Calibri"&amp;11&amp;K000000&amp;"Calibri"&amp;11&amp;K000000&amp;"Calibri"&amp;11&amp;K000000&amp;"Calibri"&amp;11&amp;K000000&amp;"Calibri"&amp;11&amp;K000000&amp;"Calibri"&amp;11&amp;K000000&amp;"Calibri"&amp;11&amp;K000000&amp;"Calibri"&amp;11&amp;K000000&amp;"Calibri"&amp;1 &amp;KFF0000 OFFICIAL#_x000D_</oddHeader>
    <oddFooter>&amp;C&amp;"Calibri"&amp;12 &amp;KFF0000_x000D_# OFFICIAL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01B2BE74D025469E1D0E28F10DD2C8" ma:contentTypeVersion="6" ma:contentTypeDescription="Create a new document." ma:contentTypeScope="" ma:versionID="3e778ef574344b593b689cacc1c13c14">
  <xsd:schema xmlns:xsd="http://www.w3.org/2001/XMLSchema" xmlns:xs="http://www.w3.org/2001/XMLSchema" xmlns:p="http://schemas.microsoft.com/office/2006/metadata/properties" xmlns:ns1="http://schemas.microsoft.com/sharepoint/v3" xmlns:ns2="3faa0145-7d03-4bee-a2d8-de479547672d" xmlns:ns3="f69f19e7-36fd-403e-ac68-c4175e96d9c2" xmlns:ns4="d81c2681-db7b-4a56-9abd-a3238a78f6b2" xmlns:ns5="a95247a4-6a6b-40fb-87b6-0fb2f012c536" targetNamespace="http://schemas.microsoft.com/office/2006/metadata/properties" ma:root="true" ma:fieldsID="bb0fbc2733ec12c07b2f6a837d5cd27e" ns1:_="" ns2:_="" ns3:_="" ns4:_="" ns5:_="">
    <xsd:import namespace="http://schemas.microsoft.com/sharepoint/v3"/>
    <xsd:import namespace="3faa0145-7d03-4bee-a2d8-de479547672d"/>
    <xsd:import namespace="f69f19e7-36fd-403e-ac68-c4175e96d9c2"/>
    <xsd:import namespace="d81c2681-db7b-4a56-9abd-a3238a78f6b2"/>
    <xsd:import namespace="a95247a4-6a6b-40fb-87b6-0fb2f012c5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lcf76f155ced4ddcb4097134ff3c332f" minOccurs="0"/>
                <xsd:element ref="ns5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aa0145-7d03-4bee-a2d8-de47954767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9f19e7-36fd-403e-ac68-c4175e96d9c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1c2681-db7b-4a56-9abd-a3238a78f6b2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c081d5d-8f15-4d39-99f9-175405a3587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5247a4-6a6b-40fb-87b6-0fb2f012c536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e56bbf16-6cdf-42b3-a704-f16eb2d403b7}" ma:internalName="TaxCatchAll" ma:showField="CatchAllData" ma:web="a95247a4-6a6b-40fb-87b6-0fb2f012c53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d81c2681-db7b-4a56-9abd-a3238a78f6b2">
      <Terms xmlns="http://schemas.microsoft.com/office/infopath/2007/PartnerControls"/>
    </lcf76f155ced4ddcb4097134ff3c332f>
    <TaxCatchAll xmlns="a95247a4-6a6b-40fb-87b6-0fb2f012c536" xsi:nil="true"/>
  </documentManagement>
</p:properties>
</file>

<file path=customXml/itemProps1.xml><?xml version="1.0" encoding="utf-8"?>
<ds:datastoreItem xmlns:ds="http://schemas.openxmlformats.org/officeDocument/2006/customXml" ds:itemID="{2210CE87-AF86-40B6-9659-8A24101D352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54D2192-373C-4DF6-B0BA-EFA9019874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faa0145-7d03-4bee-a2d8-de479547672d"/>
    <ds:schemaRef ds:uri="f69f19e7-36fd-403e-ac68-c4175e96d9c2"/>
    <ds:schemaRef ds:uri="d81c2681-db7b-4a56-9abd-a3238a78f6b2"/>
    <ds:schemaRef ds:uri="a95247a4-6a6b-40fb-87b6-0fb2f012c5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C6A7C5D-C864-4984-AF24-EA55304A209E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d81c2681-db7b-4a56-9abd-a3238a78f6b2"/>
    <ds:schemaRef ds:uri="a95247a4-6a6b-40fb-87b6-0fb2f012c536"/>
  </ds:schemaRefs>
</ds:datastoreItem>
</file>

<file path=docMetadata/LabelInfo.xml><?xml version="1.0" encoding="utf-8"?>
<clbl:labelList xmlns:clbl="http://schemas.microsoft.com/office/2020/mipLabelMetadata">
  <clbl:label id="{2e6ba7ff-9897-4e65-9803-3be34fd9cf5a}" enabled="1" method="Privileged" siteId="{8c3c81bc-2b3c-44af-b3f7-6f620b3910ee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DailyData</vt:lpstr>
      <vt:lpstr>EnergyEssentials</vt:lpstr>
      <vt:lpstr>NEM INFO</vt:lpstr>
      <vt:lpstr>WEM INFO</vt:lpstr>
      <vt:lpstr>DKIS INFO</vt:lpstr>
      <vt:lpstr>ASX</vt:lpstr>
      <vt:lpstr>7 Day Outlook</vt:lpstr>
      <vt:lpstr>Coal Outages</vt:lpstr>
      <vt:lpstr>DailyData!Print_Area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Kelvin MENG</cp:lastModifiedBy>
  <dcterms:created xsi:type="dcterms:W3CDTF">2024-02-21T01:58:45Z</dcterms:created>
  <dcterms:modified xsi:type="dcterms:W3CDTF">2024-12-04T21:36:48Z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0x010100D001B2BE74D025469E1D0E28F10DD2C8</vt:lpwstr>
  </property>
</Properties>
</file>