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ckfin-my.sharepoint.com/personal/andrewpickett_rocketmortgage_com/Documents/Desktop/"/>
    </mc:Choice>
  </mc:AlternateContent>
  <xr:revisionPtr revIDLastSave="210" documentId="8_{D49F90BE-DE6C-4B1D-8231-58252B1EA9F7}" xr6:coauthVersionLast="47" xr6:coauthVersionMax="47" xr10:uidLastSave="{D5BB2A1D-D49D-4203-ACA3-1DA6C1348E02}"/>
  <bookViews>
    <workbookView xWindow="28680" yWindow="-120" windowWidth="29040" windowHeight="15840" firstSheet="3" activeTab="4" xr2:uid="{00000000-000D-0000-FFFF-FFFF00000000}"/>
  </bookViews>
  <sheets>
    <sheet name="Category Statistics" sheetId="3" state="hidden" r:id="rId1"/>
    <sheet name="Subcategory Statistics" sheetId="4" state="hidden" r:id="rId2"/>
    <sheet name="Parent Years Outcome" sheetId="5" state="hidden" r:id="rId3"/>
    <sheet name="Theater Outcomes by Launch Date" sheetId="11" r:id="rId4"/>
    <sheet name="Outcomes Based on Goals" sheetId="12" r:id="rId5"/>
    <sheet name="Kickstarter" sheetId="1" r:id="rId6"/>
    <sheet name="SuccessFailed" sheetId="9" state="hidden" r:id="rId7"/>
    <sheet name="Edinburgh Research" sheetId="6" state="hidden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C13" i="9"/>
  <c r="C12" i="9"/>
  <c r="C14" i="9" s="1"/>
  <c r="C11" i="9"/>
  <c r="B13" i="9"/>
  <c r="B12" i="9"/>
  <c r="B14" i="9" s="1"/>
  <c r="B11" i="9"/>
  <c r="C6" i="9"/>
  <c r="C5" i="9"/>
  <c r="C7" i="9" s="1"/>
  <c r="C4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2" i="6"/>
  <c r="B2" i="6"/>
  <c r="D3" i="6"/>
  <c r="D4" i="6"/>
  <c r="D5" i="6"/>
  <c r="D6" i="6"/>
  <c r="C3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E4" i="6"/>
  <c r="E6" i="6"/>
  <c r="E5" i="6"/>
  <c r="E2" i="6"/>
  <c r="E3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<sst xmlns="http://schemas.openxmlformats.org/spreadsheetml/2006/main" count="33050" uniqueCount="8420">
  <si>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</si>
  <si>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</si>
  <si>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</si>
  <si>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</si>
  <si>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</si>
  <si>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</si>
  <si>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</si>
  <si>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</si>
  <si>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</si>
  <si>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</si>
  <si>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</si>
  <si>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</si>
  <si>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</si>
  <si>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</si>
  <si>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</si>
  <si>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</si>
  <si>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</si>
  <si>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</si>
  <si>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</si>
  <si>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</si>
  <si>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</si>
  <si>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</si>
  <si>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</si>
  <si>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</si>
  <si>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</si>
  <si>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</si>
  <si>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</si>
  <si>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</si>
  <si>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</si>
  <si>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</si>
  <si>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</si>
  <si>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</si>
  <si>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</si>
  <si>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</si>
  <si>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</si>
  <si>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</si>
  <si>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</si>
  <si>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</si>
  <si>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</si>
  <si>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</si>
  <si>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</si>
  <si>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</si>
  <si>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</si>
  <si>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</si>
  <si>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</si>
  <si>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</si>
  <si>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</si>
  <si>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</si>
  <si>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</si>
  <si>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</si>
  <si>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</si>
  <si>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</si>
  <si>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</si>
  <si>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</si>
  <si>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</si>
  <si>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</si>
  <si>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</si>
  <si>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</si>
  <si>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</si>
  <si>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</si>
  <si>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</si>
  <si>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</si>
  <si>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</si>
  <si>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</si>
  <si>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</si>
  <si>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</si>
  <si>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</si>
  <si>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</si>
  <si>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</si>
  <si>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</si>
  <si>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</si>
  <si>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</si>
  <si>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</si>
  <si>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</si>
  <si>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</si>
  <si>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</si>
  <si>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</si>
  <si>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</si>
  <si>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</si>
  <si>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</si>
  <si>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</si>
  <si>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</si>
  <si>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</si>
  <si>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</si>
  <si>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</si>
  <si>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</si>
  <si>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</si>
  <si>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</si>
  <si>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</si>
  <si>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</si>
  <si>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</si>
  <si>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</si>
  <si>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</si>
  <si>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</si>
  <si>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</si>
  <si>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</si>
  <si>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</si>
  <si>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</si>
  <si>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</si>
  <si>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</si>
  <si>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</si>
  <si>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</si>
  <si>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</si>
  <si>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</si>
  <si>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</si>
  <si>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</si>
  <si>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</si>
  <si>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</si>
  <si>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</si>
  <si>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</si>
  <si>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</si>
  <si>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</si>
  <si>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</si>
  <si>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</si>
  <si>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</si>
  <si>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</si>
  <si>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</si>
  <si>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</si>
  <si>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</si>
  <si>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</si>
  <si>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</si>
  <si>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</si>
  <si>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</si>
  <si>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</si>
  <si>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</si>
  <si>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</si>
  <si>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</si>
  <si>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</si>
  <si>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</si>
  <si>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</si>
  <si>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</si>
  <si>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</si>
  <si>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</si>
  <si>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</si>
  <si>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</si>
  <si>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</si>
  <si>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</si>
  <si>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</si>
  <si>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</si>
  <si>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</si>
  <si>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</si>
  <si>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</si>
  <si>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</si>
  <si>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</si>
  <si>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</si>
  <si>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</si>
  <si>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</si>
  <si>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</si>
  <si>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</si>
  <si>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</si>
  <si>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</si>
  <si>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</si>
  <si>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</si>
  <si>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</si>
  <si>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</si>
  <si>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</si>
  <si>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</si>
  <si>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</si>
  <si>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</si>
  <si>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</si>
  <si>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</si>
  <si>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</si>
  <si>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</si>
  <si>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</si>
  <si>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</si>
  <si>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</si>
  <si>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</si>
  <si>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</si>
  <si>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</si>
  <si>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</si>
  <si>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</si>
  <si>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</si>
  <si>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</si>
  <si>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</si>
  <si>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</si>
  <si>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</si>
  <si>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</si>
  <si>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</si>
  <si>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</si>
  <si>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</si>
  <si>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</si>
  <si>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</si>
  <si>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</si>
  <si>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</si>
  <si>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</si>
  <si>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</si>
  <si>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</si>
  <si>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</si>
  <si>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</si>
  <si>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</si>
  <si>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</si>
  <si>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</si>
  <si>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</si>
  <si>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</si>
  <si>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</si>
  <si>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</si>
  <si>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</si>
  <si>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</si>
  <si>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</si>
  <si>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</si>
  <si>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</si>
  <si>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</si>
  <si>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</si>
  <si>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</si>
  <si>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</si>
  <si>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</si>
  <si>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</si>
  <si>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</si>
  <si>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</si>
  <si>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</si>
  <si>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</si>
  <si>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</si>
  <si>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</si>
  <si>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</si>
  <si>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</si>
  <si>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</si>
  <si>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</si>
  <si>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</si>
  <si>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</si>
  <si>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</si>
  <si>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</si>
  <si>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</si>
  <si>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</si>
  <si>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</si>
  <si>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</si>
  <si>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</si>
  <si>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</si>
  <si>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</si>
  <si>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</si>
  <si>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</si>
  <si>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</si>
  <si>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</si>
  <si>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</si>
  <si>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</si>
  <si>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</si>
  <si>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</si>
  <si>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</si>
  <si>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</si>
  <si>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</si>
  <si>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</si>
  <si>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</si>
  <si>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</si>
  <si>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</si>
  <si>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</si>
  <si>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</si>
  <si>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</si>
  <si>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</si>
  <si>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</si>
  <si>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</si>
  <si>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</si>
  <si>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</si>
  <si>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</si>
  <si>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</si>
  <si>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</si>
  <si>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</si>
  <si>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</si>
  <si>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</si>
  <si>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</si>
  <si>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</si>
  <si>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</si>
  <si>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</si>
  <si>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</si>
  <si>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</si>
  <si>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</si>
  <si>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</si>
  <si>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</si>
  <si>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</si>
  <si>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</si>
  <si>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</si>
  <si>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</si>
  <si>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</si>
  <si>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</si>
  <si>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</si>
  <si>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</si>
  <si>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</si>
  <si>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</si>
  <si>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</si>
  <si>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</si>
  <si>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</si>
  <si>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</si>
  <si>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</si>
  <si>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</si>
  <si>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</si>
  <si>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</si>
  <si>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</si>
  <si>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</si>
  <si>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</si>
  <si>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</si>
  <si>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</si>
  <si>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</si>
  <si>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</si>
  <si>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</si>
  <si>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</si>
  <si>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</si>
  <si>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</si>
  <si>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</si>
  <si>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</si>
  <si>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</si>
  <si>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</si>
  <si>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</si>
  <si>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</si>
  <si>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</si>
  <si>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</si>
  <si>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</si>
  <si>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</si>
  <si>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</si>
  <si>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</si>
  <si>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</si>
  <si>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</si>
  <si>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</si>
  <si>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</si>
  <si>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</si>
  <si>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</si>
  <si>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</si>
  <si>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</si>
  <si>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</si>
  <si>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</si>
  <si>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</si>
  <si>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</si>
  <si>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</si>
  <si>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</si>
  <si>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</si>
  <si>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</si>
  <si>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</si>
  <si>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</si>
  <si>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</si>
  <si>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</si>
  <si>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</si>
  <si>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</si>
  <si>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</si>
  <si>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</si>
  <si>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</si>
  <si>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</si>
  <si>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</si>
  <si>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</si>
  <si>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</si>
  <si>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</si>
  <si>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</si>
  <si>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</si>
  <si>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</si>
  <si>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</si>
  <si>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</si>
  <si>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</si>
  <si>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</si>
  <si>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</si>
  <si>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</si>
  <si>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</si>
  <si>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</si>
  <si>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</si>
  <si>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</si>
  <si>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</si>
  <si>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</si>
  <si>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</si>
  <si>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</si>
  <si>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</si>
  <si>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</si>
  <si>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</si>
  <si>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</si>
  <si>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</si>
  <si>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</si>
  <si>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</si>
  <si>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</si>
  <si>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</si>
  <si>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</si>
  <si>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</si>
  <si>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</si>
  <si>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</si>
  <si>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</si>
  <si>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</si>
  <si>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</si>
  <si>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</si>
  <si>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</si>
  <si>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</si>
  <si>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</si>
  <si>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</si>
  <si>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</si>
  <si>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</si>
  <si>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</si>
  <si>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</si>
  <si>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</si>
  <si>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</si>
  <si>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</si>
  <si>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</si>
  <si>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</si>
  <si>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</si>
  <si>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</si>
  <si>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</si>
  <si>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</si>
  <si>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</si>
  <si>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</si>
  <si>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</si>
  <si>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</si>
  <si>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</si>
  <si>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</si>
  <si>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</si>
  <si>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</si>
  <si>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</si>
  <si>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</si>
  <si>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</si>
  <si>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</si>
  <si>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</si>
  <si>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</si>
  <si>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</si>
  <si>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</si>
  <si>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</si>
  <si>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</si>
  <si>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</si>
  <si>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</si>
  <si>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</si>
  <si>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</si>
  <si>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</si>
  <si>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</si>
  <si>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</si>
  <si>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</si>
  <si>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</si>
  <si>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</si>
  <si>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</si>
  <si>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</si>
  <si>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</si>
  <si>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</si>
  <si>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</si>
  <si>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</si>
  <si>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</si>
  <si>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</si>
  <si>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</si>
  <si>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</si>
  <si>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</si>
  <si>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</si>
  <si>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</si>
  <si>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</si>
  <si>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</si>
  <si>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</si>
  <si>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</si>
  <si>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</si>
  <si>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</si>
  <si>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</si>
  <si>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</si>
  <si>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</si>
  <si>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</si>
  <si>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</si>
  <si>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</si>
  <si>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</si>
  <si>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</si>
  <si>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</si>
  <si>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</si>
  <si>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</si>
  <si>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</si>
  <si>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</si>
  <si>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</si>
  <si>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</si>
  <si>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</si>
  <si>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</si>
  <si>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</si>
  <si>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</si>
  <si>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</si>
  <si>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</si>
  <si>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</si>
  <si>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</si>
  <si>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</si>
  <si>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</si>
  <si>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</si>
  <si>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</si>
  <si>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</si>
  <si>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</si>
  <si>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</si>
  <si>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</si>
  <si>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</si>
  <si>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</si>
  <si>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</si>
  <si>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</si>
  <si>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</si>
  <si>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</si>
  <si>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</si>
  <si>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</si>
  <si>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</si>
  <si>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</si>
  <si>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</si>
  <si>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</si>
  <si>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</si>
  <si>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</si>
  <si>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</si>
  <si>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</si>
  <si>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</si>
  <si>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</si>
  <si>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</si>
  <si>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</si>
  <si>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</si>
  <si>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</si>
  <si>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</si>
  <si>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</si>
  <si>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</si>
  <si>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</si>
  <si>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</si>
  <si>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</si>
  <si>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</si>
  <si>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</si>
  <si>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</si>
  <si>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</si>
  <si>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</si>
  <si>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</si>
  <si>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</si>
  <si>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</si>
  <si>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</si>
  <si>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</si>
  <si>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</si>
  <si>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</si>
  <si>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</si>
  <si>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</si>
  <si>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</si>
  <si>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</si>
  <si>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</si>
  <si>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</si>
  <si>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</si>
  <si>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</si>
  <si>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</si>
  <si>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</si>
  <si>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</si>
  <si>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</si>
  <si>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</si>
  <si>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</si>
  <si>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</si>
  <si>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</si>
  <si>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</si>
  <si>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</si>
  <si>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</si>
  <si>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</si>
  <si>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</si>
  <si>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</si>
  <si>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</si>
  <si>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</si>
  <si>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</si>
  <si>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</si>
  <si>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</si>
  <si>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</si>
  <si>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</si>
  <si>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</si>
  <si>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</si>
  <si>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</si>
  <si>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</si>
  <si>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</si>
  <si>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</si>
  <si>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</si>
  <si>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</si>
  <si>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</si>
  <si>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</si>
  <si>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</si>
  <si>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</si>
  <si>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</si>
  <si>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</si>
  <si>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</si>
  <si>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</si>
  <si>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</si>
  <si>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</si>
  <si>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</si>
  <si>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</si>
  <si>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</si>
  <si>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</si>
  <si>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</si>
  <si>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</si>
  <si>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</si>
  <si>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</si>
  <si>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</si>
  <si>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</si>
  <si>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</si>
  <si>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</si>
  <si>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</si>
  <si>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</si>
  <si>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</si>
  <si>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</si>
  <si>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</si>
  <si>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</si>
  <si>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</si>
  <si>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</si>
  <si>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</si>
  <si>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</si>
  <si>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</si>
  <si>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</si>
  <si>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</si>
  <si>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</si>
  <si>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</si>
  <si>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</si>
  <si>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</si>
  <si>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</si>
  <si>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</si>
  <si>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</si>
  <si>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</si>
  <si>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</si>
  <si>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</si>
  <si>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</si>
  <si>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</si>
  <si>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</si>
  <si>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</si>
  <si>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</si>
  <si>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</si>
  <si>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</si>
  <si>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</si>
  <si>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</si>
  <si>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</si>
  <si>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</si>
  <si>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</si>
  <si>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</si>
  <si>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</si>
  <si>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</si>
  <si>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</si>
  <si>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</si>
  <si>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</si>
  <si>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</si>
  <si>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</si>
  <si>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</si>
  <si>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</si>
  <si>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</si>
  <si>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</si>
  <si>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</si>
  <si>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</si>
  <si>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</si>
  <si>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</si>
  <si>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</si>
  <si>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</si>
  <si>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</si>
  <si>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</si>
  <si>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</si>
  <si>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</si>
  <si>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</si>
  <si>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</si>
  <si>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</si>
  <si>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</si>
  <si>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</si>
  <si>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</si>
  <si>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</si>
  <si>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</si>
  <si>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</si>
  <si>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</si>
  <si>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</si>
  <si>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</si>
  <si>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</si>
  <si>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</si>
  <si>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</si>
  <si>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</si>
  <si>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</si>
  <si>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</si>
  <si>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</si>
  <si>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</si>
  <si>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</si>
  <si>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</si>
  <si>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</si>
  <si>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</si>
  <si>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</si>
  <si>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</si>
  <si>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</si>
  <si>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</si>
  <si>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</si>
  <si>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</si>
  <si>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</si>
  <si>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</si>
  <si>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</si>
  <si>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</si>
  <si>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</si>
  <si>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</si>
  <si>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</si>
  <si>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</si>
  <si>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</si>
  <si>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</si>
  <si>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</si>
  <si>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</si>
  <si>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</si>
  <si>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</si>
  <si>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</si>
  <si>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</si>
  <si>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</si>
  <si>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</si>
  <si>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</si>
  <si>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</si>
  <si>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</si>
  <si>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</si>
  <si>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</si>
  <si>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</si>
  <si>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</si>
  <si>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</si>
  <si>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</si>
  <si>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</si>
  <si>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</si>
  <si>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</si>
  <si>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</si>
  <si>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</si>
  <si>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</si>
  <si>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</si>
  <si>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</si>
  <si>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</si>
  <si>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</si>
  <si>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</si>
  <si>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</si>
  <si>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</si>
  <si>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</si>
  <si>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</si>
  <si>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</si>
  <si>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</si>
  <si>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</si>
  <si>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</si>
  <si>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</si>
  <si>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</si>
  <si>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</si>
  <si>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</si>
  <si>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</si>
  <si>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</si>
  <si>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</si>
  <si>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</si>
  <si>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</si>
  <si>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</si>
  <si>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</si>
  <si>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</si>
  <si>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</si>
  <si>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</si>
  <si>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</si>
  <si>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</si>
  <si>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</si>
  <si>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</si>
  <si>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</si>
  <si>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</si>
  <si>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</si>
  <si>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</si>
  <si>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</si>
  <si>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</si>
  <si>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</si>
  <si>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</si>
  <si>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</si>
  <si>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</si>
  <si>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</si>
  <si>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</si>
  <si>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</si>
  <si>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</si>
  <si>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</si>
  <si>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</si>
  <si>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</si>
  <si>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</si>
  <si>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</si>
  <si>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</si>
  <si>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</si>
  <si>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</si>
  <si>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</si>
  <si>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</si>
  <si>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</si>
  <si>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</si>
  <si>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</si>
  <si>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</si>
  <si>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</si>
  <si>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</si>
  <si>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</si>
  <si>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</si>
  <si>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</si>
  <si>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</si>
  <si>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</si>
  <si>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</si>
  <si>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</si>
  <si>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</si>
  <si>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</si>
  <si>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</si>
  <si>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</si>
  <si>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</si>
  <si>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</si>
  <si>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</si>
  <si>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</si>
  <si>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</si>
  <si>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</si>
  <si>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</si>
  <si>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</si>
  <si>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</si>
  <si>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</si>
  <si>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</si>
  <si>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</si>
  <si>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</si>
  <si>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</si>
  <si>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</si>
  <si>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</si>
  <si>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</si>
  <si>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</si>
  <si>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</si>
  <si>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</si>
  <si>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</si>
  <si>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</si>
  <si>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</si>
  <si>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</si>
  <si>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</si>
  <si>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</si>
  <si>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</si>
  <si>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</si>
  <si>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</si>
  <si>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</si>
  <si>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</si>
  <si>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</si>
  <si>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</si>
  <si>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</si>
  <si>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</si>
  <si>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</si>
  <si>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</si>
  <si>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</si>
  <si>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</si>
  <si>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</si>
  <si>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</si>
  <si>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</si>
  <si>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</si>
  <si>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</si>
  <si>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</si>
  <si>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</si>
  <si>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</si>
  <si>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</si>
  <si>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</si>
  <si>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</si>
  <si>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</si>
  <si>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</si>
  <si>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</si>
  <si>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</si>
  <si>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</si>
  <si>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</si>
  <si>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</si>
  <si>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</si>
  <si>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</si>
  <si>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</si>
  <si>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</si>
  <si>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</si>
  <si>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</si>
  <si>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</si>
  <si>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</si>
  <si>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</si>
  <si>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</si>
  <si>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</si>
  <si>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</si>
  <si>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</si>
  <si>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</si>
  <si>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</si>
  <si>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</si>
  <si>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</si>
  <si>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</si>
  <si>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</si>
  <si>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</si>
  <si>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</si>
  <si>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</si>
  <si>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</si>
  <si>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</si>
  <si>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</si>
  <si>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</si>
  <si>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</si>
  <si>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</si>
  <si>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</si>
  <si>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</si>
  <si>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</si>
  <si>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</si>
  <si>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</si>
  <si>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</si>
  <si>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</si>
  <si>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</si>
  <si>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</si>
  <si>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</si>
  <si>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</si>
  <si>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</si>
  <si>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</si>
  <si>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</si>
  <si>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</si>
  <si>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</si>
  <si>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</si>
  <si>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</si>
  <si>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</si>
  <si>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</si>
  <si>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</si>
  <si>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</si>
  <si>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</si>
  <si>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</si>
  <si>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</si>
  <si>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</si>
  <si>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</si>
  <si>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</si>
  <si>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</si>
  <si>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</si>
  <si>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</si>
  <si>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</si>
  <si>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</si>
  <si>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</si>
  <si>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</si>
  <si>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</si>
  <si>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</si>
  <si>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</si>
  <si>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</si>
  <si>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</si>
  <si>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</si>
  <si>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</si>
  <si>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</si>
  <si>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</si>
  <si>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</si>
  <si>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</si>
  <si>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</si>
  <si>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</si>
  <si>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</si>
  <si>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</si>
  <si>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</si>
  <si>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</si>
  <si>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</si>
  <si>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</si>
  <si>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</si>
  <si>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</si>
  <si>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</si>
  <si>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</si>
  <si>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</si>
  <si>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</si>
  <si>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</si>
  <si>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</si>
  <si>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</si>
  <si>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</si>
  <si>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</si>
  <si>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</si>
  <si>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</si>
  <si>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</si>
  <si>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</si>
  <si>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</si>
  <si>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</si>
  <si>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</si>
  <si>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</si>
  <si>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</si>
  <si>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</si>
  <si>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</si>
  <si>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</si>
  <si>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</si>
  <si>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</si>
  <si>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</si>
  <si>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</si>
  <si>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</si>
  <si>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</si>
  <si>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</si>
  <si>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</si>
  <si>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</si>
  <si>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</si>
  <si>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</si>
  <si>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</si>
  <si>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</si>
  <si>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</si>
  <si>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</si>
  <si>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</si>
  <si>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</si>
  <si>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</si>
  <si>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</si>
  <si>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</si>
  <si>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</si>
  <si>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</si>
  <si>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</si>
  <si>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</si>
  <si>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</si>
  <si>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</si>
  <si>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</si>
  <si>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</si>
  <si>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</si>
  <si>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</si>
  <si>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</si>
  <si>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</si>
  <si>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</si>
  <si>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</si>
  <si>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</si>
  <si>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</si>
  <si>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</si>
  <si>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</si>
  <si>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</si>
  <si>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</si>
  <si>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</si>
  <si>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</si>
  <si>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</si>
  <si>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</si>
  <si>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</si>
  <si>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</si>
  <si>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</si>
  <si>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</si>
  <si>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</si>
  <si>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</si>
  <si>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</si>
  <si>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</si>
  <si>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</si>
  <si>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</si>
  <si>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</si>
  <si>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</si>
  <si>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</si>
  <si>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</si>
  <si>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</si>
  <si>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</si>
  <si>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</si>
  <si>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</si>
  <si>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</si>
  <si>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</si>
  <si>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</si>
  <si>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</si>
  <si>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</si>
  <si>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</si>
  <si>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</si>
  <si>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</si>
  <si>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</si>
  <si>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</si>
  <si>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</si>
  <si>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</si>
  <si>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</si>
  <si>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</si>
  <si>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</si>
  <si>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</si>
  <si>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</si>
  <si>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</si>
  <si>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</si>
  <si>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</si>
  <si>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</si>
  <si>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</si>
  <si>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</si>
  <si>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</si>
  <si>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</si>
  <si>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</si>
  <si>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</si>
  <si>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</si>
  <si>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</si>
  <si>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</si>
  <si>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</si>
  <si>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</si>
  <si>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</si>
  <si>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</si>
  <si>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</si>
  <si>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</si>
  <si>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</si>
  <si>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</si>
  <si>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</si>
  <si>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</si>
  <si>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</si>
  <si>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</si>
  <si>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</si>
  <si>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</si>
  <si>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</si>
  <si>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</si>
  <si>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</si>
  <si>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</si>
  <si>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</si>
  <si>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</si>
  <si>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</si>
  <si>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</si>
  <si>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</si>
  <si>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</si>
  <si>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</si>
  <si>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</si>
  <si>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</si>
  <si>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</si>
  <si>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</si>
  <si>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</si>
  <si>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</si>
  <si>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</si>
  <si>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</si>
  <si>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</si>
  <si>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</si>
  <si>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</si>
  <si>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</si>
  <si>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</si>
  <si>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</si>
  <si>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</si>
  <si>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</si>
  <si>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</si>
  <si>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</si>
  <si>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</si>
  <si>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</si>
  <si>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</si>
  <si>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</si>
  <si>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</si>
  <si>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</si>
  <si>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</si>
  <si>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</si>
  <si>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</si>
  <si>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</si>
  <si>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</si>
  <si>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</si>
  <si>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</si>
  <si>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</si>
  <si>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</si>
  <si>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</si>
  <si>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</si>
  <si>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</si>
  <si>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</si>
  <si>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</si>
  <si>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</si>
  <si>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</si>
  <si>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</si>
  <si>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</si>
  <si>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</si>
  <si>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</si>
  <si>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</si>
  <si>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</si>
  <si>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</si>
  <si>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</si>
  <si>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</si>
  <si>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</si>
  <si>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</si>
  <si>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</si>
  <si>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</si>
  <si>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</si>
  <si>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</si>
  <si>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</si>
  <si>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</si>
  <si>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</si>
  <si>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</si>
  <si>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</si>
  <si>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</si>
  <si>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</si>
  <si>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</si>
  <si>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</si>
  <si>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</si>
  <si>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</si>
  <si>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</si>
  <si>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</si>
  <si>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</si>
  <si>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</si>
  <si>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</si>
  <si>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</si>
  <si>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</si>
  <si>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</si>
  <si>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</si>
  <si>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</si>
  <si>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</si>
  <si>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</si>
  <si>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</si>
  <si>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</si>
  <si>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</si>
  <si>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</si>
  <si>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</si>
  <si>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</si>
  <si>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</si>
  <si>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</si>
  <si>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</si>
  <si>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</si>
  <si>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</si>
  <si>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</si>
  <si>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</si>
  <si>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</si>
  <si>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</si>
  <si>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</si>
  <si>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</si>
  <si>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</si>
  <si>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</si>
  <si>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</si>
  <si>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</si>
  <si>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</si>
  <si>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</si>
  <si>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</si>
  <si>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</si>
  <si>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</si>
  <si>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</si>
  <si>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</si>
  <si>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</si>
  <si>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</si>
  <si>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</si>
  <si>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</si>
  <si>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</si>
  <si>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</si>
  <si>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</si>
  <si>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</si>
  <si>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</si>
  <si>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</si>
  <si>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</si>
  <si>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</si>
  <si>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</si>
  <si>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</si>
  <si>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</si>
  <si>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</si>
  <si>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</si>
  <si>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</si>
  <si>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</si>
  <si>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</si>
  <si>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</si>
  <si>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</si>
  <si>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</si>
  <si>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</si>
  <si>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</si>
  <si>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</si>
  <si>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</si>
  <si>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</si>
  <si>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</si>
  <si>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</si>
  <si>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</si>
  <si>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</si>
  <si>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</si>
  <si>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</si>
  <si>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</si>
  <si>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</si>
  <si>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</si>
  <si>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</si>
  <si>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</si>
  <si>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</si>
  <si>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</si>
  <si>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</si>
  <si>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</si>
  <si>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</si>
  <si>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</si>
  <si>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</si>
  <si>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</si>
  <si>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</si>
  <si>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</si>
  <si>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</si>
  <si>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</si>
  <si>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</si>
  <si>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</si>
  <si>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</si>
  <si>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</si>
  <si>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</si>
  <si>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</si>
  <si>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</si>
  <si>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</si>
  <si>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</si>
  <si>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</si>
  <si>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</si>
  <si>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</si>
  <si>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</si>
  <si>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</si>
  <si>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</si>
  <si>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</si>
  <si>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</si>
  <si>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</si>
  <si>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</si>
  <si>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</si>
  <si>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</si>
  <si>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</si>
  <si>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</si>
  <si>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</si>
  <si>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</si>
  <si>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</si>
  <si>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</si>
  <si>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</si>
  <si>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</si>
  <si>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</si>
  <si>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</si>
  <si>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</si>
  <si>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</si>
  <si>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</si>
  <si>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</si>
  <si>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</si>
  <si>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</si>
  <si>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</si>
  <si>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</si>
  <si>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</si>
  <si>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</si>
  <si>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</si>
  <si>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</si>
  <si>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</si>
  <si>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</si>
  <si>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</si>
  <si>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</si>
  <si>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</si>
  <si>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</si>
  <si>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</si>
  <si>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</si>
  <si>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</si>
  <si>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</si>
  <si>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</si>
  <si>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</si>
  <si>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</si>
  <si>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</si>
  <si>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</si>
  <si>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</si>
  <si>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</si>
  <si>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</si>
  <si>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</si>
  <si>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</si>
  <si>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</si>
  <si>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</si>
  <si>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</si>
  <si>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</si>
  <si>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</si>
  <si>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</si>
  <si>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</si>
  <si>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</si>
  <si>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</si>
  <si>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</si>
  <si>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</si>
  <si>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</si>
  <si>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</si>
  <si>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</si>
  <si>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</si>
  <si>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</si>
  <si>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</si>
  <si>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</si>
  <si>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</si>
  <si>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</si>
  <si>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</si>
  <si>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</si>
  <si>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</si>
  <si>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</si>
  <si>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</si>
  <si>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</si>
  <si>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</si>
  <si>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</si>
  <si>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</si>
  <si>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</si>
  <si>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</si>
  <si>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</si>
  <si>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</si>
  <si>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</si>
  <si>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</si>
  <si>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</si>
  <si>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</si>
  <si>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</si>
  <si>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</si>
  <si>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</si>
  <si>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</si>
  <si>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</si>
  <si>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</si>
  <si>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</si>
  <si>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</si>
  <si>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</si>
  <si>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</si>
  <si>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</si>
  <si>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</si>
  <si>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</si>
  <si>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</si>
  <si>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</si>
  <si>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</si>
  <si>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</si>
  <si>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</si>
  <si>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</si>
  <si>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</si>
  <si>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</si>
  <si>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</si>
  <si>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</si>
  <si>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</si>
  <si>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</si>
  <si>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</si>
  <si>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</si>
  <si>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</si>
  <si>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</si>
  <si>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</si>
  <si>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</si>
  <si>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</si>
  <si>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</si>
  <si>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</si>
  <si>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</si>
  <si>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</si>
  <si>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</si>
  <si>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</si>
  <si>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</si>
  <si>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</si>
  <si>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</si>
  <si>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</si>
  <si>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</si>
  <si>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</si>
  <si>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</si>
  <si>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</si>
  <si>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</si>
  <si>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</si>
  <si>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</si>
  <si>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</si>
  <si>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</si>
  <si>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</si>
  <si>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</si>
  <si>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</si>
  <si>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</si>
  <si>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</si>
  <si>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</si>
  <si>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</si>
  <si>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</si>
  <si>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</si>
  <si>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</si>
  <si>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</si>
  <si>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</si>
  <si>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</si>
  <si>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</si>
  <si>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</si>
  <si>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</si>
  <si>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</si>
  <si>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</si>
  <si>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</si>
  <si>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</si>
  <si>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</si>
  <si>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</si>
  <si>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</si>
  <si>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</si>
  <si>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</si>
  <si>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</si>
  <si>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</si>
  <si>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</si>
  <si>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</si>
  <si>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</si>
  <si>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</si>
  <si>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</si>
  <si>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</si>
  <si>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</si>
  <si>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</si>
  <si>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</si>
  <si>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</si>
  <si>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</si>
  <si>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</si>
  <si>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</si>
  <si>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</si>
  <si>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</si>
  <si>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</si>
  <si>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</si>
  <si>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</si>
  <si>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</si>
  <si>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</si>
  <si>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</si>
  <si>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</si>
  <si>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</si>
  <si>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</si>
  <si>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</si>
  <si>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</si>
  <si>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</si>
  <si>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</si>
  <si>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</si>
  <si>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</si>
  <si>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</si>
  <si>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</si>
  <si>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</si>
  <si>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</si>
  <si>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</si>
  <si>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</si>
  <si>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</si>
  <si>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</si>
  <si>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</si>
  <si>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</si>
  <si>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</si>
  <si>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</si>
  <si>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</si>
  <si>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</si>
  <si>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</si>
  <si>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</si>
  <si>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</si>
  <si>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</si>
  <si>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</si>
  <si>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</si>
  <si>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</si>
  <si>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</si>
  <si>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</si>
  <si>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</si>
  <si>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</si>
  <si>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</si>
  <si>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</si>
  <si>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</si>
  <si>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</si>
  <si>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</si>
  <si>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</si>
  <si>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</si>
  <si>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</si>
  <si>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</si>
  <si>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</si>
  <si>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</si>
  <si>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</si>
  <si>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</si>
  <si>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</si>
  <si>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</si>
  <si>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</si>
  <si>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</si>
  <si>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</si>
  <si>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</si>
  <si>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</si>
  <si>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</si>
  <si>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</si>
  <si>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</si>
  <si>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</si>
  <si>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</si>
  <si>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</si>
  <si>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</si>
  <si>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</si>
  <si>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</si>
  <si>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</si>
  <si>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</si>
  <si>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</si>
  <si>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</si>
  <si>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</si>
  <si>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</si>
  <si>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</si>
  <si>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</si>
  <si>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</si>
  <si>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</si>
  <si>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</si>
  <si>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</si>
  <si>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</si>
  <si>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</si>
  <si>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</si>
  <si>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</si>
  <si>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</si>
  <si>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</si>
  <si>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</si>
  <si>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</si>
  <si>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</si>
  <si>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</si>
  <si>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</si>
  <si>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</si>
  <si>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</si>
  <si>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</si>
  <si>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</si>
  <si>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</si>
  <si>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</si>
  <si>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</si>
  <si>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</si>
  <si>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</si>
  <si>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</si>
  <si>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</si>
  <si>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</si>
  <si>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</si>
  <si>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</si>
  <si>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</si>
  <si>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</si>
  <si>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</si>
  <si>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</si>
  <si>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</si>
  <si>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</si>
  <si>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</si>
  <si>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</si>
  <si>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</si>
  <si>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</si>
  <si>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</si>
  <si>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</si>
  <si>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</si>
  <si>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</si>
  <si>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</si>
  <si>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</si>
  <si>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</si>
  <si>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</si>
  <si>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</si>
  <si>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</si>
  <si>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</si>
  <si>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</si>
  <si>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</si>
  <si>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</si>
  <si>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</si>
  <si>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</si>
  <si>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</si>
  <si>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</si>
  <si>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</si>
  <si>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</si>
  <si>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</si>
  <si>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</si>
  <si>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</si>
  <si>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</si>
  <si>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</si>
  <si>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</si>
  <si>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</si>
  <si>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</si>
  <si>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</si>
  <si>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</si>
  <si>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</si>
  <si>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</si>
  <si>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</si>
  <si>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</si>
  <si>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</si>
  <si>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</si>
  <si>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</si>
  <si>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</si>
  <si>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</si>
  <si>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</si>
  <si>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</si>
  <si>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</si>
  <si>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</si>
  <si>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</si>
  <si>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</si>
  <si>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</si>
  <si>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</si>
  <si>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</si>
  <si>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</si>
  <si>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</si>
  <si>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</si>
  <si>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</si>
  <si>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</si>
  <si>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</si>
  <si>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</si>
  <si>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</si>
  <si>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</si>
  <si>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</si>
  <si>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</si>
  <si>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</si>
  <si>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</si>
  <si>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</si>
  <si>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</si>
  <si>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</si>
  <si>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</si>
  <si>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</si>
  <si>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</si>
  <si>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</si>
  <si>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</si>
  <si>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</si>
  <si>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</si>
  <si>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</si>
  <si>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</si>
  <si>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</si>
  <si>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</si>
  <si>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</si>
  <si>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</si>
  <si>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</si>
  <si>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</si>
  <si>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</si>
  <si>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</si>
  <si>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</si>
  <si>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</si>
  <si>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</si>
  <si>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</si>
  <si>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</si>
  <si>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</si>
  <si>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</si>
  <si>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</si>
  <si>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</si>
  <si>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</si>
  <si>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</si>
  <si>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</si>
  <si>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</si>
  <si>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</si>
  <si>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</si>
  <si>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</si>
  <si>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</si>
  <si>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</si>
  <si>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</si>
  <si>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</si>
  <si>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</si>
  <si>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</si>
  <si>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</si>
  <si>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</si>
  <si>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</si>
  <si>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</si>
  <si>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</si>
  <si>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</si>
  <si>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</si>
  <si>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</si>
  <si>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</si>
  <si>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</si>
  <si>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</si>
  <si>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</si>
  <si>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</si>
  <si>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</si>
  <si>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</si>
  <si>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</si>
  <si>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</si>
  <si>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</si>
  <si>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</si>
  <si>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</si>
  <si>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</si>
  <si>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</si>
  <si>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</si>
  <si>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</si>
  <si>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</si>
  <si>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</si>
  <si>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</si>
  <si>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</si>
  <si>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</si>
  <si>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</si>
  <si>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</si>
  <si>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</si>
  <si>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</si>
  <si>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</si>
  <si>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</si>
  <si>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</si>
  <si>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</si>
  <si>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</si>
  <si>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</si>
  <si>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</si>
  <si>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</si>
  <si>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</si>
  <si>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</si>
  <si>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</si>
  <si>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</si>
  <si>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</si>
  <si>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</si>
  <si>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</si>
  <si>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</si>
  <si>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</si>
  <si>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</si>
  <si>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</si>
  <si>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</si>
  <si>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</si>
  <si>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</si>
  <si>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</si>
  <si>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</si>
  <si>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</si>
  <si>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</si>
  <si>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</si>
  <si>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</si>
  <si>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</si>
  <si>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</si>
  <si>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</si>
  <si>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</si>
  <si>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</si>
  <si>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</si>
  <si>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</si>
  <si>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</si>
  <si>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</si>
  <si>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</si>
  <si>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</si>
  <si>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</si>
  <si>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</si>
  <si>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</si>
  <si>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</si>
  <si>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</si>
  <si>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</si>
  <si>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</si>
  <si>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</si>
  <si>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</si>
  <si>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</si>
  <si>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</si>
  <si>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</si>
  <si>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</si>
  <si>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</si>
  <si>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</si>
  <si>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</si>
  <si>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</si>
  <si>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</si>
  <si>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</si>
  <si>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</si>
  <si>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</si>
  <si>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</si>
  <si>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</si>
  <si>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</si>
  <si>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</si>
  <si>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</si>
  <si>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</si>
  <si>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</si>
  <si>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</si>
  <si>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</si>
  <si>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</si>
  <si>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</si>
  <si>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</si>
  <si>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</si>
  <si>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</si>
  <si>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</si>
  <si>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</si>
  <si>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</si>
  <si>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</si>
  <si>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</si>
  <si>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</si>
  <si>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</si>
  <si>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</si>
  <si>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</si>
  <si>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</si>
  <si>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</si>
  <si>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</si>
  <si>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</si>
  <si>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</si>
  <si>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</si>
  <si>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</si>
  <si>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</si>
  <si>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</si>
  <si>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</si>
  <si>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</si>
  <si>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</si>
  <si>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</si>
  <si>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</si>
  <si>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</si>
  <si>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</si>
  <si>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</si>
  <si>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</si>
  <si>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</si>
  <si>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</si>
  <si>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</si>
  <si>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</si>
  <si>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</si>
  <si>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</si>
  <si>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</si>
  <si>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</si>
  <si>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</si>
  <si>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</si>
  <si>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</si>
  <si>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</si>
  <si>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</si>
  <si>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</si>
  <si>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</si>
  <si>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</si>
  <si>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</si>
  <si>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</si>
  <si>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</si>
  <si>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</si>
  <si>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</si>
  <si>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</si>
  <si>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</si>
  <si>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</si>
  <si>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</si>
  <si>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</si>
  <si>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</si>
  <si>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</si>
  <si>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</si>
  <si>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</si>
  <si>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</si>
  <si>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</si>
  <si>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</si>
  <si>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</si>
  <si>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</si>
  <si>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</si>
  <si>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</si>
  <si>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</si>
  <si>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</si>
  <si>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</si>
  <si>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</si>
  <si>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</si>
  <si>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</si>
  <si>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</si>
  <si>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</si>
  <si>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</si>
  <si>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</si>
  <si>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</si>
  <si>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</si>
  <si>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</si>
  <si>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</si>
  <si>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</si>
  <si>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</si>
  <si>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</si>
  <si>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</si>
  <si>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</si>
  <si>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</si>
  <si>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</si>
  <si>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</si>
  <si>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</si>
  <si>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</si>
  <si>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</si>
  <si>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</si>
  <si>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</si>
  <si>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</si>
  <si>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</si>
  <si>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</si>
  <si>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</si>
  <si>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</si>
  <si>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</si>
  <si>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</si>
  <si>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</si>
  <si>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</si>
  <si>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</si>
  <si>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</si>
  <si>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</si>
  <si>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</si>
  <si>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</si>
  <si>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</si>
  <si>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</si>
  <si>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</si>
  <si>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</si>
  <si>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</si>
  <si>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</si>
  <si>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</si>
  <si>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</si>
  <si>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</si>
  <si>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</si>
  <si>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</si>
  <si>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</si>
  <si>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</si>
  <si>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</si>
  <si>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</si>
  <si>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</si>
  <si>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</si>
  <si>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</si>
  <si>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</si>
  <si>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</si>
  <si>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</si>
  <si>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</si>
  <si>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</si>
  <si>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</si>
  <si>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</si>
  <si>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</si>
  <si>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</si>
  <si>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</si>
  <si>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</si>
  <si>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</si>
  <si>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</si>
  <si>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</si>
  <si>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</si>
  <si>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</si>
  <si>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</si>
  <si>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</si>
  <si>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</si>
  <si>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</si>
  <si>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</si>
  <si>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</si>
  <si>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</si>
  <si>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</si>
  <si>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</si>
  <si>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</si>
  <si>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</si>
  <si>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</si>
  <si>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</si>
  <si>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</si>
  <si>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</si>
  <si>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</si>
  <si>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</si>
  <si>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</si>
  <si>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</si>
  <si>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</si>
  <si>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</si>
  <si>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</si>
  <si>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</si>
  <si>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</si>
  <si>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</si>
  <si>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</si>
  <si>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</si>
  <si>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</si>
  <si>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</si>
  <si>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</si>
  <si>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</si>
  <si>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</si>
  <si>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</si>
  <si>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</si>
  <si>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</si>
  <si>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</si>
  <si>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</si>
  <si>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</si>
  <si>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</si>
  <si>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</si>
  <si>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</si>
  <si>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</si>
  <si>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</si>
  <si>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</si>
  <si>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</si>
  <si>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</si>
  <si>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</si>
  <si>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</si>
  <si>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</si>
  <si>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</si>
  <si>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</si>
  <si>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</si>
  <si>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</si>
  <si>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</si>
  <si>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</si>
  <si>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</si>
  <si>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</si>
  <si>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</si>
  <si>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</si>
  <si>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</si>
  <si>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</si>
  <si>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</si>
  <si>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</si>
  <si>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</si>
  <si>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</si>
  <si>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</si>
  <si>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</si>
  <si>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</si>
  <si>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</si>
  <si>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</si>
  <si>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</si>
  <si>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</si>
  <si>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</si>
  <si>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</si>
  <si>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</si>
  <si>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</si>
  <si>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</si>
  <si>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</si>
  <si>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</si>
  <si>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</si>
  <si>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</si>
  <si>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</si>
  <si>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</si>
  <si>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</si>
  <si>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</si>
  <si>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</si>
  <si>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</si>
  <si>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</si>
  <si>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</si>
  <si>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</si>
  <si>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</si>
  <si>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</si>
  <si>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</si>
  <si>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</si>
  <si>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</si>
  <si>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</si>
  <si>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</si>
  <si>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</si>
  <si>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</si>
  <si>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</si>
  <si>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</si>
  <si>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</si>
  <si>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</si>
  <si>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</si>
  <si>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</si>
  <si>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</si>
  <si>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</si>
  <si>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</si>
  <si>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</si>
  <si>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</si>
  <si>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</si>
  <si>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</si>
  <si>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</si>
  <si>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</si>
  <si>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</si>
  <si>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</si>
  <si>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</si>
  <si>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</si>
  <si>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</si>
  <si>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</si>
  <si>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</si>
  <si>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</si>
  <si>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</si>
  <si>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</si>
  <si>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</si>
  <si>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</si>
  <si>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</si>
  <si>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</si>
  <si>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</si>
  <si>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</si>
  <si>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</si>
  <si>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</si>
  <si>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</si>
  <si>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</si>
  <si>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</si>
  <si>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</si>
  <si>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</si>
  <si>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</si>
  <si>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</si>
  <si>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</si>
  <si>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</si>
  <si>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</si>
  <si>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</si>
  <si>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</si>
  <si>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</si>
  <si>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</si>
  <si>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</si>
  <si>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</si>
  <si>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</si>
  <si>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</si>
  <si>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</si>
  <si>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</si>
  <si>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</si>
  <si>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</si>
  <si>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</si>
  <si>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</si>
  <si>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</si>
  <si>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</si>
  <si>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</si>
  <si>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</si>
  <si>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</si>
  <si>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</si>
  <si>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</si>
  <si>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</si>
  <si>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</si>
  <si>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</si>
  <si>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</si>
  <si>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</si>
  <si>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</si>
  <si>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</si>
  <si>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</si>
  <si>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</si>
  <si>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</si>
  <si>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</si>
  <si>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</si>
  <si>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</si>
  <si>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</si>
  <si>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</si>
  <si>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</si>
  <si>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</si>
  <si>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</si>
  <si>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</si>
  <si>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</si>
  <si>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</si>
  <si>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</si>
  <si>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</si>
  <si>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</si>
  <si>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</si>
  <si>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</si>
  <si>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</si>
  <si>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</si>
  <si>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</si>
  <si>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</si>
  <si>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</si>
  <si>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</si>
  <si>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</si>
  <si>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</si>
  <si>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</si>
  <si>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</si>
  <si>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</si>
  <si>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</si>
  <si>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</si>
  <si>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</si>
  <si>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</si>
  <si>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</si>
  <si>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</si>
  <si>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</si>
  <si>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</si>
  <si>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</si>
  <si>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</si>
  <si>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</si>
  <si>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</si>
  <si>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</si>
  <si>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</si>
  <si>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</si>
  <si>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</si>
  <si>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</si>
  <si>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</si>
  <si>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</si>
  <si>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</si>
  <si>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</si>
  <si>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</si>
  <si>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</si>
  <si>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</si>
  <si>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</si>
  <si>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</si>
  <si>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</si>
  <si>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</si>
  <si>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</si>
  <si>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</si>
  <si>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</si>
  <si>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</si>
  <si>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</si>
  <si>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</si>
  <si>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</si>
  <si>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</si>
  <si>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</si>
  <si>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</si>
  <si>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</si>
  <si>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</si>
  <si>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</si>
  <si>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</si>
  <si>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</si>
  <si>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</si>
  <si>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</si>
  <si>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</si>
  <si>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</si>
  <si>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</si>
  <si>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</si>
  <si>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</si>
  <si>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</si>
  <si>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</si>
  <si>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</si>
  <si>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</si>
  <si>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</si>
  <si>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</si>
  <si>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</si>
  <si>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</si>
  <si>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</si>
  <si>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</si>
  <si>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</si>
  <si>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</si>
  <si>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</si>
  <si>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</si>
  <si>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</si>
  <si>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</si>
  <si>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</si>
  <si>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</si>
  <si>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</si>
  <si>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</si>
  <si>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</si>
  <si>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</si>
  <si>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</si>
  <si>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</si>
  <si>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</si>
  <si>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</si>
  <si>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</si>
  <si>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</si>
  <si>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</si>
  <si>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</si>
  <si>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</si>
  <si>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</si>
  <si>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</si>
  <si>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</si>
  <si>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</si>
  <si>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</si>
  <si>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</si>
  <si>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</si>
  <si>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</si>
  <si>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</si>
  <si>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</si>
  <si>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</si>
  <si>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</si>
  <si>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</si>
  <si>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</si>
  <si>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</si>
  <si>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</si>
  <si>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</si>
  <si>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</si>
  <si>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</si>
  <si>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</si>
  <si>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</si>
  <si>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</si>
  <si>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</si>
  <si>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</si>
  <si>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</si>
  <si>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</si>
  <si>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</si>
  <si>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</si>
  <si>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</si>
  <si>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</si>
  <si>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</si>
  <si>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</si>
  <si>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</si>
  <si>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</si>
  <si>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</si>
  <si>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</si>
  <si>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</si>
  <si>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</si>
  <si>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</si>
  <si>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</si>
  <si>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</si>
  <si>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</si>
  <si>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</si>
  <si>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</si>
  <si>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</si>
  <si>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</si>
  <si>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</si>
  <si>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</si>
  <si>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</si>
  <si>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</si>
  <si>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</si>
  <si>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</si>
  <si>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</si>
  <si>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</si>
  <si>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</si>
  <si>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</si>
  <si>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</si>
  <si>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</si>
  <si>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</si>
  <si>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</si>
  <si>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</si>
  <si>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</si>
  <si>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</si>
  <si>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</si>
  <si>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</si>
  <si>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</si>
  <si>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</si>
  <si>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</si>
  <si>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</si>
  <si>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</si>
  <si>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</si>
  <si>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</si>
  <si>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</si>
  <si>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</si>
  <si>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</si>
  <si>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</si>
  <si>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</si>
  <si>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</si>
  <si>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</si>
  <si>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</si>
  <si>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</si>
  <si>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</si>
  <si>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</si>
  <si>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</si>
  <si>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</si>
  <si>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</si>
  <si>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</si>
  <si>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</si>
  <si>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</si>
  <si>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</si>
  <si>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</si>
  <si>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</si>
  <si>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</si>
  <si>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</si>
  <si>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</si>
  <si>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</si>
  <si>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</si>
  <si>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</si>
  <si>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</si>
  <si>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</si>
  <si>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</si>
  <si>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</si>
  <si>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</si>
  <si>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</si>
  <si>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</si>
  <si>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</si>
  <si>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</si>
  <si>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</si>
  <si>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</si>
  <si>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</si>
  <si>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</si>
  <si>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</si>
  <si>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</si>
  <si>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</si>
  <si>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</si>
  <si>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</si>
  <si>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</si>
  <si>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</si>
  <si>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</si>
  <si>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</si>
  <si>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</si>
  <si>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</si>
  <si>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</si>
  <si>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</si>
  <si>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</si>
  <si>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</si>
  <si>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</si>
  <si>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</si>
  <si>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</si>
  <si>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</si>
  <si>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</si>
  <si>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</si>
  <si>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</si>
  <si>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</si>
  <si>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</si>
  <si>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</si>
  <si>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</si>
  <si>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</si>
  <si>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</si>
  <si>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</si>
  <si>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</si>
  <si>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</si>
  <si>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</si>
  <si>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</si>
  <si>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</si>
  <si>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</si>
  <si>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</si>
  <si>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</si>
  <si>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</si>
  <si>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</si>
  <si>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</si>
  <si>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</si>
  <si>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</si>
  <si>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</si>
  <si>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</si>
  <si>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</si>
  <si>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</si>
  <si>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</si>
  <si>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</si>
  <si>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</si>
  <si>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</si>
  <si>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</si>
  <si>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</si>
  <si>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</si>
  <si>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</si>
  <si>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</si>
  <si>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</si>
  <si>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</si>
  <si>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</si>
  <si>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</si>
  <si>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</si>
  <si>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</si>
  <si>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</si>
  <si>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</si>
  <si>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</si>
  <si>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</si>
  <si>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</si>
  <si>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</si>
  <si>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</si>
  <si>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</si>
  <si>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</si>
  <si>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</si>
  <si>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</si>
  <si>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</si>
  <si>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</si>
  <si>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</si>
  <si>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</si>
  <si>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</si>
  <si>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</si>
  <si>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</si>
  <si>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</si>
  <si>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</si>
  <si>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</si>
  <si>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</si>
  <si>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</si>
  <si>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</si>
  <si>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</si>
  <si>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</si>
  <si>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</si>
  <si>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</si>
  <si>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</si>
  <si>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</si>
  <si>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</si>
  <si>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</si>
  <si>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</si>
  <si>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</si>
  <si>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</si>
  <si>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</si>
  <si>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</si>
  <si>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</si>
  <si>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</si>
  <si>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</si>
  <si>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</si>
  <si>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</si>
  <si>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</si>
  <si>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</si>
  <si>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</si>
  <si>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</si>
  <si>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</si>
  <si>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</si>
  <si>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</si>
  <si>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</si>
  <si>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</si>
  <si>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</si>
  <si>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</si>
  <si>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</si>
  <si>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</si>
  <si>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</si>
  <si>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</si>
  <si>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</si>
  <si>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</si>
  <si>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</si>
  <si>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</si>
  <si>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</si>
  <si>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</si>
  <si>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</si>
  <si>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</si>
  <si>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</si>
  <si>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</si>
  <si>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</si>
  <si>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</si>
  <si>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</si>
  <si>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</si>
  <si>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</si>
  <si>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</si>
  <si>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</si>
  <si>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</si>
  <si>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</si>
  <si>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</si>
  <si>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</si>
  <si>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</si>
  <si>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</si>
  <si>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</si>
  <si>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</si>
  <si>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</si>
  <si>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</si>
  <si>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</si>
  <si>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</si>
  <si>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</si>
  <si>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</si>
  <si>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</si>
  <si>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</si>
  <si>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</si>
  <si>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</si>
  <si>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</si>
  <si>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</si>
  <si>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</si>
  <si>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</si>
  <si>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</si>
  <si>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</si>
  <si>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</si>
  <si>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</si>
  <si>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</si>
  <si>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</si>
  <si>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</si>
  <si>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</si>
  <si>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</si>
  <si>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</si>
  <si>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</si>
  <si>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</si>
  <si>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</si>
  <si>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</si>
  <si>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</si>
  <si>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</si>
  <si>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</si>
  <si>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</si>
  <si>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</si>
  <si>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</si>
  <si>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</si>
  <si>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</si>
  <si>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</si>
  <si>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</si>
  <si>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</si>
  <si>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</si>
  <si>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</si>
  <si>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</si>
  <si>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</si>
  <si>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</si>
  <si>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</si>
  <si>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</si>
  <si>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</si>
  <si>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</si>
  <si>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</si>
  <si>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</si>
  <si>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</si>
  <si>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</si>
  <si>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</si>
  <si>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</si>
  <si>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</si>
  <si>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</si>
  <si>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</si>
  <si>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</si>
  <si>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</si>
  <si>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</si>
  <si>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</si>
  <si>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</si>
  <si>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</si>
  <si>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</si>
  <si>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</si>
  <si>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</si>
  <si>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</si>
  <si>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</si>
  <si>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</si>
  <si>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</si>
  <si>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</si>
  <si>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</si>
  <si>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</si>
  <si>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</si>
  <si>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</si>
  <si>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</si>
  <si>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</si>
  <si>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</si>
  <si>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</si>
  <si>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</si>
  <si>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</si>
  <si>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</si>
  <si>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</si>
  <si>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</si>
  <si>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</si>
  <si>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</si>
  <si>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</si>
  <si>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</si>
  <si>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</si>
  <si>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</si>
  <si>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</si>
  <si>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</si>
  <si>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</si>
  <si>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</si>
  <si>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</si>
  <si>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</si>
  <si>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</si>
  <si>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</si>
  <si>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</si>
  <si>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</si>
  <si>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</si>
  <si>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</si>
  <si>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</si>
  <si>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</si>
  <si>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</si>
  <si>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</si>
  <si>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</si>
  <si>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</si>
  <si>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</si>
  <si>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</si>
  <si>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</si>
  <si>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</si>
  <si>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</si>
  <si>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</si>
  <si>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</si>
  <si>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</si>
  <si>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</si>
  <si>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</si>
  <si>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</si>
  <si>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</si>
  <si>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</si>
  <si>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</si>
  <si>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</si>
  <si>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</si>
  <si>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</si>
  <si>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</si>
  <si>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</si>
  <si>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</si>
  <si>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</si>
  <si>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</si>
  <si>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</si>
  <si>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</si>
  <si>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</si>
  <si>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</si>
  <si>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</si>
  <si>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</si>
  <si>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</si>
  <si>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</si>
  <si>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</si>
  <si>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</si>
  <si>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</si>
  <si>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</si>
  <si>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</si>
  <si>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</si>
  <si>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</si>
  <si>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</si>
  <si>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</si>
  <si>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</si>
  <si>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</si>
  <si>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</si>
  <si>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</si>
  <si>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</si>
  <si>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</si>
  <si>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</si>
  <si>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</si>
  <si>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</si>
  <si>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</si>
  <si>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</si>
  <si>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</si>
  <si>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</si>
  <si>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</si>
  <si>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</si>
  <si>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</si>
  <si>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</si>
  <si>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</si>
  <si>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</si>
  <si>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</si>
  <si>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</si>
  <si>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</si>
  <si>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</si>
  <si>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</si>
  <si>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</si>
  <si>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</si>
  <si>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</si>
  <si>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</si>
  <si>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</si>
  <si>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</si>
  <si>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</si>
  <si>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</si>
  <si>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</si>
  <si>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</si>
  <si>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</si>
  <si>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</si>
  <si>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</si>
  <si>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</si>
  <si>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</si>
  <si>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</si>
  <si>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</si>
  <si>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</si>
  <si>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</si>
  <si>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</si>
  <si>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</si>
  <si>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</si>
  <si>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</si>
  <si>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</si>
  <si>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</si>
  <si>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</si>
  <si>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</si>
  <si>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</si>
  <si>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</si>
  <si>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</si>
  <si>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</si>
  <si>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</si>
  <si>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</si>
  <si>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</si>
  <si>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</si>
  <si>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</si>
  <si>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</si>
  <si>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</si>
  <si>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</si>
  <si>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</si>
  <si>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</si>
  <si>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</si>
  <si>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</si>
  <si>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</si>
  <si>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</si>
  <si>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</si>
  <si>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</si>
  <si>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</si>
  <si>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</si>
  <si>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</si>
  <si>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</si>
  <si>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</si>
  <si>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</si>
  <si>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</si>
  <si>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</si>
  <si>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</si>
  <si>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</si>
  <si>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</si>
  <si>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</si>
  <si>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</si>
  <si>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</si>
  <si>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</si>
  <si>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</si>
  <si>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</si>
  <si>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</si>
  <si>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</si>
  <si>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</si>
  <si>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</si>
  <si>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</si>
  <si>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</si>
  <si>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</si>
  <si>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</si>
  <si>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</si>
  <si>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</si>
  <si>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</si>
  <si>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</si>
  <si>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</si>
  <si>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</si>
  <si>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</si>
  <si>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</si>
  <si>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</si>
  <si>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</si>
  <si>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</si>
  <si>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</si>
  <si>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</si>
  <si>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</si>
  <si>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</si>
  <si>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</si>
  <si>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</si>
  <si>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</si>
  <si>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</si>
  <si>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</si>
  <si>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</si>
  <si>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</si>
  <si>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</si>
  <si>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</si>
  <si>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</si>
  <si>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</si>
  <si>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</si>
  <si>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</si>
  <si>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</si>
  <si>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</si>
  <si>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</si>
  <si>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</si>
  <si>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</si>
  <si>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</si>
  <si>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</si>
  <si>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</si>
  <si>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</si>
  <si>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</si>
  <si>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</si>
  <si>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</si>
  <si>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</si>
  <si>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</si>
  <si>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</si>
  <si>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</si>
  <si>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</si>
  <si>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</si>
  <si>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</si>
  <si>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</si>
  <si>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</si>
  <si>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</si>
  <si>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</si>
  <si>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</si>
  <si>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</si>
  <si>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</si>
  <si>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</si>
  <si>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</si>
  <si>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</si>
  <si>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</si>
  <si>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</si>
  <si>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</si>
  <si>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</si>
  <si>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</si>
  <si>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</si>
  <si>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</si>
  <si>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</si>
  <si>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</si>
  <si>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</si>
  <si>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</si>
  <si>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</si>
  <si>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</si>
  <si>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</si>
  <si>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</si>
  <si>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</si>
  <si>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</si>
  <si>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</si>
  <si>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</si>
  <si>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</si>
  <si>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</si>
  <si>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</si>
  <si>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</si>
  <si>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</si>
  <si>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</si>
  <si>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</si>
  <si>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</si>
  <si>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</si>
  <si>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</si>
  <si>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</si>
  <si>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</si>
  <si>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</si>
  <si>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</si>
  <si>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</si>
  <si>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</si>
  <si>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</si>
  <si>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</si>
  <si>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</si>
  <si>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</si>
  <si>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</si>
  <si>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</si>
  <si>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</si>
  <si>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</si>
  <si>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</si>
  <si>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</si>
  <si>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</si>
  <si>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</si>
  <si>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</si>
  <si>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</si>
  <si>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</si>
  <si>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</si>
  <si>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</si>
  <si>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</si>
  <si>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</si>
  <si>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</si>
  <si>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</si>
  <si>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</si>
  <si>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</si>
  <si>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</si>
  <si>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</si>
  <si>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</si>
  <si>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</si>
  <si>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</si>
  <si>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</si>
  <si>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</si>
  <si>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</si>
  <si>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</si>
  <si>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</si>
  <si>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</si>
  <si>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</si>
  <si>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</si>
  <si>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</si>
  <si>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</si>
  <si>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</si>
  <si>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</si>
  <si>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</si>
  <si>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</si>
  <si>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</si>
  <si>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</si>
  <si>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</si>
  <si>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</si>
  <si>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</si>
  <si>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</si>
  <si>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</si>
  <si>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</si>
  <si>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</si>
  <si>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</si>
  <si>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</si>
  <si>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</si>
  <si>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</si>
  <si>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</si>
  <si>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</si>
  <si>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</si>
  <si>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</si>
  <si>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</si>
  <si>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</si>
  <si>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</si>
  <si>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</si>
  <si>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</si>
  <si>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</si>
  <si>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</si>
  <si>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</si>
  <si>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</si>
  <si>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</si>
  <si>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</si>
  <si>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</si>
  <si>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</si>
  <si>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</si>
  <si>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</si>
  <si>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</si>
  <si>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</si>
  <si>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</si>
  <si>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</si>
  <si>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</si>
  <si>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</si>
  <si>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</si>
  <si>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</si>
  <si>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</si>
  <si>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</si>
  <si>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</si>
  <si>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</si>
  <si>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</si>
  <si>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</si>
  <si>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</si>
  <si>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</si>
  <si>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</si>
  <si>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</si>
  <si>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</si>
  <si>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</si>
  <si>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</si>
  <si>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</si>
  <si>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</si>
  <si>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</si>
  <si>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</si>
  <si>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</si>
  <si>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</si>
  <si>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</si>
  <si>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</si>
  <si>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</si>
  <si>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</si>
  <si>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</si>
  <si>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</si>
  <si>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</si>
  <si>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</si>
  <si>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</si>
  <si>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</si>
  <si>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</si>
  <si>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</si>
  <si>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</si>
  <si>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</si>
  <si>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</si>
  <si>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</si>
  <si>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</si>
  <si>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</si>
  <si>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</si>
  <si>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</si>
  <si>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</si>
  <si>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</si>
  <si>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</si>
  <si>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</si>
  <si>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</si>
  <si>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</si>
  <si>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</si>
  <si>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</si>
  <si>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</si>
  <si>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</si>
  <si>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</si>
  <si>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</si>
  <si>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</si>
  <si>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</si>
  <si>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</si>
  <si>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</si>
  <si>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</si>
  <si>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</si>
  <si>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</si>
  <si>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</si>
  <si>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</si>
  <si>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</si>
  <si>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</si>
  <si>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</si>
  <si>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</si>
  <si>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</si>
  <si>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</si>
  <si>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</si>
  <si>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</si>
  <si>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</si>
  <si>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</si>
  <si>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</si>
  <si>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</si>
  <si>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</si>
  <si>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</si>
  <si>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</si>
  <si>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</si>
  <si>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</si>
  <si>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</si>
  <si>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</si>
  <si>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</si>
  <si>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</si>
  <si>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</si>
  <si>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</si>
  <si>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</si>
  <si>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</si>
  <si>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</si>
  <si>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</si>
  <si>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</si>
  <si>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</si>
  <si>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</si>
  <si>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</si>
  <si>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</si>
  <si>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</si>
  <si>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</si>
  <si>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</si>
  <si>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</si>
  <si>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</si>
  <si>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</si>
  <si>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</si>
  <si>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</si>
  <si>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</si>
  <si>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</si>
  <si>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</si>
  <si>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</si>
  <si>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</si>
  <si>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</si>
  <si>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</si>
  <si>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</si>
  <si>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</si>
  <si>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</si>
  <si>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</si>
  <si>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</si>
  <si>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</si>
  <si>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</si>
  <si>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</si>
  <si>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</si>
  <si>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</si>
  <si>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</si>
  <si>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</si>
  <si>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</si>
  <si>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</si>
  <si>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</si>
  <si>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</si>
  <si>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</si>
  <si>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</si>
  <si>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</si>
  <si>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</si>
  <si>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</si>
  <si>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</si>
  <si>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</si>
  <si>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</si>
  <si>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</si>
  <si>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</si>
  <si>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</si>
  <si>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</si>
  <si>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</si>
  <si>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</si>
  <si>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</si>
  <si>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</si>
  <si>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</si>
  <si>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</si>
  <si>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</si>
  <si>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</si>
  <si>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</si>
  <si>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</si>
  <si>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</si>
  <si>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</si>
  <si>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</si>
  <si>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</si>
  <si>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</si>
  <si>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</si>
  <si>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</si>
  <si>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</si>
  <si>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</si>
  <si>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</si>
  <si>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</si>
  <si>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</si>
  <si>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</si>
  <si>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</si>
  <si>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</si>
  <si>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</si>
  <si>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</si>
  <si>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</si>
  <si>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</si>
  <si>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</si>
  <si>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</si>
  <si>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</si>
  <si>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</si>
  <si>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</si>
  <si>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</si>
  <si>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</si>
  <si>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</si>
  <si>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</si>
  <si>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</si>
  <si>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</si>
  <si>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</si>
  <si>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</si>
  <si>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</si>
  <si>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</si>
  <si>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</si>
  <si>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</si>
  <si>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</si>
  <si>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</si>
  <si>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</si>
  <si>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</si>
  <si>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</si>
  <si>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</si>
  <si>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</si>
  <si>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</si>
  <si>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</si>
  <si>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</si>
  <si>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</si>
  <si>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</si>
  <si>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</si>
  <si>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</si>
  <si>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</si>
  <si>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</si>
  <si>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</si>
  <si>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</si>
  <si>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</si>
  <si>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</si>
  <si>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</si>
  <si>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</si>
  <si>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</si>
  <si>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</si>
  <si>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</si>
  <si>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</si>
  <si>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</si>
  <si>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</si>
  <si>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</si>
  <si>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</si>
  <si>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</si>
  <si>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</si>
  <si>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</si>
  <si>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</si>
  <si>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</si>
  <si>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</si>
  <si>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</si>
  <si>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</si>
  <si>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</si>
  <si>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</si>
  <si>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</si>
  <si>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</si>
  <si>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</si>
  <si>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</si>
  <si>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</si>
  <si>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</si>
  <si>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</si>
  <si>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</si>
  <si>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</si>
  <si>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</si>
  <si>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</si>
  <si>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</si>
  <si>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</si>
  <si>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</si>
  <si>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</si>
  <si>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</si>
  <si>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</si>
  <si>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</si>
  <si>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</si>
  <si>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</si>
  <si>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</si>
  <si>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</si>
  <si>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</si>
  <si>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</si>
  <si>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</si>
  <si>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</si>
  <si>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</si>
  <si>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</si>
  <si>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</si>
  <si>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</si>
  <si>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</si>
  <si>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</si>
  <si>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</si>
  <si>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</si>
  <si>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</si>
  <si>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</si>
  <si>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</si>
  <si>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</si>
  <si>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</si>
  <si>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</si>
  <si>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</si>
  <si>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</si>
  <si>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</si>
  <si>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</si>
  <si>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</si>
  <si>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</si>
  <si>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</si>
  <si>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</si>
  <si>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</si>
  <si>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</si>
  <si>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</si>
  <si>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</si>
  <si>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</si>
  <si>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</si>
  <si>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</si>
  <si>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</si>
  <si>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</si>
  <si>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</si>
  <si>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</si>
  <si>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</si>
  <si>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</si>
  <si>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</si>
  <si>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</si>
  <si>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</si>
  <si>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</si>
  <si>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</si>
  <si>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</si>
  <si>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</si>
  <si>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</si>
  <si>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</si>
  <si>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</si>
  <si>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</si>
  <si>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</si>
  <si>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</si>
  <si>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</si>
  <si>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</si>
  <si>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</si>
  <si>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</si>
  <si>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</si>
  <si>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</si>
  <si>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</si>
  <si>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</si>
  <si>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</si>
  <si>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</si>
  <si>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</si>
  <si>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</si>
  <si>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</si>
  <si>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</si>
  <si>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</si>
  <si>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</si>
  <si>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</si>
  <si>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</si>
  <si>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</si>
  <si>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</si>
  <si>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</si>
  <si>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</si>
  <si>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</si>
  <si>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</si>
  <si>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</si>
  <si>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</si>
  <si>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</si>
  <si>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</si>
  <si>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</si>
  <si>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</si>
  <si>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</si>
  <si>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</si>
  <si>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</si>
  <si>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</si>
  <si>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</si>
  <si>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</si>
  <si>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</si>
  <si>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</si>
  <si>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</si>
  <si>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</si>
  <si>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</si>
  <si>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</si>
  <si>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</si>
  <si>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</si>
  <si>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</si>
  <si>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</si>
  <si>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</si>
  <si>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</si>
  <si>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</si>
  <si>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</si>
  <si>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</si>
  <si>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</si>
  <si>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</si>
  <si>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</si>
  <si>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</si>
  <si>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</si>
  <si>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</si>
  <si>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</si>
  <si>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</si>
  <si>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</si>
  <si>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</si>
  <si>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</si>
  <si>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</si>
  <si>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</si>
  <si>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</si>
  <si>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</si>
  <si>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</si>
  <si>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</si>
  <si>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</si>
  <si>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</si>
  <si>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</si>
  <si>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</si>
  <si>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</si>
  <si>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</si>
  <si>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</si>
  <si>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</si>
  <si>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</si>
  <si>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</si>
  <si>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</si>
  <si>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</si>
  <si>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</si>
  <si>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</si>
  <si>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</si>
  <si>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</si>
  <si>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</si>
  <si>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</si>
  <si>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</si>
  <si>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</si>
  <si>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</si>
  <si>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</si>
  <si>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</si>
  <si>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</si>
  <si>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</si>
  <si>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</si>
  <si>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</si>
  <si>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</si>
  <si>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</si>
  <si>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</si>
  <si>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</si>
  <si>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</si>
  <si>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</si>
  <si>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</si>
  <si>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</si>
  <si>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</si>
  <si>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</si>
  <si>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</si>
  <si>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</si>
  <si>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</si>
  <si>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</si>
  <si>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</si>
  <si>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</si>
  <si>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</si>
  <si>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</si>
  <si>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</si>
  <si>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</si>
  <si>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</si>
  <si>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</si>
  <si>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</si>
  <si>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</si>
  <si>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</si>
  <si>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</si>
  <si>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</si>
  <si>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</si>
  <si>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</si>
  <si>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</si>
  <si>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</si>
  <si>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</si>
  <si>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</si>
  <si>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</si>
  <si>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</si>
  <si>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</si>
  <si>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</si>
  <si>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</si>
  <si>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</si>
  <si>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</si>
  <si>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</si>
  <si>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</si>
  <si>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</si>
  <si>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</si>
  <si>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</si>
  <si>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</si>
  <si>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</si>
  <si>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</si>
  <si>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</si>
  <si>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</si>
  <si>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</si>
  <si>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</si>
  <si>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</si>
  <si>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</si>
  <si>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</si>
  <si>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</si>
  <si>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</si>
  <si>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</si>
  <si>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</si>
  <si>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</si>
  <si>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</si>
  <si>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</si>
  <si>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</si>
  <si>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</si>
  <si>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</si>
  <si>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</si>
  <si>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</si>
  <si>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</si>
  <si>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</si>
  <si>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</si>
  <si>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</si>
  <si>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</si>
  <si>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</si>
  <si>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</si>
  <si>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</si>
  <si>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</si>
  <si>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</si>
  <si>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</si>
  <si>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</si>
  <si>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</si>
  <si>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</si>
  <si>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</si>
  <si>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</si>
  <si>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</si>
  <si>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</si>
  <si>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</si>
  <si>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</si>
  <si>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</si>
  <si>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</si>
  <si>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</si>
  <si>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</si>
  <si>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</si>
  <si>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</si>
  <si>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</si>
  <si>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</si>
  <si>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</si>
  <si>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</si>
  <si>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</si>
  <si>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</si>
  <si>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</si>
  <si>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</si>
  <si>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</si>
  <si>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</si>
  <si>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</si>
  <si>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</si>
  <si>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</si>
  <si>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</si>
  <si>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</si>
  <si>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</si>
  <si>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</si>
  <si>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</si>
  <si>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</si>
  <si>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</si>
  <si>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</si>
  <si>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</si>
  <si>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</si>
  <si>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</si>
  <si>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</si>
  <si>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</si>
  <si>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</si>
  <si>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</si>
  <si>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</si>
  <si>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</si>
  <si>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</si>
  <si>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</si>
  <si>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</si>
  <si>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</si>
  <si>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</si>
  <si>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</si>
  <si>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</si>
  <si>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</si>
  <si>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</si>
  <si>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</si>
  <si>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</si>
  <si>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</si>
  <si>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</si>
  <si>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</si>
  <si>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</si>
  <si>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</si>
  <si>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</si>
  <si>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</si>
  <si>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</si>
  <si>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</si>
  <si>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</si>
  <si>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</si>
  <si>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</si>
  <si>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</si>
  <si>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</si>
  <si>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</si>
  <si>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</si>
  <si>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</si>
  <si>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</si>
  <si>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</si>
  <si>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</si>
  <si>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</si>
  <si>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</si>
  <si>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</si>
  <si>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</si>
  <si>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</si>
  <si>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</si>
  <si>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</si>
  <si>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</si>
  <si>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</si>
  <si>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</si>
  <si>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</si>
  <si>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</si>
  <si>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</si>
  <si>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</si>
  <si>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</si>
  <si>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</si>
  <si>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</si>
  <si>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</si>
  <si>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</si>
  <si>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</si>
  <si>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</si>
  <si>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</si>
  <si>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</si>
  <si>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</si>
  <si>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</si>
  <si>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</si>
  <si>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</si>
  <si>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</si>
  <si>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</si>
  <si>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</si>
  <si>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</si>
  <si>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</si>
  <si>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</si>
  <si>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</si>
  <si>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</si>
  <si>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</si>
  <si>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</si>
  <si>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</si>
  <si>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</si>
  <si>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</si>
  <si>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</si>
  <si>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</si>
  <si>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</si>
  <si>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</si>
  <si>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</si>
  <si>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</si>
  <si>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</si>
  <si>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</si>
  <si>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</si>
  <si>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</si>
  <si>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</si>
  <si>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</si>
  <si>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</si>
  <si>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</si>
  <si>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</si>
  <si>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</si>
  <si>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</si>
  <si>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</si>
  <si>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</si>
  <si>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</si>
  <si>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</si>
  <si>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</si>
  <si>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</si>
  <si>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</si>
  <si>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</si>
  <si>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</si>
  <si>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</si>
  <si>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</si>
  <si>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</si>
  <si>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</si>
  <si>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</si>
  <si>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</si>
  <si>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</si>
  <si>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</si>
  <si>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</si>
  <si>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</si>
  <si>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</si>
  <si>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</si>
  <si>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</si>
  <si>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</si>
  <si>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</si>
  <si>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</si>
  <si>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</si>
  <si>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</si>
  <si>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</si>
  <si>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</si>
  <si>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</si>
  <si>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</si>
  <si>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</si>
  <si>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</si>
  <si>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</si>
  <si>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</si>
  <si>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</si>
  <si>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</si>
  <si>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</si>
  <si>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</si>
  <si>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</si>
  <si>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</si>
  <si>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</si>
  <si>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</si>
  <si>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</si>
  <si>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</si>
  <si>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</si>
  <si>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</si>
  <si>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</si>
  <si>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</si>
  <si>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</si>
  <si>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</si>
  <si>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</si>
  <si>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</si>
  <si>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</si>
  <si>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</si>
  <si>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</si>
  <si>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</si>
  <si>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</si>
  <si>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</si>
  <si>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</si>
  <si>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</si>
  <si>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</si>
  <si>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</si>
  <si>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</si>
  <si>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</si>
  <si>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</si>
  <si>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</si>
  <si>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</si>
  <si>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</si>
  <si>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</si>
  <si>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</si>
  <si>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</si>
  <si>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</si>
  <si>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</si>
  <si>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</si>
  <si>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</si>
  <si>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</si>
  <si>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</si>
  <si>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</si>
  <si>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</si>
  <si>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</si>
  <si>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</si>
  <si>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</si>
  <si>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</si>
  <si>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</si>
  <si>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</si>
  <si>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</si>
  <si>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</si>
  <si>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</si>
  <si>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</si>
  <si>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</si>
  <si>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</si>
  <si>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</si>
  <si>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</si>
  <si>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</si>
  <si>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</si>
  <si>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</si>
  <si>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</si>
  <si>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</si>
  <si>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</si>
  <si>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</si>
  <si>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</si>
  <si>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</si>
  <si>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</si>
  <si>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</si>
  <si>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</si>
  <si>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</si>
  <si>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</si>
  <si>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</si>
  <si>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</si>
  <si>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</si>
  <si>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</si>
  <si>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</si>
  <si>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</si>
  <si>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</si>
  <si>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</si>
  <si>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</si>
  <si>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</si>
  <si>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</si>
  <si>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</si>
  <si>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</si>
  <si>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</si>
  <si>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</si>
  <si>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</si>
  <si>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</si>
  <si>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</si>
  <si>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</si>
  <si>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</si>
  <si>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</si>
  <si>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</si>
  <si>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</si>
  <si>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</si>
  <si>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</si>
  <si>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</si>
  <si>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</si>
  <si>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</si>
  <si>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</si>
  <si>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</si>
  <si>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</si>
  <si>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</si>
  <si>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</si>
  <si>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</si>
  <si>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</si>
  <si>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</si>
  <si>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</si>
  <si>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</si>
  <si>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</si>
  <si>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</si>
  <si>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</si>
  <si>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</si>
  <si>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</si>
  <si>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</si>
  <si>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</si>
  <si>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</si>
  <si>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</si>
  <si>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</si>
  <si>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</si>
  <si>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</si>
  <si>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</si>
  <si>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</si>
  <si>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</si>
  <si>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</si>
  <si>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</si>
  <si>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</si>
  <si>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</si>
  <si>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</si>
  <si>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</si>
  <si>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</si>
  <si>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</si>
  <si>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</si>
  <si>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</si>
  <si>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</si>
  <si>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</si>
  <si>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</si>
  <si>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</si>
  <si>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</si>
  <si>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</si>
  <si>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</si>
  <si>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</si>
  <si>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</si>
  <si>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</si>
  <si>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</si>
  <si>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</si>
  <si>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</si>
  <si>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</si>
  <si>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</si>
  <si>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</si>
  <si>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</si>
  <si>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</si>
  <si>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</si>
  <si>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</si>
  <si>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</si>
  <si>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</si>
  <si>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</si>
  <si>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</si>
  <si>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</si>
  <si>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</si>
  <si>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</si>
  <si>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</si>
  <si>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</si>
  <si>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</si>
  <si>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</si>
  <si>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</si>
  <si>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</si>
  <si>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</si>
  <si>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</si>
  <si>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</si>
  <si>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</si>
  <si>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</si>
  <si>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</si>
  <si>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</si>
  <si>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</si>
  <si>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</si>
  <si>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</si>
  <si>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</si>
  <si>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</si>
  <si>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</si>
  <si>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</si>
  <si>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</si>
  <si>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</si>
  <si>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</si>
  <si>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</si>
  <si>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</si>
  <si>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</si>
  <si>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</si>
  <si>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</si>
  <si>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</si>
  <si>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</si>
  <si>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</si>
  <si>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</si>
  <si>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</si>
  <si>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</si>
  <si>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</si>
  <si>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</si>
  <si>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</si>
  <si>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</si>
  <si>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</si>
  <si>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</si>
  <si>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</si>
  <si>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</si>
  <si>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</si>
  <si>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</si>
  <si>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</si>
  <si>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</si>
  <si>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</si>
  <si>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</si>
  <si>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</si>
  <si>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</si>
  <si>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</si>
  <si>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</si>
  <si>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</si>
  <si>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</si>
  <si>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</si>
  <si>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</si>
  <si>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</si>
  <si>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</si>
  <si>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</si>
  <si>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</si>
  <si>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</si>
  <si>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</si>
  <si>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</si>
  <si>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</si>
  <si>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</si>
  <si>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</si>
  <si>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</si>
  <si>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</si>
  <si>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</si>
  <si>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</si>
  <si>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</si>
  <si>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</si>
  <si>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</si>
  <si>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</si>
  <si>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</si>
  <si>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</si>
  <si>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</si>
  <si>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</si>
  <si>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</si>
  <si>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</si>
  <si>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</si>
  <si>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</si>
  <si>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</si>
  <si>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</si>
  <si>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</si>
  <si>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</si>
  <si>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</si>
  <si>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</si>
  <si>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</si>
  <si>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</si>
  <si>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</si>
  <si>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</si>
  <si>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</si>
  <si>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</si>
  <si>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</si>
  <si>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</si>
  <si>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</si>
  <si>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</si>
  <si>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</si>
  <si>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</si>
  <si>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</si>
  <si>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</si>
  <si>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</si>
  <si>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</si>
  <si>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</si>
  <si>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</si>
  <si>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</si>
  <si>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</si>
  <si>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</si>
  <si>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</si>
  <si>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</si>
  <si>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</si>
  <si>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</si>
  <si>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</si>
  <si>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</si>
  <si>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</si>
  <si>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</si>
  <si>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</si>
  <si>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</si>
  <si>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</si>
  <si>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</si>
  <si>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</si>
  <si>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</si>
  <si>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</si>
  <si>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</si>
  <si>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</si>
  <si>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</si>
  <si>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</si>
  <si>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</si>
  <si>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</si>
  <si>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</si>
  <si>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</si>
  <si>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</si>
  <si>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</si>
  <si>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</si>
  <si>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</si>
  <si>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</si>
  <si>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</si>
  <si>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</si>
  <si>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</si>
  <si>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</si>
  <si>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</si>
  <si>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</si>
  <si>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</si>
  <si>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</si>
  <si>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</si>
  <si>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</si>
  <si>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</si>
  <si>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</si>
  <si>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</si>
  <si>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</si>
  <si>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</si>
  <si>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</si>
  <si>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</si>
  <si>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</si>
  <si>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</si>
  <si>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</si>
  <si>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</si>
  <si>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</si>
  <si>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</si>
  <si>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</si>
  <si>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</si>
  <si>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</si>
  <si>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</si>
  <si>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</si>
  <si>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</si>
  <si>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</si>
  <si>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</si>
  <si>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</si>
  <si>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</si>
  <si>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</si>
  <si>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</si>
  <si>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</si>
  <si>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</si>
  <si>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</si>
  <si>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</si>
  <si>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</si>
  <si>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</si>
  <si>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</si>
  <si>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</si>
  <si>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</si>
  <si>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</si>
  <si>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</si>
  <si>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</si>
  <si>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</si>
  <si>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</si>
  <si>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</si>
  <si>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</si>
  <si>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</si>
  <si>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</si>
  <si>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</si>
  <si>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</si>
  <si>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</si>
  <si>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</si>
  <si>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</si>
  <si>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</si>
  <si>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</si>
  <si>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</si>
  <si>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</si>
  <si>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</si>
  <si>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</si>
  <si>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</si>
  <si>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</si>
  <si>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</si>
  <si>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</si>
  <si>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</si>
  <si>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</si>
  <si>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</si>
  <si>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</si>
  <si>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</si>
  <si>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</si>
  <si>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</si>
  <si>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</si>
  <si>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</si>
  <si>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</si>
  <si>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</si>
  <si>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</si>
  <si>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</si>
  <si>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</si>
  <si>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</si>
  <si>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</si>
  <si>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</si>
  <si>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</si>
  <si>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</si>
  <si>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</si>
  <si>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</si>
  <si>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</si>
  <si>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</si>
  <si>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</si>
  <si>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</si>
  <si>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</si>
  <si>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</si>
  <si>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</si>
  <si>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</si>
  <si>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</si>
  <si>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</si>
  <si>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</si>
  <si>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</si>
  <si>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</si>
  <si>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</si>
  <si>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</si>
  <si>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</si>
  <si>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</si>
  <si>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</si>
  <si>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</si>
  <si>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</si>
  <si>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</si>
  <si>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</si>
  <si>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</si>
  <si>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</si>
  <si>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</si>
  <si>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</si>
  <si>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</si>
  <si>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</si>
  <si>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</si>
  <si>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</si>
  <si>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</si>
  <si>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</si>
  <si>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</si>
  <si>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</si>
  <si>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</si>
  <si>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</si>
  <si>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</si>
  <si>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</si>
  <si>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</si>
  <si>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</si>
  <si>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</si>
  <si>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</si>
  <si>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</si>
  <si>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</si>
  <si>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</si>
  <si>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</si>
  <si>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</si>
  <si>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</si>
  <si>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</si>
  <si>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</si>
  <si>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</si>
  <si>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</si>
  <si>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</si>
  <si>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</si>
  <si>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</si>
  <si>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</si>
  <si>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</si>
  <si>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</si>
  <si>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</si>
  <si>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</si>
  <si>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</si>
  <si>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</si>
  <si>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</si>
  <si>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</si>
  <si>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</si>
  <si>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</si>
  <si>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</si>
  <si>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</si>
  <si>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</si>
  <si>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</si>
  <si>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</si>
  <si>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</si>
  <si>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</si>
  <si>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</si>
  <si>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</si>
  <si>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</si>
  <si>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</si>
  <si>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</si>
  <si>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</si>
  <si>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</si>
  <si>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</si>
  <si>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</si>
  <si>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</si>
  <si>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</si>
  <si>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</si>
  <si>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</si>
  <si>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</si>
  <si>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</si>
  <si>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</si>
  <si>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</si>
  <si>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</si>
  <si>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</si>
  <si>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</si>
  <si>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</si>
  <si>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</si>
  <si>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</si>
  <si>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</si>
  <si>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</si>
  <si>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</si>
  <si>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</si>
  <si>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</si>
  <si>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</si>
  <si>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</si>
  <si>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</si>
  <si>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</si>
  <si>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</si>
  <si>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</si>
  <si>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</si>
  <si>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</si>
  <si>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</si>
  <si>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</si>
  <si>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</si>
  <si>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</si>
  <si>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</si>
  <si>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</si>
  <si>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</si>
  <si>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</si>
  <si>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</si>
  <si>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</si>
  <si>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</si>
  <si>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</si>
  <si>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</si>
  <si>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</si>
  <si>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</si>
  <si>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</si>
  <si>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</si>
  <si>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</si>
  <si>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</si>
  <si>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</si>
  <si>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</si>
  <si>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</si>
  <si>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</si>
  <si>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</si>
  <si>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</si>
  <si>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</si>
  <si>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</si>
  <si>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</si>
  <si>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</si>
  <si>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</si>
  <si>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</si>
  <si>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</si>
  <si>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</si>
  <si>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</si>
  <si>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</si>
  <si>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</si>
  <si>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</si>
  <si>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</si>
  <si>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</si>
  <si>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</si>
  <si>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</si>
  <si>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</si>
  <si>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</si>
  <si>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</si>
  <si>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</si>
  <si>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</si>
  <si>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</si>
  <si>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</si>
  <si>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</si>
  <si>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</si>
  <si>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</si>
  <si>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</si>
  <si>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</si>
  <si>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</si>
  <si>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</si>
  <si>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</si>
  <si>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</si>
  <si>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</si>
  <si>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</si>
  <si>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</si>
  <si>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</si>
  <si>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</si>
  <si>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</si>
  <si>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</si>
  <si>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</si>
  <si>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</si>
  <si>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</si>
  <si>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</si>
  <si>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</si>
  <si>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</si>
  <si>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</si>
  <si>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</si>
  <si>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</si>
  <si>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</si>
  <si>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</si>
  <si>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</si>
  <si>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</si>
  <si>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</si>
  <si>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</si>
  <si>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</si>
  <si>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</si>
  <si>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</si>
  <si>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</si>
  <si>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</si>
  <si>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</si>
  <si>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</si>
  <si>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</si>
  <si>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</si>
  <si>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</si>
  <si>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</si>
  <si>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</si>
  <si>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</si>
  <si>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</si>
  <si>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</si>
  <si>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</si>
  <si>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</si>
  <si>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</si>
  <si>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</si>
  <si>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</si>
  <si>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</si>
  <si>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</si>
  <si>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</si>
  <si>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</si>
  <si>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</si>
  <si>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</si>
  <si>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</si>
  <si>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</si>
  <si>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</si>
  <si>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</si>
  <si>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</si>
  <si>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</si>
  <si>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</si>
  <si>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</si>
  <si>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</si>
  <si>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</si>
  <si>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</si>
  <si>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</si>
  <si>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</si>
  <si>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</si>
  <si>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</si>
  <si>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</si>
  <si>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</si>
  <si>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</si>
  <si>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</si>
  <si>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</si>
  <si>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</si>
  <si>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</si>
  <si>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</si>
  <si>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</si>
  <si>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</si>
  <si>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</si>
  <si>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</si>
  <si>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</si>
  <si>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</si>
  <si>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</si>
  <si>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</si>
  <si>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</si>
  <si>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</si>
  <si>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</si>
  <si>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</si>
  <si>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</si>
  <si>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</si>
  <si>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</si>
  <si>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</si>
  <si>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</si>
  <si>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</si>
  <si>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</si>
  <si>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</si>
  <si>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</si>
  <si>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</si>
  <si>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</si>
  <si>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</si>
  <si>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</si>
  <si>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</si>
  <si>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</si>
  <si>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</si>
  <si>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</si>
  <si>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</si>
  <si>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</si>
  <si>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</si>
  <si>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</si>
  <si>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</si>
  <si>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</si>
  <si>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</si>
  <si>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</si>
  <si>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</si>
  <si>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</si>
  <si>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</si>
  <si>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</si>
  <si>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</si>
  <si>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</si>
  <si>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</si>
  <si>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</si>
  <si>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</si>
  <si>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</si>
  <si>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</si>
  <si>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</si>
  <si>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</si>
  <si>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</si>
  <si>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</si>
  <si>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</si>
  <si>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</si>
  <si>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</si>
  <si>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</si>
  <si>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</si>
  <si>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</si>
  <si>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</si>
  <si>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</si>
  <si>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</si>
  <si>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</si>
  <si>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</si>
  <si>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</si>
  <si>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</si>
  <si>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</si>
  <si>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</si>
  <si>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</si>
  <si>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</si>
  <si>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</si>
  <si>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</si>
  <si>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</si>
  <si>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</si>
  <si>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</si>
  <si>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</si>
  <si>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</si>
  <si>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</si>
  <si>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</si>
  <si>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</si>
  <si>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</si>
  <si>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</si>
  <si>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</si>
  <si>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</si>
  <si>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</si>
  <si>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</si>
  <si>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</si>
  <si>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</si>
  <si>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</si>
  <si>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</si>
  <si>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</si>
  <si>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</si>
  <si>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</si>
  <si>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</si>
  <si>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</si>
  <si>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</si>
  <si>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</si>
  <si>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</si>
  <si>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</si>
  <si>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</si>
  <si>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</si>
  <si>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</si>
  <si>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</si>
  <si>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</si>
  <si>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</si>
  <si>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</si>
  <si>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</si>
  <si>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</si>
  <si>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</si>
  <si>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</si>
  <si>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</si>
  <si>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</si>
  <si>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</si>
  <si>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</si>
  <si>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</si>
  <si>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</si>
  <si>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</si>
  <si>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</si>
  <si>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</si>
  <si>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</si>
  <si>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</si>
  <si>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</si>
  <si>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</si>
  <si>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</si>
  <si>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</si>
  <si>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</si>
  <si>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</si>
  <si>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</si>
  <si>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</si>
  <si>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</si>
  <si>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</si>
  <si>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</si>
  <si>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</si>
  <si>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</si>
  <si>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</si>
  <si>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</si>
  <si>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</si>
  <si>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</si>
  <si>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</si>
  <si>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</si>
  <si>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</si>
  <si>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</si>
  <si>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</si>
  <si>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</si>
  <si>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</si>
  <si>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</si>
  <si>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</si>
  <si>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</si>
  <si>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</si>
  <si>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</si>
  <si>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</si>
  <si>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</si>
  <si>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</si>
  <si>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</si>
  <si>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</si>
  <si>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</si>
  <si>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</si>
  <si>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</si>
  <si>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</si>
  <si>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</si>
  <si>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</si>
  <si>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</si>
  <si>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</si>
  <si>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</si>
  <si>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</si>
  <si>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</si>
  <si>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</si>
  <si>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</si>
  <si>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</si>
  <si>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</si>
  <si>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</si>
  <si>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</si>
  <si>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</si>
  <si>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</si>
  <si>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</si>
  <si>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</si>
  <si>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</si>
  <si>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</si>
  <si>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</si>
  <si>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</si>
  <si>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</si>
  <si>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</si>
  <si>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</si>
  <si>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</si>
  <si>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</si>
  <si>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</si>
  <si>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</si>
  <si>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</si>
  <si>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</si>
  <si>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</si>
  <si>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</si>
  <si>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</si>
  <si>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</si>
  <si>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</si>
  <si>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</si>
  <si>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</si>
  <si>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</si>
  <si>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</si>
  <si>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</si>
  <si>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</si>
  <si>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</si>
  <si>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</si>
  <si>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</si>
  <si>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</si>
  <si>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</si>
  <si>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</si>
  <si>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</si>
  <si>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</si>
  <si>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</si>
  <si>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</si>
  <si>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</si>
  <si>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</si>
  <si>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</si>
  <si>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</si>
  <si>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</si>
  <si>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</si>
  <si>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</si>
  <si>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</si>
  <si>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</si>
  <si>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</si>
  <si>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</si>
  <si>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</si>
  <si>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</si>
  <si>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</si>
  <si>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</si>
  <si>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</si>
  <si>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</si>
  <si>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</si>
  <si>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</si>
  <si>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</si>
  <si>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</si>
  <si>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</si>
  <si>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</si>
  <si>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</si>
  <si>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</si>
  <si>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</si>
  <si>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</si>
  <si>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</si>
  <si>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</si>
  <si>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</si>
  <si>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</si>
  <si>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</si>
  <si>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</si>
  <si>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</si>
  <si>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</si>
  <si>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</si>
  <si>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</si>
  <si>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</si>
  <si>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</si>
  <si>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</si>
  <si>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</si>
  <si>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</si>
  <si>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</si>
  <si>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</si>
  <si>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</si>
  <si>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</si>
  <si>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</si>
  <si>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</si>
  <si>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</si>
  <si>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</si>
  <si>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</si>
  <si>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</si>
  <si>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</si>
  <si>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</si>
  <si>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</si>
  <si>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</si>
  <si>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</si>
  <si>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</si>
  <si>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</si>
  <si>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</si>
  <si>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</si>
  <si>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</si>
  <si>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</si>
  <si>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</si>
  <si>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</si>
  <si>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</si>
  <si>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</si>
  <si>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</si>
  <si>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</si>
  <si>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</si>
  <si>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</si>
  <si>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</si>
  <si>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</si>
  <si>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</si>
  <si>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</si>
  <si>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</si>
  <si>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</si>
  <si>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</si>
  <si>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</si>
  <si>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</si>
  <si>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</si>
  <si>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</si>
  <si>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</si>
  <si>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</si>
  <si>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</si>
  <si>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</si>
  <si>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</si>
  <si>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</si>
  <si>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</si>
  <si>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</si>
  <si>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</si>
  <si>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</si>
  <si>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</si>
  <si>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</si>
  <si>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</si>
  <si>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</si>
  <si>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</si>
  <si>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</si>
  <si>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</si>
  <si>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</si>
  <si>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</si>
  <si>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</si>
  <si>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</si>
  <si>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</si>
  <si>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</si>
  <si>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</si>
  <si>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</si>
  <si>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</si>
  <si>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</si>
  <si>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</si>
  <si>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</si>
  <si>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</si>
  <si>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</si>
  <si>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</si>
  <si>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</si>
  <si>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</si>
  <si>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</si>
  <si>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</si>
  <si>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</si>
  <si>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</si>
  <si>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</si>
  <si>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</si>
  <si>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</si>
  <si>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</si>
  <si>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</si>
  <si>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</si>
  <si>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</si>
  <si>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</si>
  <si>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</si>
  <si>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</si>
  <si>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</si>
  <si>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</si>
  <si>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</si>
  <si>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</si>
  <si>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</si>
  <si>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</si>
  <si>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</si>
  <si>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</si>
  <si>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</si>
  <si>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</si>
  <si>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</si>
  <si>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</si>
  <si>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</si>
  <si>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</si>
  <si>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</si>
  <si>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</si>
  <si>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</si>
  <si>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</si>
  <si>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</si>
  <si>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</si>
  <si>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</si>
  <si>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</si>
  <si>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</si>
  <si>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</si>
  <si>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</si>
  <si>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</si>
  <si>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</si>
  <si>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</si>
  <si>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</si>
  <si>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</si>
  <si>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</si>
  <si>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</si>
  <si>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</si>
  <si>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</si>
  <si>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</si>
  <si>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</si>
  <si>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</si>
  <si>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</si>
  <si>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</si>
  <si>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</si>
  <si>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</si>
  <si>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</si>
  <si>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</si>
  <si>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</si>
  <si>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</si>
  <si>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</si>
  <si>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</si>
  <si>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</si>
  <si>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</si>
  <si>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</si>
  <si>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</si>
  <si>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</si>
  <si>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</si>
  <si>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</si>
  <si>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</si>
  <si>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</si>
  <si>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</si>
  <si>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</si>
  <si>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</si>
  <si>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</si>
  <si>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</si>
  <si>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</si>
  <si>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</si>
  <si>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</si>
  <si>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</si>
  <si>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</si>
  <si>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</si>
  <si>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</si>
  <si>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</si>
  <si>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</si>
  <si>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</si>
  <si>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</si>
  <si>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</si>
  <si>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</si>
  <si>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</si>
  <si>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</si>
  <si>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</si>
  <si>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</si>
  <si>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</si>
  <si>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</si>
  <si>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</si>
  <si>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</si>
  <si>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</si>
  <si>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</si>
  <si>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</si>
  <si>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</si>
  <si>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</si>
  <si>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</si>
  <si>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</si>
  <si>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</si>
  <si>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</si>
  <si>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</si>
  <si>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</si>
  <si>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</si>
  <si>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</si>
  <si>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</si>
  <si>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</si>
  <si>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</si>
  <si>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</si>
  <si>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</si>
  <si>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</si>
  <si>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</si>
  <si>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</si>
  <si>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</si>
  <si>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</si>
  <si>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</si>
  <si>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</si>
  <si>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</si>
  <si>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</si>
  <si>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</si>
  <si>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</si>
  <si>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</si>
  <si>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</si>
  <si>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</si>
  <si>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</si>
  <si>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</si>
  <si>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</si>
  <si>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</si>
  <si>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</si>
  <si>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</si>
  <si>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</si>
  <si>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</si>
  <si>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</si>
  <si>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</si>
  <si>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</si>
  <si>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</si>
  <si>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</si>
  <si>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</si>
  <si>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</si>
  <si>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</si>
  <si>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</si>
  <si>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</si>
  <si>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</si>
  <si>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</si>
  <si>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</si>
  <si>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</si>
  <si>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</si>
  <si>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</si>
  <si>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</si>
  <si>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</si>
  <si>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</si>
  <si>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</si>
  <si>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</si>
  <si>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</si>
  <si>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</si>
  <si>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</si>
  <si>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</si>
  <si>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</si>
  <si>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</si>
  <si>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</si>
  <si>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</si>
  <si>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</si>
  <si>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</si>
  <si>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</si>
  <si>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</si>
  <si>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</si>
  <si>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</si>
  <si>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</si>
  <si>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</si>
  <si>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</si>
  <si>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</si>
  <si>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</si>
  <si>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</si>
  <si>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</si>
  <si>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</si>
  <si>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</si>
  <si>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</si>
  <si>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</si>
  <si>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</si>
  <si>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</si>
  <si>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</si>
  <si>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</si>
  <si>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</si>
  <si>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</si>
  <si>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</si>
  <si>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</si>
  <si>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</si>
  <si>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</si>
  <si>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</si>
  <si>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</si>
  <si>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</si>
  <si>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</si>
  <si>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</si>
  <si>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</si>
  <si>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</si>
  <si>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</si>
  <si>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</si>
  <si>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</si>
  <si>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</si>
  <si>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</si>
  <si>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</si>
  <si>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</si>
  <si>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</si>
  <si>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</si>
  <si>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</si>
  <si>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</si>
  <si>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</si>
  <si>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</si>
  <si>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</si>
  <si>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</si>
  <si>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</si>
  <si>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</si>
  <si>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</si>
  <si>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</si>
  <si>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</si>
  <si>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</si>
  <si>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</si>
  <si>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</si>
  <si>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</si>
  <si>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</si>
  <si>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</si>
  <si>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</si>
  <si>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</si>
  <si>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</si>
  <si>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</si>
  <si>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</si>
  <si>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</si>
  <si>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</si>
  <si>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</si>
  <si>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</si>
  <si>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</si>
  <si>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</si>
  <si>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</si>
  <si>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</si>
  <si>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</si>
  <si>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</si>
  <si>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</si>
  <si>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</si>
  <si>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</si>
  <si>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</si>
  <si>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</si>
  <si>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</si>
  <si>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</si>
  <si>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</si>
  <si>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</si>
  <si>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</si>
  <si>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</si>
  <si>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</si>
  <si>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</si>
  <si>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</si>
  <si>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</si>
  <si>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</si>
  <si>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</si>
  <si>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</si>
  <si>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</si>
  <si>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</si>
  <si>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</si>
  <si>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</si>
  <si>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</si>
  <si>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</si>
  <si>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</si>
  <si>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</si>
  <si>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</si>
  <si>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</si>
  <si>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</si>
  <si>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</si>
  <si>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</si>
  <si>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</si>
  <si>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</si>
  <si>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</si>
  <si>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</si>
  <si>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</si>
  <si>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</si>
  <si>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</si>
  <si>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</si>
  <si>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</si>
  <si>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</si>
  <si>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</si>
  <si>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</si>
  <si>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</si>
  <si>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</si>
  <si>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</si>
  <si>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</si>
  <si>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</si>
  <si>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</si>
  <si>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</si>
  <si>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</si>
  <si>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</si>
  <si>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</si>
  <si>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</si>
  <si>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</si>
  <si>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</si>
  <si>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</si>
  <si>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</si>
  <si>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</si>
  <si>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</si>
  <si>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</si>
  <si>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</si>
  <si>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</si>
  <si>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</si>
  <si>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</si>
  <si>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</si>
  <si>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</si>
  <si>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</si>
  <si>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</si>
  <si>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</si>
  <si>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</si>
  <si>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</si>
  <si>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</si>
  <si>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</si>
  <si>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</si>
  <si>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</si>
  <si>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</si>
  <si>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</si>
  <si>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</si>
  <si>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</si>
  <si>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</si>
  <si>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</si>
  <si>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</si>
  <si>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</si>
  <si>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</si>
  <si>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</si>
  <si>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</si>
  <si>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</si>
  <si>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</si>
  <si>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</si>
  <si>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</si>
  <si>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</si>
  <si>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</si>
  <si>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</si>
  <si>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</si>
  <si>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</si>
  <si>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</si>
  <si>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</si>
  <si>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</si>
  <si>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</si>
  <si>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</si>
  <si>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</si>
  <si>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</si>
  <si>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</si>
  <si>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</si>
  <si>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</si>
  <si>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</si>
  <si>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</si>
  <si>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</si>
  <si>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</si>
  <si>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</si>
  <si>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</si>
  <si>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</si>
  <si>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</si>
  <si>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</si>
  <si>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</si>
  <si>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</si>
  <si>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</si>
  <si>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</si>
  <si>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</si>
  <si>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</si>
  <si>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</si>
  <si>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</si>
  <si>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</si>
  <si>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</si>
  <si>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</si>
  <si>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</si>
  <si>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</si>
  <si>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</si>
  <si>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</si>
  <si>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</si>
  <si>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</si>
  <si>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</si>
  <si>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</si>
  <si>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</si>
  <si>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</si>
  <si>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</si>
  <si>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</si>
  <si>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</si>
  <si>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</si>
  <si>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</si>
  <si>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</si>
  <si>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</si>
  <si>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</si>
  <si>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</si>
  <si>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</si>
  <si>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</si>
  <si>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</si>
  <si>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</si>
  <si>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</si>
  <si>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</si>
  <si>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</si>
  <si>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</si>
  <si>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</si>
  <si>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</si>
  <si>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</si>
  <si>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</si>
  <si>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</si>
  <si>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</si>
  <si>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</si>
  <si>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</si>
  <si>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</si>
  <si>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</si>
  <si>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</si>
  <si>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</si>
  <si>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</si>
  <si>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</si>
  <si>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</si>
  <si>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</si>
  <si>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</si>
  <si>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</si>
  <si>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</si>
  <si>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</si>
  <si>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</si>
  <si>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</si>
  <si>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</si>
  <si>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</si>
  <si>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</si>
  <si>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</si>
  <si>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</si>
  <si>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</si>
  <si>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</si>
  <si>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</si>
  <si>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</si>
  <si>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</si>
  <si>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</si>
  <si>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</si>
  <si>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</si>
  <si>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</si>
  <si>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</si>
  <si>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</si>
  <si>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</si>
  <si>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</si>
  <si>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</si>
  <si>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</si>
  <si>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</si>
  <si>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</si>
  <si>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</si>
  <si>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</si>
  <si>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</si>
  <si>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</si>
  <si>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</si>
  <si>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</si>
  <si>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</si>
  <si>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</si>
  <si>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</si>
  <si>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</si>
  <si>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</si>
  <si>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</si>
  <si>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</si>
  <si>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</si>
  <si>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</si>
  <si>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</si>
  <si>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</si>
  <si>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</si>
  <si>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</si>
  <si>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</si>
  <si>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</si>
  <si>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</si>
  <si>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</si>
  <si>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</si>
  <si>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</si>
  <si>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</si>
  <si>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</si>
  <si>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</si>
  <si>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</si>
  <si>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</si>
  <si>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</si>
  <si>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</si>
  <si>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</si>
  <si>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</si>
  <si>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</si>
  <si>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</si>
  <si>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</si>
  <si>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</si>
  <si>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</si>
  <si>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</si>
  <si>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</si>
  <si>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</si>
  <si>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</si>
  <si>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</si>
  <si>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</si>
  <si>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</si>
  <si>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</si>
  <si>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</si>
  <si>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</si>
  <si>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</si>
  <si>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</si>
  <si>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</si>
  <si>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</si>
  <si>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</si>
  <si>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</si>
  <si>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</si>
  <si>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</si>
  <si>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</si>
  <si>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</si>
  <si>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</si>
  <si>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</si>
  <si>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</si>
  <si>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</si>
  <si>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</si>
  <si>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</si>
  <si>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</si>
  <si>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</si>
  <si>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</si>
  <si>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</si>
  <si>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</si>
  <si>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</si>
  <si>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</si>
  <si>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</si>
  <si>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</si>
  <si>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</si>
  <si>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</si>
  <si>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</si>
  <si>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</si>
  <si>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</si>
  <si>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</si>
  <si>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</si>
  <si>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</si>
  <si>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</si>
  <si>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</si>
  <si>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</si>
  <si>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</si>
  <si>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</si>
  <si>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</si>
  <si>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</si>
  <si>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</si>
  <si>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</si>
  <si>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</si>
  <si>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</si>
  <si>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</si>
  <si>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</si>
  <si>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</si>
  <si>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</si>
  <si>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</si>
  <si>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</si>
  <si>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</si>
  <si>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</si>
  <si>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</si>
  <si>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</si>
  <si>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</si>
  <si>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</si>
  <si>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</si>
  <si>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</si>
  <si>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</si>
  <si>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</si>
  <si>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</si>
  <si>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</si>
  <si>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</si>
  <si>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</si>
  <si>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</si>
  <si>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</si>
  <si>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</si>
  <si>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</si>
  <si>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</si>
  <si>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</si>
  <si>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</si>
  <si>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</si>
  <si>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</si>
  <si>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</si>
  <si>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</si>
  <si>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</si>
  <si>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</si>
  <si>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</si>
  <si>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</si>
  <si>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</si>
  <si>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</si>
  <si>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</si>
  <si>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</si>
  <si>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</si>
  <si>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</si>
  <si>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</si>
  <si>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</si>
  <si>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</si>
  <si>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</si>
  <si>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</si>
  <si>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</si>
  <si>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</si>
  <si>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</si>
  <si>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</si>
  <si>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</si>
  <si>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</si>
  <si>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</si>
  <si>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</si>
  <si>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</si>
  <si>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</si>
  <si>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</si>
  <si>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</si>
  <si>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</si>
  <si>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</si>
  <si>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</si>
  <si>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</si>
  <si>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</si>
  <si>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</si>
  <si>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</si>
  <si>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</si>
  <si>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</si>
  <si>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</si>
  <si>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</si>
  <si>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</si>
  <si>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</si>
  <si>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</si>
  <si>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</si>
  <si>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</si>
  <si>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</si>
  <si>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</si>
  <si>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</si>
  <si>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</si>
  <si>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</si>
  <si>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</si>
  <si>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</si>
  <si>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</si>
  <si>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</si>
  <si>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</si>
  <si>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</si>
  <si>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</si>
  <si>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</si>
  <si>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</si>
  <si>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</si>
  <si>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</si>
  <si>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</si>
  <si>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</si>
  <si>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</si>
  <si>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</si>
  <si>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</si>
  <si>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</si>
  <si>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</si>
  <si>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</si>
  <si>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</si>
  <si>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</si>
  <si>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</si>
  <si>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</si>
  <si>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</si>
  <si>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</si>
  <si>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</si>
  <si>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</si>
  <si>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</si>
  <si>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</si>
  <si>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</si>
  <si>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</si>
  <si>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</si>
  <si>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</si>
  <si>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</si>
  <si>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</si>
  <si>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</si>
  <si>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</si>
  <si>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</si>
  <si>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</si>
  <si>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</si>
  <si>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</si>
  <si>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</si>
  <si>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</si>
  <si>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</si>
  <si>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</si>
  <si>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</si>
  <si>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</si>
  <si>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</si>
  <si>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</si>
  <si>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</si>
  <si>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</si>
  <si>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</si>
  <si>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</si>
  <si>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</si>
  <si>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</si>
  <si>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</si>
  <si>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</si>
  <si>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</si>
  <si>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</si>
  <si>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</si>
  <si>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</si>
  <si>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</si>
  <si>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</si>
  <si>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</si>
  <si>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</si>
  <si>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</si>
  <si>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</si>
  <si>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</si>
  <si>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</si>
  <si>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</si>
  <si>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</si>
  <si>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</si>
  <si>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</si>
  <si>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</si>
  <si>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</si>
  <si>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</si>
  <si>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</si>
  <si>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</si>
  <si>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</si>
  <si>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</si>
  <si>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</si>
  <si>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</si>
  <si>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</si>
  <si>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</si>
  <si>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</si>
  <si>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</si>
  <si>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</si>
  <si>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</si>
  <si>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</si>
  <si>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</si>
  <si>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</si>
  <si>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</si>
  <si>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</si>
  <si>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</si>
  <si>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</si>
  <si>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</si>
  <si>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</si>
  <si>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</si>
  <si>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</si>
  <si>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</si>
  <si>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</si>
  <si>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</si>
  <si>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</si>
  <si>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</si>
  <si>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</si>
  <si>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</si>
  <si>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</si>
  <si>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</si>
  <si>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</si>
  <si>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</si>
  <si>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</si>
  <si>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</si>
  <si>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</si>
  <si>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</si>
  <si>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</si>
  <si>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</si>
  <si>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</si>
  <si>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</si>
  <si>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</si>
  <si>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</si>
  <si>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</si>
  <si>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</si>
  <si>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</si>
  <si>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</si>
  <si>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</si>
  <si>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</si>
  <si>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</si>
  <si>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</si>
  <si>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</si>
  <si>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</si>
  <si>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</si>
  <si>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</si>
  <si>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</si>
  <si>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</si>
  <si>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</si>
  <si>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</si>
  <si>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</si>
  <si>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</si>
  <si>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</si>
  <si>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</si>
  <si>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</si>
  <si>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</si>
  <si>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</si>
  <si>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</si>
  <si>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</si>
  <si>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</si>
  <si>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</si>
  <si>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</si>
  <si>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</si>
  <si>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</si>
  <si>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</si>
  <si>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</si>
  <si>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</si>
  <si>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</si>
  <si>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</si>
  <si>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</si>
  <si>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</si>
  <si>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</si>
  <si>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</si>
  <si>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</si>
  <si>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</si>
  <si>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</si>
  <si>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</si>
  <si>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</si>
  <si>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</si>
  <si>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</si>
  <si>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</si>
  <si>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</si>
  <si>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</si>
  <si>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</si>
  <si>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</si>
  <si>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</si>
  <si>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</si>
  <si>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</si>
  <si>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</si>
  <si>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</si>
  <si>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</si>
  <si>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</si>
  <si>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</si>
  <si>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</si>
  <si>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</si>
  <si>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</si>
  <si>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</si>
  <si>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</si>
  <si>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</si>
  <si>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</si>
  <si>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</si>
  <si>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</si>
  <si>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</si>
  <si>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</si>
  <si>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</si>
  <si>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</si>
  <si>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</si>
  <si>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</si>
  <si>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</si>
  <si>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</si>
  <si>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</si>
  <si>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</si>
  <si>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</si>
  <si>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</si>
  <si>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</si>
  <si>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</si>
  <si>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</si>
  <si>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</si>
  <si>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</si>
  <si>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</si>
  <si>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</si>
  <si>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</si>
  <si>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</si>
  <si>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</si>
  <si>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</si>
  <si>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</si>
  <si>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</si>
  <si>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</si>
  <si>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</si>
  <si>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</si>
  <si>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</si>
  <si>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</si>
  <si>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</si>
  <si>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</si>
  <si>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</si>
  <si>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</si>
  <si>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</si>
  <si>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</si>
  <si>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</si>
  <si>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</si>
  <si>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</si>
  <si>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</si>
  <si>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</si>
  <si>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</si>
  <si>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</si>
  <si>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</si>
  <si>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</si>
  <si>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</si>
  <si>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</si>
  <si>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</si>
  <si>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</si>
  <si>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</si>
  <si>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</si>
  <si>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</si>
  <si>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</si>
  <si>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</si>
  <si>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</si>
  <si>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</si>
  <si>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</si>
  <si>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</si>
  <si>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</si>
  <si>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</si>
  <si>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</si>
  <si>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</si>
  <si>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</si>
  <si>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</si>
  <si>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</si>
  <si>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</si>
  <si>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</si>
  <si>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</si>
  <si>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</si>
  <si>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</si>
  <si>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</si>
  <si>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</si>
  <si>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</si>
  <si>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</si>
  <si>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</si>
  <si>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</si>
  <si>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</si>
  <si>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</si>
  <si>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</si>
  <si>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</si>
  <si>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</si>
  <si>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</si>
  <si>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</si>
  <si>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</si>
  <si>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</si>
  <si>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</si>
  <si>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</si>
  <si>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</si>
  <si>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</si>
  <si>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</si>
  <si>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</si>
  <si>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</si>
  <si>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</si>
  <si>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</si>
  <si>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</si>
  <si>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</si>
  <si>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</si>
  <si>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</si>
  <si>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</si>
  <si>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</si>
  <si>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</si>
  <si>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</si>
  <si>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</si>
  <si>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</si>
  <si>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</si>
  <si>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</si>
  <si>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</si>
  <si>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</si>
  <si>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</si>
  <si>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</si>
  <si>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</si>
  <si>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</si>
  <si>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</si>
  <si>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</si>
  <si>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</si>
  <si>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</si>
  <si>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</si>
  <si>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</si>
  <si>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</si>
  <si>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</si>
  <si>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</si>
  <si>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</si>
  <si>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</si>
  <si>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</si>
  <si>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</si>
  <si>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</si>
  <si>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</si>
  <si>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</si>
  <si>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</si>
  <si>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</si>
  <si>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</si>
  <si>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</si>
  <si>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</si>
  <si>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</si>
  <si>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</si>
  <si>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</si>
  <si>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</si>
  <si>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</si>
  <si>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</si>
  <si>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</si>
  <si>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</si>
  <si>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</si>
  <si>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</si>
  <si>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</si>
  <si>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</si>
  <si>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</si>
  <si>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</si>
  <si>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</si>
  <si>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</si>
  <si>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</si>
  <si>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</si>
  <si>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</si>
  <si>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</si>
  <si>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</si>
  <si>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</si>
  <si>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</si>
  <si>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</si>
  <si>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</si>
  <si>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</si>
  <si>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</si>
  <si>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</si>
  <si>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</si>
  <si>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</si>
  <si>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</si>
  <si>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</si>
  <si>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</si>
  <si>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</si>
  <si>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</si>
  <si>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</si>
  <si>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</si>
  <si>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</si>
  <si>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</si>
  <si>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</si>
  <si>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</si>
  <si>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</si>
  <si>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</si>
  <si>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</si>
  <si>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</si>
  <si>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</si>
  <si>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</si>
  <si>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</si>
  <si>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</si>
  <si>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</si>
  <si>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</si>
  <si>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</si>
  <si>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</si>
  <si>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</si>
  <si>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</si>
  <si>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</si>
  <si>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</si>
  <si>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</si>
  <si>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</si>
  <si>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</si>
  <si>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</si>
  <si>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</si>
  <si>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</si>
  <si>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</si>
  <si>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</si>
  <si>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</si>
  <si>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</si>
  <si>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</si>
  <si>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</si>
  <si>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</si>
  <si>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</si>
  <si>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</si>
  <si>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</si>
  <si>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</si>
  <si>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</si>
  <si>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</si>
  <si>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</si>
  <si>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</si>
  <si>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</si>
  <si>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</si>
  <si>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</si>
  <si>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</si>
  <si>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</si>
  <si>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</si>
  <si>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</si>
  <si>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</si>
  <si>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</si>
  <si>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</si>
  <si>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</si>
  <si>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</si>
  <si>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</si>
  <si>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</si>
  <si>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</si>
  <si>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</si>
  <si>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</si>
  <si>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</si>
  <si>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</si>
  <si>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</si>
  <si>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</si>
  <si>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</si>
  <si>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</si>
  <si>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</si>
  <si>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</si>
  <si>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</si>
  <si>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</si>
  <si>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</si>
  <si>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</si>
  <si>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</si>
  <si>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</si>
  <si>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</si>
  <si>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</si>
  <si>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</si>
  <si>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</si>
  <si>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</si>
  <si>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</si>
  <si>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</si>
  <si>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</si>
  <si>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</si>
  <si>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</si>
  <si>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</si>
  <si>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</si>
  <si>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</si>
  <si>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</si>
  <si>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</si>
  <si>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</si>
  <si>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</si>
  <si>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</si>
  <si>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</si>
  <si>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</si>
  <si>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</si>
  <si>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</si>
  <si>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</si>
  <si>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</si>
  <si>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</si>
  <si>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</si>
  <si>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</si>
  <si>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</si>
  <si>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</si>
  <si>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</si>
  <si>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</si>
  <si>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</si>
  <si>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</si>
  <si>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</si>
  <si>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</si>
  <si>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</si>
  <si>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</si>
  <si>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</si>
  <si>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</si>
  <si>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</si>
  <si>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</si>
  <si>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</si>
  <si>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</si>
  <si>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</si>
  <si>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</si>
  <si>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</si>
  <si>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</si>
  <si>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</si>
  <si>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</si>
  <si>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</si>
  <si>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</si>
  <si>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</si>
  <si>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</si>
  <si>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</si>
  <si>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</si>
  <si>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</si>
  <si>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</si>
  <si>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</si>
  <si>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</si>
  <si>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</si>
  <si>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</si>
  <si>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</si>
  <si>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</si>
  <si>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</si>
  <si>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</si>
  <si>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</si>
  <si>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</si>
  <si>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</si>
  <si>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</si>
  <si>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</si>
  <si>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</si>
  <si>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</si>
  <si>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</si>
  <si>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</si>
  <si>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</si>
  <si>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</si>
  <si>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</si>
  <si>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</si>
  <si>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</si>
  <si>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</si>
  <si>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</si>
  <si>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</si>
  <si>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</si>
  <si>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</si>
  <si>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</si>
  <si>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</si>
  <si>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</si>
  <si>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</si>
  <si>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</si>
  <si>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</si>
  <si>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</si>
  <si>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</si>
  <si>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</si>
  <si>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</si>
  <si>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</si>
  <si>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</si>
  <si>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</si>
  <si>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</si>
  <si>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</si>
  <si>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</si>
  <si>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</si>
  <si>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</si>
  <si>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</si>
  <si>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</si>
  <si>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</si>
  <si>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</si>
  <si>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</si>
  <si>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</si>
  <si>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</si>
  <si>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</si>
  <si>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</si>
  <si>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</si>
  <si>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</si>
  <si>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</si>
  <si>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</si>
  <si>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</si>
  <si>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</si>
  <si>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</si>
  <si>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</si>
  <si>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</si>
  <si>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</si>
  <si>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</si>
  <si>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</si>
  <si>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</si>
  <si>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</si>
  <si>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</si>
  <si>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</si>
  <si>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</si>
  <si>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</si>
  <si>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</si>
  <si>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</si>
  <si>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</si>
  <si>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</si>
  <si>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</si>
  <si>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</si>
  <si>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</si>
  <si>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</si>
  <si>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</si>
  <si>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</si>
  <si>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</si>
  <si>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</si>
  <si>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</si>
  <si>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</si>
  <si>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</si>
  <si>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</si>
  <si>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</si>
  <si>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</si>
  <si>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</si>
  <si>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</si>
  <si>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</si>
  <si>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</si>
  <si>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</si>
  <si>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</si>
  <si>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</si>
  <si>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</si>
  <si>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</si>
  <si>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</si>
  <si>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</si>
  <si>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</si>
  <si>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</si>
  <si>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</si>
  <si>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</si>
  <si>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</si>
  <si>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</si>
  <si>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</si>
  <si>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</si>
  <si>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</si>
  <si>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</si>
  <si>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</si>
  <si>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</si>
  <si>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</si>
  <si>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</si>
  <si>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</si>
  <si>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</si>
  <si>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</si>
  <si>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</si>
  <si>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</si>
  <si>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</si>
  <si>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</si>
  <si>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</si>
  <si>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</si>
  <si>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</si>
  <si>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</si>
  <si>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</si>
  <si>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</si>
  <si>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</si>
  <si>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</si>
  <si>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</si>
  <si>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</si>
  <si>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</si>
  <si>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</si>
  <si>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</si>
  <si>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</si>
  <si>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</si>
  <si>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</si>
  <si>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</si>
  <si>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</si>
  <si>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</si>
  <si>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</si>
  <si>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</si>
  <si>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</si>
  <si>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</si>
  <si>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</si>
  <si>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</si>
  <si>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</si>
  <si>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</si>
  <si>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</si>
  <si>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</si>
  <si>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</si>
  <si>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</si>
  <si>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</si>
  <si>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</si>
  <si>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</si>
  <si>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</si>
  <si>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</si>
  <si>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</si>
  <si>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</si>
  <si>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</si>
  <si>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</si>
  <si>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</si>
  <si>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</si>
  <si>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</si>
  <si>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</si>
  <si>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</si>
  <si>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</si>
  <si>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</si>
  <si>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</si>
  <si>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</si>
  <si>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</si>
  <si>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</si>
  <si>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</si>
  <si>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</si>
  <si>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</si>
  <si>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</si>
  <si>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</si>
  <si>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</si>
  <si>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</si>
  <si>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</si>
  <si>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</si>
  <si>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</si>
  <si>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</si>
  <si>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</si>
  <si>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</si>
  <si>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</si>
  <si>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</si>
  <si>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</si>
  <si>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</si>
  <si>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</si>
  <si>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</si>
  <si>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</si>
  <si>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</si>
  <si>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</si>
  <si>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</si>
  <si>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</si>
  <si>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</si>
  <si>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</si>
  <si>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</si>
  <si>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</si>
  <si>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</si>
  <si>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</si>
  <si>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</si>
  <si>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</si>
  <si>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</si>
  <si>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</si>
  <si>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</si>
  <si>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</si>
  <si>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</si>
  <si>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</si>
  <si>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</si>
  <si>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</si>
  <si>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</si>
  <si>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</si>
  <si>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</si>
  <si>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</si>
  <si>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</si>
  <si>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</si>
  <si>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</si>
  <si>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</si>
  <si>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</si>
  <si>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</si>
  <si>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</si>
  <si>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</si>
  <si>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</si>
  <si>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</si>
  <si>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</si>
  <si>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</si>
  <si>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</si>
  <si>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</si>
  <si>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</si>
  <si>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</si>
  <si>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</si>
  <si>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</si>
  <si>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</si>
  <si>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</si>
  <si>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</si>
  <si>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</si>
  <si>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</si>
  <si>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</si>
  <si>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</si>
  <si>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</si>
  <si>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</si>
  <si>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</si>
  <si>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</si>
  <si>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</si>
  <si>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</si>
  <si>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</si>
  <si>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</si>
  <si>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</si>
  <si>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</si>
  <si>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</si>
  <si>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</si>
  <si>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</si>
  <si>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</si>
  <si>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</si>
  <si>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</si>
  <si>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</si>
  <si>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</si>
  <si>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</si>
  <si>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</si>
  <si>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</si>
  <si>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</si>
  <si>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</si>
  <si>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</si>
  <si>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</si>
  <si>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</si>
  <si>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</si>
  <si>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</si>
  <si>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</si>
  <si>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</si>
  <si>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</si>
  <si>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</si>
  <si>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</si>
  <si>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</si>
  <si>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</si>
  <si>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</si>
  <si>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</si>
  <si>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</si>
  <si>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</si>
  <si>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</si>
  <si>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</si>
  <si>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</si>
  <si>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</si>
  <si>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</si>
  <si>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</si>
  <si>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</si>
  <si>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</si>
  <si>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</si>
  <si>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</si>
  <si>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</si>
  <si>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</si>
  <si>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</si>
  <si>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</si>
  <si>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</si>
  <si>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</si>
  <si>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</si>
  <si>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</si>
  <si>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</si>
  <si>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</si>
  <si>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</si>
  <si>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</si>
  <si>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</si>
  <si>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</si>
  <si>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</si>
  <si>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</si>
  <si>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</si>
  <si>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</si>
  <si>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</si>
  <si>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</si>
  <si>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</si>
  <si>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</si>
  <si>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</si>
  <si>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</si>
  <si>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</si>
  <si>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</si>
  <si>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</si>
  <si>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</si>
  <si>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</si>
  <si>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</si>
  <si>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</si>
  <si>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</si>
  <si>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</si>
  <si>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</si>
  <si>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</si>
  <si>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</si>
  <si>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</si>
  <si>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</si>
  <si>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</si>
  <si>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</si>
  <si>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</si>
  <si>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</si>
  <si>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</si>
  <si>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</si>
  <si>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</si>
  <si>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</si>
  <si>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</si>
  <si>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</si>
  <si>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</si>
  <si>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</si>
  <si>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</si>
  <si>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</si>
  <si>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</si>
  <si>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</si>
  <si>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</si>
  <si>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</si>
  <si>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</si>
  <si>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</si>
  <si>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</si>
  <si>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</si>
  <si>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</si>
  <si>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</si>
  <si>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</si>
  <si>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</si>
  <si>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</si>
  <si>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</si>
  <si>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</si>
  <si>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</si>
  <si>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</si>
  <si>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</si>
  <si>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</si>
  <si>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</si>
  <si>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</si>
  <si>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</si>
  <si>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</si>
  <si>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</si>
  <si>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</si>
  <si>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</si>
  <si>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</si>
  <si>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</si>
  <si>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</si>
  <si>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</si>
  <si>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</si>
  <si>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</si>
  <si>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</si>
  <si>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</si>
  <si>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</si>
  <si>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</si>
  <si>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</si>
  <si>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</si>
  <si>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</si>
  <si>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</si>
  <si>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</si>
  <si>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</si>
  <si>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</si>
  <si>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</si>
  <si>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</si>
  <si>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</si>
  <si>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</si>
  <si>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</si>
  <si>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</si>
  <si>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</si>
  <si>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</si>
  <si>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</si>
  <si>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</si>
  <si>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</si>
  <si>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</si>
  <si>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</si>
  <si>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</si>
  <si>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</si>
  <si>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</si>
  <si>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</si>
  <si>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</si>
  <si>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</si>
  <si>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</si>
  <si>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</si>
  <si>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</si>
  <si>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</si>
  <si>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</si>
  <si>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</si>
  <si>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</si>
  <si>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</si>
  <si>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</si>
  <si>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</si>
  <si>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</si>
  <si>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</si>
  <si>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</si>
  <si>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</si>
  <si>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</si>
  <si>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</si>
  <si>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</si>
  <si>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</si>
  <si>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</si>
  <si>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</si>
  <si>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</si>
  <si>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</si>
  <si>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</si>
  <si>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</si>
  <si>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</si>
  <si>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</si>
  <si>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</si>
  <si>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</si>
  <si>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</si>
  <si>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</si>
  <si>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</si>
  <si>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</si>
  <si>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</si>
  <si>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</si>
  <si>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</si>
  <si>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</si>
  <si>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</si>
  <si>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</si>
  <si>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</si>
  <si>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</si>
  <si>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</si>
  <si>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</si>
  <si>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</si>
  <si>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</si>
  <si>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</si>
  <si>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</si>
  <si>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</si>
  <si>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</si>
  <si>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</si>
  <si>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</si>
  <si>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</si>
  <si>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</si>
  <si>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</si>
  <si>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</si>
  <si>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</si>
  <si>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</si>
  <si>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</si>
  <si>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</si>
  <si>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</si>
  <si>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</si>
  <si>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</si>
  <si>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</si>
  <si>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</si>
  <si>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</si>
  <si>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</si>
  <si>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</si>
  <si>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</si>
  <si>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</si>
  <si>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</si>
  <si>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</si>
  <si>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</si>
  <si>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</si>
  <si>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</si>
  <si>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</si>
  <si>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</si>
  <si>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</si>
  <si>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</si>
  <si>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</si>
  <si>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</si>
  <si>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</si>
  <si>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</si>
  <si>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</si>
  <si>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</si>
  <si>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</si>
  <si>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</si>
  <si>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</si>
  <si>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</si>
  <si>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</si>
  <si>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</si>
  <si>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</si>
  <si>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</si>
  <si>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</si>
  <si>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</si>
  <si>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</si>
  <si>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</si>
  <si>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</si>
  <si>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</si>
  <si>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</si>
  <si>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</si>
  <si>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</si>
  <si>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</si>
  <si>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</si>
  <si>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</si>
  <si>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</si>
  <si>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</si>
  <si>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</si>
  <si>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</si>
  <si>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</si>
  <si>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</si>
  <si>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</si>
  <si>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</si>
  <si>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</si>
  <si>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</si>
  <si>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</si>
  <si>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</si>
  <si>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</si>
  <si>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</si>
  <si>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</si>
  <si>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</si>
  <si>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</si>
  <si>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</si>
  <si>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</si>
  <si>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</si>
  <si>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</si>
  <si>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</si>
  <si>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</si>
  <si>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</si>
  <si>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</si>
  <si>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</si>
  <si>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</si>
  <si>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</si>
  <si>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</si>
  <si>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</si>
  <si>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</si>
  <si>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</si>
  <si>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</si>
  <si>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</si>
  <si>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</si>
  <si>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</si>
  <si>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</si>
  <si>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</si>
  <si>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</si>
  <si>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</si>
  <si>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</si>
  <si>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</si>
  <si>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</si>
  <si>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</si>
  <si>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</si>
  <si>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</si>
  <si>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</si>
  <si>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</si>
  <si>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</si>
  <si>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</si>
  <si>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</si>
  <si>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</si>
  <si>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</si>
  <si>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</si>
  <si>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</si>
  <si>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</si>
  <si>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</si>
  <si>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</si>
  <si>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</si>
  <si>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</si>
  <si>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</si>
  <si>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</si>
  <si>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</si>
  <si>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</si>
  <si>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</si>
  <si>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</si>
  <si>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</si>
  <si>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</si>
  <si>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</si>
  <si>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</si>
  <si>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</si>
  <si>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</si>
  <si>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</si>
  <si>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</si>
  <si>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</si>
  <si>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</si>
  <si>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</si>
  <si>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</si>
  <si>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</si>
  <si>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</si>
  <si>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</si>
  <si>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</si>
  <si>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</si>
  <si>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</si>
  <si>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</si>
  <si>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</si>
  <si>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</si>
  <si>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</si>
  <si>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</si>
  <si>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</si>
  <si>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</si>
  <si>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</si>
  <si>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</si>
  <si>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</si>
  <si>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</si>
  <si>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</si>
  <si>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</si>
  <si>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</si>
  <si>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</si>
  <si>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</si>
  <si>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</si>
  <si>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</si>
  <si>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</si>
  <si>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</si>
  <si>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</si>
  <si>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</si>
  <si>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</si>
  <si>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</si>
  <si>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</si>
  <si>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</si>
  <si>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</si>
  <si>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</si>
  <si>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</si>
  <si>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</si>
  <si>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</si>
  <si>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</si>
  <si>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</si>
  <si>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</si>
  <si>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</si>
  <si>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</si>
  <si>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</si>
  <si>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</si>
  <si>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</si>
  <si>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</si>
  <si>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</si>
  <si>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</si>
  <si>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</si>
  <si>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</si>
  <si>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</si>
  <si>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</si>
  <si>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</si>
  <si>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</si>
  <si>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</si>
  <si>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</si>
  <si>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</si>
  <si>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</si>
  <si>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</si>
  <si>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</si>
  <si>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</si>
  <si>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</si>
  <si>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</si>
  <si>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</si>
  <si>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</si>
  <si>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</si>
  <si>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</si>
  <si>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</si>
  <si>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</si>
  <si>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</si>
  <si>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</si>
  <si>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</si>
  <si>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</si>
  <si>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</si>
  <si>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</si>
  <si>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</si>
  <si>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</si>
  <si>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</si>
  <si>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</si>
  <si>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</si>
  <si>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</si>
  <si>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</si>
  <si>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</si>
  <si>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</si>
  <si>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</si>
  <si>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</si>
  <si>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</si>
  <si>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</si>
  <si>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</si>
  <si>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</si>
  <si>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</si>
  <si>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</si>
  <si>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</si>
  <si>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</si>
  <si>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</si>
  <si>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</si>
  <si>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</si>
  <si>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</si>
  <si>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</si>
  <si>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</si>
  <si>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</si>
  <si>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</si>
  <si>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</si>
  <si>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</si>
  <si>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</si>
  <si>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</si>
  <si>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</si>
  <si>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</si>
  <si>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</si>
  <si>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</si>
  <si>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</si>
  <si>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</si>
  <si>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</si>
  <si>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</si>
  <si>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</si>
  <si>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</si>
  <si>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</si>
  <si>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</si>
  <si>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</si>
  <si>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</si>
  <si>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</si>
  <si>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</si>
  <si>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</si>
  <si>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</si>
  <si>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</si>
  <si>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</si>
  <si>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</si>
  <si>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</si>
  <si>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</si>
  <si>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</si>
  <si>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</si>
  <si>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</si>
  <si>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</si>
  <si>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</si>
  <si>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</si>
  <si>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</si>
  <si>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</si>
  <si>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</si>
  <si>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</si>
  <si>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</si>
  <si>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</si>
  <si>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</si>
  <si>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</si>
  <si>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</si>
  <si>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</si>
  <si>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</si>
  <si>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</si>
  <si>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</si>
  <si>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</si>
  <si>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</si>
  <si>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</si>
  <si>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</si>
  <si>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</si>
  <si>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</si>
  <si>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</si>
  <si>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</si>
  <si>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</si>
  <si>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</si>
  <si>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</si>
  <si>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</si>
  <si>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</si>
  <si>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</si>
  <si>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</si>
  <si>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</si>
  <si>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</si>
  <si>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</si>
  <si>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</si>
  <si>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</si>
  <si>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</si>
  <si>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</si>
  <si>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</si>
  <si>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</si>
  <si>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</si>
  <si>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</si>
  <si>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</si>
  <si>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</si>
  <si>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</si>
  <si>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</si>
  <si>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</si>
  <si>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</si>
  <si>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</si>
  <si>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</si>
  <si>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</si>
  <si>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</si>
  <si>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</si>
  <si>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</si>
  <si>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</si>
  <si>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</si>
  <si>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</si>
  <si>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</si>
  <si>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</si>
  <si>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</si>
  <si>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</si>
  <si>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</si>
  <si>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</si>
  <si>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</si>
  <si>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</si>
  <si>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</si>
  <si>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</si>
  <si>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</si>
  <si>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</si>
  <si>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</si>
  <si>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</si>
  <si>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</si>
  <si>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</si>
  <si>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</si>
  <si>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</si>
  <si>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</si>
  <si>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</si>
  <si>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</si>
  <si>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</si>
  <si>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</si>
  <si>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</si>
  <si>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</si>
  <si>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</si>
  <si>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</si>
  <si>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</si>
  <si>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</si>
  <si>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</si>
  <si>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</si>
  <si>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</si>
  <si>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</si>
  <si>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</si>
  <si>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</si>
  <si>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</si>
  <si>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</si>
  <si>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</si>
  <si>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</si>
  <si>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</si>
  <si>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</si>
  <si>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</si>
  <si>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</si>
  <si>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</si>
  <si>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</si>
  <si>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</si>
  <si>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</si>
  <si>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</si>
  <si>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</si>
  <si>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</si>
  <si>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</si>
  <si>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</si>
  <si>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</si>
  <si>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</si>
  <si>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</si>
  <si>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</si>
  <si>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</si>
  <si>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</si>
  <si>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</si>
  <si>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</si>
  <si>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</si>
  <si>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</si>
  <si>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</si>
  <si>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</si>
  <si>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</si>
  <si>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</si>
  <si>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</si>
  <si>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</si>
  <si>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</si>
  <si>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</si>
  <si>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</si>
  <si>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</si>
  <si>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</si>
  <si>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</si>
  <si>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</si>
  <si>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</si>
  <si>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</si>
  <si>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</si>
  <si>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</si>
  <si>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</si>
  <si>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</si>
  <si>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</si>
  <si>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</si>
  <si>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</si>
  <si>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</si>
  <si>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</si>
  <si>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</si>
  <si>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</si>
  <si>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</si>
  <si>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</si>
  <si>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</si>
  <si>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</si>
  <si>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</si>
  <si>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</si>
  <si>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</si>
  <si>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</si>
  <si>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</si>
  <si>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</si>
  <si>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</si>
  <si>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</si>
  <si>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</si>
  <si>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</si>
  <si>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</si>
  <si>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</si>
  <si>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</si>
  <si>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</si>
  <si>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</si>
  <si>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</si>
  <si>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</si>
  <si>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</si>
  <si>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</si>
  <si>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</si>
  <si>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</si>
  <si>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</si>
  <si>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</si>
  <si>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</si>
  <si>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</si>
  <si>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</si>
  <si>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</si>
  <si>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</si>
  <si>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</si>
  <si>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</si>
  <si>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</si>
  <si>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</si>
  <si>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</si>
  <si>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</si>
  <si>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</si>
  <si>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</si>
  <si>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</si>
  <si>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</si>
  <si>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</si>
  <si>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</si>
  <si>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</si>
  <si>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</si>
  <si>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</si>
  <si>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</si>
  <si>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</si>
  <si>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</si>
  <si>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</si>
  <si>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</si>
  <si>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</si>
  <si>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</si>
  <si>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</si>
  <si>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</si>
  <si>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</si>
  <si>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</si>
  <si>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</si>
  <si>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</si>
  <si>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</si>
  <si>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</si>
  <si>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</si>
  <si>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</si>
  <si>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</si>
  <si>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</si>
  <si>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</si>
  <si>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</si>
  <si>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</si>
  <si>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</si>
  <si>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</si>
  <si>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</si>
  <si>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</si>
  <si>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</si>
  <si>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</si>
  <si>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</si>
  <si>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</si>
  <si>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</si>
  <si>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</si>
  <si>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</si>
  <si>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</si>
  <si>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</si>
  <si>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</si>
  <si>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</si>
  <si>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</si>
  <si>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</si>
  <si>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</si>
  <si>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</si>
  <si>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</si>
  <si>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</si>
  <si>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</si>
  <si>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</si>
  <si>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</si>
  <si>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</si>
  <si>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</si>
  <si>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</si>
  <si>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</si>
  <si>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</si>
  <si>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</si>
  <si>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</si>
  <si>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</si>
  <si>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</si>
  <si>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</si>
  <si>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</si>
  <si>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</si>
  <si>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</si>
  <si>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</si>
  <si>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</si>
  <si>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</si>
  <si>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</si>
  <si>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</si>
  <si>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</si>
  <si>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</si>
  <si>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</si>
  <si>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</si>
  <si>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</si>
  <si>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</si>
  <si>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</si>
  <si>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</si>
  <si>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</si>
  <si>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</si>
  <si>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</si>
  <si>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</si>
  <si>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</si>
  <si>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</si>
  <si>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</si>
  <si>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</si>
  <si>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</si>
  <si>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</si>
  <si>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</si>
  <si>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</si>
  <si>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</si>
  <si>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</si>
  <si>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</si>
  <si>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</si>
  <si>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</si>
  <si>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</si>
  <si>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</si>
  <si>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</si>
  <si>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</si>
  <si>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</si>
  <si>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</si>
  <si>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</si>
  <si>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</si>
  <si>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</si>
  <si>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</si>
  <si>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</si>
  <si>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</si>
  <si>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</si>
  <si>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</si>
  <si>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</si>
  <si>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</si>
  <si>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</si>
  <si>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</si>
  <si>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</si>
  <si>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</si>
  <si>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</si>
  <si>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</si>
  <si>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</si>
  <si>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</si>
  <si>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</si>
  <si>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</si>
  <si>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</si>
  <si>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</si>
  <si>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</si>
  <si>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</si>
  <si>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</si>
  <si>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</si>
  <si>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</si>
  <si>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</si>
  <si>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</si>
  <si>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</si>
  <si>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</si>
  <si>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</si>
  <si>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</si>
  <si>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</si>
  <si>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</si>
  <si>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</si>
  <si>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</si>
  <si>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</si>
  <si>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</si>
  <si>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</si>
  <si>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</si>
  <si>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</si>
  <si>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</si>
  <si>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</si>
  <si>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</si>
  <si>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</si>
  <si>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</si>
  <si>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</si>
  <si>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</si>
  <si>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</si>
  <si>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</si>
  <si>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</si>
  <si>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</si>
  <si>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</si>
  <si>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</si>
  <si>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</si>
  <si>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</si>
  <si>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</si>
  <si>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</si>
  <si>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</si>
  <si>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</si>
  <si>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</si>
  <si>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</si>
  <si>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</si>
  <si>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</si>
  <si>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</si>
  <si>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</si>
  <si>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</si>
  <si>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</si>
  <si>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</si>
  <si>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</si>
  <si>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</si>
  <si>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</si>
  <si>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</si>
  <si>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</si>
  <si>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</si>
  <si>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</si>
  <si>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</si>
  <si>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</si>
  <si>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</si>
  <si>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</si>
  <si>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</si>
  <si>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</si>
  <si>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</si>
  <si>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</si>
  <si>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</si>
  <si>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</si>
  <si>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</si>
  <si>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</si>
  <si>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</si>
  <si>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</si>
  <si>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</si>
  <si>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</si>
  <si>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</si>
  <si>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</si>
  <si>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</si>
  <si>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</si>
  <si>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</si>
  <si>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</si>
  <si>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</si>
  <si>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</si>
  <si>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</si>
  <si>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</si>
  <si>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</si>
  <si>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</si>
  <si>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</si>
  <si>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</si>
  <si>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</si>
  <si>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</si>
  <si>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</si>
  <si>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</si>
  <si>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</si>
  <si>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</si>
  <si>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</si>
  <si>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</si>
  <si>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</si>
  <si>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</si>
  <si>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</si>
  <si>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</si>
  <si>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</si>
  <si>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</si>
  <si>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</si>
  <si>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</si>
  <si>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</si>
  <si>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</si>
  <si>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</si>
  <si>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</si>
  <si>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</si>
  <si>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</si>
  <si>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</si>
  <si>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</si>
  <si>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</si>
  <si>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</si>
  <si>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</si>
  <si>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</si>
  <si>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</si>
  <si>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</si>
  <si>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</si>
  <si>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</si>
  <si>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</si>
  <si>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</si>
  <si>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</si>
  <si>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</si>
  <si>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</si>
  <si>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</si>
  <si>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</si>
  <si>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</si>
  <si>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</si>
  <si>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</si>
  <si>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</si>
  <si>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</si>
  <si>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</si>
  <si>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</si>
  <si>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</si>
  <si>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</si>
  <si>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</si>
  <si>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</si>
  <si>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</si>
  <si>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</si>
  <si>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</si>
  <si>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</si>
  <si>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</si>
  <si>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</si>
  <si>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</si>
  <si>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</si>
  <si>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</si>
  <si>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</si>
  <si>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</si>
  <si>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</si>
  <si>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</si>
  <si>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</si>
  <si>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</si>
  <si>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</si>
  <si>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</si>
  <si>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</si>
  <si>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</si>
  <si>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</si>
  <si>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</si>
  <si>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</si>
  <si>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</si>
  <si>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</si>
  <si>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</si>
  <si>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</si>
  <si>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</si>
  <si>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</si>
  <si>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</si>
  <si>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</si>
  <si>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</si>
  <si>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</si>
  <si>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</si>
  <si>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</si>
  <si>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</si>
  <si>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</si>
  <si>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</si>
  <si>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</si>
  <si>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</si>
  <si>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</si>
  <si>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</si>
  <si>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</si>
  <si>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</si>
  <si>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</si>
  <si>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</si>
  <si>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</si>
  <si>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</si>
  <si>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</si>
  <si>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</si>
  <si>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</si>
  <si>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</si>
  <si>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</si>
  <si>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</si>
  <si>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</si>
  <si>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</si>
  <si>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</si>
  <si>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</si>
  <si>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</si>
  <si>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</si>
  <si>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</si>
  <si>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</si>
  <si>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</si>
  <si>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</si>
  <si>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</si>
  <si>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</si>
  <si>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</si>
  <si>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</si>
  <si>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</si>
  <si>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</si>
  <si>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</si>
  <si>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</si>
  <si>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</si>
  <si>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</si>
  <si>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</si>
  <si>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</si>
  <si>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</si>
  <si>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</si>
  <si>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</si>
  <si>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</si>
  <si>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</si>
  <si>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</si>
  <si>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</si>
  <si>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</si>
  <si>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</si>
  <si>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</si>
  <si>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</si>
  <si>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</si>
  <si>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</si>
  <si>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</si>
  <si>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</si>
  <si>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</si>
  <si>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</si>
  <si>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</si>
  <si>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</si>
  <si>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</si>
  <si>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</si>
  <si>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</si>
  <si>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</si>
  <si>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</si>
  <si>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</si>
  <si>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</si>
  <si>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</si>
  <si>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</si>
  <si>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</si>
  <si>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</si>
  <si>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</si>
  <si>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</si>
  <si>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</si>
  <si>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</si>
  <si>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</si>
  <si>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</si>
  <si>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</si>
  <si>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</si>
  <si>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</si>
  <si>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</si>
  <si>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</si>
  <si>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</si>
  <si>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</si>
  <si>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</si>
  <si>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</si>
  <si>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</si>
  <si>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</si>
  <si>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</si>
  <si>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</si>
  <si>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</si>
  <si>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</si>
  <si>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</si>
  <si>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</si>
  <si>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</si>
  <si>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</si>
  <si>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</si>
  <si>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</si>
  <si>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</si>
  <si>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</si>
  <si>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</si>
  <si>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</si>
  <si>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</si>
  <si>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</si>
  <si>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</si>
  <si>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</si>
  <si>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</si>
  <si>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</si>
  <si>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</si>
  <si>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</si>
  <si>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</si>
  <si>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</si>
  <si>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</si>
  <si>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</si>
  <si>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</si>
  <si>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</si>
  <si>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</si>
  <si>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</si>
  <si>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</si>
  <si>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</si>
  <si>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</si>
  <si>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</si>
  <si>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</si>
  <si>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</si>
  <si>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</si>
  <si>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</si>
  <si>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</si>
  <si>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</si>
  <si>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</si>
  <si>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</si>
  <si>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</si>
  <si>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</si>
  <si>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</si>
  <si>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</si>
  <si>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</si>
  <si>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</si>
  <si>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</si>
  <si>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</si>
  <si>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</si>
  <si>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</si>
  <si>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</si>
  <si>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</si>
  <si>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</si>
  <si>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</si>
  <si>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</si>
  <si>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</si>
  <si>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</si>
  <si>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</si>
  <si>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</si>
  <si>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</si>
  <si>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</si>
  <si>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</si>
  <si>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</si>
  <si>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</si>
  <si>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</si>
  <si>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</si>
  <si>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</si>
  <si>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</si>
  <si>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</si>
  <si>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</si>
  <si>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</si>
  <si>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</si>
  <si>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</si>
  <si>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</si>
  <si>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</si>
  <si>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</si>
  <si>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</si>
  <si>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</si>
  <si>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</si>
  <si>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</si>
  <si>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</si>
  <si>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</si>
  <si>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</si>
  <si>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</si>
  <si>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</si>
  <si>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</si>
  <si>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</si>
  <si>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</si>
  <si>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</si>
  <si>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</si>
  <si>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</si>
  <si>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</si>
  <si>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</si>
  <si>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</si>
  <si>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</si>
  <si>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</si>
  <si>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</si>
  <si>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</si>
  <si>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</si>
  <si>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</si>
  <si>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</si>
  <si>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</si>
  <si>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</si>
  <si>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</si>
  <si>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</si>
  <si>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</si>
  <si>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</si>
  <si>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</si>
  <si>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</si>
  <si>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</si>
  <si>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</si>
  <si>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</si>
  <si>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</si>
  <si>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</si>
  <si>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</si>
  <si>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</si>
  <si>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</si>
  <si>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</si>
  <si>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</si>
  <si>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</si>
  <si>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</si>
  <si>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</si>
  <si>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</si>
  <si>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</si>
  <si>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</si>
  <si>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</si>
  <si>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</si>
  <si>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</si>
  <si>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</si>
  <si>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</si>
  <si>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</si>
  <si>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</si>
  <si>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</si>
  <si>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</si>
  <si>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</si>
  <si>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</si>
  <si>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</si>
  <si>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</si>
  <si>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</si>
  <si>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</si>
  <si>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</si>
  <si>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</si>
  <si>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</si>
  <si>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</si>
  <si>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</si>
  <si>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</si>
  <si>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</si>
  <si>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</si>
  <si>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</si>
  <si>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</si>
  <si>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</si>
  <si>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</si>
  <si>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</si>
  <si>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</si>
  <si>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</si>
  <si>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</si>
  <si>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</si>
  <si>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</si>
  <si>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</si>
  <si>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</si>
  <si>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</si>
  <si>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</si>
  <si>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</si>
  <si>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</si>
  <si>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</si>
  <si>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</si>
  <si>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</si>
  <si>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</si>
  <si>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</si>
  <si>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</si>
  <si>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</si>
  <si>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</si>
  <si>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</si>
  <si>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</si>
  <si>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</si>
  <si>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</si>
  <si>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</si>
  <si>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</si>
  <si>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</si>
  <si>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</si>
  <si>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</si>
  <si>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</si>
  <si>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</si>
  <si>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</si>
  <si>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</si>
  <si>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</si>
  <si>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</si>
  <si>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</si>
  <si>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</si>
  <si>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</si>
  <si>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</si>
  <si>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</si>
  <si>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</si>
  <si>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</si>
  <si>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</si>
  <si>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</si>
  <si>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</si>
  <si>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</si>
  <si>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</si>
  <si>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</si>
  <si>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</si>
  <si>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</si>
  <si>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</si>
  <si>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</si>
  <si>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</si>
  <si>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</si>
  <si>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</si>
  <si>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</si>
  <si>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</si>
  <si>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</si>
  <si>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</si>
  <si>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</si>
  <si>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</si>
  <si>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</si>
  <si>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</si>
  <si>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</si>
  <si>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</si>
  <si>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</si>
  <si>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</si>
  <si>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</si>
  <si>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</si>
  <si>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</si>
  <si>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</si>
  <si>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</si>
  <si>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</si>
  <si>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</si>
  <si>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</si>
  <si>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</si>
  <si>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</si>
  <si>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</si>
  <si>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</si>
  <si>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</si>
  <si>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</si>
  <si>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</si>
  <si>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</si>
  <si>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</si>
  <si>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</si>
  <si>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</si>
  <si>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</si>
  <si>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</si>
  <si>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</si>
  <si>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</si>
  <si>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</si>
  <si>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</si>
  <si>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</si>
  <si>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</si>
  <si>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</si>
  <si>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</si>
  <si>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</si>
  <si>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</si>
  <si>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</si>
  <si>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</si>
  <si>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</si>
  <si>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</si>
  <si>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</si>
  <si>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</si>
  <si>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</si>
  <si>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</si>
  <si>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</si>
  <si>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</si>
  <si>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</si>
  <si>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</si>
  <si>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</si>
  <si>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</si>
  <si>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</si>
  <si>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</si>
  <si>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</si>
  <si>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</si>
  <si>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</si>
  <si>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</si>
  <si>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</si>
  <si>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</si>
  <si>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</si>
  <si>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</si>
  <si>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</si>
  <si>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</si>
  <si>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</si>
  <si>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</si>
  <si>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</si>
  <si>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</si>
  <si>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</si>
  <si>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</si>
  <si>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</si>
  <si>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</si>
  <si>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</si>
  <si>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</si>
  <si>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</si>
  <si>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</si>
  <si>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</si>
  <si>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</si>
  <si>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</si>
  <si>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</si>
  <si>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</si>
  <si>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</si>
  <si>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</si>
  <si>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</si>
  <si>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</si>
  <si>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</si>
  <si>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</si>
  <si>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</si>
  <si>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</si>
  <si>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</si>
  <si>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</si>
  <si>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</si>
  <si>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</si>
  <si>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</si>
  <si>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</si>
  <si>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</si>
  <si>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</si>
  <si>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</si>
  <si>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</si>
  <si>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</si>
  <si>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</si>
  <si>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</si>
  <si>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</si>
  <si>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</si>
  <si>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</si>
  <si>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</si>
  <si>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</si>
  <si>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</si>
  <si>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</si>
  <si>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</si>
  <si>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</si>
  <si>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</si>
  <si>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</si>
  <si>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</si>
  <si>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</si>
  <si>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</si>
  <si>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</si>
  <si>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</si>
  <si>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</si>
  <si>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</si>
  <si>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</si>
  <si>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</si>
  <si>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</si>
  <si>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</si>
  <si>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</si>
  <si>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</si>
  <si>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</si>
  <si>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</si>
  <si>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</si>
  <si>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</si>
  <si>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</si>
  <si>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</si>
  <si>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</si>
  <si>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</si>
  <si>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</si>
  <si>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</si>
  <si>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</si>
  <si>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</si>
  <si>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</si>
  <si>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</si>
  <si>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</si>
  <si>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</si>
  <si>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</si>
  <si>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</si>
  <si>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</si>
  <si>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</si>
  <si>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</si>
  <si>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</si>
  <si>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</si>
  <si>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</si>
  <si>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</si>
  <si>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</si>
  <si>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</si>
  <si>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</si>
  <si>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</si>
  <si>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</si>
  <si>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</si>
  <si>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</si>
  <si>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</si>
  <si>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</si>
  <si>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</si>
  <si>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</si>
  <si>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</si>
  <si>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</si>
  <si>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</si>
  <si>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</si>
  <si>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</si>
  <si>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</si>
  <si>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</si>
  <si>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</si>
  <si>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</si>
  <si>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</si>
  <si>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</si>
  <si>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</si>
  <si>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</si>
  <si>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</si>
  <si>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</si>
  <si>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</si>
  <si>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</si>
  <si>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</si>
  <si>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</si>
  <si>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</si>
  <si>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</si>
  <si>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</si>
  <si>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</si>
  <si>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</si>
  <si>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</si>
  <si>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</si>
  <si>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</si>
  <si>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</si>
  <si>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</si>
  <si>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</si>
  <si>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</si>
  <si>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</si>
  <si>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</si>
  <si>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</si>
  <si>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</si>
  <si>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</si>
  <si>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</si>
  <si>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</si>
  <si>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</si>
  <si>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</si>
  <si>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</si>
  <si>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</si>
  <si>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</si>
  <si>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</si>
  <si>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</si>
  <si>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</si>
  <si>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</si>
  <si>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</si>
  <si>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</si>
  <si>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</si>
  <si>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</si>
  <si>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</si>
  <si>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</si>
  <si>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</si>
  <si>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</si>
  <si>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</si>
  <si>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</si>
  <si>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</si>
  <si>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</si>
  <si>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</si>
  <si>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</si>
  <si>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</si>
  <si>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</si>
  <si>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</si>
  <si>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</si>
  <si>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</si>
  <si>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</si>
  <si>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</si>
  <si>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</si>
  <si>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</si>
  <si>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</si>
  <si>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</si>
  <si>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</si>
  <si>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</si>
  <si>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</si>
  <si>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</si>
  <si>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</si>
  <si>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</si>
  <si>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</si>
  <si>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</si>
  <si>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</si>
  <si>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</si>
  <si>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</si>
  <si>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</si>
  <si>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</si>
  <si>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</si>
  <si>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</si>
  <si>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</si>
  <si>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</si>
  <si>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</si>
  <si>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</si>
  <si>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</si>
  <si>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</si>
  <si>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</si>
  <si>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</si>
  <si>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</si>
  <si>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</si>
  <si>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</si>
  <si>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</si>
  <si>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</si>
  <si>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</si>
  <si>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</si>
  <si>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</si>
  <si>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</si>
  <si>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</si>
  <si>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</si>
  <si>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</si>
  <si>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</si>
  <si>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</si>
  <si>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</si>
  <si>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</si>
  <si>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</si>
  <si>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</si>
  <si>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</si>
  <si>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</si>
  <si>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</si>
  <si>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</si>
  <si>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</si>
  <si>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</si>
  <si>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</si>
  <si>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</si>
  <si>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</si>
  <si>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</si>
  <si>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</si>
  <si>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</si>
  <si>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</si>
  <si>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</si>
  <si>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</si>
  <si>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</si>
  <si>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</si>
  <si>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</si>
  <si>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</si>
  <si>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</si>
  <si>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</si>
  <si>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</si>
  <si>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</si>
  <si>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</si>
  <si>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</si>
  <si>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</si>
  <si>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</si>
  <si>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</si>
  <si>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</si>
  <si>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</si>
  <si>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</si>
  <si>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</si>
  <si>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</si>
  <si>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</si>
  <si>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</si>
  <si>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</si>
  <si>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</si>
  <si>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</si>
  <si>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</si>
  <si>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</si>
  <si>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</si>
  <si>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</si>
  <si>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</si>
  <si>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</si>
  <si>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</si>
  <si>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</si>
  <si>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</si>
  <si>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</si>
  <si>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</si>
  <si>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</si>
  <si>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</si>
  <si>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</si>
  <si>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</si>
  <si>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</si>
  <si>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</si>
  <si>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</si>
  <si>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</si>
  <si>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</si>
  <si>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</si>
  <si>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</si>
  <si>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</si>
  <si>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</si>
  <si>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</si>
  <si>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</si>
  <si>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</si>
  <si>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</si>
  <si>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</si>
  <si>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</si>
  <si>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</si>
  <si>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</si>
  <si>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</si>
  <si>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</si>
  <si>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</si>
  <si>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</si>
  <si>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</si>
  <si>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</si>
  <si>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</si>
  <si>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</si>
  <si>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</si>
  <si>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</si>
  <si>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</si>
  <si>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</si>
  <si>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</si>
  <si>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</si>
  <si>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</si>
  <si>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</si>
  <si>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</si>
  <si>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</si>
  <si>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</si>
  <si>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</si>
  <si>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</si>
  <si>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</si>
  <si>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</si>
  <si>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</si>
  <si>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</si>
  <si>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</si>
  <si>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</si>
  <si>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</si>
  <si>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</si>
  <si>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</si>
  <si>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</si>
  <si>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</si>
  <si>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</si>
  <si>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</si>
  <si>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</si>
  <si>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</si>
  <si>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</si>
  <si>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</si>
  <si>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</si>
  <si>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</si>
  <si>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</si>
  <si>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</si>
  <si>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</si>
  <si>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</si>
  <si>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</si>
  <si>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</si>
  <si>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</si>
  <si>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</si>
  <si>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</si>
  <si>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</si>
  <si>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</si>
  <si>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</si>
  <si>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</si>
  <si>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</si>
  <si>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</si>
  <si>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</si>
  <si>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</si>
  <si>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</si>
  <si>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</si>
  <si>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</si>
  <si>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</si>
  <si>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</si>
  <si>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</si>
  <si>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</si>
  <si>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</si>
  <si>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</si>
  <si>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</si>
  <si>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</si>
  <si>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</si>
  <si>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</si>
  <si>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</si>
  <si>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</si>
  <si>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</si>
  <si>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</si>
  <si>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</si>
  <si>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</si>
  <si>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</si>
  <si>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</si>
  <si>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</si>
  <si>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</si>
  <si>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</si>
  <si>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</si>
  <si>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</si>
  <si>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</si>
  <si>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</si>
  <si>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</si>
  <si>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</si>
  <si>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</si>
  <si>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</si>
  <si>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</si>
  <si>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</si>
  <si>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</si>
  <si>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</si>
  <si>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</si>
  <si>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</si>
  <si>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</si>
  <si>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</si>
  <si>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</si>
  <si>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</si>
  <si>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</si>
  <si>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</si>
  <si>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</si>
  <si>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</si>
  <si>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</si>
  <si>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</si>
  <si>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</si>
  <si>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</si>
  <si>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</si>
  <si>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</si>
  <si>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</si>
  <si>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</si>
  <si>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</si>
  <si>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</si>
  <si>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</si>
  <si>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</si>
  <si>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</si>
  <si>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</si>
  <si>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</si>
  <si>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</si>
  <si>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</si>
  <si>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</si>
  <si>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</si>
  <si>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</si>
  <si>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</si>
  <si>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</si>
  <si>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</si>
  <si>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</si>
  <si>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</si>
  <si>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</si>
  <si>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</si>
  <si>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</si>
  <si>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</si>
  <si>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</si>
  <si>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</si>
  <si>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</si>
  <si>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</si>
  <si>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</si>
  <si>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</si>
  <si>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</si>
  <si>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</si>
  <si>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</si>
  <si>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</si>
  <si>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</si>
  <si>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</si>
  <si>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</si>
  <si>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</si>
  <si>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</si>
  <si>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</si>
  <si>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</si>
  <si>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</si>
  <si>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</si>
  <si>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</si>
  <si>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</si>
  <si>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</si>
  <si>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</si>
  <si>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</si>
  <si>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</si>
  <si>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</si>
  <si>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</si>
  <si>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</si>
  <si>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</si>
  <si>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</si>
  <si>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</si>
  <si>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</si>
  <si>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</si>
  <si>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</si>
  <si>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</si>
  <si>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</si>
  <si>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</si>
  <si>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</si>
  <si>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</si>
  <si>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</si>
  <si>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</si>
  <si>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</si>
  <si>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</si>
  <si>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</si>
  <si>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</si>
  <si>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</si>
  <si>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</si>
  <si>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</si>
  <si>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</si>
  <si>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</si>
  <si>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</si>
  <si>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</si>
  <si>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</si>
  <si>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</si>
  <si>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</si>
  <si>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</si>
  <si>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</si>
  <si>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</si>
  <si>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</si>
  <si>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</si>
  <si>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</si>
  <si>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</si>
  <si>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</si>
  <si>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</si>
  <si>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</si>
  <si>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</si>
  <si>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</si>
  <si>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</si>
  <si>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</si>
  <si>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</si>
  <si>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</si>
  <si>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</si>
  <si>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</si>
  <si>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</si>
  <si>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</si>
  <si>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</si>
  <si>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</si>
  <si>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</si>
  <si>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</si>
  <si>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</si>
  <si>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</si>
  <si>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</si>
  <si>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</si>
  <si>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</si>
  <si>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</si>
  <si>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</si>
  <si>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</si>
  <si>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</si>
  <si>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</si>
  <si>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</si>
  <si>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</si>
  <si>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</si>
  <si>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</si>
  <si>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</si>
  <si>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</si>
  <si>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</si>
  <si>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</si>
  <si>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</si>
  <si>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</si>
  <si>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</si>
  <si>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</si>
  <si>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</si>
  <si>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</si>
  <si>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</si>
  <si>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</si>
  <si>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</si>
  <si>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</si>
  <si>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</si>
  <si>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</si>
  <si>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</si>
  <si>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</si>
  <si>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</si>
  <si>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</si>
  <si>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</si>
  <si>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</si>
  <si>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</si>
  <si>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</si>
  <si>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</si>
  <si>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</si>
  <si>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</si>
  <si>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</si>
  <si>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</si>
  <si>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</si>
  <si>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</si>
  <si>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</si>
  <si>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</si>
  <si>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</si>
  <si>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</si>
  <si>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</si>
  <si>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</si>
  <si>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</si>
  <si>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</si>
  <si>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</si>
  <si>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</si>
  <si>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</si>
  <si>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</si>
  <si>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</si>
  <si>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</si>
  <si>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</si>
  <si>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</si>
  <si>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</si>
  <si>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</si>
  <si>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</si>
  <si>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</si>
  <si>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</si>
  <si>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</si>
  <si>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</si>
  <si>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</si>
  <si>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</si>
  <si>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</si>
  <si>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</si>
  <si>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</si>
  <si>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</si>
  <si>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</si>
  <si>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</si>
  <si>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</si>
  <si>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</si>
  <si>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</si>
  <si>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</si>
  <si>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</si>
  <si>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</si>
  <si>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</si>
  <si>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</si>
  <si>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</si>
  <si>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</si>
  <si>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</si>
  <si>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</si>
  <si>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</si>
  <si>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</si>
  <si>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</si>
  <si>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</si>
  <si>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</si>
  <si>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</si>
  <si>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</si>
  <si>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</si>
  <si>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</si>
  <si>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</si>
  <si>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</si>
  <si>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</si>
  <si>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</si>
  <si>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</si>
  <si>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</si>
  <si>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</si>
  <si>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</si>
  <si>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</si>
  <si>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</si>
  <si>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</si>
  <si>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</si>
  <si>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</si>
  <si>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</si>
  <si>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</si>
  <si>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</si>
  <si>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</si>
  <si>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</si>
  <si>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</si>
  <si>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</si>
  <si>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</si>
  <si>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</si>
  <si>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</si>
  <si>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</si>
  <si>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</si>
  <si>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</si>
  <si>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</si>
  <si>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</si>
  <si>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</si>
  <si>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</si>
  <si>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</si>
  <si>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</si>
  <si>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</si>
  <si>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</si>
  <si>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</si>
  <si>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</si>
  <si>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</si>
  <si>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</si>
  <si>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</si>
  <si>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</si>
  <si>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</si>
  <si>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</si>
  <si>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</si>
  <si>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</si>
  <si>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</si>
  <si>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</si>
  <si>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</si>
  <si>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</si>
  <si>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</si>
  <si>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</si>
  <si>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</si>
  <si>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</si>
  <si>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</si>
  <si>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</si>
  <si>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</si>
  <si>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</si>
  <si>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</si>
  <si>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</si>
  <si>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</si>
  <si>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</si>
  <si>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</si>
  <si>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</si>
  <si>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</si>
  <si>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</si>
  <si>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</si>
  <si>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</si>
  <si>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</si>
  <si>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</si>
  <si>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</si>
  <si>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</si>
  <si>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</si>
  <si>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</si>
  <si>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</si>
  <si>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</si>
  <si>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</si>
  <si>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</si>
  <si>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</si>
  <si>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</si>
  <si>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</si>
  <si>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</si>
  <si>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</si>
  <si>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</si>
  <si>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</si>
  <si>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</si>
  <si>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</si>
  <si>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</si>
  <si>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</si>
  <si>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</si>
  <si>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</si>
  <si>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</si>
  <si>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</si>
  <si>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</si>
  <si>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</si>
  <si>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</si>
  <si>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</si>
  <si>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</si>
  <si>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</si>
  <si>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</si>
  <si>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</si>
  <si>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</si>
  <si>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</si>
  <si>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</si>
  <si>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</si>
  <si>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</si>
  <si>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</si>
  <si>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</si>
  <si>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</si>
  <si>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</si>
  <si>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</si>
  <si>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</si>
  <si>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</si>
  <si>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</si>
  <si>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</si>
  <si>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</si>
  <si>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</si>
  <si>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</si>
  <si>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</si>
  <si>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</si>
  <si>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</si>
  <si>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</si>
  <si>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</si>
  <si>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</si>
  <si>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</si>
  <si>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</si>
  <si>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</si>
  <si>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</si>
  <si>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</si>
  <si>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</si>
  <si>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</si>
  <si>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</si>
  <si>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</si>
  <si>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</si>
  <si>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</si>
  <si>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</si>
  <si>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</si>
  <si>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</si>
  <si>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</si>
  <si>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</si>
  <si>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</si>
  <si>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</si>
  <si>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</si>
  <si>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</si>
  <si>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</si>
  <si>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</si>
  <si>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</si>
  <si>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</si>
  <si>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</si>
  <si>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</si>
  <si>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</si>
  <si>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</si>
  <si>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</si>
  <si>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</si>
  <si>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</si>
  <si>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</si>
  <si>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</si>
  <si>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</si>
  <si>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</si>
  <si>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</si>
  <si>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</si>
  <si>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</si>
  <si>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</si>
  <si>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</si>
  <si>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</si>
  <si>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</si>
  <si>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</si>
  <si>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</si>
  <si>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</si>
  <si>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</si>
  <si>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</si>
  <si>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</si>
  <si>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</si>
  <si>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</si>
  <si>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</si>
  <si>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</si>
  <si>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</si>
  <si>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</si>
  <si>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</si>
  <si>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</si>
  <si>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</si>
  <si>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</si>
  <si>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</si>
  <si>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</si>
  <si>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</si>
  <si>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</si>
  <si>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</si>
  <si>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</si>
  <si>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</si>
  <si>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</si>
  <si>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</si>
  <si>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</si>
  <si>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</si>
  <si>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</si>
  <si>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</si>
  <si>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</si>
  <si>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</si>
  <si>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</si>
  <si>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</si>
  <si>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</si>
  <si>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</si>
  <si>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</si>
  <si>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</si>
  <si>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</si>
  <si>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</si>
  <si>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</si>
  <si>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</si>
  <si>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</si>
  <si>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</si>
  <si>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</si>
  <si>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</si>
  <si>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</si>
  <si>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</si>
  <si>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</si>
  <si>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</si>
  <si>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</si>
  <si>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</si>
  <si>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</si>
  <si>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</si>
  <si>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</si>
  <si>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</si>
  <si>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</si>
  <si>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</si>
  <si>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</si>
  <si>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</si>
  <si>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</si>
  <si>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</si>
  <si>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</si>
  <si>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</si>
  <si>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</si>
  <si>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</si>
  <si>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</si>
  <si>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</si>
  <si>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</si>
  <si>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</si>
  <si>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</si>
  <si>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</si>
  <si>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</si>
  <si>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</si>
  <si>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</si>
  <si>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</si>
  <si>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</si>
  <si>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</si>
  <si>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</si>
  <si>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</si>
  <si>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</si>
  <si>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</si>
  <si>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</si>
  <si>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</si>
  <si>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</si>
  <si>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</si>
  <si>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</si>
  <si>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</si>
  <si>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</si>
  <si>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</si>
  <si>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</si>
  <si>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</si>
  <si>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</si>
  <si>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</si>
  <si>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</si>
  <si>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</si>
  <si>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</si>
  <si>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</si>
  <si>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</si>
  <si>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</si>
  <si>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</si>
  <si>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</si>
  <si>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</si>
  <si>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</si>
  <si>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</si>
  <si>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</si>
  <si>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</si>
  <si>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</si>
  <si>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</si>
  <si>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</si>
  <si>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</si>
  <si>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</si>
  <si>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</si>
  <si>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</si>
  <si>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</si>
  <si>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</si>
  <si>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</si>
  <si>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</si>
  <si>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</si>
  <si>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</si>
  <si>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</si>
  <si>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</si>
  <si>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</si>
  <si>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</si>
  <si>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</si>
  <si>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</si>
  <si>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</si>
  <si>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</si>
  <si>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</si>
  <si>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</si>
  <si>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</si>
  <si>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</si>
  <si>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</si>
  <si>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</si>
  <si>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</si>
  <si>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</si>
  <si>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</si>
  <si>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</si>
  <si>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</si>
  <si>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</si>
  <si>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</si>
  <si>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</si>
  <si>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</si>
  <si>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</si>
  <si>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</si>
  <si>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</si>
  <si>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</si>
  <si>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</si>
  <si>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</si>
  <si>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</si>
  <si>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</si>
  <si>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</si>
  <si>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</si>
  <si>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</si>
  <si>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</si>
  <si>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</si>
  <si>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</si>
  <si>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</si>
  <si>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</si>
  <si>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</si>
  <si>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</si>
  <si>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</si>
  <si>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</si>
  <si>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</si>
  <si>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</si>
  <si>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</si>
  <si>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</si>
  <si>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</si>
  <si>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</si>
  <si>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</si>
  <si>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</si>
  <si>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</si>
  <si>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</si>
  <si>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</si>
  <si>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</si>
  <si>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</si>
  <si>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</si>
  <si>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</si>
  <si>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</si>
  <si>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</si>
  <si>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</si>
  <si>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</si>
  <si>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</si>
  <si>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</si>
  <si>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</si>
  <si>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</si>
  <si>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</si>
  <si>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</si>
  <si>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</si>
  <si>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</si>
  <si>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</si>
  <si>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</si>
  <si>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</si>
  <si>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</si>
  <si>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</si>
  <si>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</si>
  <si>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</si>
  <si>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</si>
  <si>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</si>
  <si>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</si>
  <si>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</si>
  <si>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</si>
  <si>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</si>
  <si>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</si>
  <si>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</si>
  <si>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</si>
  <si>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</si>
  <si>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</si>
  <si>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</si>
  <si>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</si>
  <si>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</si>
  <si>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</si>
  <si>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</si>
  <si>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</si>
  <si>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</si>
  <si>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</si>
  <si>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</si>
  <si>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</si>
  <si>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</si>
  <si>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</si>
  <si>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</si>
  <si>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</si>
  <si>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</si>
  <si>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</si>
  <si>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</si>
  <si>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</si>
  <si>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</si>
  <si>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</si>
  <si>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</si>
  <si>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</si>
  <si>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</si>
  <si>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</si>
  <si>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</si>
  <si>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</si>
  <si>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</si>
  <si>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</si>
  <si>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</si>
  <si>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</si>
  <si>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</si>
  <si>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</si>
  <si>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</si>
  <si>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</si>
  <si>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</si>
  <si>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</si>
  <si>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</si>
  <si>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</si>
  <si>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</si>
  <si>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</si>
  <si>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</si>
  <si>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</si>
  <si>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</si>
  <si>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</si>
  <si>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</si>
  <si>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</si>
  <si>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</si>
  <si>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</si>
  <si>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</si>
  <si>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</si>
  <si>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</si>
  <si>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</si>
  <si>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</si>
  <si>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</si>
  <si>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</si>
  <si>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</si>
  <si>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</si>
  <si>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</si>
  <si>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</si>
  <si>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</si>
  <si>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</si>
  <si>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</si>
  <si>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</si>
  <si>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</si>
  <si>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</si>
  <si>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</si>
  <si>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</si>
  <si>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</si>
  <si>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</si>
  <si>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</si>
  <si>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</si>
  <si>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</si>
  <si>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</si>
  <si>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</si>
  <si>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</si>
  <si>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</si>
  <si>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</si>
  <si>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</si>
  <si>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</si>
  <si>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</si>
  <si>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</si>
  <si>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</si>
  <si>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</si>
  <si>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</si>
  <si>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</si>
  <si>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</si>
  <si>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</si>
  <si>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</si>
  <si>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</si>
  <si>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</si>
  <si>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</si>
  <si>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</si>
  <si>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</si>
  <si>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</si>
  <si>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</si>
  <si>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</si>
  <si>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</si>
  <si>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</si>
  <si>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</si>
  <si>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</si>
  <si>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</si>
  <si>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</si>
  <si>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</si>
  <si>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</si>
  <si>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</si>
  <si>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</si>
  <si>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</si>
  <si>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</si>
  <si>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</si>
  <si>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</si>
  <si>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</si>
  <si>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</si>
  <si>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</si>
  <si>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</si>
  <si>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</si>
  <si>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</si>
  <si>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</si>
  <si>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</si>
  <si>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</si>
  <si>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</si>
  <si>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</si>
  <si>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</si>
  <si>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</si>
  <si>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</si>
  <si>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</si>
  <si>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</si>
  <si>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</si>
  <si>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</si>
  <si>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</si>
  <si>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</si>
  <si>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</si>
  <si>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</si>
  <si>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</si>
  <si>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</si>
  <si>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</si>
  <si>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</si>
  <si>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</si>
  <si>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</si>
  <si>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</si>
  <si>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</si>
  <si>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</si>
  <si>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</si>
  <si>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</si>
  <si>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</si>
  <si>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</si>
  <si>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</si>
  <si>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</si>
  <si>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</si>
  <si>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</si>
  <si>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</si>
  <si>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</si>
  <si>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</si>
  <si>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</si>
  <si>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</si>
  <si>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</si>
  <si>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</si>
  <si>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</si>
  <si>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</si>
  <si>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</si>
  <si>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</si>
  <si>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</si>
  <si>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</si>
  <si>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</si>
  <si>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</si>
  <si>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</si>
  <si>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</si>
  <si>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</si>
  <si>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</si>
  <si>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</si>
  <si>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</si>
  <si>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</si>
  <si>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</si>
  <si>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</si>
  <si>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</si>
  <si>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</si>
  <si>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</si>
  <si>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</si>
  <si>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</si>
  <si>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</si>
  <si>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</si>
  <si>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</si>
  <si>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</si>
  <si>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</si>
  <si>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</si>
  <si>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</si>
  <si>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</si>
  <si>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</si>
  <si>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</si>
  <si>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</si>
  <si>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</si>
  <si>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</si>
  <si>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</si>
  <si>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</si>
  <si>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</si>
  <si>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</si>
  <si>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</si>
  <si>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</si>
  <si>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</si>
  <si>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</si>
  <si>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</si>
  <si>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</si>
  <si>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</si>
  <si>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</si>
  <si>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</si>
  <si>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</si>
  <si>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</si>
  <si>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</si>
  <si>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</si>
  <si>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</si>
  <si>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</si>
  <si>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</si>
  <si>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</si>
  <si>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</si>
  <si>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</si>
  <si>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</si>
  <si>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</si>
  <si>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</si>
  <si>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</si>
  <si>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</si>
  <si>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</si>
  <si>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</si>
  <si>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</si>
  <si>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</si>
  <si>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</si>
  <si>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</si>
  <si>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</si>
  <si>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</si>
  <si>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</si>
  <si>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</si>
  <si>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</si>
  <si>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</si>
  <si>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</si>
  <si>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</si>
  <si>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</si>
  <si>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</si>
  <si>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</si>
  <si>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</si>
  <si>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</si>
  <si>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</si>
  <si>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</si>
  <si>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</si>
  <si>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</si>
  <si>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</si>
  <si>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</si>
  <si>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</si>
  <si>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</si>
  <si>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</si>
  <si>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</si>
  <si>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</si>
  <si>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</si>
  <si>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</si>
  <si>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</si>
  <si>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</si>
  <si>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</si>
  <si>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</si>
  <si>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</si>
  <si>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</si>
  <si>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</si>
  <si>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</si>
  <si>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</si>
  <si>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</si>
  <si>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</si>
  <si>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</si>
  <si>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</si>
  <si>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</si>
  <si>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</si>
  <si>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</si>
  <si>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</si>
  <si>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</si>
  <si>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</si>
  <si>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</si>
  <si>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</si>
  <si>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</si>
  <si>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</si>
  <si>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</si>
  <si>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</si>
  <si>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</si>
  <si>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</si>
  <si>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</si>
  <si>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</si>
  <si>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</si>
  <si>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</si>
  <si>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</si>
  <si>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</si>
  <si>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</si>
  <si>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</si>
  <si>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</si>
  <si>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</si>
  <si>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</si>
  <si>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</si>
  <si>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</si>
  <si>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</si>
  <si>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</si>
  <si>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</si>
  <si>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</si>
  <si>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</si>
  <si>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</si>
  <si>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</si>
  <si>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</si>
  <si>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</si>
  <si>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</si>
  <si>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</si>
  <si>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</si>
  <si>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</si>
  <si>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</si>
  <si>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</si>
  <si>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</si>
  <si>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</si>
  <si>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</si>
  <si>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</si>
  <si>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</si>
  <si>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</si>
  <si>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</si>
  <si>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</si>
  <si>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</si>
  <si>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</si>
  <si>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</si>
  <si>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</si>
  <si>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</si>
  <si>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</si>
  <si>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</si>
  <si>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</si>
  <si>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</si>
  <si>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</si>
  <si>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</si>
  <si>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</si>
  <si>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</si>
  <si>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</si>
  <si>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</si>
  <si>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</si>
  <si>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</si>
  <si>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</si>
  <si>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</si>
  <si>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</si>
  <si>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</si>
  <si>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</si>
  <si>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</si>
  <si>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</si>
  <si>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</si>
  <si>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</si>
  <si>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</si>
  <si>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</si>
  <si>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</si>
  <si>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</si>
  <si>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</si>
  <si>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</si>
  <si>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</si>
  <si>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</si>
  <si>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</si>
  <si>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</si>
  <si>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</si>
  <si>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</si>
  <si>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</si>
  <si>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</si>
  <si>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</si>
  <si>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</si>
  <si>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</si>
  <si>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</si>
  <si>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</si>
  <si>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</si>
  <si>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</si>
  <si>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</si>
  <si>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</si>
  <si>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</si>
  <si>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</si>
  <si>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</si>
  <si>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</si>
  <si>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</si>
  <si>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</si>
  <si>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</si>
  <si>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</si>
  <si>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</si>
  <si>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</si>
  <si>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Pledged</t>
  </si>
  <si>
    <t>Plays</t>
  </si>
  <si>
    <t>Blurbs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</si>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</sst>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38414580199947"/>
          <c:y val="0.24530712151009612"/>
          <c:w val="0.57146848919166005"/>
          <c:h val="0.475983379570431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7-429D-9B44-BBC4D089AE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7-429D-9B44-BBC4D089AE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27-429D-9B44-BBC4D089AE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27-429D-9B44-BBC4D089A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9746336"/>
        <c:axId val="1649746752"/>
      </c:barChart>
      <c:catAx>
        <c:axId val="164974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746752"/>
        <c:crosses val="autoZero"/>
        <c:auto val="1"/>
        <c:lblAlgn val="ctr"/>
        <c:lblOffset val="100"/>
        <c:noMultiLvlLbl val="0"/>
      </c:catAx>
      <c:valAx>
        <c:axId val="16497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74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77-4387-BBA8-2FEF546EE0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77-4387-BBA8-2FEF546EE0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77-4387-BBA8-2FEF546EE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1694032"/>
        <c:axId val="1847851296"/>
      </c:barChart>
      <c:catAx>
        <c:axId val="132169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851296"/>
        <c:crosses val="autoZero"/>
        <c:auto val="1"/>
        <c:lblAlgn val="ctr"/>
        <c:lblOffset val="100"/>
        <c:noMultiLvlLbl val="0"/>
      </c:catAx>
      <c:valAx>
        <c:axId val="18478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9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Copy.xlsx]Parent Years Outcome!PivotTable4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Years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'Parent Years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Years Outcome'!$B$6:$B$18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8-4C31-AACB-5420DA34E4A3}"/>
            </c:ext>
          </c:extLst>
        </c:ser>
        <c:ser>
          <c:idx val="1"/>
          <c:order val="1"/>
          <c:tx>
            <c:strRef>
              <c:f>'Parent Years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'Parent Years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Years Outcome'!$C$6:$C$18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8-4C31-AACB-5420DA34E4A3}"/>
            </c:ext>
          </c:extLst>
        </c:ser>
        <c:ser>
          <c:idx val="2"/>
          <c:order val="2"/>
          <c:tx>
            <c:strRef>
              <c:f>'Parent Years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'Parent Years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Years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8-4C31-AACB-5420DA34E4A3}"/>
            </c:ext>
          </c:extLst>
        </c:ser>
        <c:ser>
          <c:idx val="3"/>
          <c:order val="3"/>
          <c:tx>
            <c:strRef>
              <c:f>'Parent Years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'Parent Years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Years Outcome'!$E$6:$E$18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8-4C31-AACB-5420DA34E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7716944"/>
        <c:axId val="1957717360"/>
      </c:lineChart>
      <c:catAx>
        <c:axId val="195771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717360"/>
        <c:crosses val="autoZero"/>
        <c:auto val="1"/>
        <c:lblAlgn val="ctr"/>
        <c:lblOffset val="100"/>
        <c:noMultiLvlLbl val="0"/>
      </c:catAx>
      <c:valAx>
        <c:axId val="19577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71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E-4CD7-8500-704BE49FEE8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AE-4CD7-8500-704BE49FEE8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AE-4CD7-8500-704BE49FE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656912"/>
        <c:axId val="2024643600"/>
      </c:lineChart>
      <c:catAx>
        <c:axId val="202465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643600"/>
        <c:crosses val="autoZero"/>
        <c:auto val="1"/>
        <c:lblAlgn val="ctr"/>
        <c:lblOffset val="100"/>
        <c:noMultiLvlLbl val="0"/>
      </c:catAx>
      <c:valAx>
        <c:axId val="202464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65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E-4686-AEB0-2F1CC5A209F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E-4686-AEB0-2F1CC5A209F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EE-4686-AEB0-2F1CC5A20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650672"/>
        <c:axId val="2047401648"/>
      </c:lineChart>
      <c:catAx>
        <c:axId val="20246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401648"/>
        <c:crosses val="autoZero"/>
        <c:auto val="1"/>
        <c:lblAlgn val="ctr"/>
        <c:lblOffset val="100"/>
        <c:noMultiLvlLbl val="0"/>
      </c:catAx>
      <c:valAx>
        <c:axId val="20474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6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140970</xdr:rowOff>
    </xdr:from>
    <xdr:to>
      <xdr:col>17</xdr:col>
      <xdr:colOff>22860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A0F0C-3A11-E0BF-99BA-6C2DDD74D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556260</xdr:colOff>
      <xdr:row>6</xdr:row>
      <xdr:rowOff>102870</xdr:rowOff>
    </xdr:from>
    <xdr:to>
      <xdr:col>16</xdr:col>
      <xdr:colOff>251460</xdr:colOff>
      <xdr:row>21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43414-4BCC-2BCD-1182-38AB90828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3</xdr:row>
      <xdr:rowOff>49530</xdr:rowOff>
    </xdr:from>
    <xdr:to>
      <xdr:col>17</xdr:col>
      <xdr:colOff>350520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49E8B-3640-72EF-8FBC-2CF0A95C9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3</xdr:row>
      <xdr:rowOff>14286</xdr:rowOff>
    </xdr:from>
    <xdr:to>
      <xdr:col>18</xdr:col>
      <xdr:colOff>380999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64882-1A13-41B1-AA0F-E1632E8AB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1</xdr:row>
      <xdr:rowOff>161925</xdr:rowOff>
    </xdr:from>
    <xdr:to>
      <xdr:col>24</xdr:col>
      <xdr:colOff>476250</xdr:colOff>
      <xdr:row>24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9152B2-5B9F-4D50-BAE9-458DDD04F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Pickett" refreshedDate="44718.786396875003" createdVersion="8" refreshedVersion="8" minRefreshableVersion="3" recordCount="4115" xr:uid="{E0CDA5B2-EACD-4E0B-8644-C40D70A607A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Pickett" refreshedDate="44718.800085416668" createdVersion="8" refreshedVersion="8" minRefreshableVersion="3" recordCount="4115" xr:uid="{2BA4F845-B2C9-4960-8528-8C89502BC35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ckett, Andrew" refreshedDate="44725.494919907411" createdVersion="7" refreshedVersion="7" minRefreshableVersion="3" recordCount="4115" xr:uid="{856A1BD6-D8A5-4970-A4D9-9E8BBD2A936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98295-BF8E-4D64-A967-C165E342BCF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78043-D40E-4BD7-9010-003D2B8C808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6ABD1-5641-4F01-B2C5-51C780A2F4A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120AD-4341-4769-B166-E7A444F07BA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4BEC-8F12-47AD-9AEA-2C9972849FD5}">
  <dimension ref="A1:F6"/>
  <sheetViews>
    <sheetView workbookViewId="0">
      <selection activeCell="B3" sqref="B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7" width="10.71093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40C5D-37D2-456B-89A7-A45927938AAB}">
  <dimension ref="A1:E7"/>
  <sheetViews>
    <sheetView workbookViewId="0"/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5" width="10.7109375" bestFit="1" customWidth="1"/>
    <col min="6" max="6" width="7" bestFit="1" customWidth="1"/>
    <col min="7" max="7" width="10.710937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54321-45F3-4027-9986-9BCEBE5A3F8D}">
  <dimension ref="A1:F18"/>
  <sheetViews>
    <sheetView workbookViewId="0">
      <selection activeCell="A4" sqref="A4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7" width="10.710937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B1F73-A6FC-4FD5-8CEB-9D2A6EFD70B8}">
  <dimension ref="A1:E18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2868-778E-4F28-B525-0700C409A9E3}">
  <dimension ref="A1:H13"/>
  <sheetViews>
    <sheetView tabSelected="1" workbookViewId="0">
      <selection activeCell="B3" sqref="B3"/>
    </sheetView>
  </sheetViews>
  <sheetFormatPr defaultRowHeight="15" x14ac:dyDescent="0.25"/>
  <cols>
    <col min="1" max="1" width="14.140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18" bestFit="1" customWidth="1"/>
    <col min="8" max="8" width="19.85546875" bestFit="1" customWidth="1"/>
  </cols>
  <sheetData>
    <row r="1" spans="1:8" x14ac:dyDescent="0.25">
      <c r="A1" t="s">
        <v>8400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s="18" t="s">
        <v>8406</v>
      </c>
      <c r="H1" t="s">
        <v>8407</v>
      </c>
    </row>
    <row r="2" spans="1:8" x14ac:dyDescent="0.25">
      <c r="A2" t="s">
        <v>8408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SUM(B2,C2,D2)</f>
        <v>186</v>
      </c>
      <c r="F2" s="19">
        <f>B2/E2*100</f>
        <v>75.806451612903231</v>
      </c>
      <c r="G2" s="18">
        <f>C2/E2*100</f>
        <v>24.193548387096776</v>
      </c>
      <c r="H2">
        <f>(D2/E2)*100</f>
        <v>0</v>
      </c>
    </row>
    <row r="3" spans="1:8" x14ac:dyDescent="0.25">
      <c r="A3" t="s">
        <v>8409</v>
      </c>
      <c r="B3">
        <f>COUNTIFS(Kickstarter!D:D, "&gt;=1000",Kickstarter!D:D, "&lt;=4999", Kickstarter!F:F, "successful", Kickstarter!R:R, "plays")</f>
        <v>388</v>
      </c>
      <c r="C3">
        <f>COUNTIFS(Kickstarter!D:D, "&gt;=1000",Kickstarter!D:D, "&lt;=4999", Kickstarter!F:F, "failed", Kickstarter!R:R, "plays")</f>
        <v>146</v>
      </c>
      <c r="D3">
        <f>COUNTIFS(Kickstarter!D:D, "&gt;=1000",Kickstarter!D:D, "&lt;=4999", Kickstarter!F:F, "canceled", Kickstarter!R:R, "plays")</f>
        <v>0</v>
      </c>
      <c r="E3">
        <f t="shared" ref="E3:E13" si="0">SUM(B3,C3,D3)</f>
        <v>534</v>
      </c>
      <c r="F3" s="19">
        <f t="shared" ref="F3:F13" si="1">B3/E3*100</f>
        <v>72.659176029962552</v>
      </c>
      <c r="G3" s="18">
        <f t="shared" ref="G3:G13" si="2">C3/E3*100</f>
        <v>27.340823970037455</v>
      </c>
      <c r="H3">
        <f t="shared" ref="H3:H13" si="3">(D3/E3)*100</f>
        <v>0</v>
      </c>
    </row>
    <row r="4" spans="1:8" x14ac:dyDescent="0.25">
      <c r="A4" t="s">
        <v>8410</v>
      </c>
      <c r="B4">
        <f>COUNTIFS(Kickstarter!D:D, "&gt;=5000",Kickstarter!D:D, "&lt;=9999", Kickstarter!F:F, "successful", Kickstarter!R:R, "plays")</f>
        <v>93</v>
      </c>
      <c r="C4">
        <f>COUNTIFS(Kickstarter!D:D, "&gt;=5000",Kickstarter!D:D, "&lt;=9999", Kickstarter!F:F, "failed", Kickstarter!R:R, "plays")</f>
        <v>76</v>
      </c>
      <c r="D4">
        <f>COUNTIFS(Kickstarter!D:D, "&gt;=5000",Kickstarter!D:D, "&lt;=9999", Kickstarter!F:F, "canceled", Kickstarter!R:R, "plays")</f>
        <v>0</v>
      </c>
      <c r="E4">
        <f t="shared" si="0"/>
        <v>169</v>
      </c>
      <c r="F4" s="19">
        <f t="shared" si="1"/>
        <v>55.029585798816569</v>
      </c>
      <c r="G4" s="18">
        <f t="shared" si="2"/>
        <v>44.970414201183431</v>
      </c>
      <c r="H4">
        <f t="shared" si="3"/>
        <v>0</v>
      </c>
    </row>
    <row r="5" spans="1:8" x14ac:dyDescent="0.25">
      <c r="A5" t="s">
        <v>8411</v>
      </c>
      <c r="B5">
        <f>COUNTIFS(Kickstarter!D:D, "&gt;=10000",Kickstarter!D:D, "&lt;=14999", Kickstarter!F:F, "successful", Kickstarter!R:R, "plays")</f>
        <v>39</v>
      </c>
      <c r="C5">
        <f>COUNTIFS(Kickstarter!D:D, "&gt;=10000",Kickstarter!D:D, "&lt;=14999", Kickstarter!F:F, "failed", Kickstarter!R:R, "plays")</f>
        <v>33</v>
      </c>
      <c r="D5">
        <f>COUNTIFS(Kickstarter!D:D, "&gt;=10000",Kickstarter!D:D, "&lt;=14999", Kickstarter!F:F, "canceled", Kickstarter!R:R, "plays")</f>
        <v>0</v>
      </c>
      <c r="E5">
        <f t="shared" si="0"/>
        <v>72</v>
      </c>
      <c r="F5" s="19">
        <f t="shared" si="1"/>
        <v>54.166666666666664</v>
      </c>
      <c r="G5" s="18">
        <f t="shared" si="2"/>
        <v>45.833333333333329</v>
      </c>
      <c r="H5">
        <f t="shared" si="3"/>
        <v>0</v>
      </c>
    </row>
    <row r="6" spans="1:8" x14ac:dyDescent="0.25">
      <c r="A6" t="s">
        <v>8412</v>
      </c>
      <c r="B6">
        <f>COUNTIFS(Kickstarter!D:D, "&gt;=15000",Kickstarter!D:D, "&lt;=19999", Kickstarter!F:F, "successful", Kickstarter!R:R, "plays")</f>
        <v>12</v>
      </c>
      <c r="C6">
        <f>COUNTIFS(Kickstarter!D:D, "&gt;=15000",Kickstarter!D:D, "&lt;=19999", Kickstarter!F:F, "failed", Kickstarter!R:R, "plays")</f>
        <v>12</v>
      </c>
      <c r="D6">
        <f>COUNTIFS(Kickstarter!D:D, "&gt;=15000",Kickstarter!D:D, "&lt;=19999", Kickstarter!F:F, "canceled", Kickstarter!R:R, "plays")</f>
        <v>0</v>
      </c>
      <c r="E6">
        <f t="shared" si="0"/>
        <v>24</v>
      </c>
      <c r="F6" s="19">
        <f t="shared" si="1"/>
        <v>50</v>
      </c>
      <c r="G6" s="18">
        <f t="shared" si="2"/>
        <v>50</v>
      </c>
      <c r="H6">
        <f t="shared" si="3"/>
        <v>0</v>
      </c>
    </row>
    <row r="7" spans="1:8" x14ac:dyDescent="0.25">
      <c r="A7" t="s">
        <v>8413</v>
      </c>
      <c r="B7">
        <f>COUNTIFS(Kickstarter!D:D, "&gt;=20000",Kickstarter!D:D, "&lt;=24999", Kickstarter!F:F, "successful", Kickstarter!R:R, "plays")</f>
        <v>9</v>
      </c>
      <c r="C7">
        <f>COUNTIFS(Kickstarter!D:D, "&gt;=20000",Kickstarter!D:D, "&lt;=24999", Kickstarter!F:F, "failed", Kickstarter!R:R, "plays")</f>
        <v>11</v>
      </c>
      <c r="D7">
        <f>COUNTIFS(Kickstarter!D:D, "&gt;=20000",Kickstarter!D:D, "&lt;=24999", Kickstarter!F:F, "canceled", Kickstarter!R:R, "plays")</f>
        <v>0</v>
      </c>
      <c r="E7">
        <f t="shared" si="0"/>
        <v>20</v>
      </c>
      <c r="F7" s="19">
        <f t="shared" si="1"/>
        <v>45</v>
      </c>
      <c r="G7" s="18">
        <f t="shared" si="2"/>
        <v>55.000000000000007</v>
      </c>
      <c r="H7">
        <f t="shared" si="3"/>
        <v>0</v>
      </c>
    </row>
    <row r="8" spans="1:8" x14ac:dyDescent="0.25">
      <c r="A8" t="s">
        <v>8414</v>
      </c>
      <c r="B8">
        <f>COUNTIFS(Kickstarter!D:D, "&gt;=25000",Kickstarter!D:D, "&lt;=29999", Kickstarter!F:F, "successful", Kickstarter!R:R, "plays")</f>
        <v>1</v>
      </c>
      <c r="C8">
        <f>COUNTIFS(Kickstarter!D:D, "&gt;=25000",Kickstarter!D:D, "&lt;=29999", Kickstarter!F:F, "failed", Kickstarter!R:R, "plays")</f>
        <v>4</v>
      </c>
      <c r="D8">
        <f>COUNTIFS(Kickstarter!D:D, "&gt;=25000",Kickstarter!D:D, "&lt;=29999", Kickstarter!F:F, "canceled", Kickstarter!R:R, "plays")</f>
        <v>0</v>
      </c>
      <c r="E8">
        <f t="shared" si="0"/>
        <v>5</v>
      </c>
      <c r="F8" s="19">
        <f t="shared" si="1"/>
        <v>20</v>
      </c>
      <c r="G8" s="18">
        <f t="shared" si="2"/>
        <v>80</v>
      </c>
      <c r="H8">
        <f t="shared" si="3"/>
        <v>0</v>
      </c>
    </row>
    <row r="9" spans="1:8" x14ac:dyDescent="0.25">
      <c r="A9" t="s">
        <v>8415</v>
      </c>
      <c r="B9">
        <f>COUNTIFS(Kickstarter!D:D, "&gt;=30000",Kickstarter!D:D, "&lt;=34999", Kickstarter!F:F, "successful", Kickstarter!R:R, "plays")</f>
        <v>3</v>
      </c>
      <c r="C9">
        <f>COUNTIFS(Kickstarter!D:D, "&gt;=30000",Kickstarter!D:D, "&lt;=34999", Kickstarter!F:F, "failed", Kickstarter!R:R, "plays")</f>
        <v>8</v>
      </c>
      <c r="D9">
        <f>COUNTIFS(Kickstarter!D:D, "&gt;=30000",Kickstarter!D:D, "&lt;=34999", Kickstarter!F:F, "canceled", Kickstarter!R:R, "plays")</f>
        <v>0</v>
      </c>
      <c r="E9">
        <f t="shared" si="0"/>
        <v>11</v>
      </c>
      <c r="F9" s="19">
        <f t="shared" si="1"/>
        <v>27.27272727272727</v>
      </c>
      <c r="G9" s="18">
        <f t="shared" si="2"/>
        <v>72.727272727272734</v>
      </c>
      <c r="H9">
        <f t="shared" si="3"/>
        <v>0</v>
      </c>
    </row>
    <row r="10" spans="1:8" x14ac:dyDescent="0.25">
      <c r="A10" t="s">
        <v>8416</v>
      </c>
      <c r="B10">
        <f>COUNTIFS(Kickstarter!D:D, "&gt;=35000",Kickstarter!D:D, "&lt;=39999", Kickstarter!F:F, "successful", Kickstarter!R:R, "plays")</f>
        <v>4</v>
      </c>
      <c r="C10">
        <f>COUNTIFS(Kickstarter!D:D, "&gt;=35000",Kickstarter!D:D, "&lt;=39999", Kickstarter!F:F, "failed", Kickstarter!R:R, "plays")</f>
        <v>2</v>
      </c>
      <c r="D10">
        <f>COUNTIFS(Kickstarter!D:D, "&gt;=35000",Kickstarter!D:D, "&lt;=39999", Kickstarter!F:F, "canceled", Kickstarter!R:R, "plays")</f>
        <v>0</v>
      </c>
      <c r="E10">
        <f t="shared" si="0"/>
        <v>6</v>
      </c>
      <c r="F10" s="19">
        <f t="shared" si="1"/>
        <v>66.666666666666657</v>
      </c>
      <c r="G10" s="18">
        <f t="shared" si="2"/>
        <v>33.333333333333329</v>
      </c>
      <c r="H10">
        <f t="shared" si="3"/>
        <v>0</v>
      </c>
    </row>
    <row r="11" spans="1:8" x14ac:dyDescent="0.25">
      <c r="A11" t="s">
        <v>8417</v>
      </c>
      <c r="B11">
        <f>COUNTIFS(Kickstarter!D:D, "&gt;=40000",Kickstarter!D:D, "&lt;=44999", Kickstarter!F:F, "successful", Kickstarter!R:R, "plays")</f>
        <v>2</v>
      </c>
      <c r="C11">
        <f>COUNTIFS(Kickstarter!D:D, "&gt;=40000",Kickstarter!D:D, "&lt;=44999", Kickstarter!F:F, "failed", Kickstarter!R:R, "plays")</f>
        <v>1</v>
      </c>
      <c r="D11">
        <f>COUNTIFS(Kickstarter!D:D, "&gt;=40000",Kickstarter!D:D, "&lt;=44999", Kickstarter!F:F, "canceled", Kickstarter!R:R, "plays")</f>
        <v>0</v>
      </c>
      <c r="E11">
        <f t="shared" si="0"/>
        <v>3</v>
      </c>
      <c r="F11" s="19">
        <f t="shared" si="1"/>
        <v>66.666666666666657</v>
      </c>
      <c r="G11" s="18">
        <f t="shared" si="2"/>
        <v>33.333333333333329</v>
      </c>
      <c r="H11">
        <f t="shared" si="3"/>
        <v>0</v>
      </c>
    </row>
    <row r="12" spans="1:8" x14ac:dyDescent="0.25">
      <c r="A12" t="s">
        <v>8418</v>
      </c>
      <c r="B12">
        <f>COUNTIFS(Kickstarter!D:D, "&gt;=45000",Kickstarter!D:D, "&lt;=49999", Kickstarter!F:F, "successful", Kickstarter!R:R, "plays")</f>
        <v>0</v>
      </c>
      <c r="C12">
        <f>COUNTIFS(Kickstarter!D:D, "&gt;=45000",Kickstarter!D:D, "&lt;=49999", Kickstarter!F:F, "failed", Kickstarter!R:R, "plays")</f>
        <v>1</v>
      </c>
      <c r="D12">
        <f>COUNTIFS(Kickstarter!D:D, "&gt;=45000",Kickstarter!D:D, "&lt;=49999", Kickstarter!F:F, "canceled", Kickstarter!R:R, "plays")</f>
        <v>0</v>
      </c>
      <c r="E12">
        <f t="shared" si="0"/>
        <v>1</v>
      </c>
      <c r="F12" s="19">
        <f t="shared" si="1"/>
        <v>0</v>
      </c>
      <c r="G12" s="18">
        <f t="shared" si="2"/>
        <v>100</v>
      </c>
      <c r="H12">
        <f t="shared" si="3"/>
        <v>0</v>
      </c>
    </row>
    <row r="13" spans="1:8" x14ac:dyDescent="0.25">
      <c r="A13" t="s">
        <v>8419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19">
        <f t="shared" si="1"/>
        <v>12.5</v>
      </c>
      <c r="G13" s="18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1" zoomScale="95" zoomScaleNormal="95" workbookViewId="0">
      <selection activeCell="B3" sqref="B3"/>
    </sheetView>
  </sheetViews>
  <sheetFormatPr defaultColWidth="8.7109375" defaultRowHeight="15" x14ac:dyDescent="0.25"/>
  <cols>
    <col min="2" max="2" width="38.42578125" style="8" customWidth="1"/>
    <col min="3" max="3" width="40.28515625" style="3" customWidth="1"/>
    <col min="4" max="4" width="16.28515625" style="5" bestFit="1" customWidth="1"/>
    <col min="5" max="5" width="13" style="7" bestFit="1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28515625" bestFit="1" customWidth="1"/>
    <col min="17" max="17" width="41.140625" customWidth="1"/>
    <col min="18" max="18" width="15.5703125" bestFit="1" customWidth="1"/>
    <col min="19" max="19" width="23.7109375" style="16" bestFit="1" customWidth="1"/>
    <col min="20" max="20" width="20.7109375" style="16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  <c r="U1" t="s">
        <v>8379</v>
      </c>
    </row>
    <row r="2" spans="1:21" ht="60" x14ac:dyDescent="0.25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R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1565B-12A2-4BD1-8379-D7D50D7C3628}">
  <dimension ref="A1:C14"/>
  <sheetViews>
    <sheetView workbookViewId="0">
      <selection activeCell="C11" sqref="C11:C14"/>
    </sheetView>
  </sheetViews>
  <sheetFormatPr defaultRowHeight="15" x14ac:dyDescent="0.25"/>
  <cols>
    <col min="1" max="1" width="23.28515625" bestFit="1" customWidth="1"/>
    <col min="2" max="2" width="10.28515625" bestFit="1" customWidth="1"/>
    <col min="3" max="3" width="11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8393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8394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8391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8397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8398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5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477C3-989E-4D35-A518-F0F516C05AAD}">
  <dimension ref="A1:F6"/>
  <sheetViews>
    <sheetView workbookViewId="0">
      <selection activeCell="F9" sqref="F9"/>
    </sheetView>
  </sheetViews>
  <sheetFormatPr defaultRowHeight="15" x14ac:dyDescent="0.25"/>
  <cols>
    <col min="1" max="1" width="30.5703125" bestFit="1" customWidth="1"/>
    <col min="2" max="2" width="108.42578125" bestFit="1" customWidth="1"/>
    <col min="5" max="5" width="11.85546875" bestFit="1" customWidth="1"/>
    <col min="6" max="6" width="16.7109375" bestFit="1" customWidth="1"/>
  </cols>
  <sheetData>
    <row r="1" spans="1:6" x14ac:dyDescent="0.25">
      <c r="A1" t="s">
        <v>8382</v>
      </c>
      <c r="B1" t="s">
        <v>8383</v>
      </c>
      <c r="C1" t="s">
        <v>8380</v>
      </c>
      <c r="D1" t="s">
        <v>8381</v>
      </c>
      <c r="E1" t="s">
        <v>8384</v>
      </c>
      <c r="F1" t="s">
        <v>8385</v>
      </c>
    </row>
    <row r="2" spans="1:6" x14ac:dyDescent="0.25">
      <c r="A2" t="s">
        <v>3473</v>
      </c>
      <c r="B2" s="10" t="str">
        <f>VLOOKUP(A3, Kickstarter!B:C, 2, FALSE)</f>
        <v>The play yet to be described as "A surefire Edinburgh Fringe Festival Cult Hit". Coming to the Underbelly, Edinburgh, 5th-30th August.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 Kickstarter!B:T, 15, FALSE)</f>
        <v>51.79</v>
      </c>
      <c r="F2">
        <f>VLOOKUP(A2, Kickstarter!B:T, 11, FALSE)</f>
        <v>39</v>
      </c>
    </row>
    <row r="3" spans="1:6" x14ac:dyDescent="0.25">
      <c r="A3" t="s">
        <v>3616</v>
      </c>
      <c r="B3" s="10" t="str">
        <f>VLOOKUP(A4, Kickstarter!B:C, 2, FALSE)</f>
        <v>Cutting Off Kate Bush is a one-woman show written &amp; performed by Lucy Benson-Brown, premiering at the Edinburgh Fringe Festival 2014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 Kickstarter!B:T, 15, FALSE)</f>
        <v>36.07</v>
      </c>
      <c r="F3">
        <f>VLOOKUP(A3, Kickstarter!B:T, 11, FALSE)</f>
        <v>56</v>
      </c>
    </row>
    <row r="4" spans="1:6" x14ac:dyDescent="0.25">
      <c r="A4" t="s">
        <v>3178</v>
      </c>
      <c r="B4" s="10" t="str">
        <f>VLOOKUP(A5, Kickstarter!B:C, 2, FALSE)</f>
        <v>Jestia and Raedon is a brand new romantic comedy play going to the Edinburgh Fringe Festival this summer.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 Kickstarter!B:T, 15, FALSE)</f>
        <v>33.03</v>
      </c>
      <c r="F4">
        <f>VLOOKUP(A4, Kickstarter!B:T, 11, FALSE)</f>
        <v>78</v>
      </c>
    </row>
    <row r="5" spans="1:6" x14ac:dyDescent="0.25">
      <c r="A5" t="s">
        <v>3329</v>
      </c>
      <c r="B5" s="10" t="str">
        <f>VLOOKUP(A6, Kickstarter!B:C, 2, FALSE)</f>
        <v>A one-man show about love, loss, and motorways, written &amp; performed by Ben Norris. Help us get to the 2015 Edinburgh Fringe and beyond!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 Kickstarter!B:T, 15, FALSE)</f>
        <v>44.92</v>
      </c>
      <c r="F5">
        <f>VLOOKUP(A5, Kickstarter!B:T, 11, FALSE)</f>
        <v>26</v>
      </c>
    </row>
    <row r="6" spans="1:6" x14ac:dyDescent="0.25">
      <c r="A6" t="s">
        <v>3221</v>
      </c>
      <c r="B6" s="10" t="e">
        <f>VLOOKUP(A7, Kickstarter!B:C, 2, FALSE)</f>
        <v>#N/A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58c8e81-abd8-48a8-929d-eb67611b83bd}" enabled="0" method="" siteId="{e58c8e81-abd8-48a8-929d-eb67611b83b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Parent Years Outcome</vt:lpstr>
      <vt:lpstr>Theater Outcomes by Launch Date</vt:lpstr>
      <vt:lpstr>Outcomes Based on Goals</vt:lpstr>
      <vt:lpstr>Kickstarter</vt:lpstr>
      <vt:lpstr>SuccessFailed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Pickett, Andrew</cp:lastModifiedBy>
  <dcterms:created xsi:type="dcterms:W3CDTF">2017-04-20T15:17:24Z</dcterms:created>
  <dcterms:modified xsi:type="dcterms:W3CDTF">2022-06-13T19:48:33Z</dcterms:modified>
</cp:coreProperties>
</file>