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vidual" sheetId="1" r:id="rId3"/>
    <sheet state="visible" name="Discrete" sheetId="2" r:id="rId4"/>
    <sheet state="visible" name="Continuous " sheetId="3" r:id="rId5"/>
    <sheet state="visible" name="Dispersion 1" sheetId="4" r:id="rId6"/>
    <sheet state="visible" name="Dispersion 2" sheetId="5" r:id="rId7"/>
    <sheet state="visible" name="Sheet1" sheetId="6" r:id="rId8"/>
    <sheet state="visible" name="Sheet2" sheetId="7" r:id="rId9"/>
    <sheet state="visible" name="1st 4central moment" sheetId="8" r:id="rId10"/>
    <sheet state="visible" name="firs 4 central mom" sheetId="9" r:id="rId11"/>
  </sheets>
  <definedNames/>
  <calcPr/>
</workbook>
</file>

<file path=xl/sharedStrings.xml><?xml version="1.0" encoding="utf-8"?>
<sst xmlns="http://schemas.openxmlformats.org/spreadsheetml/2006/main" count="396" uniqueCount="278">
  <si>
    <t>no of data</t>
  </si>
  <si>
    <t>Arranging the data in ascending order</t>
  </si>
  <si>
    <t>Arranging the data in descending order</t>
  </si>
  <si>
    <t>for AM</t>
  </si>
  <si>
    <t>AVERAGE(E19:E31)</t>
  </si>
  <si>
    <t>for GM</t>
  </si>
  <si>
    <t>GEOMEAN(E19:E31)</t>
  </si>
  <si>
    <t>for HM</t>
  </si>
  <si>
    <t>HARMEAN(E19:E31)</t>
  </si>
  <si>
    <t>for quartiles</t>
  </si>
  <si>
    <t>Q1</t>
  </si>
  <si>
    <t>QUARTILE(E19:E31,1)</t>
  </si>
  <si>
    <t>Q2</t>
  </si>
  <si>
    <t>QUARTILE(E19:E31,2)</t>
  </si>
  <si>
    <t>Q3</t>
  </si>
  <si>
    <t>QUARTILE(E19:E31,3)</t>
  </si>
  <si>
    <t>For Deciles</t>
  </si>
  <si>
    <t>D1</t>
  </si>
  <si>
    <t>PERCENTILE(E19:E31,0.1)</t>
  </si>
  <si>
    <t>D2</t>
  </si>
  <si>
    <t>PERCENTILE(E19:E31,0.2)</t>
  </si>
  <si>
    <t>D3</t>
  </si>
  <si>
    <t>PERCENTILE(E19:E31,0.3)</t>
  </si>
  <si>
    <t>D4</t>
  </si>
  <si>
    <t>PERCENTILE(E19:E31,0.4)</t>
  </si>
  <si>
    <t>D5</t>
  </si>
  <si>
    <t>PERCENTILE(E19:E31,0.5)</t>
  </si>
  <si>
    <t>D6</t>
  </si>
  <si>
    <t>PERCENTILE(E19:E31,0.6)</t>
  </si>
  <si>
    <t>D7</t>
  </si>
  <si>
    <t>PERCENTILE(E19:E31,0.7)</t>
  </si>
  <si>
    <t>D8</t>
  </si>
  <si>
    <t>PERCENTILE(E19:E31,0.8)</t>
  </si>
  <si>
    <t>D9</t>
  </si>
  <si>
    <t>PERCENTILE(E19:E31,0.9)</t>
  </si>
  <si>
    <t>For percentiles</t>
  </si>
  <si>
    <t>P20</t>
  </si>
  <si>
    <t>p35</t>
  </si>
  <si>
    <t>PERCENTILE(E19:E31,0.35)</t>
  </si>
  <si>
    <t>P90</t>
  </si>
  <si>
    <t>PERCENTILE(E19:E31,0.90)</t>
  </si>
  <si>
    <t>P65</t>
  </si>
  <si>
    <t>PERCENTILE(E19:E31,0.65)</t>
  </si>
  <si>
    <t>Calculation tables for various values</t>
  </si>
  <si>
    <t>C.I</t>
  </si>
  <si>
    <t>f</t>
  </si>
  <si>
    <t>cf</t>
  </si>
  <si>
    <t>lower value</t>
  </si>
  <si>
    <t>upper value</t>
  </si>
  <si>
    <t>marks(x)</t>
  </si>
  <si>
    <t>mid value</t>
  </si>
  <si>
    <t>fx</t>
  </si>
  <si>
    <t>logx</t>
  </si>
  <si>
    <t>flogx</t>
  </si>
  <si>
    <t>f/x</t>
  </si>
  <si>
    <t>0-10</t>
  </si>
  <si>
    <t xml:space="preserve"> 10-20</t>
  </si>
  <si>
    <t>AM</t>
  </si>
  <si>
    <t>D10/B10</t>
  </si>
  <si>
    <t>position of Mode</t>
  </si>
  <si>
    <t>MAX(B3:B9)</t>
  </si>
  <si>
    <t>Mode</t>
  </si>
  <si>
    <t>Position Median</t>
  </si>
  <si>
    <t>20-30</t>
  </si>
  <si>
    <t>Median</t>
  </si>
  <si>
    <t>Quartiles</t>
  </si>
  <si>
    <t xml:space="preserve"> Position of Q1</t>
  </si>
  <si>
    <t>(B10+1)/4</t>
  </si>
  <si>
    <t xml:space="preserve"> Position of Q2</t>
  </si>
  <si>
    <t xml:space="preserve"> 30-40</t>
  </si>
  <si>
    <t>2*(B10+1)/4</t>
  </si>
  <si>
    <t>Age</t>
  </si>
  <si>
    <t xml:space="preserve"> Position of Q3</t>
  </si>
  <si>
    <t>40-50</t>
  </si>
  <si>
    <t xml:space="preserve">for </t>
  </si>
  <si>
    <t>value</t>
  </si>
  <si>
    <t>formula</t>
  </si>
  <si>
    <t>3*(B10+1)/4</t>
  </si>
  <si>
    <t>Deciles</t>
  </si>
  <si>
    <t>L</t>
  </si>
  <si>
    <t>Position of D1</t>
  </si>
  <si>
    <t>(B10+1)/10</t>
  </si>
  <si>
    <t>MAX(A2:A8)</t>
  </si>
  <si>
    <t>S</t>
  </si>
  <si>
    <t>Position of D2</t>
  </si>
  <si>
    <t>Total</t>
  </si>
  <si>
    <t>MIN(A2:A8)</t>
  </si>
  <si>
    <t>2*(B10+1)/10</t>
  </si>
  <si>
    <t>Range</t>
  </si>
  <si>
    <t>Position of D3</t>
  </si>
  <si>
    <t>D2-D3</t>
  </si>
  <si>
    <t>Coeff of range</t>
  </si>
  <si>
    <t>3*(B10+1)/10</t>
  </si>
  <si>
    <t>Position of D4</t>
  </si>
  <si>
    <t>(D2-D3)/(D2+D3)</t>
  </si>
  <si>
    <t>h=</t>
  </si>
  <si>
    <t>4*(B10+1)/10</t>
  </si>
  <si>
    <t>Position of D5</t>
  </si>
  <si>
    <t>For</t>
  </si>
  <si>
    <t>QUARTILE(A2:A8,1)</t>
  </si>
  <si>
    <t>Mean</t>
  </si>
  <si>
    <t>5*(B10+1)/10</t>
  </si>
  <si>
    <t>G8/B8</t>
  </si>
  <si>
    <t>QUARTILE(A2:A8,3)</t>
  </si>
  <si>
    <t>GM</t>
  </si>
  <si>
    <t>QD</t>
  </si>
  <si>
    <t>10^(I8/B8)</t>
  </si>
  <si>
    <t>HM</t>
  </si>
  <si>
    <t>(D7-D6)/2</t>
  </si>
  <si>
    <t>Coeff of Qd</t>
  </si>
  <si>
    <t>B8/J8</t>
  </si>
  <si>
    <t>For Mode</t>
  </si>
  <si>
    <t>Position of D6</t>
  </si>
  <si>
    <t>Mo class</t>
  </si>
  <si>
    <t>(D7-D6)/(D7+D6)</t>
  </si>
  <si>
    <t>6*(B10+1)/10</t>
  </si>
  <si>
    <t>MAX(B3:B7)</t>
  </si>
  <si>
    <t>Position of D7</t>
  </si>
  <si>
    <t>Mo</t>
  </si>
  <si>
    <t>AVERAGE(A2:A8)</t>
  </si>
  <si>
    <t>SD</t>
  </si>
  <si>
    <t>D5+(B5-B4)/(2*B5-B4-B6)*B9</t>
  </si>
  <si>
    <t>7*(B10+1)/10</t>
  </si>
  <si>
    <t>STDEV(A2:A8)</t>
  </si>
  <si>
    <t>For Median</t>
  </si>
  <si>
    <t>Position of D8</t>
  </si>
  <si>
    <t>Md class</t>
  </si>
  <si>
    <t>varience</t>
  </si>
  <si>
    <t>8*(B10+1)/10</t>
  </si>
  <si>
    <t>Position of D9</t>
  </si>
  <si>
    <t>D11^2</t>
  </si>
  <si>
    <t>Md</t>
  </si>
  <si>
    <t>C.V</t>
  </si>
  <si>
    <t>9*(B10+1)/10</t>
  </si>
  <si>
    <t>percentiles</t>
  </si>
  <si>
    <t>P35</t>
  </si>
  <si>
    <t>D5+(B18-C4)/B5*B9</t>
  </si>
  <si>
    <t>D11/D10*100</t>
  </si>
  <si>
    <t>Q3-class</t>
  </si>
  <si>
    <t>35*(B10+1)/100</t>
  </si>
  <si>
    <t>3*B8/4</t>
  </si>
  <si>
    <t>calculate 1)Range,coeff of range 2) Qd,coeff of Qd 3) SD , varience, coeff of var</t>
  </si>
  <si>
    <t>90*(B10+1)/100</t>
  </si>
  <si>
    <t>P11</t>
  </si>
  <si>
    <t>D5+(B21-C4)/B5*B9</t>
  </si>
  <si>
    <t>D5-class</t>
  </si>
  <si>
    <t>D5+(B24-C4)/B5*B9</t>
  </si>
  <si>
    <t>P30-class</t>
  </si>
  <si>
    <t xml:space="preserve">P30 </t>
  </si>
  <si>
    <t>D4+(B27-C3)/B4*B9</t>
  </si>
  <si>
    <t>P80-class</t>
  </si>
  <si>
    <t>30-40</t>
  </si>
  <si>
    <t>P80</t>
  </si>
  <si>
    <t>D6+(B30-C5)/B6*B9</t>
  </si>
  <si>
    <t>Marks</t>
  </si>
  <si>
    <t>No of std</t>
  </si>
  <si>
    <t>Solution: Calculation table for various sum</t>
  </si>
  <si>
    <t>LIFE in yrs</t>
  </si>
  <si>
    <t xml:space="preserve">Apple </t>
  </si>
  <si>
    <t>Sony</t>
  </si>
  <si>
    <t>X</t>
  </si>
  <si>
    <t>f*x</t>
  </si>
  <si>
    <t>fx^2</t>
  </si>
  <si>
    <t>15-20</t>
  </si>
  <si>
    <t>20-25</t>
  </si>
  <si>
    <t>25-30</t>
  </si>
  <si>
    <t>Caln table</t>
  </si>
  <si>
    <t>ll</t>
  </si>
  <si>
    <t>ul</t>
  </si>
  <si>
    <t>m.v(x)</t>
  </si>
  <si>
    <t>f1</t>
  </si>
  <si>
    <t>cf1</t>
  </si>
  <si>
    <t>f1*x</t>
  </si>
  <si>
    <t>f1*x^2</t>
  </si>
  <si>
    <t>f2</t>
  </si>
  <si>
    <t>cf2</t>
  </si>
  <si>
    <t>f2*x</t>
  </si>
  <si>
    <t>f2*x^2</t>
  </si>
  <si>
    <t>Position</t>
  </si>
  <si>
    <t>Value</t>
  </si>
  <si>
    <t>Formula</t>
  </si>
  <si>
    <t xml:space="preserve">For Apple </t>
  </si>
  <si>
    <t>Class</t>
  </si>
  <si>
    <t>MAX(A17:A25)</t>
  </si>
  <si>
    <t>For Q1</t>
  </si>
  <si>
    <t>MIN(A17:A25)</t>
  </si>
  <si>
    <t>B15+(B23-F14)/E15*B20</t>
  </si>
  <si>
    <t>D29-D30</t>
  </si>
  <si>
    <t>For Q3</t>
  </si>
  <si>
    <t>caln table of various values</t>
  </si>
  <si>
    <t>(D29-D30)/(D29+D30)</t>
  </si>
  <si>
    <t>for</t>
  </si>
  <si>
    <t>B16+(B24-F15)/E16*B20</t>
  </si>
  <si>
    <t>(B26+1)/4</t>
  </si>
  <si>
    <t>Coeff of QD</t>
  </si>
  <si>
    <t>mean</t>
  </si>
  <si>
    <t>3*(B26+1)/4</t>
  </si>
  <si>
    <t>(D24-D23)/(D24+D23)</t>
  </si>
  <si>
    <t>AVERAGE(A3:F3)</t>
  </si>
  <si>
    <t>(D34-D33)/2</t>
  </si>
  <si>
    <t>Coeff Of QD</t>
  </si>
  <si>
    <t>G18/E18</t>
  </si>
  <si>
    <t>median</t>
  </si>
  <si>
    <t>(D34-D33)/(D34+D33)</t>
  </si>
  <si>
    <t>D26/B26</t>
  </si>
  <si>
    <t>CV</t>
  </si>
  <si>
    <t>MEDIAN(A3:F3)</t>
  </si>
  <si>
    <t>SQRT(E26/B26-(D26/B26)^2)</t>
  </si>
  <si>
    <t>STDEV(A3:F3)</t>
  </si>
  <si>
    <t>For Sony</t>
  </si>
  <si>
    <t>D38^2</t>
  </si>
  <si>
    <t>Coeff of varience</t>
  </si>
  <si>
    <t>QUARTILE(A3:F3,1)</t>
  </si>
  <si>
    <t>D38/D37*100</t>
  </si>
  <si>
    <t>QUARTILE(A3:F3,3)</t>
  </si>
  <si>
    <t>P10</t>
  </si>
  <si>
    <t>PERCENTILE(A3:F3,0.1)</t>
  </si>
  <si>
    <t>PERCENTILE(A3:F3,0.9)</t>
  </si>
  <si>
    <t>Sk(p)</t>
  </si>
  <si>
    <t>Since CV of sony is less than CV of apple, so sony is more uniform</t>
  </si>
  <si>
    <t>3*(C6-C7)/C8</t>
  </si>
  <si>
    <t>Sk(b)</t>
  </si>
  <si>
    <t>(C10+C9-2*C7)/(C10-C9)</t>
  </si>
  <si>
    <t>k</t>
  </si>
  <si>
    <t>(C10-C9)/(2*(C12-C11))</t>
  </si>
  <si>
    <t>Find first four central moments</t>
  </si>
  <si>
    <t>Note: u=mew,b=beta</t>
  </si>
  <si>
    <t>μ</t>
  </si>
  <si>
    <t>μ1</t>
  </si>
  <si>
    <t>μ2</t>
  </si>
  <si>
    <t>μ3</t>
  </si>
  <si>
    <t>μ4</t>
  </si>
  <si>
    <t>β1</t>
  </si>
  <si>
    <t>β</t>
  </si>
  <si>
    <t>γ</t>
  </si>
  <si>
    <t>β2</t>
  </si>
  <si>
    <t>γ1</t>
  </si>
  <si>
    <t>γ4</t>
  </si>
  <si>
    <t>age</t>
  </si>
  <si>
    <t>0-5</t>
  </si>
  <si>
    <t>calculation tables for different values</t>
  </si>
  <si>
    <t>freq</t>
  </si>
  <si>
    <t>Calculation of various values</t>
  </si>
  <si>
    <t>mv(x)</t>
  </si>
  <si>
    <t>B15/B16</t>
  </si>
  <si>
    <t>(x-Me)</t>
  </si>
  <si>
    <t>x</t>
  </si>
  <si>
    <t>x-Me</t>
  </si>
  <si>
    <t>(x-Me)^2</t>
  </si>
  <si>
    <t>(x-Me)^3</t>
  </si>
  <si>
    <t>(x-Me)^4</t>
  </si>
  <si>
    <t>C15/B16</t>
  </si>
  <si>
    <t>f*(x-Me)</t>
  </si>
  <si>
    <t>f*(x-Me)^2</t>
  </si>
  <si>
    <t>f*(x-Me)^3</t>
  </si>
  <si>
    <t>f*(x-Me)^4</t>
  </si>
  <si>
    <t>D15/B16</t>
  </si>
  <si>
    <t>E15/B16</t>
  </si>
  <si>
    <t>H10^2/H9^3</t>
  </si>
  <si>
    <t>H11/H9^2</t>
  </si>
  <si>
    <t>SQRT(H12)</t>
  </si>
  <si>
    <t>γ2</t>
  </si>
  <si>
    <t>H13-3</t>
  </si>
  <si>
    <t>n=</t>
  </si>
  <si>
    <t>Since β1 = 0 means distrubution is symmetrical</t>
  </si>
  <si>
    <t>Since β2 &lt;3 means distrubution is platykurtic</t>
  </si>
  <si>
    <t>Since γ1 = 0 means distrubution is symmetrical</t>
  </si>
  <si>
    <t>Since γ2 &lt;0 means distrubution is platykurtic</t>
  </si>
  <si>
    <t>H17/E17</t>
  </si>
  <si>
    <t>I17/E17</t>
  </si>
  <si>
    <t>J17/E17</t>
  </si>
  <si>
    <t>K17/E17</t>
  </si>
  <si>
    <t>F26^2/F25^3</t>
  </si>
  <si>
    <t>F27/F25^2</t>
  </si>
  <si>
    <t>SQRT(F29)</t>
  </si>
  <si>
    <t>F29-3</t>
  </si>
  <si>
    <t>SQRT(F25)</t>
  </si>
  <si>
    <t>(F32/B19)*100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</si>
</sst>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0">
    <font>
      <sz val="11.0"/>
      <color rgb="FF000000"/>
      <name val="Calibri"/>
    </font>
    <font>
      <sz val="11.0"/>
      <color rgb="FF000000"/>
      <name val="Mt extra"/>
    </font>
    <font/>
    <font>
      <sz val="11.0"/>
      <color rgb="FF4285F4"/>
    </font>
    <font>
      <sz val="11.0"/>
      <color rgb="FF7E3794"/>
    </font>
    <font>
      <sz val="11.0"/>
      <color rgb="FF000000"/>
      <name val="Inconsolata"/>
    </font>
    <font>
      <sz val="11.0"/>
      <color rgb="FF11A9CC"/>
      <name val="Inconsolata"/>
    </font>
    <font>
      <b/>
    </font>
    <font>
      <sz val="11.0"/>
      <color rgb="FF000000"/>
      <name val="'Calibri'"/>
    </font>
    <font>
      <sz val="11.0"/>
      <color rgb="FFF7981D"/>
    </font>
  </fonts>
  <fills count="6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16" xfId="0" applyAlignment="1" applyFont="1" applyNumberFormat="1">
      <alignment horizontal="center"/>
    </xf>
    <xf borderId="0" fillId="0" fontId="0" numFmtId="0" xfId="0" applyFont="1"/>
    <xf borderId="0" fillId="0" fontId="0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0" fillId="0" fontId="2" numFmtId="164" xfId="0" applyAlignment="1" applyFont="1" applyNumberFormat="1">
      <alignment horizontal="center" readingOrder="0"/>
    </xf>
    <xf borderId="1" fillId="3" fontId="0" numFmtId="0" xfId="0" applyAlignment="1" applyBorder="1" applyFill="1" applyFont="1">
      <alignment horizontal="center"/>
    </xf>
    <xf borderId="0" fillId="0" fontId="0" numFmtId="9" xfId="0" applyAlignment="1" applyFont="1" applyNumberFormat="1">
      <alignment horizontal="center"/>
    </xf>
    <xf borderId="0" fillId="0" fontId="0" numFmtId="9" xfId="0" applyFont="1" applyNumberFormat="1"/>
    <xf borderId="1" fillId="4" fontId="0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5" fontId="5" numFmtId="0" xfId="0" applyAlignment="1" applyFont="1">
      <alignment horizontal="center"/>
    </xf>
    <xf borderId="0" fillId="5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4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1.86"/>
    <col customWidth="1" min="3" max="3" width="8.71"/>
    <col customWidth="1" min="4" max="4" width="22.86"/>
    <col customWidth="1" min="5" max="26" width="8.71"/>
  </cols>
  <sheetData>
    <row r="2">
      <c r="A2">
        <v>12.0</v>
      </c>
    </row>
    <row r="3">
      <c r="A3">
        <v>15.0</v>
      </c>
    </row>
    <row r="4">
      <c r="A4">
        <v>7.0</v>
      </c>
    </row>
    <row r="5">
      <c r="A5">
        <v>10.0</v>
      </c>
    </row>
    <row r="6">
      <c r="A6">
        <v>15.0</v>
      </c>
    </row>
    <row r="7">
      <c r="A7">
        <v>20.0</v>
      </c>
    </row>
    <row r="8">
      <c r="A8">
        <v>32.0</v>
      </c>
    </row>
    <row r="9">
      <c r="A9">
        <v>12.0</v>
      </c>
    </row>
    <row r="10">
      <c r="A10">
        <v>17.0</v>
      </c>
    </row>
    <row r="11">
      <c r="A11">
        <v>20.0</v>
      </c>
    </row>
    <row r="12">
      <c r="A12">
        <v>13.0</v>
      </c>
    </row>
    <row r="13">
      <c r="A13">
        <v>27.0</v>
      </c>
    </row>
    <row r="14">
      <c r="A14">
        <v>20.0</v>
      </c>
    </row>
    <row r="17">
      <c r="A17" t="s">
        <v>0</v>
      </c>
      <c r="B17">
        <f>COUNT(A2:A14)</f>
        <v>13</v>
      </c>
      <c r="C17">
        <f>COUNT(E19:E31)</f>
        <v>13</v>
      </c>
    </row>
    <row r="19">
      <c r="A19" t="s">
        <v>1</v>
      </c>
      <c r="E19">
        <v>7.0</v>
      </c>
      <c r="G19" t="s">
        <v>2</v>
      </c>
      <c r="K19">
        <v>32.0</v>
      </c>
    </row>
    <row r="20">
      <c r="E20">
        <v>10.0</v>
      </c>
      <c r="K20">
        <v>27.0</v>
      </c>
    </row>
    <row r="21" ht="15.75" customHeight="1">
      <c r="E21">
        <v>12.0</v>
      </c>
      <c r="K21">
        <v>20.0</v>
      </c>
    </row>
    <row r="22" ht="15.75" customHeight="1">
      <c r="E22">
        <v>12.0</v>
      </c>
      <c r="K22">
        <v>20.0</v>
      </c>
    </row>
    <row r="23" ht="15.75" customHeight="1">
      <c r="E23">
        <v>13.0</v>
      </c>
      <c r="K23">
        <v>20.0</v>
      </c>
    </row>
    <row r="24" ht="15.75" customHeight="1">
      <c r="E24">
        <v>15.0</v>
      </c>
      <c r="K24">
        <v>17.0</v>
      </c>
    </row>
    <row r="25" ht="15.75" customHeight="1">
      <c r="E25">
        <v>15.0</v>
      </c>
      <c r="K25">
        <v>15.0</v>
      </c>
    </row>
    <row r="26" ht="15.75" customHeight="1">
      <c r="E26">
        <v>17.0</v>
      </c>
      <c r="K26">
        <v>15.0</v>
      </c>
    </row>
    <row r="27" ht="15.75" customHeight="1">
      <c r="E27">
        <v>20.0</v>
      </c>
      <c r="K27">
        <v>13.0</v>
      </c>
    </row>
    <row r="28" ht="15.75" customHeight="1">
      <c r="E28">
        <v>20.0</v>
      </c>
      <c r="K28">
        <v>12.0</v>
      </c>
    </row>
    <row r="29" ht="15.75" customHeight="1">
      <c r="E29">
        <v>20.0</v>
      </c>
      <c r="K29">
        <v>12.0</v>
      </c>
    </row>
    <row r="30" ht="15.75" customHeight="1">
      <c r="E30">
        <v>27.0</v>
      </c>
      <c r="K30">
        <v>10.0</v>
      </c>
    </row>
    <row r="31" ht="15.75" customHeight="1">
      <c r="E31">
        <v>32.0</v>
      </c>
      <c r="K31">
        <v>7.0</v>
      </c>
    </row>
    <row r="32" ht="15.75" customHeight="1"/>
    <row r="33" ht="15.75" customHeight="1">
      <c r="A33" t="s">
        <v>3</v>
      </c>
      <c r="B33">
        <f>AVERAGE(E19:E31)</f>
        <v>16.92307692</v>
      </c>
      <c r="D33" t="s">
        <v>4</v>
      </c>
    </row>
    <row r="34" ht="15.75" customHeight="1">
      <c r="A34" t="s">
        <v>5</v>
      </c>
      <c r="B34">
        <f>GEOMEAN(E19:E31)</f>
        <v>15.68038964</v>
      </c>
      <c r="D34" t="s">
        <v>6</v>
      </c>
    </row>
    <row r="35" ht="15.75" customHeight="1">
      <c r="A35" t="s">
        <v>7</v>
      </c>
      <c r="B35">
        <f>HARMEAN(E19:E31)</f>
        <v>14.4945184</v>
      </c>
      <c r="D35" t="s">
        <v>8</v>
      </c>
    </row>
    <row r="36" ht="15.75" customHeight="1">
      <c r="A36" t="s">
        <v>9</v>
      </c>
    </row>
    <row r="37" ht="15.75" customHeight="1">
      <c r="A37" t="s">
        <v>10</v>
      </c>
      <c r="B37">
        <f>QUARTILE(E19:E31,1)</f>
        <v>12</v>
      </c>
      <c r="D37" t="s">
        <v>11</v>
      </c>
    </row>
    <row r="38" ht="15.75" customHeight="1">
      <c r="A38" t="s">
        <v>12</v>
      </c>
      <c r="B38">
        <f>QUARTILE(E19:E31,2)</f>
        <v>15</v>
      </c>
      <c r="D38" t="s">
        <v>13</v>
      </c>
    </row>
    <row r="39" ht="15.75" customHeight="1">
      <c r="A39" t="s">
        <v>14</v>
      </c>
      <c r="B39">
        <f>QUARTILE(E19:E31,3)</f>
        <v>20</v>
      </c>
      <c r="D39" t="s">
        <v>15</v>
      </c>
    </row>
    <row r="40" ht="15.75" customHeight="1">
      <c r="A40" t="s">
        <v>16</v>
      </c>
    </row>
    <row r="41" ht="15.75" customHeight="1">
      <c r="A41" t="s">
        <v>17</v>
      </c>
      <c r="B41">
        <f>PERCENTILE(E19:E31,0.1)</f>
        <v>10.4</v>
      </c>
      <c r="D41" t="s">
        <v>18</v>
      </c>
    </row>
    <row r="42" ht="15.75" customHeight="1">
      <c r="A42" t="s">
        <v>19</v>
      </c>
      <c r="B42">
        <f>PERCENTILE(E19:E31,0.2)</f>
        <v>12</v>
      </c>
      <c r="D42" t="s">
        <v>20</v>
      </c>
    </row>
    <row r="43" ht="15.75" customHeight="1">
      <c r="A43" t="s">
        <v>21</v>
      </c>
      <c r="B43">
        <f>PERCENTILE(E19:E31,0.3)</f>
        <v>12.6</v>
      </c>
      <c r="D43" t="s">
        <v>22</v>
      </c>
    </row>
    <row r="44" ht="15.75" customHeight="1">
      <c r="A44" t="s">
        <v>23</v>
      </c>
      <c r="B44">
        <f>PERCENTILE(E19:E31,0.4)</f>
        <v>14.6</v>
      </c>
      <c r="D44" t="s">
        <v>24</v>
      </c>
    </row>
    <row r="45" ht="15.75" customHeight="1">
      <c r="A45" t="s">
        <v>25</v>
      </c>
      <c r="B45">
        <f>PERCENTILE(E19:E31,0.5)</f>
        <v>15</v>
      </c>
      <c r="D45" t="s">
        <v>26</v>
      </c>
    </row>
    <row r="46" ht="15.75" customHeight="1">
      <c r="A46" t="s">
        <v>27</v>
      </c>
      <c r="B46">
        <f>PERCENTILE(E19:E31,0.6)</f>
        <v>17.6</v>
      </c>
      <c r="D46" t="s">
        <v>28</v>
      </c>
    </row>
    <row r="47" ht="15.75" customHeight="1">
      <c r="A47" t="s">
        <v>29</v>
      </c>
      <c r="B47">
        <f>PERCENTILE(E19:E31,0.7)</f>
        <v>20</v>
      </c>
      <c r="D47" t="s">
        <v>30</v>
      </c>
    </row>
    <row r="48" ht="15.75" customHeight="1">
      <c r="A48" t="s">
        <v>31</v>
      </c>
      <c r="B48">
        <f>PERCENTILE(E19:E31,0.8)</f>
        <v>20</v>
      </c>
      <c r="D48" t="s">
        <v>32</v>
      </c>
    </row>
    <row r="49" ht="15.75" customHeight="1">
      <c r="A49" t="s">
        <v>33</v>
      </c>
      <c r="B49">
        <f>PERCENTILE(E19:E31,0.9)</f>
        <v>25.6</v>
      </c>
      <c r="D49" t="s">
        <v>34</v>
      </c>
    </row>
    <row r="50" ht="15.75" customHeight="1"/>
    <row r="51" ht="15.75" customHeight="1">
      <c r="A51" t="s">
        <v>35</v>
      </c>
    </row>
    <row r="52" ht="15.75" customHeight="1">
      <c r="A52" t="s">
        <v>36</v>
      </c>
      <c r="B52">
        <f>PERCENTILE(E19:E31,0.2)</f>
        <v>12</v>
      </c>
      <c r="D52" t="s">
        <v>20</v>
      </c>
    </row>
    <row r="53" ht="15.75" customHeight="1">
      <c r="A53" t="s">
        <v>37</v>
      </c>
      <c r="B53">
        <f>PERCENTILE(E19:E31,0.35)</f>
        <v>13.4</v>
      </c>
      <c r="D53" t="s">
        <v>38</v>
      </c>
    </row>
    <row r="54" ht="15.75" customHeight="1">
      <c r="A54" t="s">
        <v>39</v>
      </c>
      <c r="B54">
        <f>PERCENTILE(E19:E31,0.9)</f>
        <v>25.6</v>
      </c>
      <c r="D54" t="s">
        <v>40</v>
      </c>
    </row>
    <row r="55" ht="15.75" customHeight="1">
      <c r="A55" t="s">
        <v>41</v>
      </c>
      <c r="B55">
        <f>PERCENTILE(E19:E31,0.65)</f>
        <v>19.4</v>
      </c>
      <c r="D55" t="s">
        <v>42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8.71"/>
    <col customWidth="1" min="4" max="4" width="22.29"/>
    <col customWidth="1" min="5" max="26" width="8.71"/>
  </cols>
  <sheetData>
    <row r="1">
      <c r="A1" s="1" t="s">
        <v>43</v>
      </c>
    </row>
    <row r="2">
      <c r="A2" s="1" t="s">
        <v>49</v>
      </c>
      <c r="B2" s="1" t="s">
        <v>45</v>
      </c>
      <c r="C2" s="1" t="s">
        <v>46</v>
      </c>
      <c r="D2" s="1" t="s">
        <v>51</v>
      </c>
      <c r="E2" s="1"/>
    </row>
    <row r="3">
      <c r="A3" s="1">
        <v>10.0</v>
      </c>
      <c r="B3" s="1">
        <v>5.0</v>
      </c>
      <c r="C3" s="1">
        <f>B3</f>
        <v>5</v>
      </c>
      <c r="D3" s="1">
        <f t="shared" ref="D3:D9" si="1">A3*B3</f>
        <v>50</v>
      </c>
      <c r="E3" s="1"/>
    </row>
    <row r="4">
      <c r="A4" s="1">
        <v>20.0</v>
      </c>
      <c r="B4" s="1">
        <v>15.0</v>
      </c>
      <c r="C4" s="1">
        <f t="shared" ref="C4:C9" si="2">C3+B4</f>
        <v>20</v>
      </c>
      <c r="D4" s="1">
        <f t="shared" si="1"/>
        <v>300</v>
      </c>
      <c r="E4" s="1"/>
    </row>
    <row r="5">
      <c r="A5" s="1">
        <v>25.0</v>
      </c>
      <c r="B5" s="1">
        <v>27.0</v>
      </c>
      <c r="C5" s="1">
        <f t="shared" si="2"/>
        <v>47</v>
      </c>
      <c r="D5" s="1">
        <f t="shared" si="1"/>
        <v>675</v>
      </c>
      <c r="E5" s="1"/>
    </row>
    <row r="6">
      <c r="A6" s="1">
        <v>40.0</v>
      </c>
      <c r="B6" s="1">
        <v>33.0</v>
      </c>
      <c r="C6" s="1">
        <f t="shared" si="2"/>
        <v>80</v>
      </c>
      <c r="D6" s="1">
        <f t="shared" si="1"/>
        <v>1320</v>
      </c>
      <c r="E6" s="1"/>
    </row>
    <row r="7">
      <c r="A7" s="1">
        <v>60.0</v>
      </c>
      <c r="B7" s="1">
        <v>20.0</v>
      </c>
      <c r="C7" s="1">
        <f t="shared" si="2"/>
        <v>100</v>
      </c>
      <c r="D7" s="1">
        <f t="shared" si="1"/>
        <v>1200</v>
      </c>
      <c r="E7" s="1"/>
    </row>
    <row r="8">
      <c r="A8" s="1">
        <v>80.0</v>
      </c>
      <c r="B8" s="1">
        <v>12.0</v>
      </c>
      <c r="C8" s="1">
        <f t="shared" si="2"/>
        <v>112</v>
      </c>
      <c r="D8" s="1">
        <f t="shared" si="1"/>
        <v>960</v>
      </c>
      <c r="E8" s="1"/>
    </row>
    <row r="9">
      <c r="A9" s="1">
        <v>90.0</v>
      </c>
      <c r="B9" s="1">
        <v>8.0</v>
      </c>
      <c r="C9" s="1">
        <f t="shared" si="2"/>
        <v>120</v>
      </c>
      <c r="D9" s="1">
        <f t="shared" si="1"/>
        <v>720</v>
      </c>
      <c r="E9" s="1"/>
    </row>
    <row r="10">
      <c r="A10" s="1"/>
      <c r="B10" s="1">
        <f>SUM(B3:B9)</f>
        <v>120</v>
      </c>
      <c r="C10" s="1"/>
      <c r="D10" s="1">
        <f>SUM(D3:D9)</f>
        <v>5225</v>
      </c>
      <c r="E10" s="1"/>
    </row>
    <row r="13">
      <c r="A13" s="1" t="s">
        <v>57</v>
      </c>
      <c r="B13" s="1">
        <f>D10/B10</f>
        <v>43.54166667</v>
      </c>
      <c r="C13" s="1"/>
      <c r="D13" s="1" t="s">
        <v>58</v>
      </c>
      <c r="E13" s="1"/>
      <c r="F13" s="1"/>
      <c r="G13" s="1"/>
    </row>
    <row r="14">
      <c r="A14" s="1" t="s">
        <v>59</v>
      </c>
      <c r="B14" s="1">
        <f>MAX(B3:B9)</f>
        <v>33</v>
      </c>
      <c r="C14" s="1"/>
      <c r="D14" s="1" t="s">
        <v>60</v>
      </c>
      <c r="E14" s="1"/>
      <c r="F14" s="1" t="s">
        <v>61</v>
      </c>
      <c r="G14" s="1">
        <v>40.0</v>
      </c>
    </row>
    <row r="15">
      <c r="A15" s="1" t="s">
        <v>62</v>
      </c>
      <c r="B15" s="1">
        <f>(B10+1)/2</f>
        <v>60.5</v>
      </c>
      <c r="C15" s="1"/>
      <c r="D15" s="1"/>
      <c r="E15" s="1"/>
      <c r="F15" s="1" t="s">
        <v>64</v>
      </c>
      <c r="G15" s="1">
        <v>40.0</v>
      </c>
    </row>
    <row r="16">
      <c r="A16" s="1" t="s">
        <v>65</v>
      </c>
      <c r="B16" s="1"/>
      <c r="C16" s="1"/>
      <c r="D16" s="1"/>
      <c r="E16" s="1"/>
      <c r="F16" s="1"/>
      <c r="G16" s="1"/>
    </row>
    <row r="17">
      <c r="A17" s="1" t="s">
        <v>66</v>
      </c>
      <c r="B17" s="1">
        <f>(B10+1)/4</f>
        <v>30.25</v>
      </c>
      <c r="C17" s="1"/>
      <c r="D17" s="1" t="s">
        <v>67</v>
      </c>
      <c r="E17" s="1"/>
      <c r="F17" s="1" t="s">
        <v>10</v>
      </c>
      <c r="G17" s="1">
        <v>25.0</v>
      </c>
    </row>
    <row r="18">
      <c r="A18" s="1" t="s">
        <v>68</v>
      </c>
      <c r="B18" s="1">
        <f>2*(B10+1)/4</f>
        <v>60.5</v>
      </c>
      <c r="C18" s="1"/>
      <c r="D18" s="1" t="s">
        <v>70</v>
      </c>
      <c r="E18" s="1"/>
      <c r="F18" s="1" t="s">
        <v>12</v>
      </c>
      <c r="G18" s="1">
        <v>40.0</v>
      </c>
    </row>
    <row r="19">
      <c r="A19" s="1" t="s">
        <v>72</v>
      </c>
      <c r="B19" s="1">
        <f>3*(B10+1)/4</f>
        <v>90.75</v>
      </c>
      <c r="C19" s="1"/>
      <c r="D19" s="1" t="s">
        <v>77</v>
      </c>
      <c r="E19" s="1"/>
      <c r="F19" s="1" t="s">
        <v>14</v>
      </c>
      <c r="G19" s="1">
        <v>60.0</v>
      </c>
    </row>
    <row r="20">
      <c r="A20" s="1" t="s">
        <v>78</v>
      </c>
      <c r="B20" s="1"/>
      <c r="C20" s="1"/>
      <c r="D20" s="1"/>
      <c r="E20" s="1"/>
      <c r="F20" s="1"/>
      <c r="G20" s="1"/>
    </row>
    <row r="21" ht="15.75" customHeight="1">
      <c r="A21" s="1" t="s">
        <v>80</v>
      </c>
      <c r="B21" s="1">
        <f>(B10+1)/10</f>
        <v>12.1</v>
      </c>
      <c r="C21" s="1"/>
      <c r="D21" s="1" t="s">
        <v>81</v>
      </c>
      <c r="E21" s="1"/>
      <c r="F21" s="1" t="s">
        <v>17</v>
      </c>
      <c r="G21" s="1">
        <v>20.0</v>
      </c>
    </row>
    <row r="22" ht="15.75" customHeight="1">
      <c r="A22" s="1" t="s">
        <v>84</v>
      </c>
      <c r="B22">
        <f>2*(B10+1)/10</f>
        <v>24.2</v>
      </c>
      <c r="D22" s="1" t="s">
        <v>87</v>
      </c>
      <c r="F22" s="1" t="s">
        <v>19</v>
      </c>
      <c r="G22" s="1">
        <v>25.0</v>
      </c>
    </row>
    <row r="23" ht="15.75" customHeight="1">
      <c r="A23" s="1" t="s">
        <v>89</v>
      </c>
      <c r="B23">
        <f>3*(B10+1)/10</f>
        <v>36.3</v>
      </c>
      <c r="D23" s="1" t="s">
        <v>92</v>
      </c>
      <c r="F23" s="1" t="s">
        <v>21</v>
      </c>
      <c r="G23" s="1">
        <v>25.0</v>
      </c>
    </row>
    <row r="24" ht="15.75" customHeight="1">
      <c r="A24" s="1" t="s">
        <v>93</v>
      </c>
      <c r="B24">
        <f>4*(B10+1)/10</f>
        <v>48.4</v>
      </c>
      <c r="D24" s="1" t="s">
        <v>96</v>
      </c>
      <c r="F24" s="1" t="s">
        <v>23</v>
      </c>
      <c r="G24" s="1">
        <v>40.0</v>
      </c>
    </row>
    <row r="25" ht="15.75" customHeight="1">
      <c r="A25" s="1" t="s">
        <v>97</v>
      </c>
      <c r="B25">
        <f>5*(B10+1)/10</f>
        <v>60.5</v>
      </c>
      <c r="D25" s="1" t="s">
        <v>101</v>
      </c>
      <c r="F25" s="1" t="s">
        <v>25</v>
      </c>
      <c r="G25" s="1">
        <v>40.0</v>
      </c>
    </row>
    <row r="26" ht="15.75" customHeight="1">
      <c r="A26" s="1" t="s">
        <v>112</v>
      </c>
      <c r="B26">
        <f>6*(B10+1)/10</f>
        <v>72.6</v>
      </c>
      <c r="D26" s="1" t="s">
        <v>115</v>
      </c>
      <c r="F26" s="1" t="s">
        <v>27</v>
      </c>
      <c r="G26" s="1">
        <v>40.0</v>
      </c>
    </row>
    <row r="27" ht="15.75" customHeight="1">
      <c r="A27" s="1" t="s">
        <v>117</v>
      </c>
      <c r="B27">
        <f>7*(B10+1)/10</f>
        <v>84.7</v>
      </c>
      <c r="D27" s="1" t="s">
        <v>122</v>
      </c>
      <c r="F27" s="1" t="s">
        <v>29</v>
      </c>
      <c r="G27" s="1">
        <v>60.0</v>
      </c>
    </row>
    <row r="28" ht="15.75" customHeight="1">
      <c r="A28" s="1" t="s">
        <v>125</v>
      </c>
      <c r="B28">
        <f>8*(B10+1)/10</f>
        <v>96.8</v>
      </c>
      <c r="D28" s="1" t="s">
        <v>128</v>
      </c>
      <c r="F28" s="1" t="s">
        <v>31</v>
      </c>
      <c r="G28" s="1">
        <v>60.0</v>
      </c>
    </row>
    <row r="29" ht="15.75" customHeight="1">
      <c r="A29" s="1" t="s">
        <v>129</v>
      </c>
      <c r="B29">
        <f>9*(B10+1)/10</f>
        <v>108.9</v>
      </c>
      <c r="D29" s="1" t="s">
        <v>133</v>
      </c>
      <c r="F29" s="1" t="s">
        <v>33</v>
      </c>
      <c r="G29" s="1">
        <v>80.0</v>
      </c>
    </row>
    <row r="30" ht="15.75" customHeight="1">
      <c r="A30" s="1" t="s">
        <v>134</v>
      </c>
    </row>
    <row r="31" ht="15.75" customHeight="1">
      <c r="A31" s="1" t="s">
        <v>135</v>
      </c>
      <c r="B31">
        <f>35*(B10+1)/100</f>
        <v>42.35</v>
      </c>
      <c r="D31" s="1" t="s">
        <v>139</v>
      </c>
      <c r="F31" s="1" t="s">
        <v>135</v>
      </c>
      <c r="G31" s="1">
        <v>25.0</v>
      </c>
    </row>
    <row r="32" ht="15.75" customHeight="1">
      <c r="A32" s="1" t="s">
        <v>39</v>
      </c>
      <c r="B32">
        <f>90*(B10+1)/100</f>
        <v>108.9</v>
      </c>
      <c r="D32" s="1" t="s">
        <v>142</v>
      </c>
      <c r="F32" s="1" t="s">
        <v>39</v>
      </c>
      <c r="G32" s="1">
        <v>80.0</v>
      </c>
    </row>
    <row r="33" ht="15.75" customHeight="1">
      <c r="A33" s="1" t="s">
        <v>143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D52" s="1"/>
    </row>
    <row r="53" ht="15.75" customHeight="1">
      <c r="D53" s="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.71"/>
    <col customWidth="1" min="3" max="3" width="13.43"/>
    <col customWidth="1" min="4" max="4" width="12.14"/>
    <col customWidth="1" min="5" max="5" width="10.57"/>
    <col customWidth="1" min="6" max="26" width="8.71"/>
  </cols>
  <sheetData>
    <row r="2">
      <c r="A2" s="1" t="s">
        <v>44</v>
      </c>
      <c r="B2" s="1" t="s">
        <v>45</v>
      </c>
      <c r="C2" t="s">
        <v>46</v>
      </c>
      <c r="D2" s="1" t="s">
        <v>47</v>
      </c>
      <c r="E2" s="1" t="s">
        <v>48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/>
      <c r="L2" s="1"/>
      <c r="M2" s="1"/>
    </row>
    <row r="3">
      <c r="A3" s="1" t="s">
        <v>55</v>
      </c>
      <c r="B3" s="1">
        <v>3.0</v>
      </c>
      <c r="C3">
        <f>B3</f>
        <v>3</v>
      </c>
      <c r="D3" s="1">
        <v>0.0</v>
      </c>
      <c r="E3" s="1">
        <v>10.0</v>
      </c>
      <c r="F3" s="1">
        <f t="shared" ref="F3:F7" si="1">(D3+E3)/2</f>
        <v>5</v>
      </c>
      <c r="G3" s="1">
        <f t="shared" ref="G3:G7" si="2">B3*F3</f>
        <v>15</v>
      </c>
      <c r="H3" s="1">
        <f t="shared" ref="H3:H7" si="3">LOG(F3)</f>
        <v>0.6989700043</v>
      </c>
      <c r="I3" s="1">
        <f t="shared" ref="I3:I7" si="4">B3*H3</f>
        <v>2.096910013</v>
      </c>
      <c r="J3" s="1">
        <f t="shared" ref="J3:J7" si="5">B3/F3</f>
        <v>0.6</v>
      </c>
      <c r="K3" s="1"/>
      <c r="L3" s="1"/>
      <c r="M3" s="1"/>
    </row>
    <row r="4">
      <c r="A4" s="2" t="s">
        <v>56</v>
      </c>
      <c r="B4" s="1">
        <v>5.0</v>
      </c>
      <c r="C4">
        <f t="shared" ref="C4:C7" si="6">B4+C3</f>
        <v>8</v>
      </c>
      <c r="D4" s="1">
        <v>10.0</v>
      </c>
      <c r="E4" s="1">
        <v>20.0</v>
      </c>
      <c r="F4" s="1">
        <f t="shared" si="1"/>
        <v>15</v>
      </c>
      <c r="G4" s="1">
        <f t="shared" si="2"/>
        <v>75</v>
      </c>
      <c r="H4" s="1">
        <f t="shared" si="3"/>
        <v>1.176091259</v>
      </c>
      <c r="I4" s="1">
        <f t="shared" si="4"/>
        <v>5.880456295</v>
      </c>
      <c r="J4" s="1">
        <f t="shared" si="5"/>
        <v>0.3333333333</v>
      </c>
      <c r="K4" s="1"/>
      <c r="L4" s="1"/>
      <c r="M4" s="1"/>
    </row>
    <row r="5">
      <c r="A5" s="1" t="s">
        <v>63</v>
      </c>
      <c r="B5" s="1">
        <v>10.0</v>
      </c>
      <c r="C5">
        <f t="shared" si="6"/>
        <v>18</v>
      </c>
      <c r="D5" s="1">
        <v>20.0</v>
      </c>
      <c r="E5" s="1">
        <v>30.0</v>
      </c>
      <c r="F5" s="1">
        <f t="shared" si="1"/>
        <v>25</v>
      </c>
      <c r="G5" s="1">
        <f t="shared" si="2"/>
        <v>250</v>
      </c>
      <c r="H5" s="1">
        <f t="shared" si="3"/>
        <v>1.397940009</v>
      </c>
      <c r="I5" s="1">
        <f t="shared" si="4"/>
        <v>13.97940009</v>
      </c>
      <c r="J5" s="1">
        <f t="shared" si="5"/>
        <v>0.4</v>
      </c>
      <c r="K5" s="1"/>
      <c r="L5" s="1"/>
      <c r="M5" s="1"/>
    </row>
    <row r="6">
      <c r="A6" s="1" t="s">
        <v>69</v>
      </c>
      <c r="B6" s="1">
        <v>4.0</v>
      </c>
      <c r="C6">
        <f t="shared" si="6"/>
        <v>22</v>
      </c>
      <c r="D6" s="1">
        <v>30.0</v>
      </c>
      <c r="E6" s="1">
        <v>40.0</v>
      </c>
      <c r="F6" s="1">
        <f t="shared" si="1"/>
        <v>35</v>
      </c>
      <c r="G6" s="1">
        <f t="shared" si="2"/>
        <v>140</v>
      </c>
      <c r="H6" s="1">
        <f t="shared" si="3"/>
        <v>1.544068044</v>
      </c>
      <c r="I6" s="1">
        <f t="shared" si="4"/>
        <v>6.176272177</v>
      </c>
      <c r="J6" s="1">
        <f t="shared" si="5"/>
        <v>0.1142857143</v>
      </c>
      <c r="K6" s="1"/>
      <c r="L6" s="1"/>
      <c r="M6" s="1"/>
    </row>
    <row r="7">
      <c r="A7" s="4" t="s">
        <v>73</v>
      </c>
      <c r="B7" s="1">
        <v>2.0</v>
      </c>
      <c r="C7">
        <f t="shared" si="6"/>
        <v>24</v>
      </c>
      <c r="D7" s="1">
        <v>40.0</v>
      </c>
      <c r="E7" s="1">
        <v>50.0</v>
      </c>
      <c r="F7" s="1">
        <f t="shared" si="1"/>
        <v>45</v>
      </c>
      <c r="G7" s="1">
        <f t="shared" si="2"/>
        <v>90</v>
      </c>
      <c r="H7" s="1">
        <f t="shared" si="3"/>
        <v>1.653212514</v>
      </c>
      <c r="I7" s="1">
        <f t="shared" si="4"/>
        <v>3.306425028</v>
      </c>
      <c r="J7" s="1">
        <f t="shared" si="5"/>
        <v>0.04444444444</v>
      </c>
      <c r="K7" s="1"/>
      <c r="L7" s="1"/>
      <c r="M7" s="1"/>
    </row>
    <row r="8">
      <c r="A8" s="1" t="s">
        <v>85</v>
      </c>
      <c r="B8" s="1">
        <f>SUM(B3:B7)</f>
        <v>24</v>
      </c>
      <c r="D8" s="1"/>
      <c r="E8" s="1"/>
      <c r="F8" s="1"/>
      <c r="G8" s="1">
        <f>SUM(G3:G7)</f>
        <v>570</v>
      </c>
      <c r="H8" s="1"/>
      <c r="I8" s="1">
        <f t="shared" ref="I8:J8" si="7">SUM(I3:I7)</f>
        <v>31.4394636</v>
      </c>
      <c r="J8" s="1">
        <f t="shared" si="7"/>
        <v>1.492063492</v>
      </c>
      <c r="K8" s="1"/>
      <c r="L8" s="1"/>
      <c r="M8" s="1"/>
    </row>
    <row r="9">
      <c r="A9" s="1" t="s">
        <v>95</v>
      </c>
      <c r="B9" s="1">
        <f>E3-D3</f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8.75" customHeight="1">
      <c r="A10" s="1" t="s">
        <v>98</v>
      </c>
      <c r="B10" s="1" t="s">
        <v>75</v>
      </c>
      <c r="D10" s="1"/>
      <c r="E10" s="1" t="s">
        <v>76</v>
      </c>
      <c r="F10" s="1"/>
      <c r="G10" s="1"/>
      <c r="H10" s="1"/>
      <c r="I10" s="1"/>
      <c r="J10" s="1"/>
      <c r="K10" s="1"/>
      <c r="L10" s="1"/>
      <c r="M10" s="1"/>
    </row>
    <row r="11" ht="18.0" customHeight="1">
      <c r="A11" s="1" t="s">
        <v>100</v>
      </c>
      <c r="B11" s="1">
        <f>G8/B8</f>
        <v>23.75</v>
      </c>
      <c r="D11" s="1"/>
      <c r="E11" s="1" t="s">
        <v>102</v>
      </c>
      <c r="F11" s="1"/>
      <c r="G11" s="1"/>
      <c r="H11" s="1"/>
      <c r="I11" s="1"/>
      <c r="J11" s="1"/>
      <c r="K11" s="1"/>
      <c r="L11" s="1"/>
      <c r="M11" s="1"/>
    </row>
    <row r="12" ht="18.75" customHeight="1">
      <c r="A12" s="1" t="s">
        <v>104</v>
      </c>
      <c r="B12" s="1">
        <f>10^(I8/B8)</f>
        <v>20.41632874</v>
      </c>
      <c r="D12" s="1"/>
      <c r="E12" s="1" t="s">
        <v>106</v>
      </c>
      <c r="F12" s="1"/>
      <c r="G12" s="1"/>
      <c r="H12" s="1"/>
      <c r="I12" s="1"/>
      <c r="J12" s="1"/>
      <c r="K12" s="1"/>
      <c r="L12" s="1"/>
      <c r="M12" s="1"/>
    </row>
    <row r="13" ht="20.25" customHeight="1">
      <c r="A13" s="1" t="s">
        <v>107</v>
      </c>
      <c r="B13">
        <f>B8/J8</f>
        <v>16.08510638</v>
      </c>
      <c r="D13" s="1"/>
      <c r="E13" s="1" t="s">
        <v>110</v>
      </c>
      <c r="F13" s="1"/>
      <c r="G13" s="1"/>
      <c r="H13" s="1"/>
      <c r="I13" s="1"/>
      <c r="J13" s="1"/>
      <c r="K13" s="1"/>
      <c r="L13" s="1"/>
      <c r="M13" s="1"/>
    </row>
    <row r="14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 t="s">
        <v>113</v>
      </c>
      <c r="B15" s="1">
        <f>MAX(B3:B7)</f>
        <v>10</v>
      </c>
      <c r="C15" s="1" t="s">
        <v>63</v>
      </c>
      <c r="D15" s="1"/>
      <c r="E15" s="1" t="s">
        <v>116</v>
      </c>
      <c r="F15" s="1"/>
      <c r="G15" s="1"/>
      <c r="H15" s="1"/>
      <c r="I15" s="1"/>
      <c r="J15" s="1"/>
      <c r="K15" s="1"/>
      <c r="L15" s="1"/>
      <c r="M15" s="1"/>
    </row>
    <row r="16">
      <c r="A16" s="1" t="s">
        <v>118</v>
      </c>
      <c r="B16" s="1">
        <f>D5+(B5-B4)/(2*B5-B4-B6)*B9</f>
        <v>24.54545455</v>
      </c>
      <c r="C16" s="1"/>
      <c r="D16" s="1"/>
      <c r="E16" s="1" t="s">
        <v>121</v>
      </c>
      <c r="F16" s="1"/>
      <c r="G16" s="1"/>
      <c r="H16" s="1"/>
      <c r="I16" s="1"/>
      <c r="J16" s="1"/>
      <c r="K16" s="1"/>
      <c r="L16" s="1"/>
      <c r="M16" s="1"/>
    </row>
    <row r="17">
      <c r="A17" s="1" t="s">
        <v>124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A18" s="1" t="s">
        <v>126</v>
      </c>
      <c r="B18" s="1">
        <f>B8/2</f>
        <v>12</v>
      </c>
      <c r="C18" s="1" t="s">
        <v>63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A19" s="1" t="s">
        <v>131</v>
      </c>
      <c r="B19" s="1">
        <f>D5+(B18-C4)/B5*B9</f>
        <v>24</v>
      </c>
      <c r="C19" s="1"/>
      <c r="D19" s="1"/>
      <c r="E19" s="1" t="s">
        <v>136</v>
      </c>
      <c r="F19" s="1"/>
      <c r="G19" s="1"/>
      <c r="H19" s="1"/>
      <c r="I19" s="1"/>
      <c r="J19" s="1"/>
      <c r="K19" s="1"/>
      <c r="L19" s="1"/>
      <c r="M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 ht="15.75" customHeight="1">
      <c r="A21" s="1" t="s">
        <v>138</v>
      </c>
      <c r="B21" s="1">
        <f>3*B8/4</f>
        <v>18</v>
      </c>
      <c r="C21" s="1" t="s">
        <v>63</v>
      </c>
      <c r="D21" s="1"/>
      <c r="E21" s="1" t="s">
        <v>140</v>
      </c>
      <c r="F21" s="1"/>
      <c r="G21" s="1"/>
      <c r="H21" s="1"/>
      <c r="I21" s="1"/>
    </row>
    <row r="22" ht="15.75" customHeight="1">
      <c r="A22" s="1" t="s">
        <v>14</v>
      </c>
      <c r="B22" s="1">
        <f>D5+(B21-C4)/B5*B9</f>
        <v>30</v>
      </c>
      <c r="C22" s="1"/>
      <c r="D22" s="1"/>
      <c r="E22" s="1" t="s">
        <v>144</v>
      </c>
      <c r="F22" s="1"/>
      <c r="G22" s="1"/>
      <c r="H22" s="1"/>
      <c r="I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</row>
    <row r="24" ht="15.75" customHeight="1">
      <c r="A24" s="1" t="s">
        <v>145</v>
      </c>
      <c r="B24" s="1">
        <f>5*B8/10</f>
        <v>12</v>
      </c>
      <c r="C24" s="1" t="s">
        <v>63</v>
      </c>
      <c r="D24" s="1"/>
      <c r="E24" s="1"/>
      <c r="F24" s="1"/>
      <c r="G24" s="1"/>
      <c r="H24" s="1"/>
      <c r="I24" s="1"/>
    </row>
    <row r="25" ht="15.75" customHeight="1">
      <c r="A25" s="1" t="s">
        <v>25</v>
      </c>
      <c r="B25" s="1">
        <f>D5+(B24-C4)/B5*B9</f>
        <v>24</v>
      </c>
      <c r="C25" s="1"/>
      <c r="D25" s="1"/>
      <c r="E25" s="1" t="s">
        <v>146</v>
      </c>
      <c r="F25" s="1"/>
      <c r="G25" s="1"/>
      <c r="H25" s="1"/>
      <c r="I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</row>
    <row r="27" ht="15.75" customHeight="1">
      <c r="A27" s="1" t="s">
        <v>147</v>
      </c>
      <c r="B27" s="1">
        <f>30*(B8/100)</f>
        <v>7.2</v>
      </c>
      <c r="C27" s="2" t="s">
        <v>56</v>
      </c>
      <c r="D27" s="1"/>
      <c r="E27" s="1"/>
      <c r="F27" s="1"/>
      <c r="G27" s="1"/>
      <c r="H27" s="1"/>
      <c r="I27" s="1"/>
    </row>
    <row r="28" ht="15.75" customHeight="1">
      <c r="A28" s="1" t="s">
        <v>148</v>
      </c>
      <c r="B28" s="1">
        <f>D4+(B27-C3)/B4*B9</f>
        <v>18.4</v>
      </c>
      <c r="C28" s="1"/>
      <c r="D28" s="1"/>
      <c r="E28" s="1" t="s">
        <v>149</v>
      </c>
      <c r="F28" s="1"/>
      <c r="G28" s="1"/>
      <c r="H28" s="1"/>
      <c r="I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</row>
    <row r="30" ht="15.75" customHeight="1">
      <c r="A30" s="1" t="s">
        <v>150</v>
      </c>
      <c r="B30" s="1">
        <f>80*(B8/100)</f>
        <v>19.2</v>
      </c>
      <c r="C30" s="1" t="s">
        <v>151</v>
      </c>
      <c r="D30" s="1"/>
      <c r="E30" s="1"/>
      <c r="F30" s="1"/>
      <c r="G30" s="1"/>
      <c r="H30" s="1"/>
      <c r="I30" s="1"/>
    </row>
    <row r="31" ht="15.75" customHeight="1">
      <c r="A31" s="1" t="s">
        <v>152</v>
      </c>
      <c r="B31" s="1">
        <f>D6+(B30-C5)/B6*B9</f>
        <v>33</v>
      </c>
      <c r="C31" s="1"/>
      <c r="D31" s="1"/>
      <c r="E31" s="1" t="s">
        <v>153</v>
      </c>
      <c r="F31" s="1"/>
      <c r="G31" s="1"/>
      <c r="H31" s="1"/>
      <c r="I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43"/>
    <col customWidth="1" min="4" max="4" width="8.71"/>
    <col customWidth="1" min="5" max="5" width="23.29"/>
    <col customWidth="1" min="6" max="26" width="8.71"/>
  </cols>
  <sheetData>
    <row r="1">
      <c r="A1" s="1" t="s">
        <v>71</v>
      </c>
      <c r="B1" s="3"/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>
        <v>2.0</v>
      </c>
      <c r="B2" s="3"/>
      <c r="C2" s="1" t="s">
        <v>79</v>
      </c>
      <c r="D2" s="1">
        <f>MAX(A2:A8)</f>
        <v>50</v>
      </c>
      <c r="E2" s="1" t="s">
        <v>82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>
        <v>13.0</v>
      </c>
      <c r="B3" s="3"/>
      <c r="C3" s="1" t="s">
        <v>83</v>
      </c>
      <c r="D3" s="1">
        <f>MIN(A2:A8)</f>
        <v>2</v>
      </c>
      <c r="E3" s="1" t="s">
        <v>86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1">
        <v>32.0</v>
      </c>
      <c r="B4" s="3"/>
      <c r="C4" s="1" t="s">
        <v>88</v>
      </c>
      <c r="D4" s="1">
        <f>D2-D3</f>
        <v>48</v>
      </c>
      <c r="E4" s="1" t="s">
        <v>90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">
        <v>33.0</v>
      </c>
      <c r="B5" s="3"/>
      <c r="C5" s="1" t="s">
        <v>91</v>
      </c>
      <c r="D5" s="1">
        <f>(D2-D3)/(D2+D3)</f>
        <v>0.9230769231</v>
      </c>
      <c r="E5" s="1" t="s">
        <v>94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A6" s="1">
        <v>45.0</v>
      </c>
      <c r="B6" s="3"/>
      <c r="C6" s="1" t="s">
        <v>10</v>
      </c>
      <c r="D6" s="1">
        <f>QUARTILE(A2:A8,1)</f>
        <v>22.5</v>
      </c>
      <c r="E6" s="1" t="s">
        <v>99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1">
        <v>46.0</v>
      </c>
      <c r="B7" s="3"/>
      <c r="C7" s="1" t="s">
        <v>14</v>
      </c>
      <c r="D7" s="1">
        <f>QUARTILE(A2:A8,3)</f>
        <v>45.5</v>
      </c>
      <c r="E7" s="1" t="s">
        <v>103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>
      <c r="A8" s="1">
        <v>50.0</v>
      </c>
      <c r="B8" s="3"/>
      <c r="C8" s="1" t="s">
        <v>105</v>
      </c>
      <c r="D8" s="1">
        <f>(D7-D6)/2</f>
        <v>11.5</v>
      </c>
      <c r="E8" s="1" t="s">
        <v>108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3"/>
      <c r="B9" s="3"/>
      <c r="C9" s="1" t="s">
        <v>109</v>
      </c>
      <c r="D9" s="3">
        <f>(D7-D6)/(D7+D6)</f>
        <v>0.3382352941</v>
      </c>
      <c r="E9" s="1" t="s">
        <v>114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>
      <c r="A10" s="1"/>
      <c r="B10" s="1"/>
      <c r="C10" s="1" t="s">
        <v>100</v>
      </c>
      <c r="D10" s="1">
        <f>AVERAGE(A2:A8)</f>
        <v>31.57142857</v>
      </c>
      <c r="E10" s="1" t="s">
        <v>119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 t="s">
        <v>120</v>
      </c>
      <c r="D11" s="1">
        <f>STDEV(A2:A8)</f>
        <v>18.02643561</v>
      </c>
      <c r="E11" s="1" t="s">
        <v>123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A12" s="3"/>
      <c r="B12" s="3"/>
      <c r="C12" s="1" t="s">
        <v>127</v>
      </c>
      <c r="D12" s="3">
        <f>D11^2</f>
        <v>324.952381</v>
      </c>
      <c r="E12" s="1" t="s">
        <v>130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>
      <c r="A13" s="1"/>
      <c r="B13" s="1"/>
      <c r="C13" s="1" t="s">
        <v>132</v>
      </c>
      <c r="D13" s="1">
        <f>D11/D10*100</f>
        <v>57.09730738</v>
      </c>
      <c r="E13" s="1" t="s">
        <v>137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>
      <c r="A14" s="3"/>
      <c r="B14" s="3"/>
      <c r="C14" s="3"/>
      <c r="D14" s="3"/>
      <c r="E14" s="3"/>
      <c r="F14" s="3"/>
      <c r="G14" s="3"/>
      <c r="H14" s="3"/>
      <c r="I14" s="1"/>
      <c r="J14" s="1"/>
      <c r="K14" s="1"/>
      <c r="L14" s="1"/>
      <c r="M14" s="1"/>
      <c r="N14" s="1"/>
      <c r="O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A17" s="1" t="s">
        <v>141</v>
      </c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H17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4" width="8.71"/>
    <col customWidth="1" min="5" max="5" width="26.0"/>
    <col customWidth="1" min="6" max="26" width="8.71"/>
  </cols>
  <sheetData>
    <row r="1">
      <c r="A1" s="1" t="s">
        <v>141</v>
      </c>
      <c r="I1" s="1"/>
      <c r="J1" s="1"/>
      <c r="K1" s="3"/>
      <c r="L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3"/>
      <c r="L2" s="3"/>
    </row>
    <row r="3">
      <c r="A3" s="1" t="s">
        <v>154</v>
      </c>
      <c r="B3" s="1" t="s">
        <v>155</v>
      </c>
      <c r="C3" s="1"/>
      <c r="D3" s="1"/>
      <c r="E3" s="1"/>
      <c r="F3" s="1"/>
      <c r="G3" s="1"/>
      <c r="H3" s="1"/>
      <c r="I3" s="1"/>
      <c r="J3" s="1"/>
      <c r="K3" s="3"/>
      <c r="L3" s="3"/>
    </row>
    <row r="4">
      <c r="A4" s="1">
        <v>5.0</v>
      </c>
      <c r="B4" s="1">
        <v>5.0</v>
      </c>
      <c r="C4" s="1"/>
      <c r="D4" s="1"/>
      <c r="E4" s="1"/>
      <c r="F4" s="1"/>
      <c r="G4" s="1"/>
      <c r="H4" s="1"/>
      <c r="I4" s="1"/>
      <c r="J4" s="1"/>
      <c r="K4" s="3"/>
      <c r="L4" s="3"/>
    </row>
    <row r="5">
      <c r="A5" s="1">
        <v>15.0</v>
      </c>
      <c r="B5" s="1">
        <v>7.0</v>
      </c>
      <c r="C5" s="1"/>
      <c r="D5" s="1"/>
      <c r="E5" s="1"/>
      <c r="F5" s="1"/>
      <c r="G5" s="1"/>
      <c r="H5" s="1"/>
      <c r="I5" s="1"/>
      <c r="J5" s="1"/>
      <c r="K5" s="3"/>
      <c r="L5" s="3"/>
    </row>
    <row r="6">
      <c r="A6" s="1">
        <v>20.0</v>
      </c>
      <c r="B6" s="1">
        <v>15.0</v>
      </c>
      <c r="C6" s="1"/>
      <c r="D6" s="1"/>
      <c r="E6" s="1"/>
      <c r="F6" s="1"/>
      <c r="G6" s="1"/>
      <c r="H6" s="1"/>
      <c r="I6" s="1"/>
      <c r="J6" s="1"/>
      <c r="K6" s="3"/>
      <c r="L6" s="3"/>
    </row>
    <row r="7">
      <c r="A7" s="1">
        <v>25.0</v>
      </c>
      <c r="B7" s="1">
        <v>20.0</v>
      </c>
      <c r="C7" s="1"/>
      <c r="D7" s="1"/>
      <c r="E7" s="1"/>
      <c r="F7" s="1"/>
      <c r="G7" s="1"/>
      <c r="H7" s="1"/>
      <c r="I7" s="1"/>
      <c r="J7" s="1"/>
      <c r="K7" s="3"/>
      <c r="L7" s="3"/>
    </row>
    <row r="8">
      <c r="A8" s="1">
        <v>30.0</v>
      </c>
      <c r="B8" s="1">
        <v>17.0</v>
      </c>
      <c r="C8" s="1"/>
      <c r="D8" s="1"/>
      <c r="E8" s="1"/>
      <c r="F8" s="1"/>
      <c r="G8" s="1"/>
      <c r="H8" s="1"/>
      <c r="I8" s="1"/>
      <c r="J8" s="5"/>
      <c r="K8" s="3"/>
      <c r="L8" s="3"/>
    </row>
    <row r="9">
      <c r="A9" s="1">
        <v>40.0</v>
      </c>
      <c r="B9" s="1">
        <v>12.0</v>
      </c>
      <c r="C9" s="1"/>
      <c r="D9" s="1"/>
      <c r="E9" s="1"/>
      <c r="F9" s="1"/>
      <c r="G9" s="1"/>
      <c r="H9" s="1"/>
      <c r="I9" s="1"/>
      <c r="J9" s="1"/>
      <c r="K9" s="3"/>
      <c r="L9" s="3"/>
    </row>
    <row r="10">
      <c r="A10" s="1">
        <v>45.0</v>
      </c>
      <c r="B10" s="1">
        <v>10.0</v>
      </c>
      <c r="C10" s="1"/>
      <c r="D10" s="1"/>
      <c r="E10" s="1"/>
      <c r="F10" s="1"/>
      <c r="G10" s="1"/>
      <c r="H10" s="1"/>
      <c r="I10" s="1"/>
      <c r="J10" s="1"/>
      <c r="K10" s="3"/>
      <c r="L10" s="3"/>
    </row>
    <row r="11">
      <c r="A11" s="1">
        <v>50.0</v>
      </c>
      <c r="B11" s="1">
        <v>8.0</v>
      </c>
      <c r="C11" s="1"/>
      <c r="D11" s="1"/>
      <c r="E11" s="1"/>
      <c r="F11" s="1"/>
      <c r="G11" s="1"/>
      <c r="H11" s="1"/>
      <c r="I11" s="1"/>
      <c r="J11" s="1"/>
      <c r="K11" s="3"/>
      <c r="L11" s="3"/>
    </row>
    <row r="12">
      <c r="A12" s="1">
        <v>55.0</v>
      </c>
      <c r="B12" s="1">
        <v>6.0</v>
      </c>
      <c r="C12" s="1"/>
      <c r="D12" s="1"/>
      <c r="E12" s="1"/>
      <c r="F12" s="1"/>
      <c r="G12" s="1"/>
      <c r="H12" s="1"/>
      <c r="I12" s="1"/>
      <c r="J12" s="1"/>
      <c r="K12" s="3"/>
      <c r="L12" s="3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</row>
    <row r="14">
      <c r="A14" s="1" t="s">
        <v>156</v>
      </c>
      <c r="G14" s="1"/>
      <c r="H14" s="1"/>
      <c r="I14" s="1"/>
      <c r="J14" s="1"/>
      <c r="K14" s="3"/>
      <c r="L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</row>
    <row r="16">
      <c r="A16" s="8" t="s">
        <v>160</v>
      </c>
      <c r="B16" s="8" t="s">
        <v>45</v>
      </c>
      <c r="C16" s="8" t="s">
        <v>46</v>
      </c>
      <c r="D16" s="8" t="s">
        <v>161</v>
      </c>
      <c r="E16" s="8" t="s">
        <v>162</v>
      </c>
      <c r="F16" s="1"/>
      <c r="G16" s="1"/>
      <c r="H16" s="1"/>
      <c r="I16" s="1"/>
      <c r="J16" s="1"/>
      <c r="K16" s="3"/>
      <c r="L16" s="3"/>
    </row>
    <row r="17">
      <c r="A17" s="10">
        <v>5.0</v>
      </c>
      <c r="B17" s="10">
        <v>5.0</v>
      </c>
      <c r="C17" s="10">
        <f>B17</f>
        <v>5</v>
      </c>
      <c r="D17" s="10">
        <f t="shared" ref="D17:D25" si="1">B17*A17</f>
        <v>25</v>
      </c>
      <c r="E17" s="10">
        <f t="shared" ref="E17:E25" si="2">B17*A17^2</f>
        <v>125</v>
      </c>
      <c r="F17" s="1"/>
      <c r="G17" s="1"/>
      <c r="H17" s="1"/>
      <c r="I17" s="1"/>
      <c r="J17" s="1"/>
      <c r="K17" s="3"/>
      <c r="L17" s="3"/>
    </row>
    <row r="18">
      <c r="A18" s="10">
        <v>15.0</v>
      </c>
      <c r="B18" s="10">
        <v>7.0</v>
      </c>
      <c r="C18" s="10">
        <f t="shared" ref="C18:C25" si="3">B18+C17</f>
        <v>12</v>
      </c>
      <c r="D18" s="10">
        <f t="shared" si="1"/>
        <v>105</v>
      </c>
      <c r="E18" s="10">
        <f t="shared" si="2"/>
        <v>1575</v>
      </c>
      <c r="F18" s="1"/>
      <c r="G18" s="1"/>
      <c r="H18" s="11"/>
      <c r="I18" s="11"/>
      <c r="J18" s="11"/>
      <c r="K18" s="12"/>
      <c r="L18" s="12"/>
      <c r="M18" s="12"/>
      <c r="N18" s="12"/>
    </row>
    <row r="19">
      <c r="A19" s="10">
        <v>20.0</v>
      </c>
      <c r="B19" s="10">
        <v>15.0</v>
      </c>
      <c r="C19" s="10">
        <f t="shared" si="3"/>
        <v>27</v>
      </c>
      <c r="D19" s="10">
        <f t="shared" si="1"/>
        <v>300</v>
      </c>
      <c r="E19" s="10">
        <f t="shared" si="2"/>
        <v>6000</v>
      </c>
      <c r="F19" s="1"/>
      <c r="G19" s="1"/>
      <c r="H19" s="11"/>
      <c r="I19" s="11"/>
      <c r="J19" s="11"/>
      <c r="K19" s="12"/>
      <c r="L19" s="12"/>
      <c r="M19" s="12"/>
      <c r="N19" s="12"/>
    </row>
    <row r="20">
      <c r="A20" s="10">
        <v>25.0</v>
      </c>
      <c r="B20" s="10">
        <v>20.0</v>
      </c>
      <c r="C20" s="10">
        <f t="shared" si="3"/>
        <v>47</v>
      </c>
      <c r="D20" s="10">
        <f t="shared" si="1"/>
        <v>500</v>
      </c>
      <c r="E20" s="10">
        <f t="shared" si="2"/>
        <v>12500</v>
      </c>
      <c r="F20" s="1"/>
      <c r="G20" s="1"/>
      <c r="H20" s="11"/>
      <c r="I20" s="11"/>
      <c r="J20" s="11"/>
      <c r="K20" s="12"/>
      <c r="L20" s="12"/>
      <c r="M20" s="12"/>
      <c r="N20" s="12"/>
    </row>
    <row r="21" ht="15.75" customHeight="1">
      <c r="A21" s="10">
        <v>30.0</v>
      </c>
      <c r="B21" s="10">
        <v>17.0</v>
      </c>
      <c r="C21" s="10">
        <f t="shared" si="3"/>
        <v>64</v>
      </c>
      <c r="D21" s="10">
        <f t="shared" si="1"/>
        <v>510</v>
      </c>
      <c r="E21" s="10">
        <f t="shared" si="2"/>
        <v>15300</v>
      </c>
      <c r="F21" s="1"/>
      <c r="G21" s="1"/>
      <c r="H21" s="11"/>
      <c r="I21" s="11"/>
      <c r="J21" s="11"/>
      <c r="K21" s="12"/>
      <c r="L21" s="12"/>
      <c r="M21" s="12"/>
      <c r="N21" s="12"/>
    </row>
    <row r="22" ht="15.75" customHeight="1">
      <c r="A22" s="10">
        <v>40.0</v>
      </c>
      <c r="B22" s="10">
        <v>12.0</v>
      </c>
      <c r="C22" s="10">
        <f t="shared" si="3"/>
        <v>76</v>
      </c>
      <c r="D22" s="10">
        <f t="shared" si="1"/>
        <v>480</v>
      </c>
      <c r="E22" s="10">
        <f t="shared" si="2"/>
        <v>19200</v>
      </c>
      <c r="F22" s="1"/>
      <c r="G22" s="1"/>
      <c r="H22" s="11"/>
      <c r="I22" s="11"/>
      <c r="J22" s="12"/>
      <c r="K22" s="12"/>
      <c r="L22" s="12"/>
      <c r="M22" s="12"/>
      <c r="N22" s="12"/>
    </row>
    <row r="23" ht="15.75" customHeight="1">
      <c r="A23" s="10">
        <v>45.0</v>
      </c>
      <c r="B23" s="10">
        <v>10.0</v>
      </c>
      <c r="C23" s="10">
        <f t="shared" si="3"/>
        <v>86</v>
      </c>
      <c r="D23" s="10">
        <f t="shared" si="1"/>
        <v>450</v>
      </c>
      <c r="E23" s="10">
        <f t="shared" si="2"/>
        <v>20250</v>
      </c>
      <c r="F23" s="1"/>
      <c r="G23" s="1"/>
      <c r="H23" s="11"/>
      <c r="I23" s="11"/>
      <c r="J23" s="11"/>
      <c r="K23" s="12"/>
      <c r="L23" s="12"/>
      <c r="M23" s="12"/>
      <c r="N23" s="12"/>
    </row>
    <row r="24" ht="15.75" customHeight="1">
      <c r="A24" s="10">
        <v>50.0</v>
      </c>
      <c r="B24" s="10">
        <v>8.0</v>
      </c>
      <c r="C24" s="10">
        <f t="shared" si="3"/>
        <v>94</v>
      </c>
      <c r="D24" s="10">
        <f t="shared" si="1"/>
        <v>400</v>
      </c>
      <c r="E24" s="10">
        <f t="shared" si="2"/>
        <v>20000</v>
      </c>
      <c r="F24" s="1"/>
      <c r="G24" s="1"/>
      <c r="H24" s="11"/>
      <c r="I24" s="11"/>
      <c r="J24" s="11"/>
      <c r="K24" s="12"/>
      <c r="L24" s="12"/>
      <c r="M24" s="12"/>
      <c r="N24" s="12"/>
    </row>
    <row r="25" ht="15.75" customHeight="1">
      <c r="A25" s="10">
        <v>55.0</v>
      </c>
      <c r="B25" s="10">
        <v>6.0</v>
      </c>
      <c r="C25" s="10">
        <f t="shared" si="3"/>
        <v>100</v>
      </c>
      <c r="D25" s="10">
        <f t="shared" si="1"/>
        <v>330</v>
      </c>
      <c r="E25" s="10">
        <f t="shared" si="2"/>
        <v>18150</v>
      </c>
      <c r="F25" s="1"/>
      <c r="G25" s="1"/>
      <c r="H25" s="11"/>
      <c r="I25" s="11"/>
      <c r="J25" s="11"/>
      <c r="K25" s="12"/>
      <c r="L25" s="12"/>
      <c r="M25" s="12"/>
      <c r="N25" s="12"/>
    </row>
    <row r="26" ht="15.75" customHeight="1">
      <c r="A26" s="13" t="s">
        <v>85</v>
      </c>
      <c r="B26" s="13">
        <f>SUM(B17:B25)</f>
        <v>100</v>
      </c>
      <c r="C26" s="13"/>
      <c r="D26" s="13">
        <f t="shared" ref="D26:E26" si="4">SUM(D17:D25)</f>
        <v>3100</v>
      </c>
      <c r="E26" s="13">
        <f t="shared" si="4"/>
        <v>113100</v>
      </c>
      <c r="F26" s="1"/>
      <c r="G26" s="1"/>
      <c r="H26" s="11"/>
      <c r="I26" s="11"/>
      <c r="J26" s="11"/>
      <c r="K26" s="12"/>
      <c r="L26" s="12"/>
      <c r="M26" s="12"/>
      <c r="N26" s="12"/>
    </row>
    <row r="27" ht="15.75" customHeight="1">
      <c r="A27" s="1"/>
      <c r="B27" s="1"/>
      <c r="C27" s="1"/>
      <c r="D27" s="1"/>
      <c r="E27" s="1"/>
      <c r="F27" s="1"/>
      <c r="G27" s="1"/>
      <c r="H27" s="11"/>
      <c r="I27" s="11"/>
      <c r="J27" s="11"/>
      <c r="K27" s="12"/>
      <c r="L27" s="12"/>
      <c r="M27" s="12"/>
      <c r="N27" s="12"/>
    </row>
    <row r="28" ht="15.75" customHeight="1">
      <c r="A28" s="1" t="s">
        <v>98</v>
      </c>
      <c r="B28" s="1"/>
      <c r="C28" s="1" t="s">
        <v>178</v>
      </c>
      <c r="D28" s="1" t="s">
        <v>179</v>
      </c>
      <c r="E28" s="1" t="s">
        <v>180</v>
      </c>
      <c r="F28" s="1"/>
      <c r="G28" s="1"/>
      <c r="H28" s="11"/>
      <c r="I28" s="11"/>
      <c r="J28" s="11"/>
      <c r="K28" s="12"/>
      <c r="L28" s="12"/>
      <c r="M28" s="12"/>
      <c r="N28" s="12"/>
    </row>
    <row r="29" ht="15.75" customHeight="1">
      <c r="A29" s="1" t="s">
        <v>79</v>
      </c>
      <c r="B29" s="1"/>
      <c r="C29" s="1"/>
      <c r="D29" s="1">
        <f>MAX(A17:A25)</f>
        <v>55</v>
      </c>
      <c r="E29" s="1" t="s">
        <v>183</v>
      </c>
      <c r="F29" s="1"/>
      <c r="G29" s="1"/>
      <c r="H29" s="11"/>
      <c r="I29" s="11"/>
      <c r="J29" s="11"/>
      <c r="K29" s="12"/>
      <c r="L29" s="12"/>
      <c r="M29" s="12"/>
      <c r="N29" s="12"/>
    </row>
    <row r="30" ht="15.75" customHeight="1">
      <c r="A30" s="1" t="s">
        <v>83</v>
      </c>
      <c r="B30" s="1"/>
      <c r="C30" s="1"/>
      <c r="D30" s="1">
        <f>MIN(A17:A25)</f>
        <v>5</v>
      </c>
      <c r="E30" s="1" t="s">
        <v>185</v>
      </c>
      <c r="F30" s="1"/>
      <c r="G30" s="1"/>
      <c r="H30" s="11"/>
      <c r="I30" s="11"/>
      <c r="J30" s="11"/>
      <c r="K30" s="12"/>
      <c r="L30" s="12"/>
      <c r="M30" s="12"/>
      <c r="N30" s="12"/>
    </row>
    <row r="31" ht="15.75" customHeight="1">
      <c r="A31" s="1" t="s">
        <v>88</v>
      </c>
      <c r="B31" s="1"/>
      <c r="C31" s="1"/>
      <c r="D31" s="1">
        <f>D29-D30</f>
        <v>50</v>
      </c>
      <c r="E31" s="1" t="s">
        <v>187</v>
      </c>
      <c r="F31" s="1"/>
      <c r="G31" s="1"/>
      <c r="H31" s="11"/>
      <c r="I31" s="11"/>
      <c r="J31" s="11"/>
      <c r="K31" s="12"/>
      <c r="L31" s="12"/>
      <c r="M31" s="12"/>
      <c r="N31" s="12"/>
    </row>
    <row r="32" ht="15.75" customHeight="1">
      <c r="A32" s="1" t="s">
        <v>91</v>
      </c>
      <c r="B32" s="1"/>
      <c r="C32" s="1"/>
      <c r="D32" s="1">
        <f>(D29-D30)/(D29+D30)</f>
        <v>0.8333333333</v>
      </c>
      <c r="E32" s="1" t="s">
        <v>190</v>
      </c>
      <c r="F32" s="1"/>
      <c r="G32" s="1"/>
      <c r="H32" s="1"/>
      <c r="I32" s="1"/>
      <c r="J32" s="1"/>
      <c r="K32" s="3"/>
      <c r="L32" s="3"/>
    </row>
    <row r="33" ht="15.75" customHeight="1">
      <c r="A33" s="1" t="s">
        <v>10</v>
      </c>
      <c r="B33" s="1"/>
      <c r="C33" s="1">
        <f>(B26+1)/4</f>
        <v>25.25</v>
      </c>
      <c r="D33" s="10">
        <v>20.0</v>
      </c>
      <c r="E33" s="1" t="s">
        <v>193</v>
      </c>
      <c r="F33" s="1"/>
      <c r="G33" s="1"/>
      <c r="H33" s="1"/>
      <c r="I33" s="1"/>
      <c r="J33" s="1"/>
      <c r="K33" s="3"/>
      <c r="L33" s="3"/>
    </row>
    <row r="34" ht="15.75" customHeight="1">
      <c r="A34" s="1" t="s">
        <v>14</v>
      </c>
      <c r="B34" s="1"/>
      <c r="C34" s="1">
        <f>3*(B26+1)/4</f>
        <v>75.75</v>
      </c>
      <c r="D34" s="1">
        <v>40.0</v>
      </c>
      <c r="E34" s="1" t="s">
        <v>196</v>
      </c>
      <c r="F34" s="1"/>
      <c r="G34" s="1"/>
      <c r="H34" s="1"/>
      <c r="I34" s="1"/>
      <c r="J34" s="1"/>
      <c r="K34" s="3"/>
      <c r="L34" s="3"/>
    </row>
    <row r="35" ht="15.75" customHeight="1">
      <c r="A35" s="1" t="s">
        <v>105</v>
      </c>
      <c r="B35" s="1"/>
      <c r="C35" s="1"/>
      <c r="D35" s="1">
        <f>(D34-D33)/2</f>
        <v>10</v>
      </c>
      <c r="E35" s="1" t="s">
        <v>199</v>
      </c>
      <c r="F35" s="1"/>
      <c r="G35" s="1"/>
      <c r="H35" s="1"/>
      <c r="I35" s="1"/>
      <c r="J35" s="1"/>
      <c r="K35" s="3"/>
      <c r="L35" s="3"/>
    </row>
    <row r="36" ht="15.75" customHeight="1">
      <c r="A36" s="1" t="s">
        <v>200</v>
      </c>
      <c r="B36" s="1"/>
      <c r="C36" s="1"/>
      <c r="D36" s="1">
        <f>(D34-D33)/(D34+D33)</f>
        <v>0.3333333333</v>
      </c>
      <c r="E36" s="1" t="s">
        <v>203</v>
      </c>
      <c r="F36" s="1"/>
      <c r="G36" s="1"/>
      <c r="H36" s="1"/>
      <c r="I36" s="1"/>
      <c r="J36" s="1"/>
      <c r="K36" s="3"/>
      <c r="L36" s="3"/>
    </row>
    <row r="37" ht="15.75" customHeight="1">
      <c r="A37" s="1" t="s">
        <v>100</v>
      </c>
      <c r="B37" s="1"/>
      <c r="C37" s="1"/>
      <c r="D37" s="1">
        <f>D26/B26</f>
        <v>31</v>
      </c>
      <c r="E37" s="1" t="s">
        <v>204</v>
      </c>
      <c r="F37" s="1"/>
      <c r="G37" s="1"/>
      <c r="H37" s="1"/>
      <c r="I37" s="1"/>
      <c r="J37" s="1"/>
      <c r="K37" s="3"/>
      <c r="L37" s="3"/>
    </row>
    <row r="38" ht="15.75" customHeight="1">
      <c r="A38" s="1" t="s">
        <v>120</v>
      </c>
      <c r="B38" s="1"/>
      <c r="C38" s="1"/>
      <c r="D38" s="1">
        <f>SQRT(E26/B26-(D26/B26)^2)</f>
        <v>13.03840481</v>
      </c>
      <c r="E38" s="1" t="s">
        <v>207</v>
      </c>
      <c r="F38" s="1"/>
      <c r="G38" s="1"/>
      <c r="H38" s="1"/>
      <c r="I38" s="1"/>
      <c r="J38" s="1"/>
      <c r="K38" s="3"/>
      <c r="L38" s="3"/>
    </row>
    <row r="39" ht="15.75" customHeight="1">
      <c r="A39" s="1" t="s">
        <v>127</v>
      </c>
      <c r="B39" s="1"/>
      <c r="C39" s="1"/>
      <c r="D39" s="1">
        <f>D38^2</f>
        <v>170</v>
      </c>
      <c r="E39" s="1" t="s">
        <v>210</v>
      </c>
      <c r="F39" s="1"/>
      <c r="G39" s="1"/>
      <c r="H39" s="1"/>
      <c r="I39" s="1"/>
      <c r="J39" s="1"/>
      <c r="K39" s="3"/>
      <c r="L39" s="3"/>
    </row>
    <row r="40" ht="15.75" customHeight="1">
      <c r="A40" s="1" t="s">
        <v>211</v>
      </c>
      <c r="B40" s="1"/>
      <c r="C40" s="1"/>
      <c r="D40" s="1">
        <f>D38/D37*100</f>
        <v>42.05937036</v>
      </c>
      <c r="E40" s="1" t="s">
        <v>213</v>
      </c>
      <c r="F40" s="1"/>
      <c r="G40" s="1"/>
      <c r="H40" s="1"/>
      <c r="I40" s="1"/>
      <c r="J40" s="1"/>
      <c r="K40" s="3"/>
      <c r="L40" s="3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3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3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3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3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3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3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3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3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3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3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3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4:F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9.29"/>
  </cols>
  <sheetData>
    <row r="1">
      <c r="A1" s="6"/>
      <c r="I1" s="7"/>
      <c r="J1" s="7"/>
      <c r="K1" s="7"/>
      <c r="L1" s="7"/>
    </row>
    <row r="2">
      <c r="I2" s="7"/>
      <c r="J2" s="7"/>
      <c r="K2" s="7"/>
      <c r="L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>
      <c r="A4" s="6" t="s">
        <v>157</v>
      </c>
      <c r="B4" s="6" t="s">
        <v>158</v>
      </c>
      <c r="C4" s="6" t="s">
        <v>159</v>
      </c>
      <c r="D4" s="7"/>
      <c r="E4" s="7"/>
      <c r="F4" s="7"/>
      <c r="G4" s="7"/>
      <c r="H4" s="7"/>
      <c r="I4" s="7"/>
      <c r="J4" s="7"/>
      <c r="K4" s="7"/>
      <c r="L4" s="7"/>
    </row>
    <row r="5">
      <c r="A5" s="9">
        <v>43230.0</v>
      </c>
      <c r="B5" s="6">
        <v>2.0</v>
      </c>
      <c r="C5" s="6">
        <v>4.0</v>
      </c>
      <c r="D5" s="7"/>
      <c r="E5" s="7"/>
      <c r="F5" s="7"/>
      <c r="G5" s="7"/>
      <c r="H5" s="7"/>
      <c r="I5" s="7"/>
      <c r="J5" s="7"/>
      <c r="K5" s="7"/>
      <c r="L5" s="7"/>
    </row>
    <row r="6">
      <c r="A6" s="9">
        <v>43388.0</v>
      </c>
      <c r="B6" s="6">
        <v>4.0</v>
      </c>
      <c r="C6" s="6">
        <v>6.0</v>
      </c>
      <c r="D6" s="7"/>
      <c r="E6" s="7"/>
      <c r="F6" s="7"/>
      <c r="G6" s="7"/>
      <c r="H6" s="7"/>
      <c r="I6" s="7"/>
      <c r="J6" s="7"/>
      <c r="K6" s="7"/>
      <c r="L6" s="7"/>
    </row>
    <row r="7">
      <c r="A7" s="6" t="s">
        <v>163</v>
      </c>
      <c r="B7" s="6">
        <v>20.0</v>
      </c>
      <c r="C7" s="6">
        <v>25.0</v>
      </c>
      <c r="D7" s="7"/>
      <c r="E7" s="7"/>
      <c r="F7" s="7"/>
      <c r="G7" s="7"/>
      <c r="H7" s="7"/>
      <c r="I7" s="7"/>
      <c r="J7" s="7"/>
      <c r="K7" s="7"/>
      <c r="L7" s="7"/>
    </row>
    <row r="8">
      <c r="A8" s="6" t="s">
        <v>164</v>
      </c>
      <c r="B8" s="6">
        <v>8.0</v>
      </c>
      <c r="C8" s="6">
        <v>4.0</v>
      </c>
      <c r="D8" s="7"/>
      <c r="E8" s="7"/>
      <c r="F8" s="7"/>
      <c r="G8" s="7"/>
      <c r="H8" s="7"/>
      <c r="I8" s="7"/>
      <c r="J8" s="7"/>
      <c r="K8" s="7"/>
      <c r="L8" s="7"/>
    </row>
    <row r="9">
      <c r="A9" s="6" t="s">
        <v>165</v>
      </c>
      <c r="B9" s="6">
        <v>6.0</v>
      </c>
      <c r="C9" s="6">
        <v>1.0</v>
      </c>
      <c r="D9" s="7"/>
      <c r="E9" s="7"/>
      <c r="F9" s="7"/>
      <c r="G9" s="7"/>
      <c r="H9" s="7"/>
      <c r="I9" s="7"/>
      <c r="J9" s="7"/>
      <c r="K9" s="7"/>
      <c r="L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>
      <c r="A11" s="6" t="s">
        <v>166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>
      <c r="A12" s="6" t="s">
        <v>157</v>
      </c>
      <c r="B12" s="6" t="s">
        <v>167</v>
      </c>
      <c r="C12" s="6" t="s">
        <v>168</v>
      </c>
      <c r="D12" s="6" t="s">
        <v>169</v>
      </c>
      <c r="E12" s="6" t="s">
        <v>170</v>
      </c>
      <c r="F12" s="6" t="s">
        <v>171</v>
      </c>
      <c r="G12" s="6" t="s">
        <v>172</v>
      </c>
      <c r="H12" s="6" t="s">
        <v>173</v>
      </c>
      <c r="I12" s="6" t="s">
        <v>174</v>
      </c>
      <c r="J12" s="6" t="s">
        <v>175</v>
      </c>
      <c r="K12" s="6" t="s">
        <v>176</v>
      </c>
      <c r="L12" s="6" t="s">
        <v>177</v>
      </c>
    </row>
    <row r="13">
      <c r="A13" s="9">
        <v>43230.0</v>
      </c>
      <c r="B13" s="6">
        <v>5.0</v>
      </c>
      <c r="C13" s="6">
        <v>10.0</v>
      </c>
      <c r="D13" s="7">
        <f t="shared" ref="D13:D17" si="1">(B13+C13)/2</f>
        <v>7.5</v>
      </c>
      <c r="E13" s="6">
        <v>2.0</v>
      </c>
      <c r="F13" s="7">
        <f>E13</f>
        <v>2</v>
      </c>
      <c r="G13" s="7">
        <f t="shared" ref="G13:G17" si="2">E13*D13</f>
        <v>15</v>
      </c>
      <c r="H13" s="7">
        <f t="shared" ref="H13:H17" si="3">E13*D13^2</f>
        <v>112.5</v>
      </c>
      <c r="I13" s="6">
        <v>4.0</v>
      </c>
      <c r="J13" s="7">
        <f>I13</f>
        <v>4</v>
      </c>
      <c r="K13" s="7">
        <f t="shared" ref="K13:K17" si="4">I13*D13</f>
        <v>30</v>
      </c>
      <c r="L13" s="7">
        <f t="shared" ref="L13:L17" si="5">I13*(D13^2)</f>
        <v>225</v>
      </c>
    </row>
    <row r="14">
      <c r="A14" s="9">
        <v>43388.0</v>
      </c>
      <c r="B14" s="6">
        <v>10.0</v>
      </c>
      <c r="C14" s="6">
        <v>15.0</v>
      </c>
      <c r="D14" s="7">
        <f t="shared" si="1"/>
        <v>12.5</v>
      </c>
      <c r="E14" s="6">
        <v>4.0</v>
      </c>
      <c r="F14" s="7">
        <f t="shared" ref="F14:F17" si="6">E14+F13</f>
        <v>6</v>
      </c>
      <c r="G14" s="7">
        <f t="shared" si="2"/>
        <v>50</v>
      </c>
      <c r="H14" s="7">
        <f t="shared" si="3"/>
        <v>625</v>
      </c>
      <c r="I14" s="6">
        <v>6.0</v>
      </c>
      <c r="J14" s="7">
        <f t="shared" ref="J14:J17" si="7">I14+J13</f>
        <v>10</v>
      </c>
      <c r="K14" s="7">
        <f t="shared" si="4"/>
        <v>75</v>
      </c>
      <c r="L14" s="7">
        <f t="shared" si="5"/>
        <v>937.5</v>
      </c>
    </row>
    <row r="15">
      <c r="A15" s="6" t="s">
        <v>163</v>
      </c>
      <c r="B15" s="6">
        <v>15.0</v>
      </c>
      <c r="C15" s="6">
        <v>20.0</v>
      </c>
      <c r="D15" s="7">
        <f t="shared" si="1"/>
        <v>17.5</v>
      </c>
      <c r="E15" s="6">
        <v>20.0</v>
      </c>
      <c r="F15" s="7">
        <f t="shared" si="6"/>
        <v>26</v>
      </c>
      <c r="G15" s="7">
        <f t="shared" si="2"/>
        <v>350</v>
      </c>
      <c r="H15" s="7">
        <f t="shared" si="3"/>
        <v>6125</v>
      </c>
      <c r="I15" s="6">
        <v>25.0</v>
      </c>
      <c r="J15" s="7">
        <f t="shared" si="7"/>
        <v>35</v>
      </c>
      <c r="K15" s="7">
        <f t="shared" si="4"/>
        <v>437.5</v>
      </c>
      <c r="L15" s="7">
        <f t="shared" si="5"/>
        <v>7656.25</v>
      </c>
    </row>
    <row r="16">
      <c r="A16" s="6" t="s">
        <v>164</v>
      </c>
      <c r="B16" s="6">
        <v>20.0</v>
      </c>
      <c r="C16" s="6">
        <v>25.0</v>
      </c>
      <c r="D16" s="7">
        <f t="shared" si="1"/>
        <v>22.5</v>
      </c>
      <c r="E16" s="6">
        <v>8.0</v>
      </c>
      <c r="F16" s="7">
        <f t="shared" si="6"/>
        <v>34</v>
      </c>
      <c r="G16" s="7">
        <f t="shared" si="2"/>
        <v>180</v>
      </c>
      <c r="H16" s="7">
        <f t="shared" si="3"/>
        <v>4050</v>
      </c>
      <c r="I16" s="6">
        <v>4.0</v>
      </c>
      <c r="J16" s="7">
        <f t="shared" si="7"/>
        <v>39</v>
      </c>
      <c r="K16" s="7">
        <f t="shared" si="4"/>
        <v>90</v>
      </c>
      <c r="L16" s="7">
        <f t="shared" si="5"/>
        <v>2025</v>
      </c>
    </row>
    <row r="17">
      <c r="A17" s="6" t="s">
        <v>165</v>
      </c>
      <c r="B17" s="6">
        <v>25.0</v>
      </c>
      <c r="C17" s="6">
        <v>30.0</v>
      </c>
      <c r="D17" s="7">
        <f t="shared" si="1"/>
        <v>27.5</v>
      </c>
      <c r="E17" s="6">
        <v>6.0</v>
      </c>
      <c r="F17" s="7">
        <f t="shared" si="6"/>
        <v>40</v>
      </c>
      <c r="G17" s="7">
        <f t="shared" si="2"/>
        <v>165</v>
      </c>
      <c r="H17" s="7">
        <f t="shared" si="3"/>
        <v>4537.5</v>
      </c>
      <c r="I17" s="6">
        <v>1.0</v>
      </c>
      <c r="J17" s="7">
        <f t="shared" si="7"/>
        <v>40</v>
      </c>
      <c r="K17" s="7">
        <f t="shared" si="4"/>
        <v>27.5</v>
      </c>
      <c r="L17" s="7">
        <f t="shared" si="5"/>
        <v>756.25</v>
      </c>
    </row>
    <row r="18">
      <c r="A18" s="6" t="s">
        <v>85</v>
      </c>
      <c r="B18" s="7"/>
      <c r="C18" s="7"/>
      <c r="D18" s="7"/>
      <c r="E18" s="7">
        <f>SUM(E13:E17)</f>
        <v>40</v>
      </c>
      <c r="F18" s="7"/>
      <c r="G18" s="7">
        <f t="shared" ref="G18:I18" si="8">SUM(G13:G17)</f>
        <v>760</v>
      </c>
      <c r="H18" s="7">
        <f t="shared" si="8"/>
        <v>15450</v>
      </c>
      <c r="I18" s="7">
        <f t="shared" si="8"/>
        <v>40</v>
      </c>
      <c r="J18" s="7"/>
      <c r="K18" s="7">
        <f t="shared" ref="K18:L18" si="9">SUM(K13:K17)</f>
        <v>660</v>
      </c>
      <c r="L18" s="7">
        <f t="shared" si="9"/>
        <v>11600</v>
      </c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>
      <c r="A20" s="6" t="s">
        <v>95</v>
      </c>
      <c r="B20" s="7">
        <f>C13-B13</f>
        <v>5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>
      <c r="A22" s="6" t="s">
        <v>181</v>
      </c>
      <c r="B22" s="6" t="s">
        <v>178</v>
      </c>
      <c r="C22" s="6" t="s">
        <v>182</v>
      </c>
      <c r="D22" s="14" t="s">
        <v>179</v>
      </c>
      <c r="E22" s="6" t="s">
        <v>180</v>
      </c>
      <c r="F22" s="7"/>
      <c r="G22" s="7"/>
      <c r="H22" s="7"/>
      <c r="I22" s="7"/>
      <c r="J22" s="7"/>
      <c r="K22" s="7"/>
      <c r="L22" s="7"/>
    </row>
    <row r="23">
      <c r="A23" s="6" t="s">
        <v>184</v>
      </c>
      <c r="B23" s="7">
        <f>E18/4</f>
        <v>10</v>
      </c>
      <c r="C23" s="6" t="s">
        <v>163</v>
      </c>
      <c r="D23" s="7">
        <f>B15+(B23-F14)/E15*B20</f>
        <v>16</v>
      </c>
      <c r="E23" s="15" t="s">
        <v>186</v>
      </c>
      <c r="F23" s="7"/>
      <c r="G23" s="7"/>
      <c r="H23" s="7"/>
      <c r="I23" s="7"/>
      <c r="J23" s="7"/>
      <c r="K23" s="7"/>
      <c r="L23" s="7"/>
    </row>
    <row r="24">
      <c r="A24" s="6" t="s">
        <v>188</v>
      </c>
      <c r="B24" s="7">
        <f>3*E18/4</f>
        <v>30</v>
      </c>
      <c r="C24" s="6" t="s">
        <v>164</v>
      </c>
      <c r="D24" s="7">
        <f>B16+(B24-F15)/E16*B20</f>
        <v>22.5</v>
      </c>
      <c r="E24" s="15" t="s">
        <v>192</v>
      </c>
      <c r="F24" s="7"/>
      <c r="G24" s="7"/>
      <c r="H24" s="7"/>
      <c r="I24" s="7"/>
      <c r="J24" s="7"/>
      <c r="K24" s="7"/>
      <c r="L24" s="7"/>
    </row>
    <row r="25">
      <c r="A25" s="6" t="s">
        <v>194</v>
      </c>
      <c r="B25" s="7"/>
      <c r="C25" s="7"/>
      <c r="D25" s="7">
        <f>(D24-D23)/(D24+D23)</f>
        <v>0.1688311688</v>
      </c>
      <c r="E25" s="16" t="s">
        <v>197</v>
      </c>
      <c r="F25" s="7"/>
      <c r="G25" s="7"/>
      <c r="H25" s="7"/>
      <c r="I25" s="7"/>
      <c r="J25" s="7"/>
      <c r="K25" s="7"/>
      <c r="L25" s="7"/>
    </row>
    <row r="26">
      <c r="A26" s="6" t="s">
        <v>195</v>
      </c>
      <c r="B26" s="7"/>
      <c r="C26" s="7"/>
      <c r="D26" s="7">
        <f>G18/E18</f>
        <v>19</v>
      </c>
      <c r="E26" s="16" t="s">
        <v>201</v>
      </c>
      <c r="F26" s="7"/>
      <c r="G26" s="7"/>
      <c r="H26" s="7"/>
      <c r="I26" s="7"/>
      <c r="J26" s="7"/>
      <c r="K26" s="7"/>
      <c r="L26" s="7"/>
    </row>
    <row r="27">
      <c r="A27" s="6" t="s">
        <v>120</v>
      </c>
      <c r="B27" s="7"/>
      <c r="C27" s="7"/>
      <c r="D27" s="7">
        <f>SQRT((H18/E18)-(G18/E18)^2)</f>
        <v>5.024937811</v>
      </c>
      <c r="E27" s="7"/>
      <c r="F27" s="7"/>
      <c r="G27" s="7"/>
      <c r="H27" s="7"/>
      <c r="I27" s="7"/>
      <c r="J27" s="7"/>
      <c r="K27" s="7"/>
      <c r="L27" s="7"/>
    </row>
    <row r="28">
      <c r="A28" s="6" t="s">
        <v>205</v>
      </c>
      <c r="B28" s="7"/>
      <c r="C28" s="7"/>
      <c r="D28" s="7">
        <f>(D27/D26)*100</f>
        <v>26.44704111</v>
      </c>
      <c r="E28" s="7"/>
      <c r="F28" s="7"/>
      <c r="G28" s="6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6" t="s">
        <v>209</v>
      </c>
      <c r="B30" s="6" t="s">
        <v>178</v>
      </c>
      <c r="C30" s="6" t="s">
        <v>182</v>
      </c>
      <c r="D30" s="14" t="s">
        <v>179</v>
      </c>
      <c r="E30" s="6" t="s">
        <v>180</v>
      </c>
      <c r="F30" s="7"/>
      <c r="G30" s="7"/>
      <c r="H30" s="7"/>
      <c r="I30" s="7"/>
      <c r="J30" s="7"/>
      <c r="K30" s="7"/>
      <c r="L30" s="7"/>
    </row>
    <row r="31">
      <c r="A31" s="6" t="s">
        <v>184</v>
      </c>
      <c r="B31" s="7">
        <f>I18/4</f>
        <v>10</v>
      </c>
      <c r="C31" s="9">
        <v>43388.0</v>
      </c>
      <c r="D31" s="7">
        <f>B14+(B31-J13)/I14*B20</f>
        <v>15</v>
      </c>
      <c r="E31" s="7"/>
      <c r="F31" s="7"/>
      <c r="G31" s="7"/>
      <c r="H31" s="7"/>
      <c r="I31" s="7"/>
      <c r="J31" s="7"/>
      <c r="K31" s="7"/>
      <c r="L31" s="7"/>
    </row>
    <row r="32">
      <c r="A32" s="6" t="s">
        <v>188</v>
      </c>
      <c r="B32" s="7">
        <f>3*I18/4</f>
        <v>30</v>
      </c>
      <c r="C32" s="6" t="s">
        <v>163</v>
      </c>
      <c r="D32" s="7">
        <f>B15+(B32-J14)/I15*B20</f>
        <v>19</v>
      </c>
      <c r="E32" s="7"/>
      <c r="F32" s="7"/>
      <c r="G32" s="7"/>
      <c r="H32" s="7"/>
      <c r="I32" s="7"/>
      <c r="J32" s="7"/>
      <c r="K32" s="7"/>
      <c r="L32" s="7"/>
    </row>
    <row r="33">
      <c r="A33" s="6" t="s">
        <v>194</v>
      </c>
      <c r="B33" s="7"/>
      <c r="C33" s="7"/>
      <c r="D33" s="7">
        <f>(D32-D31)/(D32+D31)</f>
        <v>0.1176470588</v>
      </c>
      <c r="E33" s="7"/>
      <c r="F33" s="7"/>
      <c r="G33" s="7"/>
      <c r="H33" s="7"/>
      <c r="I33" s="7"/>
      <c r="J33" s="7"/>
      <c r="K33" s="7"/>
      <c r="L33" s="7"/>
    </row>
    <row r="34">
      <c r="A34" s="6" t="s">
        <v>195</v>
      </c>
      <c r="B34" s="7"/>
      <c r="C34" s="7"/>
      <c r="D34" s="7">
        <f>K18/I18</f>
        <v>16.5</v>
      </c>
      <c r="E34" s="7"/>
      <c r="F34" s="7"/>
      <c r="G34" s="7"/>
      <c r="H34" s="7"/>
      <c r="I34" s="7"/>
      <c r="J34" s="7"/>
      <c r="K34" s="7"/>
      <c r="L34" s="7"/>
    </row>
    <row r="35">
      <c r="A35" s="6" t="s">
        <v>120</v>
      </c>
      <c r="B35" s="7"/>
      <c r="C35" s="7"/>
      <c r="D35" s="7">
        <f>SQRT((L18/I18)-(K18/I18)^2)</f>
        <v>4.213074887</v>
      </c>
      <c r="E35" s="7"/>
      <c r="F35" s="7"/>
      <c r="G35" s="7"/>
      <c r="H35" s="7"/>
      <c r="I35" s="7"/>
      <c r="J35" s="7"/>
      <c r="K35" s="7"/>
      <c r="L35" s="7"/>
    </row>
    <row r="36">
      <c r="A36" s="6" t="s">
        <v>205</v>
      </c>
      <c r="B36" s="7"/>
      <c r="C36" s="7"/>
      <c r="D36" s="7">
        <f>(D35/D34)*100</f>
        <v>25.53378719</v>
      </c>
      <c r="E36" s="7"/>
      <c r="F36" s="7"/>
      <c r="G36" s="7"/>
      <c r="H36" s="7"/>
      <c r="I36" s="7"/>
      <c r="J36" s="7"/>
      <c r="K36" s="7"/>
      <c r="L36" s="7"/>
    </row>
    <row r="39">
      <c r="C39" s="6" t="s">
        <v>219</v>
      </c>
    </row>
  </sheetData>
  <mergeCells count="2">
    <mergeCell ref="A1:H2"/>
    <mergeCell ref="C39:G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6.14"/>
  </cols>
  <sheetData>
    <row r="1">
      <c r="A1" s="6" t="s">
        <v>189</v>
      </c>
      <c r="E1" s="7"/>
      <c r="F1" s="7"/>
      <c r="G1" s="7"/>
      <c r="H1" s="7"/>
      <c r="I1" s="7"/>
      <c r="J1" s="7"/>
      <c r="K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>
      <c r="A3" s="6">
        <v>5.0</v>
      </c>
      <c r="B3" s="6">
        <v>8.0</v>
      </c>
      <c r="C3" s="6">
        <v>12.0</v>
      </c>
      <c r="D3" s="6">
        <v>14.0</v>
      </c>
      <c r="E3" s="6">
        <v>16.0</v>
      </c>
      <c r="F3" s="6">
        <v>20.0</v>
      </c>
      <c r="G3" s="7"/>
      <c r="H3" s="7"/>
      <c r="I3" s="7"/>
      <c r="J3" s="7"/>
      <c r="K3" s="7"/>
    </row>
    <row r="4">
      <c r="A4" s="9"/>
      <c r="B4" s="6"/>
      <c r="C4" s="6"/>
      <c r="D4" s="7"/>
      <c r="E4" s="6"/>
      <c r="F4" s="7"/>
      <c r="G4" s="7"/>
      <c r="H4" s="7"/>
      <c r="I4" s="7"/>
      <c r="J4" s="7"/>
      <c r="K4" s="7"/>
    </row>
    <row r="5">
      <c r="A5" s="6" t="s">
        <v>191</v>
      </c>
      <c r="B5" s="6"/>
      <c r="C5" s="6" t="s">
        <v>179</v>
      </c>
      <c r="D5" s="7"/>
      <c r="E5" s="6" t="s">
        <v>180</v>
      </c>
      <c r="F5" s="7"/>
      <c r="G5" s="7"/>
      <c r="H5" s="7"/>
      <c r="I5" s="7"/>
      <c r="J5" s="7"/>
      <c r="K5" s="7"/>
    </row>
    <row r="6">
      <c r="A6" s="6" t="s">
        <v>195</v>
      </c>
      <c r="B6" s="6"/>
      <c r="C6" s="6">
        <f>AVERAGE(A3:F3)</f>
        <v>12.5</v>
      </c>
      <c r="D6" s="7"/>
      <c r="E6" s="17" t="s">
        <v>198</v>
      </c>
      <c r="F6" s="7"/>
      <c r="G6" s="7"/>
      <c r="H6" s="7"/>
      <c r="I6" s="7"/>
      <c r="J6" s="7"/>
      <c r="K6" s="7"/>
    </row>
    <row r="7">
      <c r="A7" s="6" t="s">
        <v>202</v>
      </c>
      <c r="B7" s="6"/>
      <c r="C7" s="6">
        <f>MEDIAN(A3:F3)</f>
        <v>13</v>
      </c>
      <c r="D7" s="7"/>
      <c r="E7" s="17" t="s">
        <v>206</v>
      </c>
      <c r="F7" s="7"/>
      <c r="G7" s="7"/>
      <c r="H7" s="7"/>
      <c r="I7" s="7"/>
      <c r="J7" s="7"/>
      <c r="K7" s="7"/>
    </row>
    <row r="8">
      <c r="A8" s="6" t="s">
        <v>120</v>
      </c>
      <c r="B8" s="6"/>
      <c r="C8" s="6">
        <f>STDEV(A3:F3)</f>
        <v>5.431390246</v>
      </c>
      <c r="D8" s="7"/>
      <c r="E8" s="17" t="s">
        <v>208</v>
      </c>
      <c r="F8" s="7"/>
      <c r="G8" s="7"/>
      <c r="H8" s="7"/>
      <c r="I8" s="7"/>
      <c r="J8" s="7"/>
      <c r="K8" s="7"/>
    </row>
    <row r="9">
      <c r="A9" s="6" t="s">
        <v>10</v>
      </c>
      <c r="B9" s="7"/>
      <c r="C9" s="7">
        <f>QUARTILE(A3:F3,1)</f>
        <v>9</v>
      </c>
      <c r="D9" s="7"/>
      <c r="E9" s="17" t="s">
        <v>212</v>
      </c>
      <c r="F9" s="7"/>
      <c r="G9" s="7"/>
      <c r="H9" s="7"/>
      <c r="I9" s="7"/>
      <c r="J9" s="7"/>
      <c r="K9" s="7"/>
    </row>
    <row r="10">
      <c r="A10" s="6" t="s">
        <v>14</v>
      </c>
      <c r="B10" s="7"/>
      <c r="C10" s="18">
        <f>QUARTILE(A3:F3,3)</f>
        <v>15.5</v>
      </c>
      <c r="D10" s="7"/>
      <c r="E10" s="17" t="s">
        <v>214</v>
      </c>
      <c r="F10" s="7"/>
      <c r="G10" s="7"/>
      <c r="H10" s="7"/>
      <c r="I10" s="7"/>
      <c r="J10" s="7"/>
      <c r="K10" s="7"/>
    </row>
    <row r="11">
      <c r="A11" s="6" t="s">
        <v>215</v>
      </c>
      <c r="B11" s="7"/>
      <c r="C11" s="7">
        <f>PERCENTILE(A3:F3,0.1)</f>
        <v>6.5</v>
      </c>
      <c r="D11" s="7"/>
      <c r="E11" s="17" t="s">
        <v>216</v>
      </c>
      <c r="F11" s="7"/>
      <c r="G11" s="7"/>
      <c r="H11" s="7"/>
      <c r="I11" s="7"/>
      <c r="J11" s="7"/>
      <c r="K11" s="7"/>
    </row>
    <row r="12">
      <c r="A12" s="6" t="s">
        <v>39</v>
      </c>
      <c r="B12" s="7"/>
      <c r="C12" s="18">
        <f>PERCENTILE(A3:F3,0.9)</f>
        <v>18</v>
      </c>
      <c r="D12" s="7"/>
      <c r="E12" s="17" t="s">
        <v>217</v>
      </c>
      <c r="F12" s="7"/>
      <c r="G12" s="7"/>
      <c r="H12" s="7"/>
      <c r="I12" s="7"/>
      <c r="J12" s="7"/>
      <c r="K12" s="7"/>
    </row>
    <row r="13">
      <c r="A13" s="6" t="s">
        <v>218</v>
      </c>
      <c r="B13" s="7"/>
      <c r="C13" s="7">
        <f>3*(C6-C7)/C8</f>
        <v>-0.2761723854</v>
      </c>
      <c r="D13" s="7"/>
      <c r="E13" s="19" t="s">
        <v>220</v>
      </c>
      <c r="F13" s="7"/>
      <c r="G13" s="7"/>
      <c r="H13" s="7"/>
      <c r="I13" s="7"/>
      <c r="J13" s="7"/>
      <c r="K13" s="7"/>
    </row>
    <row r="14">
      <c r="A14" s="6" t="s">
        <v>221</v>
      </c>
      <c r="B14" s="7"/>
      <c r="C14" s="7">
        <f>(C10+C9-2*C7)/(C10-C9)</f>
        <v>-0.2307692308</v>
      </c>
      <c r="D14" s="7"/>
      <c r="E14" s="17" t="s">
        <v>222</v>
      </c>
      <c r="F14" s="7"/>
      <c r="G14" s="7"/>
      <c r="H14" s="7"/>
      <c r="I14" s="7"/>
      <c r="J14" s="7"/>
      <c r="K14" s="7"/>
    </row>
    <row r="15">
      <c r="A15" s="6" t="s">
        <v>223</v>
      </c>
      <c r="B15" s="7"/>
      <c r="C15" s="7">
        <f>(C10-C9)/(2*(C12-C11))</f>
        <v>0.2826086957</v>
      </c>
      <c r="D15" s="7"/>
      <c r="E15" s="17" t="s">
        <v>224</v>
      </c>
      <c r="F15" s="7"/>
      <c r="G15" s="7"/>
      <c r="H15" s="7"/>
      <c r="I15" s="7"/>
      <c r="J15" s="7"/>
      <c r="K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mergeCells count="1">
    <mergeCell ref="A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225</v>
      </c>
      <c r="E1" s="7"/>
      <c r="F1" s="6" t="s">
        <v>226</v>
      </c>
      <c r="G1" s="7"/>
      <c r="H1" s="20" t="s">
        <v>227</v>
      </c>
      <c r="I1" s="6" t="s">
        <v>233</v>
      </c>
      <c r="J1" s="6" t="s">
        <v>234</v>
      </c>
      <c r="K1" s="7"/>
    </row>
    <row r="2">
      <c r="A2" s="6" t="s">
        <v>228</v>
      </c>
      <c r="B2" s="6" t="s">
        <v>229</v>
      </c>
      <c r="C2" s="6" t="s">
        <v>230</v>
      </c>
      <c r="D2" s="6" t="s">
        <v>231</v>
      </c>
      <c r="E2" s="7"/>
      <c r="F2" s="7"/>
      <c r="G2" s="7"/>
      <c r="H2" s="7"/>
      <c r="I2" s="7"/>
      <c r="J2" s="7"/>
      <c r="K2" s="7"/>
    </row>
    <row r="3">
      <c r="A3" s="21" t="s">
        <v>232</v>
      </c>
      <c r="B3" s="21" t="s">
        <v>235</v>
      </c>
      <c r="C3" s="21" t="s">
        <v>236</v>
      </c>
      <c r="D3" s="6" t="s">
        <v>237</v>
      </c>
      <c r="E3" s="7"/>
      <c r="F3" s="7"/>
      <c r="G3" s="7"/>
      <c r="H3" s="7"/>
      <c r="I3" s="7"/>
      <c r="J3" s="7"/>
      <c r="K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>
      <c r="A5" s="6">
        <v>5.0</v>
      </c>
      <c r="B5" s="6">
        <v>10.0</v>
      </c>
      <c r="C5" s="6">
        <v>15.0</v>
      </c>
      <c r="D5" s="6">
        <v>20.0</v>
      </c>
      <c r="E5" s="6">
        <v>25.0</v>
      </c>
      <c r="F5" s="7"/>
      <c r="G5" s="7"/>
      <c r="H5" s="7"/>
      <c r="I5" s="7"/>
      <c r="J5" s="7"/>
      <c r="K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>
      <c r="A7" s="6" t="s">
        <v>240</v>
      </c>
      <c r="D7" s="7"/>
      <c r="E7" s="7"/>
      <c r="F7" s="7"/>
      <c r="G7" s="6" t="s">
        <v>242</v>
      </c>
      <c r="H7" s="7"/>
      <c r="I7" s="6" t="s">
        <v>180</v>
      </c>
      <c r="J7" s="7"/>
      <c r="K7" s="7"/>
    </row>
    <row r="8">
      <c r="A8" s="7"/>
      <c r="B8" s="7"/>
      <c r="C8" s="7"/>
      <c r="D8" s="7"/>
      <c r="E8" s="7"/>
      <c r="F8" s="7"/>
      <c r="G8" s="21" t="s">
        <v>228</v>
      </c>
      <c r="H8" s="7">
        <f>B15/B16</f>
        <v>0</v>
      </c>
      <c r="I8" s="22" t="s">
        <v>244</v>
      </c>
      <c r="J8" s="7"/>
      <c r="K8" s="7"/>
    </row>
    <row r="9">
      <c r="A9" s="6" t="s">
        <v>246</v>
      </c>
      <c r="B9" s="6" t="s">
        <v>247</v>
      </c>
      <c r="C9" s="6" t="s">
        <v>248</v>
      </c>
      <c r="D9" s="6" t="s">
        <v>249</v>
      </c>
      <c r="E9" s="6" t="s">
        <v>250</v>
      </c>
      <c r="F9" s="7"/>
      <c r="G9" s="21" t="s">
        <v>229</v>
      </c>
      <c r="H9" s="7">
        <f>C15/B16</f>
        <v>50</v>
      </c>
      <c r="I9" s="22" t="s">
        <v>251</v>
      </c>
      <c r="J9" s="7"/>
      <c r="K9" s="7"/>
    </row>
    <row r="10">
      <c r="A10" s="6">
        <v>5.0</v>
      </c>
      <c r="B10" s="7">
        <f t="shared" ref="B10:B14" si="1">A10-B$17</f>
        <v>-10</v>
      </c>
      <c r="C10" s="7">
        <f t="shared" ref="C10:C14" si="2">B10^2</f>
        <v>100</v>
      </c>
      <c r="D10" s="7">
        <f t="shared" ref="D10:D14" si="3">B10^3</f>
        <v>-1000</v>
      </c>
      <c r="E10" s="7">
        <f t="shared" ref="E10:E14" si="4">B10^4</f>
        <v>10000</v>
      </c>
      <c r="F10" s="7"/>
      <c r="G10" s="21" t="s">
        <v>230</v>
      </c>
      <c r="H10" s="7">
        <f>D15/B16</f>
        <v>0</v>
      </c>
      <c r="I10" s="22" t="s">
        <v>256</v>
      </c>
      <c r="J10" s="7"/>
      <c r="K10" s="7"/>
    </row>
    <row r="11">
      <c r="A11" s="6">
        <v>10.0</v>
      </c>
      <c r="B11" s="7">
        <f t="shared" si="1"/>
        <v>-5</v>
      </c>
      <c r="C11" s="7">
        <f t="shared" si="2"/>
        <v>25</v>
      </c>
      <c r="D11" s="7">
        <f t="shared" si="3"/>
        <v>-125</v>
      </c>
      <c r="E11" s="7">
        <f t="shared" si="4"/>
        <v>625</v>
      </c>
      <c r="F11" s="7"/>
      <c r="G11" s="21" t="s">
        <v>231</v>
      </c>
      <c r="H11" s="7">
        <f>E15/B16</f>
        <v>4250</v>
      </c>
      <c r="I11" s="22" t="s">
        <v>257</v>
      </c>
      <c r="J11" s="7"/>
      <c r="K11" s="7"/>
    </row>
    <row r="12">
      <c r="A12" s="6">
        <v>15.0</v>
      </c>
      <c r="B12" s="7">
        <f t="shared" si="1"/>
        <v>0</v>
      </c>
      <c r="C12" s="7">
        <f t="shared" si="2"/>
        <v>0</v>
      </c>
      <c r="D12" s="7">
        <f t="shared" si="3"/>
        <v>0</v>
      </c>
      <c r="E12" s="7">
        <f t="shared" si="4"/>
        <v>0</v>
      </c>
      <c r="F12" s="7"/>
      <c r="G12" s="21" t="s">
        <v>232</v>
      </c>
      <c r="H12" s="7">
        <f>H10^2/H9^3</f>
        <v>0</v>
      </c>
      <c r="I12" s="6" t="s">
        <v>258</v>
      </c>
      <c r="J12" s="7"/>
      <c r="K12" s="23"/>
      <c r="L12" s="7"/>
      <c r="M12" s="7"/>
    </row>
    <row r="13">
      <c r="A13" s="6">
        <v>20.0</v>
      </c>
      <c r="B13" s="7">
        <f t="shared" si="1"/>
        <v>5</v>
      </c>
      <c r="C13" s="7">
        <f t="shared" si="2"/>
        <v>25</v>
      </c>
      <c r="D13" s="7">
        <f t="shared" si="3"/>
        <v>125</v>
      </c>
      <c r="E13" s="7">
        <f t="shared" si="4"/>
        <v>625</v>
      </c>
      <c r="F13" s="7"/>
      <c r="G13" s="6" t="s">
        <v>235</v>
      </c>
      <c r="H13" s="7">
        <f>H11/H9^2</f>
        <v>1.7</v>
      </c>
      <c r="I13" s="22" t="s">
        <v>259</v>
      </c>
      <c r="J13" s="7"/>
      <c r="K13" s="7"/>
    </row>
    <row r="14">
      <c r="A14" s="6">
        <v>25.0</v>
      </c>
      <c r="B14" s="7">
        <f t="shared" si="1"/>
        <v>10</v>
      </c>
      <c r="C14" s="7">
        <f t="shared" si="2"/>
        <v>100</v>
      </c>
      <c r="D14" s="7">
        <f t="shared" si="3"/>
        <v>1000</v>
      </c>
      <c r="E14" s="7">
        <f t="shared" si="4"/>
        <v>10000</v>
      </c>
      <c r="F14" s="7"/>
      <c r="G14" s="6" t="s">
        <v>236</v>
      </c>
      <c r="H14" s="7">
        <f>SQRT(H12)</f>
        <v>0</v>
      </c>
      <c r="I14" s="24" t="s">
        <v>260</v>
      </c>
      <c r="J14" s="7"/>
      <c r="K14" s="7"/>
    </row>
    <row r="15">
      <c r="A15" s="7"/>
      <c r="B15" s="7">
        <f t="shared" ref="B15:E15" si="5">SUM(B10:B14)</f>
        <v>0</v>
      </c>
      <c r="C15" s="7">
        <f t="shared" si="5"/>
        <v>250</v>
      </c>
      <c r="D15" s="7">
        <f t="shared" si="5"/>
        <v>0</v>
      </c>
      <c r="E15" s="7">
        <f t="shared" si="5"/>
        <v>21250</v>
      </c>
      <c r="F15" s="7"/>
      <c r="G15" s="6" t="s">
        <v>261</v>
      </c>
      <c r="H15" s="7">
        <f>H13-3</f>
        <v>-1.3</v>
      </c>
      <c r="I15" s="24" t="s">
        <v>262</v>
      </c>
      <c r="J15" s="7"/>
      <c r="K15" s="7"/>
    </row>
    <row r="16">
      <c r="A16" s="6" t="s">
        <v>263</v>
      </c>
      <c r="B16" s="6">
        <v>5.0</v>
      </c>
      <c r="C16" s="7"/>
      <c r="D16" s="7"/>
      <c r="E16" s="7"/>
      <c r="F16" s="7"/>
      <c r="G16" s="7"/>
      <c r="H16" s="7"/>
      <c r="I16" s="7"/>
      <c r="J16" s="7"/>
      <c r="K16" s="7"/>
    </row>
    <row r="17">
      <c r="A17" s="6" t="s">
        <v>195</v>
      </c>
      <c r="B17" s="7">
        <f>AVERAGE(A10:A14)</f>
        <v>15</v>
      </c>
      <c r="C17" s="7"/>
      <c r="D17" s="7"/>
      <c r="E17" s="7"/>
      <c r="F17" s="7"/>
      <c r="G17" s="7"/>
      <c r="H17" s="7"/>
      <c r="I17" s="7"/>
      <c r="J17" s="7"/>
      <c r="K17" s="7"/>
    </row>
    <row r="18">
      <c r="A18" s="7"/>
      <c r="B18" s="7"/>
      <c r="C18" s="7"/>
      <c r="D18" s="7"/>
      <c r="E18" s="7"/>
      <c r="F18" s="6" t="s">
        <v>264</v>
      </c>
      <c r="I18" s="7"/>
      <c r="J18" s="7"/>
      <c r="K18" s="7"/>
    </row>
    <row r="19">
      <c r="A19" s="7"/>
      <c r="B19" s="7"/>
      <c r="C19" s="7"/>
      <c r="D19" s="7"/>
      <c r="E19" s="7"/>
      <c r="F19" s="21" t="s">
        <v>265</v>
      </c>
      <c r="I19" s="7"/>
      <c r="J19" s="7"/>
      <c r="K19" s="7"/>
    </row>
    <row r="20">
      <c r="A20" s="7"/>
      <c r="B20" s="7"/>
      <c r="C20" s="7"/>
      <c r="D20" s="7"/>
      <c r="E20" s="7"/>
      <c r="F20" s="21" t="s">
        <v>266</v>
      </c>
      <c r="I20" s="7"/>
      <c r="J20" s="7"/>
      <c r="K20" s="7"/>
    </row>
    <row r="21">
      <c r="A21" s="7"/>
      <c r="B21" s="7"/>
      <c r="C21" s="7"/>
      <c r="D21" s="7"/>
      <c r="E21" s="7"/>
      <c r="F21" s="21" t="s">
        <v>267</v>
      </c>
      <c r="I21" s="7"/>
      <c r="J21" s="7"/>
      <c r="K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</sheetData>
  <mergeCells count="7">
    <mergeCell ref="A1:D1"/>
    <mergeCell ref="A7:C7"/>
    <mergeCell ref="K13:M13"/>
    <mergeCell ref="F18:H18"/>
    <mergeCell ref="F19:H19"/>
    <mergeCell ref="F20:H20"/>
    <mergeCell ref="F21:H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225</v>
      </c>
      <c r="E1" s="7"/>
      <c r="F1" s="7"/>
      <c r="G1" s="7"/>
      <c r="H1" s="7"/>
      <c r="I1" s="7"/>
      <c r="J1" s="7"/>
    </row>
    <row r="2">
      <c r="A2" s="6" t="s">
        <v>228</v>
      </c>
      <c r="B2" s="6" t="s">
        <v>229</v>
      </c>
      <c r="C2" s="6" t="s">
        <v>230</v>
      </c>
      <c r="D2" s="6" t="s">
        <v>231</v>
      </c>
      <c r="E2" s="7"/>
      <c r="F2" s="7"/>
      <c r="G2" s="7"/>
      <c r="H2" s="7"/>
      <c r="I2" s="7"/>
      <c r="J2" s="7"/>
    </row>
    <row r="3">
      <c r="A3" s="21" t="s">
        <v>232</v>
      </c>
      <c r="B3" s="21" t="s">
        <v>235</v>
      </c>
      <c r="C3" s="21" t="s">
        <v>236</v>
      </c>
      <c r="D3" s="6" t="s">
        <v>237</v>
      </c>
      <c r="E3" s="7"/>
      <c r="F3" s="7"/>
      <c r="G3" s="7"/>
      <c r="H3" s="7"/>
      <c r="I3" s="7"/>
      <c r="J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</row>
    <row r="5">
      <c r="A5" s="6" t="s">
        <v>238</v>
      </c>
      <c r="B5" s="6" t="s">
        <v>239</v>
      </c>
      <c r="C5" s="9">
        <v>43230.0</v>
      </c>
      <c r="D5" s="9">
        <v>43388.0</v>
      </c>
      <c r="E5" s="6" t="s">
        <v>163</v>
      </c>
      <c r="F5" s="6" t="s">
        <v>164</v>
      </c>
      <c r="G5" s="7"/>
      <c r="H5" s="7"/>
      <c r="I5" s="7"/>
      <c r="J5" s="7"/>
    </row>
    <row r="6">
      <c r="A6" s="6" t="s">
        <v>241</v>
      </c>
      <c r="B6" s="6">
        <v>3.0</v>
      </c>
      <c r="C6" s="6">
        <v>7.0</v>
      </c>
      <c r="D6" s="6">
        <v>10.0</v>
      </c>
      <c r="E6" s="6">
        <v>6.0</v>
      </c>
      <c r="F6" s="6">
        <v>4.0</v>
      </c>
      <c r="G6" s="7"/>
      <c r="H6" s="7"/>
      <c r="I6" s="7"/>
      <c r="J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21" t="s">
        <v>240</v>
      </c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6" t="s">
        <v>71</v>
      </c>
      <c r="B11" s="6" t="s">
        <v>167</v>
      </c>
      <c r="C11" s="6" t="s">
        <v>168</v>
      </c>
      <c r="D11" s="6" t="s">
        <v>243</v>
      </c>
      <c r="E11" s="6" t="s">
        <v>45</v>
      </c>
      <c r="F11" s="6" t="s">
        <v>161</v>
      </c>
      <c r="G11" s="23" t="s">
        <v>245</v>
      </c>
      <c r="H11" s="23" t="s">
        <v>252</v>
      </c>
      <c r="I11" s="23" t="s">
        <v>253</v>
      </c>
      <c r="J11" s="23" t="s">
        <v>254</v>
      </c>
      <c r="K11" s="23" t="s">
        <v>255</v>
      </c>
    </row>
    <row r="12">
      <c r="A12" s="6" t="s">
        <v>239</v>
      </c>
      <c r="B12" s="6">
        <v>0.0</v>
      </c>
      <c r="C12" s="6">
        <v>5.0</v>
      </c>
      <c r="D12" s="7">
        <f t="shared" ref="D12:D16" si="1">(B12+C12)/2</f>
        <v>2.5</v>
      </c>
      <c r="E12" s="6">
        <v>3.0</v>
      </c>
      <c r="F12" s="7">
        <f t="shared" ref="F12:F16" si="2">E12*D12</f>
        <v>7.5</v>
      </c>
      <c r="G12" s="7">
        <f t="shared" ref="G12:G16" si="3">D12-B$19</f>
        <v>-10.16666667</v>
      </c>
      <c r="H12" s="7">
        <f t="shared" ref="H12:H16" si="4">E12*G12</f>
        <v>-30.5</v>
      </c>
      <c r="I12" s="7">
        <f t="shared" ref="I12:I16" si="5">E12*G12^2</f>
        <v>310.0833333</v>
      </c>
      <c r="J12" s="7">
        <f t="shared" ref="J12:J16" si="6">E12*G12^3</f>
        <v>-3152.513889</v>
      </c>
      <c r="K12">
        <f t="shared" ref="K12:K16" si="7">E12*G12^4</f>
        <v>32050.55787</v>
      </c>
    </row>
    <row r="13">
      <c r="A13" s="9">
        <v>43230.0</v>
      </c>
      <c r="B13" s="6">
        <v>5.0</v>
      </c>
      <c r="C13" s="6">
        <v>10.0</v>
      </c>
      <c r="D13" s="7">
        <f t="shared" si="1"/>
        <v>7.5</v>
      </c>
      <c r="E13" s="6">
        <v>7.0</v>
      </c>
      <c r="F13" s="7">
        <f t="shared" si="2"/>
        <v>52.5</v>
      </c>
      <c r="G13" s="7">
        <f t="shared" si="3"/>
        <v>-5.166666667</v>
      </c>
      <c r="H13" s="7">
        <f t="shared" si="4"/>
        <v>-36.16666667</v>
      </c>
      <c r="I13" s="7">
        <f t="shared" si="5"/>
        <v>186.8611111</v>
      </c>
      <c r="J13" s="7">
        <f t="shared" si="6"/>
        <v>-965.4490741</v>
      </c>
      <c r="K13">
        <f t="shared" si="7"/>
        <v>4988.153549</v>
      </c>
    </row>
    <row r="14">
      <c r="A14" s="9">
        <v>43388.0</v>
      </c>
      <c r="B14" s="6">
        <v>10.0</v>
      </c>
      <c r="C14" s="6">
        <v>15.0</v>
      </c>
      <c r="D14" s="7">
        <f t="shared" si="1"/>
        <v>12.5</v>
      </c>
      <c r="E14" s="6">
        <v>10.0</v>
      </c>
      <c r="F14" s="7">
        <f t="shared" si="2"/>
        <v>125</v>
      </c>
      <c r="G14" s="7">
        <f t="shared" si="3"/>
        <v>-0.1666666667</v>
      </c>
      <c r="H14" s="7">
        <f t="shared" si="4"/>
        <v>-1.666666667</v>
      </c>
      <c r="I14" s="7">
        <f t="shared" si="5"/>
        <v>0.2777777778</v>
      </c>
      <c r="J14" s="7">
        <f t="shared" si="6"/>
        <v>-0.0462962963</v>
      </c>
      <c r="K14">
        <f t="shared" si="7"/>
        <v>0.007716049383</v>
      </c>
    </row>
    <row r="15">
      <c r="A15" s="6" t="s">
        <v>163</v>
      </c>
      <c r="B15" s="6">
        <v>15.0</v>
      </c>
      <c r="C15" s="6">
        <v>20.0</v>
      </c>
      <c r="D15" s="7">
        <f t="shared" si="1"/>
        <v>17.5</v>
      </c>
      <c r="E15" s="6">
        <v>6.0</v>
      </c>
      <c r="F15" s="7">
        <f t="shared" si="2"/>
        <v>105</v>
      </c>
      <c r="G15" s="7">
        <f t="shared" si="3"/>
        <v>4.833333333</v>
      </c>
      <c r="H15" s="7">
        <f t="shared" si="4"/>
        <v>29</v>
      </c>
      <c r="I15" s="7">
        <f t="shared" si="5"/>
        <v>140.1666667</v>
      </c>
      <c r="J15" s="7">
        <f t="shared" si="6"/>
        <v>677.4722222</v>
      </c>
      <c r="K15">
        <f t="shared" si="7"/>
        <v>3274.449074</v>
      </c>
    </row>
    <row r="16">
      <c r="A16" s="6" t="s">
        <v>164</v>
      </c>
      <c r="B16" s="6">
        <v>20.0</v>
      </c>
      <c r="C16" s="6">
        <v>25.0</v>
      </c>
      <c r="D16" s="7">
        <f t="shared" si="1"/>
        <v>22.5</v>
      </c>
      <c r="E16" s="6">
        <v>4.0</v>
      </c>
      <c r="F16" s="7">
        <f t="shared" si="2"/>
        <v>90</v>
      </c>
      <c r="G16" s="7">
        <f t="shared" si="3"/>
        <v>9.833333333</v>
      </c>
      <c r="H16" s="7">
        <f t="shared" si="4"/>
        <v>39.33333333</v>
      </c>
      <c r="I16" s="7">
        <f t="shared" si="5"/>
        <v>386.7777778</v>
      </c>
      <c r="J16" s="7">
        <f t="shared" si="6"/>
        <v>3803.314815</v>
      </c>
      <c r="K16">
        <f t="shared" si="7"/>
        <v>37399.26235</v>
      </c>
    </row>
    <row r="17">
      <c r="A17" s="7"/>
      <c r="B17" s="7"/>
      <c r="C17" s="7"/>
      <c r="D17" s="7"/>
      <c r="E17" s="7">
        <f t="shared" ref="E17:K17" si="8">SUM(E12:E16)</f>
        <v>30</v>
      </c>
      <c r="F17" s="7">
        <f t="shared" si="8"/>
        <v>380</v>
      </c>
      <c r="G17" s="7">
        <f t="shared" si="8"/>
        <v>-0.8333333333</v>
      </c>
      <c r="H17" s="7">
        <f t="shared" si="8"/>
        <v>0</v>
      </c>
      <c r="I17" s="7">
        <f t="shared" si="8"/>
        <v>1024.166667</v>
      </c>
      <c r="J17" s="7">
        <f t="shared" si="8"/>
        <v>362.7777778</v>
      </c>
      <c r="K17">
        <f t="shared" si="8"/>
        <v>77712.43056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6" t="s">
        <v>195</v>
      </c>
      <c r="B19" s="25">
        <f>F17/E17</f>
        <v>12.66666667</v>
      </c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6" t="s">
        <v>242</v>
      </c>
      <c r="F23" s="7"/>
      <c r="G23" s="6" t="s">
        <v>180</v>
      </c>
      <c r="H23" s="7"/>
      <c r="I23" s="7"/>
      <c r="J23" s="7"/>
    </row>
    <row r="24">
      <c r="A24" s="7"/>
      <c r="B24" s="7"/>
      <c r="C24" s="7"/>
      <c r="D24" s="7"/>
      <c r="E24" s="21" t="s">
        <v>228</v>
      </c>
      <c r="F24" s="7">
        <f>H17/E17</f>
        <v>0</v>
      </c>
      <c r="G24" s="16" t="s">
        <v>268</v>
      </c>
      <c r="H24" s="7"/>
      <c r="I24" s="7"/>
      <c r="J24" s="7"/>
    </row>
    <row r="25">
      <c r="A25" s="7"/>
      <c r="B25" s="7"/>
      <c r="C25" s="7"/>
      <c r="D25" s="7"/>
      <c r="E25" s="21" t="s">
        <v>229</v>
      </c>
      <c r="F25" s="7">
        <f>I17/E17</f>
        <v>34.13888889</v>
      </c>
      <c r="G25" s="16" t="s">
        <v>269</v>
      </c>
      <c r="H25" s="7"/>
      <c r="I25" s="7"/>
      <c r="J25" s="7"/>
    </row>
    <row r="26">
      <c r="A26" s="7"/>
      <c r="B26" s="7"/>
      <c r="C26" s="7"/>
      <c r="D26" s="7"/>
      <c r="E26" s="21" t="s">
        <v>230</v>
      </c>
      <c r="F26" s="7">
        <f>J17/E17</f>
        <v>12.09259259</v>
      </c>
      <c r="G26" s="16" t="s">
        <v>270</v>
      </c>
      <c r="H26" s="7"/>
      <c r="I26" s="7"/>
      <c r="J26" s="7"/>
    </row>
    <row r="27">
      <c r="A27" s="7"/>
      <c r="B27" s="7"/>
      <c r="C27" s="7"/>
      <c r="D27" s="7"/>
      <c r="E27" s="21" t="s">
        <v>231</v>
      </c>
      <c r="F27" s="7">
        <f>K17/E17</f>
        <v>2590.414352</v>
      </c>
      <c r="G27" s="16" t="s">
        <v>271</v>
      </c>
      <c r="H27" s="7"/>
      <c r="I27" s="7"/>
      <c r="J27" s="7"/>
    </row>
    <row r="28">
      <c r="A28" s="7"/>
      <c r="B28" s="7"/>
      <c r="C28" s="7"/>
      <c r="D28" s="7"/>
      <c r="E28" s="21" t="s">
        <v>232</v>
      </c>
      <c r="F28" s="7">
        <f>F26^2/F25^3</f>
        <v>0.003675282245</v>
      </c>
      <c r="G28" s="16" t="s">
        <v>272</v>
      </c>
      <c r="H28" s="7"/>
      <c r="I28" s="7"/>
      <c r="J28" s="7"/>
    </row>
    <row r="29">
      <c r="A29" s="7"/>
      <c r="B29" s="7"/>
      <c r="C29" s="7"/>
      <c r="D29" s="7"/>
      <c r="E29" s="6" t="s">
        <v>235</v>
      </c>
      <c r="F29" s="7">
        <f>F27/F25^2</f>
        <v>2.222646896</v>
      </c>
      <c r="G29" s="16" t="s">
        <v>273</v>
      </c>
      <c r="H29" s="7"/>
      <c r="I29" s="7"/>
      <c r="J29" s="7"/>
    </row>
    <row r="30">
      <c r="A30" s="7"/>
      <c r="B30" s="7"/>
      <c r="C30" s="7"/>
      <c r="D30" s="7"/>
      <c r="E30" s="6" t="s">
        <v>236</v>
      </c>
      <c r="F30" s="7">
        <f>SQRT(F29)</f>
        <v>1.490854418</v>
      </c>
      <c r="G30" s="26" t="s">
        <v>274</v>
      </c>
      <c r="H30" s="7"/>
      <c r="I30" s="7"/>
      <c r="J30" s="7"/>
    </row>
    <row r="31">
      <c r="A31" s="7"/>
      <c r="B31" s="7"/>
      <c r="C31" s="7"/>
      <c r="D31" s="7"/>
      <c r="E31" s="6" t="s">
        <v>261</v>
      </c>
      <c r="F31" s="7">
        <f>F29-3</f>
        <v>-0.7773531042</v>
      </c>
      <c r="G31" s="26" t="s">
        <v>275</v>
      </c>
      <c r="H31" s="7"/>
      <c r="I31" s="7"/>
      <c r="J31" s="7"/>
    </row>
    <row r="32">
      <c r="A32" s="7"/>
      <c r="B32" s="7"/>
      <c r="C32" s="7"/>
      <c r="D32" s="7"/>
      <c r="E32" s="6" t="s">
        <v>120</v>
      </c>
      <c r="F32" s="7">
        <f>SQRT(F25)</f>
        <v>5.842849381</v>
      </c>
      <c r="G32" s="26" t="s">
        <v>276</v>
      </c>
      <c r="H32" s="7"/>
      <c r="I32" s="7"/>
      <c r="J32" s="7"/>
    </row>
    <row r="33">
      <c r="A33" s="7"/>
      <c r="B33" s="7"/>
      <c r="C33" s="7"/>
      <c r="D33" s="7"/>
      <c r="E33" s="6" t="s">
        <v>205</v>
      </c>
      <c r="F33" s="7">
        <f>(F32/B19)*100</f>
        <v>46.12775827</v>
      </c>
      <c r="G33" s="16" t="s">
        <v>277</v>
      </c>
      <c r="H33" s="7"/>
      <c r="I33" s="7"/>
      <c r="J33" s="7"/>
    </row>
    <row r="34">
      <c r="A34" s="7"/>
      <c r="B34" s="7"/>
      <c r="C34" s="7"/>
      <c r="D34" s="6"/>
      <c r="G34" s="7"/>
      <c r="H34" s="7"/>
      <c r="I34" s="7"/>
      <c r="J34" s="7"/>
    </row>
    <row r="35">
      <c r="A35" s="7"/>
      <c r="B35" s="7"/>
      <c r="C35" s="7"/>
      <c r="D35" s="21"/>
      <c r="G35" s="7"/>
      <c r="H35" s="7"/>
      <c r="I35" s="7"/>
      <c r="J35" s="7"/>
    </row>
    <row r="36">
      <c r="A36" s="7"/>
      <c r="B36" s="7"/>
      <c r="C36" s="7"/>
      <c r="D36" s="21"/>
      <c r="G36" s="7"/>
      <c r="H36" s="7"/>
      <c r="I36" s="7"/>
      <c r="J36" s="7"/>
    </row>
    <row r="37">
      <c r="A37" s="7"/>
      <c r="B37" s="7"/>
      <c r="C37" s="7"/>
      <c r="D37" s="21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</sheetData>
  <mergeCells count="6">
    <mergeCell ref="A1:D1"/>
    <mergeCell ref="A9:C9"/>
    <mergeCell ref="D34:F34"/>
    <mergeCell ref="D35:F35"/>
    <mergeCell ref="D36:F36"/>
    <mergeCell ref="D37:F37"/>
  </mergeCells>
  <drawing r:id="rId1"/>
</worksheet>
</file>