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592" windowHeight="3240"/>
  </bookViews>
  <sheets>
    <sheet name="Rotor Design" sheetId="1" r:id="rId1"/>
    <sheet name="For Parameter Based Simulation" sheetId="4" r:id="rId2"/>
    <sheet name="Mchn Char" sheetId="3" r:id="rId3"/>
    <sheet name="Stator" sheetId="6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/>
  <c r="C10"/>
  <c r="C6" l="1"/>
  <c r="C14" l="1"/>
  <c r="C8" l="1"/>
  <c r="I21" s="1"/>
  <c r="E21" l="1"/>
  <c r="E19"/>
  <c r="I22"/>
  <c r="E20"/>
  <c r="E18"/>
  <c r="E22"/>
  <c r="I20"/>
  <c r="I19"/>
  <c r="H31" s="1"/>
  <c r="C34" l="1"/>
  <c r="C32"/>
  <c r="H33"/>
  <c r="H32"/>
  <c r="H43" s="1"/>
  <c r="H34"/>
  <c r="C31"/>
  <c r="C33"/>
  <c r="H45" l="1"/>
  <c r="C43"/>
  <c r="H44"/>
  <c r="H54" l="1"/>
  <c r="C3" i="4" s="1"/>
  <c r="Q19" i="1"/>
  <c r="C47"/>
  <c r="C46"/>
  <c r="C45"/>
  <c r="C44"/>
  <c r="F2" i="4" s="1"/>
  <c r="Q22" i="1" l="1"/>
  <c r="D5" i="4" s="1"/>
  <c r="D3"/>
  <c r="Q20" i="1"/>
  <c r="D2" i="4" s="1"/>
  <c r="F3" s="1"/>
  <c r="Q21" i="1"/>
  <c r="D4" i="4" s="1"/>
  <c r="H56" i="1"/>
  <c r="C4" i="4" s="1"/>
  <c r="H55" i="1"/>
  <c r="H57"/>
  <c r="C5" i="4" s="1"/>
  <c r="F4" l="1"/>
  <c r="F5" s="1"/>
  <c r="M19" i="1"/>
  <c r="E3" i="4" s="1"/>
  <c r="C2"/>
  <c r="M21" i="1"/>
  <c r="E5" i="4" s="1"/>
  <c r="M18" i="1"/>
  <c r="M20"/>
  <c r="E4" i="4" s="1"/>
  <c r="E2" l="1"/>
</calcChain>
</file>

<file path=xl/sharedStrings.xml><?xml version="1.0" encoding="utf-8"?>
<sst xmlns="http://schemas.openxmlformats.org/spreadsheetml/2006/main" count="128" uniqueCount="94">
  <si>
    <t>No. of pole pairs (p)</t>
  </si>
  <si>
    <t>Floating angle (beta)</t>
  </si>
  <si>
    <t>No. of segments per pole (k)</t>
  </si>
  <si>
    <t>Rot mech slot pitch angle (alpha_m)</t>
  </si>
  <si>
    <t xml:space="preserve">d-axis Insulation ratio (kwd) </t>
  </si>
  <si>
    <t xml:space="preserve">q-axis Insulation ratio (kwq) </t>
  </si>
  <si>
    <t>Segments Width</t>
  </si>
  <si>
    <t>fd_1</t>
  </si>
  <si>
    <t>deg</t>
  </si>
  <si>
    <t>optimised value</t>
  </si>
  <si>
    <t>series position (h)</t>
  </si>
  <si>
    <t>fd_2</t>
  </si>
  <si>
    <t>fd_3</t>
  </si>
  <si>
    <t>fd_4</t>
  </si>
  <si>
    <t>Design variables Input</t>
  </si>
  <si>
    <t>Rotor Design</t>
  </si>
  <si>
    <t>mm</t>
  </si>
  <si>
    <t>Shaft OD (DRI)</t>
  </si>
  <si>
    <t>Air Gap (g)</t>
  </si>
  <si>
    <t>mmf ratio designations</t>
  </si>
  <si>
    <t>mmf ratios</t>
  </si>
  <si>
    <t>S1/S2</t>
  </si>
  <si>
    <t>S3/S2</t>
  </si>
  <si>
    <t>S4/S2</t>
  </si>
  <si>
    <t>Result</t>
  </si>
  <si>
    <t>S2</t>
  </si>
  <si>
    <t>S1</t>
  </si>
  <si>
    <t>S3</t>
  </si>
  <si>
    <t>S4</t>
  </si>
  <si>
    <t>Barrier Width in q-axis</t>
  </si>
  <si>
    <t>pu mmfd/seg</t>
  </si>
  <si>
    <t xml:space="preserve">pu mmfd/seg designation </t>
  </si>
  <si>
    <t>fq_1</t>
  </si>
  <si>
    <t>fq_2</t>
  </si>
  <si>
    <t>fq_3</t>
  </si>
  <si>
    <t>fq_4</t>
  </si>
  <si>
    <t>fq_5</t>
  </si>
  <si>
    <t xml:space="preserve">pu mmfq/seg designation </t>
  </si>
  <si>
    <t>pu mmfq/seg</t>
  </si>
  <si>
    <t>Differences</t>
  </si>
  <si>
    <t>delta_f_1</t>
  </si>
  <si>
    <t>delta_f_2</t>
  </si>
  <si>
    <t>delta_f_3</t>
  </si>
  <si>
    <t>delta_f_4</t>
  </si>
  <si>
    <t>Wl_1/Wl_2</t>
  </si>
  <si>
    <t>Wl_3/Wl_2</t>
  </si>
  <si>
    <t>Wl_4/Wl_2</t>
  </si>
  <si>
    <t>Constant Permeance (Barrier Width Ratio)</t>
  </si>
  <si>
    <t>Wl_2</t>
  </si>
  <si>
    <t>Wl_1</t>
  </si>
  <si>
    <t>Wl_3</t>
  </si>
  <si>
    <t>Wl_4</t>
  </si>
  <si>
    <t>Position Desgn.</t>
  </si>
  <si>
    <t>Value</t>
  </si>
  <si>
    <t>q-axis Position</t>
  </si>
  <si>
    <t>Yq_1</t>
  </si>
  <si>
    <t>Yq_2</t>
  </si>
  <si>
    <t>Yq_3</t>
  </si>
  <si>
    <t>Yq_4</t>
  </si>
  <si>
    <t>Barrier Width in d-axis</t>
  </si>
  <si>
    <t>Barrier Width in d-axis is proportional to Barrier width in q-axis assumed</t>
  </si>
  <si>
    <t>W2d</t>
  </si>
  <si>
    <t>W1d</t>
  </si>
  <si>
    <t>W3d</t>
  </si>
  <si>
    <t>W4d</t>
  </si>
  <si>
    <t>Ribs</t>
  </si>
  <si>
    <t>Rib comb.</t>
  </si>
  <si>
    <t>T/pole</t>
  </si>
  <si>
    <t>dT%</t>
  </si>
  <si>
    <t>No rib</t>
  </si>
  <si>
    <t>1 width 2 mm</t>
  </si>
  <si>
    <t>2 width 1 mm</t>
  </si>
  <si>
    <t>(1 T 2 R)</t>
  </si>
  <si>
    <t>Ribs (1T2R)</t>
  </si>
  <si>
    <t>Rib Radius</t>
  </si>
  <si>
    <t>Rib Width</t>
  </si>
  <si>
    <t>Rotor OD</t>
  </si>
  <si>
    <t>fd_5</t>
  </si>
  <si>
    <t>S5/S2</t>
  </si>
  <si>
    <t>S5</t>
  </si>
  <si>
    <t>Stator inner diameter (ID)</t>
  </si>
  <si>
    <t xml:space="preserve">Innermost </t>
  </si>
  <si>
    <t>Segment No.</t>
  </si>
  <si>
    <t>Inner Thickness</t>
  </si>
  <si>
    <t>Outer Thickness</t>
  </si>
  <si>
    <t>Diameter</t>
  </si>
  <si>
    <t>Web Thickness</t>
  </si>
  <si>
    <t>Outermost</t>
  </si>
  <si>
    <t>All dimensions in mm</t>
  </si>
  <si>
    <t>//k=Qs/2p+-2</t>
  </si>
  <si>
    <t>No. of stator slots</t>
  </si>
  <si>
    <t>//Kostko Rule</t>
  </si>
  <si>
    <t>Start with Induction motor stator and modify back-iron and teeth to evenly distribute the magnetic field density, B or avoid saturation.</t>
  </si>
  <si>
    <t>n turns; m strands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</si>
</sst>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  <xf numFmtId="0" fontId="3" fillId="4" borderId="0" xfId="0" applyFont="1" applyFill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68"/>
  <sheetViews>
    <sheetView tabSelected="1" topLeftCell="A10" workbookViewId="0">
      <selection activeCell="G67" sqref="G67"/>
    </sheetView>
  </sheetViews>
  <sheetFormatPr defaultRowHeight="14.4"/>
  <cols>
    <col min="2" max="2" width="33.33203125" bestFit="1" customWidth="1"/>
    <col min="3" max="3" width="12" bestFit="1" customWidth="1"/>
    <col min="4" max="4" width="15.44140625" bestFit="1" customWidth="1"/>
    <col min="5" max="5" width="13.44140625" bestFit="1" customWidth="1"/>
    <col min="6" max="6" width="10.88671875" bestFit="1" customWidth="1"/>
    <col min="7" max="7" width="29" bestFit="1" customWidth="1"/>
    <col min="8" max="8" width="25.88671875" bestFit="1" customWidth="1"/>
    <col min="9" max="9" width="13.44140625" bestFit="1" customWidth="1"/>
    <col min="11" max="11" width="29" bestFit="1" customWidth="1"/>
    <col min="12" max="12" width="18" bestFit="1" customWidth="1"/>
    <col min="16" max="16" width="29" bestFit="1" customWidth="1"/>
  </cols>
  <sheetData>
    <row r="1" spans="2:16" ht="23.4">
      <c r="B1" s="4" t="s">
        <v>15</v>
      </c>
    </row>
    <row r="2" spans="2:16">
      <c r="G2" s="6" t="s">
        <v>93</v>
      </c>
    </row>
    <row r="3" spans="2:16" ht="21">
      <c r="B3" s="1" t="s">
        <v>14</v>
      </c>
    </row>
    <row r="4" spans="2:16">
      <c r="B4" t="s">
        <v>0</v>
      </c>
      <c r="C4">
        <v>4</v>
      </c>
    </row>
    <row r="5" spans="2:16">
      <c r="B5" t="s">
        <v>90</v>
      </c>
      <c r="C5">
        <v>48</v>
      </c>
    </row>
    <row r="6" spans="2:16">
      <c r="B6" t="s">
        <v>2</v>
      </c>
      <c r="C6">
        <f>C5/(C4*2)-2</f>
        <v>4</v>
      </c>
      <c r="D6" s="18" t="s">
        <v>89</v>
      </c>
      <c r="E6" t="s">
        <v>91</v>
      </c>
    </row>
    <row r="7" spans="2:16">
      <c r="B7" t="s">
        <v>1</v>
      </c>
      <c r="C7" s="5">
        <v>8</v>
      </c>
      <c r="D7" t="s">
        <v>8</v>
      </c>
    </row>
    <row r="8" spans="2:16">
      <c r="B8" t="s">
        <v>3</v>
      </c>
      <c r="C8" s="5">
        <f>((180/(2*C4)-C7)/(C6+0.5))</f>
        <v>3.2222222222222223</v>
      </c>
      <c r="D8" t="s">
        <v>8</v>
      </c>
    </row>
    <row r="9" spans="2:16">
      <c r="B9" t="s">
        <v>5</v>
      </c>
      <c r="C9">
        <v>0.9</v>
      </c>
      <c r="D9" t="s">
        <v>9</v>
      </c>
    </row>
    <row r="10" spans="2:16">
      <c r="B10" t="s">
        <v>4</v>
      </c>
      <c r="C10">
        <f>C9*0.6</f>
        <v>0.54</v>
      </c>
      <c r="D10" t="s">
        <v>9</v>
      </c>
    </row>
    <row r="11" spans="2:16">
      <c r="B11" t="s">
        <v>80</v>
      </c>
      <c r="C11">
        <v>100</v>
      </c>
      <c r="D11" t="s">
        <v>16</v>
      </c>
      <c r="F11" s="5">
        <f>2*3.14*60/72</f>
        <v>5.2333333333333334</v>
      </c>
    </row>
    <row r="12" spans="2:16">
      <c r="B12" t="s">
        <v>76</v>
      </c>
      <c r="C12">
        <v>99</v>
      </c>
      <c r="D12" t="s">
        <v>16</v>
      </c>
    </row>
    <row r="13" spans="2:16">
      <c r="B13" t="s">
        <v>17</v>
      </c>
      <c r="C13">
        <v>25</v>
      </c>
      <c r="D13" t="s">
        <v>16</v>
      </c>
    </row>
    <row r="14" spans="2:16">
      <c r="B14" t="s">
        <v>18</v>
      </c>
      <c r="C14">
        <f>((C11-C12)/2)</f>
        <v>0.5</v>
      </c>
      <c r="D14" t="s">
        <v>16</v>
      </c>
    </row>
    <row r="16" spans="2:16" ht="21">
      <c r="B16" s="1" t="s">
        <v>6</v>
      </c>
      <c r="G16" s="1" t="s">
        <v>29</v>
      </c>
      <c r="K16" s="1" t="s">
        <v>54</v>
      </c>
      <c r="P16" s="1" t="s">
        <v>59</v>
      </c>
    </row>
    <row r="17" spans="2:21" ht="15.6">
      <c r="B17" s="3" t="s">
        <v>10</v>
      </c>
      <c r="C17" s="20" t="s">
        <v>31</v>
      </c>
      <c r="D17" s="20"/>
      <c r="E17" s="3" t="s">
        <v>30</v>
      </c>
      <c r="G17" s="3" t="s">
        <v>10</v>
      </c>
      <c r="H17" s="3" t="s">
        <v>37</v>
      </c>
      <c r="I17" s="3" t="s">
        <v>38</v>
      </c>
      <c r="K17" s="3" t="s">
        <v>10</v>
      </c>
      <c r="L17" s="3" t="s">
        <v>52</v>
      </c>
      <c r="M17" s="3" t="s">
        <v>53</v>
      </c>
      <c r="P17" s="20" t="s">
        <v>60</v>
      </c>
      <c r="Q17" s="20"/>
      <c r="R17" s="20"/>
      <c r="S17" s="20"/>
      <c r="T17" s="20"/>
      <c r="U17" s="20"/>
    </row>
    <row r="18" spans="2:21" ht="15.6">
      <c r="B18">
        <v>1</v>
      </c>
      <c r="C18" s="19" t="s">
        <v>7</v>
      </c>
      <c r="D18" s="19"/>
      <c r="E18">
        <f>((SIN($C$4*(2*B18-1)*$C$8*0.0174/2)-SIN($C$4*(2*B18-3)*$C$8*0.0174/2))/($C$4*$C$8))</f>
        <v>1.7363558653121756E-2</v>
      </c>
      <c r="G18">
        <v>1</v>
      </c>
      <c r="H18" s="2" t="s">
        <v>32</v>
      </c>
      <c r="I18">
        <v>0</v>
      </c>
      <c r="K18" s="8">
        <v>1</v>
      </c>
      <c r="L18" s="8" t="s">
        <v>55</v>
      </c>
      <c r="M18" s="9">
        <f>C44+H55/2+C13/2</f>
        <v>17.321885951028335</v>
      </c>
      <c r="N18" s="8" t="s">
        <v>16</v>
      </c>
      <c r="P18" s="3" t="s">
        <v>24</v>
      </c>
    </row>
    <row r="19" spans="2:21">
      <c r="B19">
        <v>2</v>
      </c>
      <c r="C19" s="19" t="s">
        <v>11</v>
      </c>
      <c r="D19" s="19"/>
      <c r="E19">
        <f>((SIN($C$4*(2*B19-1)*$C$8*0.0174/2)-SIN($C$4*(2*B19-3)*$C$8*0.0174/2))/($C$4*$C$8))</f>
        <v>1.6928730976333108E-2</v>
      </c>
      <c r="G19">
        <v>2</v>
      </c>
      <c r="H19" s="2" t="s">
        <v>33</v>
      </c>
      <c r="I19">
        <f>((COS($C$4*(2*G19-3)*$C$8*0.0174/2)-COS($C$4*(2*G19-1)*$C$8*0.0174/2))/($C$4*$C$8))</f>
        <v>3.8615070414721986E-3</v>
      </c>
      <c r="K19" s="8">
        <v>2</v>
      </c>
      <c r="L19" s="8" t="s">
        <v>56</v>
      </c>
      <c r="M19" s="9">
        <f>C43+H54/2+C13/2+H55+C44</f>
        <v>26.625815050985388</v>
      </c>
      <c r="N19" s="8" t="s">
        <v>16</v>
      </c>
      <c r="P19" s="8" t="s">
        <v>61</v>
      </c>
      <c r="Q19" s="9">
        <f>((C11/2-C14)*SIN(3.14/(2*C4)-0.75*3.14/(2*C4*(C6+1)))/((H43+H44+H45+1)*(1+1/C10)))</f>
        <v>1.2097291231747738</v>
      </c>
      <c r="R19" s="8" t="s">
        <v>16</v>
      </c>
    </row>
    <row r="20" spans="2:21">
      <c r="B20">
        <v>3</v>
      </c>
      <c r="C20" s="19" t="s">
        <v>12</v>
      </c>
      <c r="D20" s="19"/>
      <c r="E20">
        <f>((SIN($C$4*(2*B20-1)*$C$8*0.0174/2)-SIN($C$4*(2*B20-3)*$C$8*0.0174/2))/($C$4*$C$8))</f>
        <v>1.5646026328184605E-2</v>
      </c>
      <c r="G20">
        <v>3</v>
      </c>
      <c r="H20" s="2" t="s">
        <v>34</v>
      </c>
      <c r="I20">
        <f t="shared" ref="I20" si="0">((COS($C$4*(2*G20-3)*$C$8*0.0174/2)-COS($C$4*(2*G20-1)*$C$8*0.0174/2))/($C$4*$C$8))</f>
        <v>7.529610165085133E-3</v>
      </c>
      <c r="K20" s="8">
        <v>3</v>
      </c>
      <c r="L20" s="8" t="s">
        <v>57</v>
      </c>
      <c r="M20" s="9">
        <f>C45+H56/2+C13/2+H55+H54+C44+C43</f>
        <v>34.957061168122088</v>
      </c>
      <c r="N20" s="8" t="s">
        <v>16</v>
      </c>
      <c r="P20" s="8" t="s">
        <v>62</v>
      </c>
      <c r="Q20" s="9">
        <f>Q19*H43</f>
        <v>1.3406602247658348</v>
      </c>
      <c r="R20" s="8" t="s">
        <v>16</v>
      </c>
    </row>
    <row r="21" spans="2:21">
      <c r="B21">
        <v>4</v>
      </c>
      <c r="C21" s="19" t="s">
        <v>13</v>
      </c>
      <c r="D21" s="19"/>
      <c r="E21">
        <f>((SIN($C$4*(2*B21-1)*$C$8*0.0174/2)-SIN($C$4*(2*B21-3)*$C$8*0.0174/2))/($C$4*$C$8))</f>
        <v>1.3579689083150753E-2</v>
      </c>
      <c r="G21">
        <v>4</v>
      </c>
      <c r="H21" s="2" t="s">
        <v>35</v>
      </c>
      <c r="I21">
        <f>((COS($C$4*(2*G21-3)*$C$8*0.0174/2)-COS($C$4*(2*G21-1)*$C$8*0.0174/2))/($C$4*$C$8))</f>
        <v>1.0820592105118643E-2</v>
      </c>
      <c r="K21" s="8">
        <v>4</v>
      </c>
      <c r="L21" s="8" t="s">
        <v>58</v>
      </c>
      <c r="M21" s="9">
        <f>C46+H57/2+C13/2+H55+H54+H56+C44+C43+C45</f>
        <v>44.097353054684447</v>
      </c>
      <c r="N21" s="8" t="s">
        <v>16</v>
      </c>
      <c r="P21" s="8" t="s">
        <v>63</v>
      </c>
      <c r="Q21" s="9">
        <f>Q19*H44</f>
        <v>0.97376925992364616</v>
      </c>
      <c r="R21" s="8" t="s">
        <v>16</v>
      </c>
    </row>
    <row r="22" spans="2:21">
      <c r="B22">
        <v>5</v>
      </c>
      <c r="C22" s="19" t="s">
        <v>77</v>
      </c>
      <c r="D22" s="19"/>
      <c r="E22">
        <f>(1-SIN(C4*(2*C6-1)*0.0174*C8/2))/(C4*(C8+C7))</f>
        <v>6.5321728147262311E-3</v>
      </c>
      <c r="G22">
        <v>5</v>
      </c>
      <c r="H22" s="2" t="s">
        <v>36</v>
      </c>
      <c r="I22">
        <f>(COS(C4*(2*C6-1)*(PI()/180)*C8/2))/(C4*(C8+C7))</f>
        <v>1.5721801312922667E-2</v>
      </c>
      <c r="K22" s="8"/>
      <c r="L22" s="8"/>
      <c r="M22" s="9"/>
      <c r="N22" s="8"/>
      <c r="P22" s="8" t="s">
        <v>64</v>
      </c>
      <c r="Q22" s="9">
        <f>$Q$19*H45</f>
        <v>2.1597900894372875</v>
      </c>
      <c r="R22" s="8" t="s">
        <v>16</v>
      </c>
    </row>
    <row r="23" spans="2:21">
      <c r="C23" s="19"/>
      <c r="D23" s="19"/>
      <c r="H23" s="7"/>
      <c r="K23" s="8"/>
      <c r="L23" s="8"/>
      <c r="M23" s="9"/>
      <c r="N23" s="8"/>
      <c r="P23" s="8"/>
      <c r="Q23" s="9"/>
      <c r="R23" s="8"/>
    </row>
    <row r="24" spans="2:21">
      <c r="C24" s="19"/>
      <c r="D24" s="19"/>
      <c r="H24" s="7"/>
      <c r="K24" s="8"/>
      <c r="L24" s="8"/>
      <c r="M24" s="9"/>
      <c r="N24" s="8"/>
      <c r="P24" s="8"/>
      <c r="Q24" s="9"/>
      <c r="R24" s="8"/>
    </row>
    <row r="25" spans="2:21">
      <c r="C25" s="19"/>
      <c r="D25" s="19"/>
      <c r="H25" s="7"/>
      <c r="K25" s="8"/>
      <c r="L25" s="8"/>
      <c r="M25" s="9"/>
      <c r="N25" s="8"/>
      <c r="P25" s="8"/>
      <c r="Q25" s="9"/>
      <c r="R25" s="8"/>
    </row>
    <row r="26" spans="2:21">
      <c r="C26" s="19"/>
      <c r="D26" s="19"/>
      <c r="H26" s="7"/>
      <c r="K26" s="8"/>
      <c r="L26" s="8"/>
      <c r="M26" s="9"/>
      <c r="N26" s="8"/>
      <c r="P26" s="8"/>
      <c r="Q26" s="9"/>
      <c r="R26" s="8"/>
    </row>
    <row r="27" spans="2:21">
      <c r="C27" s="19"/>
      <c r="D27" s="19"/>
      <c r="H27" s="7"/>
      <c r="K27" s="8"/>
      <c r="L27" s="8"/>
      <c r="M27" s="9"/>
      <c r="N27" s="8"/>
      <c r="P27" s="8"/>
      <c r="Q27" s="9"/>
      <c r="R27" s="8"/>
    </row>
    <row r="28" spans="2:21">
      <c r="C28" s="19"/>
      <c r="D28" s="19"/>
      <c r="H28" s="7"/>
      <c r="P28" s="8"/>
      <c r="Q28" s="9"/>
      <c r="R28" s="8"/>
    </row>
    <row r="30" spans="2:21" ht="15.6">
      <c r="B30" s="3" t="s">
        <v>19</v>
      </c>
      <c r="C30" s="22" t="s">
        <v>20</v>
      </c>
      <c r="D30" s="22"/>
      <c r="G30" s="3" t="s">
        <v>39</v>
      </c>
    </row>
    <row r="31" spans="2:21">
      <c r="B31" t="s">
        <v>21</v>
      </c>
      <c r="C31" s="19">
        <f>0.5*E18/E19</f>
        <v>0.51284289050952936</v>
      </c>
      <c r="D31" s="19"/>
      <c r="G31" t="s">
        <v>40</v>
      </c>
      <c r="H31">
        <f>I19-I18</f>
        <v>3.8615070414721986E-3</v>
      </c>
    </row>
    <row r="32" spans="2:21">
      <c r="B32" t="s">
        <v>22</v>
      </c>
      <c r="C32" s="19">
        <f>E20/E19</f>
        <v>0.92422913153137332</v>
      </c>
      <c r="D32" s="19"/>
      <c r="G32" t="s">
        <v>41</v>
      </c>
      <c r="H32">
        <f>I20-I19</f>
        <v>3.6681031236129344E-3</v>
      </c>
    </row>
    <row r="33" spans="2:8">
      <c r="B33" t="s">
        <v>23</v>
      </c>
      <c r="C33" s="19">
        <f>E21/E19</f>
        <v>0.80216816618656062</v>
      </c>
      <c r="D33" s="19"/>
      <c r="G33" t="s">
        <v>42</v>
      </c>
      <c r="H33">
        <f>I21-I20</f>
        <v>3.2909819400335103E-3</v>
      </c>
    </row>
    <row r="34" spans="2:8">
      <c r="B34" t="s">
        <v>78</v>
      </c>
      <c r="C34" s="19">
        <f>E22/E19</f>
        <v>0.3858631118811216</v>
      </c>
      <c r="D34" s="19"/>
      <c r="G34" t="s">
        <v>43</v>
      </c>
      <c r="H34">
        <f>I22-I21</f>
        <v>4.9012092078040241E-3</v>
      </c>
    </row>
    <row r="35" spans="2:8">
      <c r="C35" s="19"/>
      <c r="D35" s="19"/>
    </row>
    <row r="36" spans="2:8">
      <c r="C36" s="19"/>
      <c r="D36" s="19"/>
    </row>
    <row r="37" spans="2:8">
      <c r="C37" s="19"/>
      <c r="D37" s="19"/>
    </row>
    <row r="38" spans="2:8">
      <c r="C38" s="19"/>
      <c r="D38" s="19"/>
    </row>
    <row r="39" spans="2:8">
      <c r="C39" s="19"/>
      <c r="D39" s="19"/>
    </row>
    <row r="40" spans="2:8">
      <c r="C40" s="19"/>
      <c r="D40" s="19"/>
    </row>
    <row r="42" spans="2:8" ht="15.6">
      <c r="B42" s="3" t="s">
        <v>24</v>
      </c>
      <c r="G42" s="20" t="s">
        <v>47</v>
      </c>
      <c r="H42" s="20"/>
    </row>
    <row r="43" spans="2:8">
      <c r="B43" s="8" t="s">
        <v>25</v>
      </c>
      <c r="C43" s="9">
        <f>((C11/2-C13/2-C14)/((C31+1+C32+C33+C34)*(1+C9)))</f>
        <v>5.3718977359743132</v>
      </c>
      <c r="D43" s="8" t="s">
        <v>16</v>
      </c>
      <c r="G43" t="s">
        <v>44</v>
      </c>
      <c r="H43">
        <f>((H31/$H$32)^2)</f>
        <v>1.1082317512927602</v>
      </c>
    </row>
    <row r="44" spans="2:8">
      <c r="B44" s="8" t="s">
        <v>26</v>
      </c>
      <c r="C44" s="9">
        <f>$C$43*C31</f>
        <v>2.7549395624386634</v>
      </c>
      <c r="D44" s="8" t="s">
        <v>16</v>
      </c>
      <c r="G44" t="s">
        <v>45</v>
      </c>
      <c r="H44">
        <f>((H33/$H$32)^2)</f>
        <v>0.80494818324958384</v>
      </c>
    </row>
    <row r="45" spans="2:8">
      <c r="B45" s="8" t="s">
        <v>27</v>
      </c>
      <c r="C45" s="9">
        <f>$C$43*C32</f>
        <v>4.9648643791948901</v>
      </c>
      <c r="D45" s="8" t="s">
        <v>16</v>
      </c>
      <c r="G45" t="s">
        <v>46</v>
      </c>
      <c r="H45">
        <f t="shared" ref="H45" si="1">((H34/$H$32)^2)</f>
        <v>1.7853501648114452</v>
      </c>
    </row>
    <row r="46" spans="2:8">
      <c r="B46" s="8" t="s">
        <v>28</v>
      </c>
      <c r="C46" s="9">
        <f>$C$43*C33</f>
        <v>4.3091653558082514</v>
      </c>
      <c r="D46" s="8" t="s">
        <v>16</v>
      </c>
    </row>
    <row r="47" spans="2:8">
      <c r="B47" s="8" t="s">
        <v>79</v>
      </c>
      <c r="C47" s="9">
        <f t="shared" ref="C47" si="2">$C$43*C34</f>
        <v>2.0728171771102004</v>
      </c>
      <c r="D47" s="8" t="s">
        <v>16</v>
      </c>
    </row>
    <row r="48" spans="2:8">
      <c r="B48" s="8"/>
      <c r="C48" s="9"/>
      <c r="D48" s="8"/>
    </row>
    <row r="49" spans="2:9">
      <c r="B49" s="8"/>
      <c r="C49" s="9"/>
      <c r="D49" s="8"/>
    </row>
    <row r="50" spans="2:9">
      <c r="B50" s="8"/>
      <c r="C50" s="9"/>
      <c r="D50" s="8"/>
    </row>
    <row r="51" spans="2:9">
      <c r="B51" s="8"/>
      <c r="C51" s="9"/>
      <c r="D51" s="8"/>
    </row>
    <row r="52" spans="2:9">
      <c r="B52" s="8"/>
      <c r="C52" s="9"/>
      <c r="D52" s="8"/>
    </row>
    <row r="53" spans="2:9" ht="15.6">
      <c r="B53" s="8"/>
      <c r="C53" s="9"/>
      <c r="D53" s="8"/>
      <c r="G53" s="3" t="s">
        <v>24</v>
      </c>
    </row>
    <row r="54" spans="2:9">
      <c r="G54" s="8" t="s">
        <v>48</v>
      </c>
      <c r="H54" s="9">
        <f>((C11/2-C13/2-C14)/((H43+H44+H45+1)*(1+1/C9)))</f>
        <v>3.7301699507861321</v>
      </c>
      <c r="I54" s="8" t="s">
        <v>16</v>
      </c>
    </row>
    <row r="55" spans="2:9">
      <c r="G55" s="8" t="s">
        <v>49</v>
      </c>
      <c r="H55" s="9">
        <f>$H$54*H43</f>
        <v>4.1338927771793443</v>
      </c>
      <c r="I55" s="8" t="s">
        <v>16</v>
      </c>
    </row>
    <row r="56" spans="2:9">
      <c r="G56" s="8" t="s">
        <v>50</v>
      </c>
      <c r="H56" s="9">
        <f>$H$54*H44</f>
        <v>3.0025935250974864</v>
      </c>
      <c r="I56" s="8" t="s">
        <v>16</v>
      </c>
    </row>
    <row r="57" spans="2:9">
      <c r="G57" s="8" t="s">
        <v>51</v>
      </c>
      <c r="H57" s="9">
        <f>$H$54*H45</f>
        <v>6.6596595364107216</v>
      </c>
      <c r="I57" s="8" t="s">
        <v>16</v>
      </c>
    </row>
    <row r="58" spans="2:9">
      <c r="G58" s="8"/>
      <c r="H58" s="9"/>
      <c r="I58" s="8"/>
    </row>
    <row r="59" spans="2:9">
      <c r="G59" s="8"/>
      <c r="H59" s="9"/>
      <c r="I59" s="8"/>
    </row>
    <row r="60" spans="2:9">
      <c r="G60" s="8"/>
      <c r="H60" s="9"/>
      <c r="I60" s="8"/>
    </row>
    <row r="61" spans="2:9">
      <c r="G61" s="8"/>
      <c r="H61" s="9"/>
      <c r="I61" s="8"/>
    </row>
    <row r="62" spans="2:9">
      <c r="G62" s="8"/>
      <c r="H62" s="9"/>
      <c r="I62" s="8"/>
    </row>
    <row r="63" spans="2:9">
      <c r="G63" s="8"/>
      <c r="H63" s="9"/>
      <c r="I63" s="8"/>
    </row>
    <row r="64" spans="2:9" ht="21">
      <c r="B64" s="21" t="s">
        <v>73</v>
      </c>
      <c r="C64" s="21"/>
    </row>
    <row r="65" spans="2:8" ht="15.6">
      <c r="B65" s="3" t="s">
        <v>66</v>
      </c>
      <c r="C65" s="3" t="s">
        <v>67</v>
      </c>
      <c r="D65" s="3" t="s">
        <v>68</v>
      </c>
      <c r="F65" s="3" t="s">
        <v>74</v>
      </c>
      <c r="G65">
        <v>1</v>
      </c>
      <c r="H65" s="3" t="s">
        <v>16</v>
      </c>
    </row>
    <row r="66" spans="2:8" ht="15.6">
      <c r="B66" t="s">
        <v>69</v>
      </c>
      <c r="C66">
        <v>32.83</v>
      </c>
      <c r="D66">
        <v>0</v>
      </c>
      <c r="F66" s="3" t="s">
        <v>75</v>
      </c>
      <c r="G66">
        <v>1</v>
      </c>
      <c r="H66" t="s">
        <v>16</v>
      </c>
    </row>
    <row r="67" spans="2:8">
      <c r="B67" t="s">
        <v>70</v>
      </c>
      <c r="C67">
        <v>31.89</v>
      </c>
      <c r="D67">
        <v>-2.86</v>
      </c>
    </row>
    <row r="68" spans="2:8">
      <c r="B68" t="s">
        <v>71</v>
      </c>
      <c r="C68">
        <v>32.04</v>
      </c>
      <c r="D68">
        <v>-2.39</v>
      </c>
    </row>
  </sheetData>
  <mergeCells count="26">
    <mergeCell ref="P17:U17"/>
    <mergeCell ref="B64:C64"/>
    <mergeCell ref="C30:D30"/>
    <mergeCell ref="C31:D31"/>
    <mergeCell ref="C32:D32"/>
    <mergeCell ref="C33:D33"/>
    <mergeCell ref="G42:H42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4:D34"/>
    <mergeCell ref="C35:D35"/>
    <mergeCell ref="C36:D36"/>
    <mergeCell ref="C37:D37"/>
    <mergeCell ref="C38:D38"/>
    <mergeCell ref="C39:D39"/>
    <mergeCell ref="C40:D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2" sqref="E2"/>
    </sheetView>
  </sheetViews>
  <sheetFormatPr defaultRowHeight="18"/>
  <cols>
    <col min="1" max="1" width="12.6640625" style="14" customWidth="1"/>
    <col min="2" max="2" width="11.6640625" customWidth="1"/>
    <col min="3" max="3" width="13.5546875" customWidth="1"/>
    <col min="4" max="4" width="13.6640625" customWidth="1"/>
    <col min="5" max="5" width="13" customWidth="1"/>
    <col min="6" max="6" width="12.6640625" customWidth="1"/>
  </cols>
  <sheetData>
    <row r="1" spans="1:7" ht="63">
      <c r="A1" s="12"/>
      <c r="B1" s="11" t="s">
        <v>82</v>
      </c>
      <c r="C1" s="11" t="s">
        <v>83</v>
      </c>
      <c r="D1" s="11" t="s">
        <v>84</v>
      </c>
      <c r="E1" s="11" t="s">
        <v>85</v>
      </c>
      <c r="F1" s="11" t="s">
        <v>86</v>
      </c>
      <c r="G1" s="10"/>
    </row>
    <row r="2" spans="1:7">
      <c r="A2" s="13" t="s">
        <v>81</v>
      </c>
      <c r="B2" s="16">
        <v>1</v>
      </c>
      <c r="C2" s="17">
        <f>'Rotor Design'!H55</f>
        <v>4.1338927771793443</v>
      </c>
      <c r="D2" s="17">
        <f>'Rotor Design'!Q20</f>
        <v>1.3406602247658348</v>
      </c>
      <c r="E2" s="17">
        <f>('Rotor Design'!M18-'For Parameter Based Simulation'!C2/2)*2</f>
        <v>30.509879124877326</v>
      </c>
      <c r="F2" s="17">
        <f>'Rotor Design'!C44*2</f>
        <v>5.5098791248773269</v>
      </c>
    </row>
    <row r="3" spans="1:7">
      <c r="A3" s="13"/>
      <c r="B3" s="16">
        <v>2</v>
      </c>
      <c r="C3" s="17">
        <f>'Rotor Design'!H54</f>
        <v>3.7301699507861321</v>
      </c>
      <c r="D3" s="17">
        <f>'Rotor Design'!Q19</f>
        <v>1.2097291231747738</v>
      </c>
      <c r="E3" s="17">
        <f>('Rotor Design'!M19-'For Parameter Based Simulation'!C3/2)*2</f>
        <v>49.521460151184641</v>
      </c>
      <c r="F3" s="17">
        <f>F2+D2*2+'Rotor Design'!C43*2</f>
        <v>18.934995046357621</v>
      </c>
    </row>
    <row r="4" spans="1:7">
      <c r="A4" s="13"/>
      <c r="B4" s="16">
        <v>3</v>
      </c>
      <c r="C4" s="17">
        <f>'Rotor Design'!H56</f>
        <v>3.0025935250974864</v>
      </c>
      <c r="D4" s="17">
        <f>'Rotor Design'!Q21</f>
        <v>0.97376925992364616</v>
      </c>
      <c r="E4" s="17">
        <f>('Rotor Design'!M20-'For Parameter Based Simulation'!C4/2)*2</f>
        <v>66.911528811146695</v>
      </c>
      <c r="F4" s="17">
        <f>F3+D3*2+'Rotor Design'!C45*2</f>
        <v>31.284182051096948</v>
      </c>
    </row>
    <row r="5" spans="1:7">
      <c r="A5" s="13" t="s">
        <v>87</v>
      </c>
      <c r="B5" s="16">
        <v>4</v>
      </c>
      <c r="C5" s="17">
        <f>'Rotor Design'!H57</f>
        <v>6.6596595364107216</v>
      </c>
      <c r="D5" s="17">
        <f>'Rotor Design'!Q22</f>
        <v>2.1597900894372875</v>
      </c>
      <c r="E5" s="17">
        <f>('Rotor Design'!M21-'For Parameter Based Simulation'!C5/2)*2</f>
        <v>81.53504657295818</v>
      </c>
      <c r="F5" s="17">
        <f>F4+D4*2+'Rotor Design'!C46*2</f>
        <v>41.850051282560742</v>
      </c>
    </row>
    <row r="7" spans="1:7">
      <c r="C7" s="23" t="s">
        <v>88</v>
      </c>
      <c r="D7" s="23"/>
      <c r="E7" s="23"/>
      <c r="F7" s="23"/>
    </row>
    <row r="8" spans="1:7">
      <c r="C8" s="23"/>
      <c r="D8" s="23"/>
      <c r="E8" s="23"/>
      <c r="F8" s="23"/>
    </row>
    <row r="9" spans="1:7">
      <c r="C9" s="23"/>
      <c r="D9" s="23"/>
      <c r="E9" s="23"/>
      <c r="F9" s="23"/>
    </row>
    <row r="10" spans="1:7">
      <c r="C10" s="23"/>
      <c r="D10" s="23"/>
      <c r="E10" s="23"/>
      <c r="F10" s="23"/>
    </row>
    <row r="11" spans="1:7">
      <c r="C11" s="23"/>
      <c r="D11" s="23"/>
      <c r="E11" s="23"/>
      <c r="F11" s="23"/>
    </row>
    <row r="15" spans="1:7">
      <c r="E15" s="15"/>
    </row>
  </sheetData>
  <mergeCells count="1">
    <mergeCell ref="C7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6" sqref="B2:D6"/>
    </sheetView>
  </sheetViews>
  <sheetFormatPr defaultRowHeight="14.4"/>
  <cols>
    <col min="2" max="2" width="12.88671875" bestFit="1" customWidth="1"/>
  </cols>
  <sheetData>
    <row r="2" spans="2:4">
      <c r="B2" s="6" t="s">
        <v>65</v>
      </c>
      <c r="C2" s="6" t="s">
        <v>72</v>
      </c>
      <c r="D2" s="6"/>
    </row>
    <row r="3" spans="2:4">
      <c r="B3" s="6" t="s">
        <v>66</v>
      </c>
      <c r="C3" s="6" t="s">
        <v>67</v>
      </c>
      <c r="D3" s="6" t="s">
        <v>68</v>
      </c>
    </row>
    <row r="4" spans="2:4">
      <c r="B4" s="6" t="s">
        <v>69</v>
      </c>
      <c r="C4" s="6">
        <v>32.83</v>
      </c>
      <c r="D4" s="6">
        <v>0</v>
      </c>
    </row>
    <row r="5" spans="2:4">
      <c r="B5" s="6" t="s">
        <v>70</v>
      </c>
      <c r="C5" s="6">
        <v>31.89</v>
      </c>
      <c r="D5" s="6">
        <v>-2.86</v>
      </c>
    </row>
    <row r="6" spans="2:4">
      <c r="B6" s="6" t="s">
        <v>71</v>
      </c>
      <c r="C6" s="6">
        <v>32.04</v>
      </c>
      <c r="D6" s="6">
        <v>-2.39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sqref="A1:M1"/>
    </sheetView>
  </sheetViews>
  <sheetFormatPr defaultRowHeight="14.4"/>
  <sheetData>
    <row r="1" spans="1:13">
      <c r="A1" s="24" t="s">
        <v>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Rotor Design</vt:lpstr>
      <vt:lpstr>For Parameter Based Simulation</vt:lpstr>
      <vt:lpstr>Mchn Char</vt:lpstr>
      <vt:lpstr>Stator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akash.iitm.2018@gmail.com</cp:lastModifiedBy>
  <dcterms:created xsi:type="dcterms:W3CDTF">2019-02-12T05:58:02Z</dcterms:created>
  <dcterms:modified xsi:type="dcterms:W3CDTF">2023-06-11T16:25:37Z</dcterms:modified>
</cp:coreProperties>
</file>