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bri\Jupitar notes\Daily Macro Trends\"/>
    </mc:Choice>
  </mc:AlternateContent>
  <xr:revisionPtr revIDLastSave="0" documentId="13_ncr:1_{496AE5D2-AD51-4B77-9686-0B27F4F26B48}" xr6:coauthVersionLast="47" xr6:coauthVersionMax="47" xr10:uidLastSave="{00000000-0000-0000-0000-000000000000}"/>
  <bookViews>
    <workbookView xWindow="-120" yWindow="-120" windowWidth="29040" windowHeight="15840" xr2:uid="{26C21E18-154E-449E-9ECD-11886274F870}"/>
  </bookViews>
  <sheets>
    <sheet name="Heater 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42" i="1" l="1"/>
  <c r="C43" i="1"/>
  <c r="C44" i="1"/>
  <c r="C96" i="1" l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95" i="1"/>
  <c r="B62" i="1"/>
  <c r="B63" i="1"/>
  <c r="B64" i="1"/>
  <c r="B65" i="1"/>
  <c r="C90" i="1" l="1"/>
  <c r="C387" i="1" s="1"/>
  <c r="C386" i="1" l="1"/>
  <c r="C388" i="1"/>
  <c r="C389" i="1"/>
  <c r="C390" i="1" l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45" i="1"/>
  <c r="C85" i="1" l="1"/>
  <c r="C86" i="1"/>
  <c r="C429" i="1" l="1"/>
  <c r="C469" i="1" s="1"/>
  <c r="C87" i="1"/>
  <c r="C92" i="1"/>
  <c r="C91" i="1"/>
  <c r="C89" i="1"/>
  <c r="C478" i="1" l="1"/>
  <c r="C466" i="1"/>
  <c r="C471" i="1"/>
  <c r="C476" i="1"/>
  <c r="C470" i="1"/>
  <c r="C480" i="1"/>
  <c r="C474" i="1"/>
  <c r="C468" i="1"/>
  <c r="C479" i="1"/>
  <c r="C473" i="1"/>
  <c r="C467" i="1"/>
  <c r="C472" i="1"/>
  <c r="C477" i="1"/>
  <c r="C481" i="1"/>
  <c r="C475" i="1"/>
  <c r="C380" i="1"/>
  <c r="C378" i="1"/>
  <c r="C379" i="1"/>
  <c r="C377" i="1"/>
  <c r="C395" i="1"/>
  <c r="C396" i="1"/>
  <c r="C88" i="1"/>
  <c r="C138" i="1" l="1"/>
  <c r="C111" i="1"/>
  <c r="C145" i="1"/>
  <c r="C148" i="1"/>
  <c r="C144" i="1"/>
  <c r="C140" i="1"/>
  <c r="C136" i="1"/>
  <c r="C137" i="1"/>
  <c r="C149" i="1"/>
  <c r="C397" i="1"/>
  <c r="C381" i="1"/>
  <c r="C139" i="1"/>
  <c r="C146" i="1"/>
  <c r="C353" i="1"/>
  <c r="C142" i="1"/>
  <c r="C147" i="1"/>
  <c r="C134" i="1"/>
  <c r="C437" i="1" l="1"/>
  <c r="C443" i="1"/>
  <c r="C431" i="1"/>
  <c r="C436" i="1"/>
  <c r="C442" i="1"/>
  <c r="C432" i="1"/>
  <c r="C438" i="1"/>
  <c r="C444" i="1"/>
  <c r="C434" i="1"/>
  <c r="C440" i="1"/>
  <c r="C446" i="1"/>
  <c r="C433" i="1"/>
  <c r="C439" i="1"/>
  <c r="C445" i="1"/>
  <c r="C435" i="1"/>
  <c r="C441" i="1"/>
  <c r="C339" i="1"/>
  <c r="C299" i="1"/>
  <c r="C259" i="1"/>
  <c r="C179" i="1"/>
  <c r="C343" i="1"/>
  <c r="C223" i="1"/>
  <c r="C263" i="1"/>
  <c r="C183" i="1"/>
  <c r="C257" i="1"/>
  <c r="C177" i="1"/>
  <c r="C217" i="1"/>
  <c r="C256" i="1"/>
  <c r="C176" i="1"/>
  <c r="C344" i="1"/>
  <c r="C304" i="1"/>
  <c r="C224" i="1"/>
  <c r="C184" i="1"/>
  <c r="C141" i="1"/>
  <c r="C135" i="1"/>
  <c r="C143" i="1"/>
  <c r="C333" i="1"/>
  <c r="C173" i="1"/>
  <c r="C213" i="1"/>
  <c r="C341" i="1"/>
  <c r="C301" i="1"/>
  <c r="C261" i="1"/>
  <c r="C181" i="1"/>
  <c r="C345" i="1"/>
  <c r="C305" i="1"/>
  <c r="C265" i="1"/>
  <c r="C185" i="1"/>
  <c r="C347" i="1"/>
  <c r="C307" i="1"/>
  <c r="C187" i="1"/>
  <c r="C227" i="1"/>
  <c r="C338" i="1"/>
  <c r="C298" i="1"/>
  <c r="C258" i="1"/>
  <c r="C178" i="1"/>
  <c r="C335" i="1"/>
  <c r="C295" i="1"/>
  <c r="C215" i="1"/>
  <c r="C255" i="1"/>
  <c r="C175" i="1"/>
  <c r="C346" i="1"/>
  <c r="C226" i="1"/>
  <c r="C186" i="1"/>
  <c r="C348" i="1"/>
  <c r="C308" i="1"/>
  <c r="C268" i="1"/>
  <c r="C188" i="1"/>
  <c r="C228" i="1"/>
  <c r="C449" i="1" l="1"/>
  <c r="C484" i="1"/>
  <c r="C463" i="1"/>
  <c r="C498" i="1"/>
  <c r="C459" i="1"/>
  <c r="C494" i="1"/>
  <c r="C458" i="1"/>
  <c r="C493" i="1"/>
  <c r="C457" i="1"/>
  <c r="C492" i="1"/>
  <c r="C453" i="1"/>
  <c r="C488" i="1"/>
  <c r="C450" i="1"/>
  <c r="C485" i="1"/>
  <c r="C448" i="1"/>
  <c r="C483" i="1"/>
  <c r="C462" i="1"/>
  <c r="C497" i="1"/>
  <c r="C461" i="1"/>
  <c r="C496" i="1"/>
  <c r="C460" i="1"/>
  <c r="C495" i="1"/>
  <c r="C487" i="1"/>
  <c r="C452" i="1"/>
  <c r="C451" i="1"/>
  <c r="C486" i="1"/>
  <c r="C456" i="1"/>
  <c r="C491" i="1"/>
  <c r="C455" i="1"/>
  <c r="C490" i="1"/>
  <c r="C454" i="1"/>
  <c r="C489" i="1"/>
  <c r="C150" i="1"/>
  <c r="C296" i="1"/>
  <c r="C337" i="1"/>
  <c r="C293" i="1"/>
  <c r="C336" i="1"/>
  <c r="C340" i="1"/>
  <c r="C300" i="1"/>
  <c r="C220" i="1"/>
  <c r="C260" i="1"/>
  <c r="C180" i="1"/>
  <c r="C266" i="1"/>
  <c r="C225" i="1"/>
  <c r="C221" i="1"/>
  <c r="C342" i="1"/>
  <c r="C262" i="1"/>
  <c r="C222" i="1"/>
  <c r="C182" i="1"/>
  <c r="C294" i="1"/>
  <c r="C254" i="1"/>
  <c r="C174" i="1"/>
  <c r="C264" i="1"/>
  <c r="C216" i="1"/>
  <c r="C219" i="1"/>
  <c r="C306" i="1"/>
  <c r="C218" i="1"/>
  <c r="C267" i="1"/>
  <c r="C253" i="1"/>
  <c r="C297" i="1"/>
  <c r="C303" i="1"/>
  <c r="C499" i="1" l="1"/>
  <c r="C401" i="1" s="1"/>
  <c r="C402" i="1" s="1"/>
  <c r="C464" i="1"/>
  <c r="C50" i="1" s="1"/>
  <c r="C334" i="1"/>
  <c r="C189" i="1"/>
  <c r="C269" i="1"/>
  <c r="C214" i="1"/>
  <c r="C302" i="1"/>
  <c r="C419" i="1" l="1"/>
  <c r="C502" i="1"/>
  <c r="C349" i="1"/>
  <c r="C229" i="1"/>
  <c r="C270" i="1"/>
  <c r="C190" i="1"/>
  <c r="C51" i="1" s="1"/>
  <c r="C52" i="1" s="1"/>
  <c r="C309" i="1"/>
  <c r="C508" i="1" l="1"/>
  <c r="C53" i="1" s="1"/>
  <c r="C516" i="1"/>
  <c r="C521" i="1" s="1"/>
  <c r="C526" i="1" s="1"/>
  <c r="C533" i="1"/>
  <c r="C538" i="1" s="1"/>
  <c r="C543" i="1" s="1"/>
  <c r="C504" i="1"/>
  <c r="C503" i="1"/>
  <c r="C420" i="1"/>
  <c r="C404" i="1"/>
  <c r="C310" i="1"/>
  <c r="C230" i="1"/>
  <c r="C350" i="1"/>
  <c r="C62" i="1" l="1"/>
  <c r="C74" i="1"/>
  <c r="C509" i="1"/>
  <c r="C54" i="1" s="1"/>
  <c r="C510" i="1"/>
  <c r="C55" i="1" s="1"/>
  <c r="C511" i="1"/>
  <c r="C67" i="1" s="1"/>
  <c r="C79" i="1" s="1"/>
  <c r="C505" i="1"/>
  <c r="C56" i="1" s="1"/>
  <c r="C369" i="1"/>
  <c r="C535" i="1" s="1"/>
  <c r="C540" i="1" s="1"/>
  <c r="C356" i="1"/>
  <c r="C545" i="1" l="1"/>
  <c r="C534" i="1"/>
  <c r="C539" i="1" s="1"/>
  <c r="C544" i="1" s="1"/>
  <c r="C370" i="1"/>
  <c r="C71" i="1" s="1"/>
  <c r="C359" i="1"/>
  <c r="C399" i="1"/>
  <c r="C362" i="1" l="1"/>
  <c r="C365" i="1" l="1"/>
  <c r="C374" i="1"/>
  <c r="C392" i="1" s="1"/>
  <c r="C518" i="1" l="1"/>
  <c r="C523" i="1" s="1"/>
  <c r="C528" i="1" s="1"/>
  <c r="C517" i="1"/>
  <c r="C522" i="1" s="1"/>
  <c r="C527" i="1" s="1"/>
  <c r="C366" i="1"/>
  <c r="C59" i="1" s="1"/>
  <c r="C398" i="1"/>
  <c r="C383" i="1"/>
  <c r="C407" i="1"/>
  <c r="C426" i="1" l="1"/>
  <c r="C77" i="1" s="1"/>
  <c r="C68" i="1"/>
  <c r="C373" i="1"/>
  <c r="C391" i="1" l="1"/>
  <c r="C532" i="1"/>
  <c r="C537" i="1" s="1"/>
  <c r="C542" i="1" s="1"/>
  <c r="C515" i="1"/>
  <c r="C520" i="1" s="1"/>
  <c r="C525" i="1" s="1"/>
  <c r="C529" i="1" s="1"/>
  <c r="C66" i="1" s="1"/>
  <c r="C382" i="1"/>
  <c r="C406" i="1"/>
  <c r="C546" i="1" l="1"/>
  <c r="C80" i="1" s="1"/>
  <c r="C78" i="1"/>
  <c r="C425" i="1"/>
  <c r="C65" i="1" s="1"/>
  <c r="C415" i="1"/>
  <c r="C73" i="1" s="1"/>
  <c r="C409" i="1"/>
  <c r="C413" i="1"/>
  <c r="C414" i="1"/>
  <c r="C410" i="1"/>
  <c r="C411" i="1"/>
  <c r="C61" i="1" s="1"/>
  <c r="C422" i="1" l="1"/>
  <c r="C75" i="1" s="1"/>
  <c r="C72" i="1"/>
  <c r="C421" i="1"/>
  <c r="C63" i="1" s="1"/>
  <c r="C60" i="1"/>
  <c r="C417" i="1"/>
  <c r="C424" i="1" l="1"/>
  <c r="C76" i="1" s="1"/>
  <c r="C423" i="1"/>
  <c r="C64" i="1" s="1"/>
</calcChain>
</file>

<file path=xl/sharedStrings.xml><?xml version="1.0" encoding="utf-8"?>
<sst xmlns="http://schemas.openxmlformats.org/spreadsheetml/2006/main" count="1039" uniqueCount="316">
  <si>
    <t>Descreption</t>
  </si>
  <si>
    <t>Nm3/hr</t>
  </si>
  <si>
    <t>°C</t>
  </si>
  <si>
    <t>barg</t>
  </si>
  <si>
    <t>%</t>
  </si>
  <si>
    <t>°F</t>
  </si>
  <si>
    <t>mm H2O</t>
  </si>
  <si>
    <t>Wet % Vol.</t>
  </si>
  <si>
    <t>R</t>
  </si>
  <si>
    <t>mg/Nm3</t>
  </si>
  <si>
    <t>Dry % Vol.</t>
  </si>
  <si>
    <t>mbar</t>
  </si>
  <si>
    <t>hPa</t>
  </si>
  <si>
    <t>°R</t>
  </si>
  <si>
    <t>m</t>
  </si>
  <si>
    <t>Pa</t>
  </si>
  <si>
    <t>C1</t>
  </si>
  <si>
    <t>% mol</t>
  </si>
  <si>
    <t>N2</t>
  </si>
  <si>
    <t>CO2</t>
  </si>
  <si>
    <t>kg/kg mole</t>
  </si>
  <si>
    <t>kg</t>
  </si>
  <si>
    <t>kg Fuel</t>
  </si>
  <si>
    <t>kcal / kg</t>
  </si>
  <si>
    <t>kcal</t>
  </si>
  <si>
    <t>kg of Air/kg</t>
  </si>
  <si>
    <t>kg of Air</t>
  </si>
  <si>
    <t>kg of Air/kg Fuel</t>
  </si>
  <si>
    <t>kg of CO2/kg</t>
  </si>
  <si>
    <t>kg of CO2</t>
  </si>
  <si>
    <t>kg of CO2/kg Fuel</t>
  </si>
  <si>
    <t>kg of H2O/kg</t>
  </si>
  <si>
    <t>kg of H2O</t>
  </si>
  <si>
    <t>kg of H2O/kg Fuel</t>
  </si>
  <si>
    <t>kg of N2/kg</t>
  </si>
  <si>
    <t>kg of N2</t>
  </si>
  <si>
    <t>kg of N2/kg Fuel</t>
  </si>
  <si>
    <t>kg of Moisture/ kg of Air</t>
  </si>
  <si>
    <t>kg of Wet Air / kg of Fuel</t>
  </si>
  <si>
    <t>kg of Moisture / kg of Fuel</t>
  </si>
  <si>
    <t>kg of H2O / kg of Fuel</t>
  </si>
  <si>
    <t>kg of Excess Air / kg of Fuel</t>
  </si>
  <si>
    <t>% Excess Air</t>
  </si>
  <si>
    <t>kcal / kg H2O</t>
  </si>
  <si>
    <t>kcal / kg CO2</t>
  </si>
  <si>
    <t>kcal / kg N2</t>
  </si>
  <si>
    <t>kcal / kg O2</t>
  </si>
  <si>
    <t>kcal / kg Excess Air</t>
  </si>
  <si>
    <t>kcal / kg of fuel</t>
  </si>
  <si>
    <t>kcal / kg.K</t>
  </si>
  <si>
    <t>kcal / kg fuel</t>
  </si>
  <si>
    <t>kg/hr</t>
  </si>
  <si>
    <t>Heater Librated Heat</t>
  </si>
  <si>
    <t>Gcal/hr</t>
  </si>
  <si>
    <t>Nm3/h</t>
  </si>
  <si>
    <t>Calculations</t>
  </si>
  <si>
    <t>Value</t>
  </si>
  <si>
    <t>GHG</t>
  </si>
  <si>
    <t>Ton CO2/h</t>
  </si>
  <si>
    <t>Net Thermal Efficiency Wet E</t>
  </si>
  <si>
    <t>Net Thermal Efficiency Dry E</t>
  </si>
  <si>
    <t xml:space="preserve">Fuel Gas Flow corrected </t>
  </si>
  <si>
    <t xml:space="preserve">Fuel Gas Temp. </t>
  </si>
  <si>
    <t xml:space="preserve">Air Temperature </t>
  </si>
  <si>
    <t xml:space="preserve">Stack Temp </t>
  </si>
  <si>
    <t xml:space="preserve">Arch Temp. (BWT) </t>
  </si>
  <si>
    <t xml:space="preserve">Fuel Gas Composition </t>
  </si>
  <si>
    <t xml:space="preserve">C1 </t>
  </si>
  <si>
    <t xml:space="preserve">C2 </t>
  </si>
  <si>
    <t xml:space="preserve">C2= </t>
  </si>
  <si>
    <t xml:space="preserve">C3 </t>
  </si>
  <si>
    <t xml:space="preserve">C3= </t>
  </si>
  <si>
    <t xml:space="preserve">i-C4 </t>
  </si>
  <si>
    <t xml:space="preserve">n-C4 </t>
  </si>
  <si>
    <t xml:space="preserve">C4= </t>
  </si>
  <si>
    <t xml:space="preserve">C5 </t>
  </si>
  <si>
    <t xml:space="preserve">C6+ </t>
  </si>
  <si>
    <t xml:space="preserve">N2 </t>
  </si>
  <si>
    <t xml:space="preserve">H2 </t>
  </si>
  <si>
    <t xml:space="preserve">02/Argon </t>
  </si>
  <si>
    <t xml:space="preserve">CO </t>
  </si>
  <si>
    <t xml:space="preserve">CO2 </t>
  </si>
  <si>
    <t xml:space="preserve">H2S </t>
  </si>
  <si>
    <t xml:space="preserve">Continuous Emission Monitoring System (CEMS) </t>
  </si>
  <si>
    <t xml:space="preserve">Constants </t>
  </si>
  <si>
    <t xml:space="preserve">Sea level Pressure </t>
  </si>
  <si>
    <t xml:space="preserve">Relative Humidity </t>
  </si>
  <si>
    <t xml:space="preserve">Altitude </t>
  </si>
  <si>
    <t xml:space="preserve">Radiation Loss </t>
  </si>
  <si>
    <t xml:space="preserve">Trends </t>
  </si>
  <si>
    <t xml:space="preserve">Burner Pressure </t>
  </si>
  <si>
    <t xml:space="preserve">Draft Pressure </t>
  </si>
  <si>
    <t xml:space="preserve">Actual Air Pressur </t>
  </si>
  <si>
    <t xml:space="preserve">Stuaration vapor pressure </t>
  </si>
  <si>
    <t xml:space="preserve">Water vapor pressure </t>
  </si>
  <si>
    <t xml:space="preserve"> </t>
  </si>
  <si>
    <t>Stack Temp. Before Damper Calculated</t>
  </si>
  <si>
    <t>BWT Temp Calculated</t>
  </si>
  <si>
    <t>Air Temperature calculated</t>
  </si>
  <si>
    <t xml:space="preserve">Min Skin Coils Temp. </t>
  </si>
  <si>
    <t xml:space="preserve">Max Skin Coils Temp. </t>
  </si>
  <si>
    <t xml:space="preserve">Avg. Skin Coils Temp. </t>
  </si>
  <si>
    <t xml:space="preserve">Column 1 </t>
  </si>
  <si>
    <t xml:space="preserve">Total </t>
  </si>
  <si>
    <t xml:space="preserve">Column 2 </t>
  </si>
  <si>
    <t xml:space="preserve">MW </t>
  </si>
  <si>
    <t xml:space="preserve">Column 3 </t>
  </si>
  <si>
    <t xml:space="preserve">( 1 X 2 ) - Total Mass (kg) </t>
  </si>
  <si>
    <t xml:space="preserve">Column 4 </t>
  </si>
  <si>
    <t xml:space="preserve">Net Heating Value ( kcal/kg ) </t>
  </si>
  <si>
    <t xml:space="preserve">Column 5 </t>
  </si>
  <si>
    <t xml:space="preserve">( 3 X 4 ) - Heating Value ( kcal ) </t>
  </si>
  <si>
    <t>Total per kg of Fuel hL</t>
  </si>
  <si>
    <t xml:space="preserve">Column 6 </t>
  </si>
  <si>
    <t xml:space="preserve">Air Required ( kg of Air / kg ) </t>
  </si>
  <si>
    <t xml:space="preserve">Column 7 </t>
  </si>
  <si>
    <t xml:space="preserve">( 3 X 6 ) - Air Required ( kg ) </t>
  </si>
  <si>
    <t xml:space="preserve">Total per kg of Fuel </t>
  </si>
  <si>
    <t xml:space="preserve">Column 8 </t>
  </si>
  <si>
    <t xml:space="preserve">CO2 Formed ( kg of CO2 / kg ) </t>
  </si>
  <si>
    <t xml:space="preserve">Column 9 </t>
  </si>
  <si>
    <t xml:space="preserve">( 3 X 8 ) - CO2 Formed ( kg ) </t>
  </si>
  <si>
    <t xml:space="preserve">Column 10 </t>
  </si>
  <si>
    <t xml:space="preserve">H2O Formed ( kg of H2O / kg ) </t>
  </si>
  <si>
    <t xml:space="preserve">Column 11 </t>
  </si>
  <si>
    <t xml:space="preserve">( 3 X 10 ) - H2O Formed ( kg ) </t>
  </si>
  <si>
    <t xml:space="preserve">Column 12 </t>
  </si>
  <si>
    <t xml:space="preserve">N2 Formed ( kg of N2 / kg ) </t>
  </si>
  <si>
    <t xml:space="preserve">Column 13 </t>
  </si>
  <si>
    <t xml:space="preserve">( 3 X 12 ) - N2 Formed ( kg ) </t>
  </si>
  <si>
    <t xml:space="preserve">Correction for RH </t>
  </si>
  <si>
    <t xml:space="preserve">Moisture in Air </t>
  </si>
  <si>
    <t xml:space="preserve">Wet Air Required </t>
  </si>
  <si>
    <t xml:space="preserve">Moisture </t>
  </si>
  <si>
    <t xml:space="preserve">Total H2O Formed </t>
  </si>
  <si>
    <t xml:space="preserve">Correction for Excess Air ( Wet Basis ) </t>
  </si>
  <si>
    <t xml:space="preserve">Correction for Excess Air ( Dry Basis ) </t>
  </si>
  <si>
    <t xml:space="preserve">Correction for Excess Air </t>
  </si>
  <si>
    <t>Total H2O Formed ( Wet ) m H2O</t>
  </si>
  <si>
    <t>Total H2O Formed ( Dry ) m H2O</t>
  </si>
  <si>
    <t xml:space="preserve">Stack Loss </t>
  </si>
  <si>
    <t xml:space="preserve">H2O enthalpy @ stack Temp. </t>
  </si>
  <si>
    <t xml:space="preserve">CO2 enthalpy @ stack Temp. </t>
  </si>
  <si>
    <t xml:space="preserve">N2 enthalpy @ stack Temp. </t>
  </si>
  <si>
    <t xml:space="preserve">O2 enthalpy @ stack Temp. </t>
  </si>
  <si>
    <t xml:space="preserve">Excess air enthalpy @ stack Temp. </t>
  </si>
  <si>
    <t>Stack Massic Heat Loss (Wet) hs</t>
  </si>
  <si>
    <t>Stack Massic Heat Loss (Dry) hs</t>
  </si>
  <si>
    <t xml:space="preserve">BWT Loss </t>
  </si>
  <si>
    <t>BW Massic Heat Loss (Wet) hbw</t>
  </si>
  <si>
    <t>BW Massic Heat Loss (Dry) hbw</t>
  </si>
  <si>
    <t xml:space="preserve">Air Sensible massic heat correction </t>
  </si>
  <si>
    <t>Specific Heat Capacity of Oxygen Cp oxygen</t>
  </si>
  <si>
    <t>Specific Heat Capacity of Nitrogen Cp nitrogen</t>
  </si>
  <si>
    <t>Specific Heat Capacity of the Air Cp air</t>
  </si>
  <si>
    <t>Air Sensible Massic Heat Correction (Wet) Δha (wet)</t>
  </si>
  <si>
    <t>Air Sensible Massic Heat Correction (Dry) Δha (dry)</t>
  </si>
  <si>
    <t>Specific Heat Capacity of the Fuel Cpf</t>
  </si>
  <si>
    <t>Fuel Sensible Massic Heat Correction Δhf</t>
  </si>
  <si>
    <t>Assumed Radiation Massic Heat Loss hr</t>
  </si>
  <si>
    <t>Higher Massic Heat Value (Wet) hH</t>
  </si>
  <si>
    <t>Higher Massic Heat Value (Dry) hH</t>
  </si>
  <si>
    <t>Gross Thermal Efficiency Eg</t>
  </si>
  <si>
    <t>Fuel Thermal Efficiency Ef</t>
  </si>
  <si>
    <t xml:space="preserve">Gap between ( Dry - Wet ) </t>
  </si>
  <si>
    <t xml:space="preserve">Fuel Gas Flow </t>
  </si>
  <si>
    <t xml:space="preserve">Heater Librated Heat wet </t>
  </si>
  <si>
    <t xml:space="preserve">Absorbed Duty Wet </t>
  </si>
  <si>
    <t xml:space="preserve">Absorbed Duty Dry </t>
  </si>
  <si>
    <t xml:space="preserve">Radiant Duty wet </t>
  </si>
  <si>
    <t xml:space="preserve">Radiant Duty Dry </t>
  </si>
  <si>
    <t xml:space="preserve">Convection Duty wet </t>
  </si>
  <si>
    <t xml:space="preserve">Convection Duty Dry </t>
  </si>
  <si>
    <t>C1 Mole Fraction</t>
  </si>
  <si>
    <t>C2 Mole Fraction</t>
  </si>
  <si>
    <t>C2= Mole Fraction</t>
  </si>
  <si>
    <t>C3 Mole Fraction</t>
  </si>
  <si>
    <t>C3= Mole Fraction</t>
  </si>
  <si>
    <t>i-C4 Mole Fraction</t>
  </si>
  <si>
    <t>n-C4 Mole Fraction</t>
  </si>
  <si>
    <t>C4= Mole Fraction</t>
  </si>
  <si>
    <t>C5 Mole Fraction</t>
  </si>
  <si>
    <t>C6+ Mole Fraction</t>
  </si>
  <si>
    <t>N2 Mole Fraction</t>
  </si>
  <si>
    <t>H2 Mole Fraction</t>
  </si>
  <si>
    <t>02/Argon Mole Fraction</t>
  </si>
  <si>
    <t>CO Mole Fraction</t>
  </si>
  <si>
    <t>CO2 Mole Fraction</t>
  </si>
  <si>
    <t>H2S Mole Fraction</t>
  </si>
  <si>
    <t>C1 kg / kg mole</t>
  </si>
  <si>
    <t>C2 kg / kg mole</t>
  </si>
  <si>
    <t>C2= kg / kg mole</t>
  </si>
  <si>
    <t>C3 kg / kg mole</t>
  </si>
  <si>
    <t>C3= kg / kg mole</t>
  </si>
  <si>
    <t>i-C4 kg / kg mole</t>
  </si>
  <si>
    <t>n-C4 kg / kg mole</t>
  </si>
  <si>
    <t>C4= kg / kg mole</t>
  </si>
  <si>
    <t>C5 kg / kg mole</t>
  </si>
  <si>
    <t>C6+ kg / kg mole</t>
  </si>
  <si>
    <t>N2 kg / kg mole</t>
  </si>
  <si>
    <t>H2 kg / kg mole</t>
  </si>
  <si>
    <t>02/Argon kg / kg mole</t>
  </si>
  <si>
    <t>CO kg / kg mole</t>
  </si>
  <si>
    <t>CO2 kg / kg mole</t>
  </si>
  <si>
    <t>H2S kg / kg mole</t>
  </si>
  <si>
    <t>AVG. MW kg / kg mole</t>
  </si>
  <si>
    <t>Cpf kcal / kg.K</t>
  </si>
  <si>
    <t xml:space="preserve">Acid dewpoint </t>
  </si>
  <si>
    <t xml:space="preserve">Weight % H2S in Fuel </t>
  </si>
  <si>
    <t xml:space="preserve">ENTEC, Flue Gas Acid dewpoint </t>
  </si>
  <si>
    <t xml:space="preserve">API 533, Flue Gas Acid dewpoint </t>
  </si>
  <si>
    <t xml:space="preserve"> Flue Gas Acid dewpoint </t>
  </si>
  <si>
    <t xml:space="preserve">GHG </t>
  </si>
  <si>
    <t xml:space="preserve"> Ton CO2/Kg Fuel</t>
  </si>
  <si>
    <t xml:space="preserve"> Ton CO2/Nm3 Fuel</t>
  </si>
  <si>
    <t xml:space="preserve"> Ton CO2/Gcal Fuel</t>
  </si>
  <si>
    <t xml:space="preserve"> Ton CO2/h</t>
  </si>
  <si>
    <t xml:space="preserve">O2 Analyzer </t>
  </si>
  <si>
    <t xml:space="preserve">Fuel Gas </t>
  </si>
  <si>
    <t>CP</t>
  </si>
  <si>
    <t>Mw</t>
  </si>
  <si>
    <t>UOM</t>
  </si>
  <si>
    <t xml:space="preserve">Dust Analyzer </t>
  </si>
  <si>
    <t xml:space="preserve">Flue Gas SOx Analyzer </t>
  </si>
  <si>
    <t xml:space="preserve">Flue Gas NOx Analyzer </t>
  </si>
  <si>
    <t xml:space="preserve">Flue Gas CO Analyzer </t>
  </si>
  <si>
    <t xml:space="preserve">Flue Gas O2 Analyzer </t>
  </si>
  <si>
    <t xml:space="preserve">Flue Gas Flow </t>
  </si>
  <si>
    <t xml:space="preserve">Flue Gas Pressure </t>
  </si>
  <si>
    <t xml:space="preserve">Flue Gas Temp. </t>
  </si>
  <si>
    <t>H2O</t>
  </si>
  <si>
    <t>O2</t>
  </si>
  <si>
    <t>Kg/Kg Fuel</t>
  </si>
  <si>
    <t>Kg/h</t>
  </si>
  <si>
    <t>Total Flue Gases</t>
  </si>
  <si>
    <t>Flue Gas- From Wet Analyzer Calcs</t>
  </si>
  <si>
    <t>Flue Gas- From Dry Analyzer Calcs</t>
  </si>
  <si>
    <t>Inputs</t>
  </si>
  <si>
    <t>Outputs</t>
  </si>
  <si>
    <t>Fuel data</t>
  </si>
  <si>
    <t>Molecular Weight</t>
  </si>
  <si>
    <t>Kg/Kg mole</t>
  </si>
  <si>
    <t>Kcal/Kg</t>
  </si>
  <si>
    <t>Lower Heating Value</t>
  </si>
  <si>
    <t>Kcal/NM3</t>
  </si>
  <si>
    <t>Heater performance Based on Wet Analyzer</t>
  </si>
  <si>
    <t>Excess Air</t>
  </si>
  <si>
    <t>Flue Gas Flow Rate</t>
  </si>
  <si>
    <t>GHG Rate</t>
  </si>
  <si>
    <t>Expected O2 Dry Analyzer</t>
  </si>
  <si>
    <t>Mole %</t>
  </si>
  <si>
    <t>Fuel  Efficiency</t>
  </si>
  <si>
    <t>Thermal Efficiency</t>
  </si>
  <si>
    <t>Absorbed Duty</t>
  </si>
  <si>
    <t>Radiant Duty</t>
  </si>
  <si>
    <t>Convection Duty</t>
  </si>
  <si>
    <t>Flue Gas Flow</t>
  </si>
  <si>
    <t>Heater performance Based on Dry Analyzer</t>
  </si>
  <si>
    <t>Expected O2 Wet Analyzer</t>
  </si>
  <si>
    <t>From flow correction method</t>
  </si>
  <si>
    <t>Source</t>
  </si>
  <si>
    <t>02-H-01</t>
  </si>
  <si>
    <t>get_tag_average( tag )</t>
  </si>
  <si>
    <t>get_tag_average(U_13,'13-TI-199')</t>
  </si>
  <si>
    <t>get_tag_average(U_2,'2-TI-058')</t>
  </si>
  <si>
    <t>02-TI-058</t>
  </si>
  <si>
    <t>13-TI-199</t>
  </si>
  <si>
    <t>Tag</t>
  </si>
  <si>
    <t>Sample connection</t>
  </si>
  <si>
    <t>02-FI-019</t>
  </si>
  <si>
    <t>_02-FI-019 = compute_from_registry(registry=reg, meter_id="02-FI-019", df_map=df_map, lab_file=lab_file,extract_lab_fn=extract_lab)</t>
  </si>
  <si>
    <t>02-AI-003</t>
  </si>
  <si>
    <t>get_tag_average(U_2,'02-AI-003')</t>
  </si>
  <si>
    <t>03-TI-016</t>
  </si>
  <si>
    <t>get_tag_average(U_2,'03-TI-016')</t>
  </si>
  <si>
    <t>Formula in python according to tag or sample connection</t>
  </si>
  <si>
    <t>02-TI-029, 02-TI-030</t>
  </si>
  <si>
    <t>max(get_tag_average(U_2,'02-TI-030'), get_tag_average(U_2,'02-TI-029'))</t>
  </si>
  <si>
    <t>39-SC-01</t>
  </si>
  <si>
    <t>extract_lab(lab_file, sample, test)</t>
  </si>
  <si>
    <t>max(float(v) if isinstance((v := extract_lab(lab_file, '39-SC-01', 'C1')), (int,float)) else 0, 0)</t>
  </si>
  <si>
    <t>max(float(v) if isinstance((v := extract_lab(lab_file, '39-SC-01', 'C2')), (int,float)) else 0, 0)</t>
  </si>
  <si>
    <t>max(float(v) if isinstance((v := extract_lab(lab_file, '39-SC-01', 'C2=')), (int,float)) else 0, 0)</t>
  </si>
  <si>
    <t>max(float(v) if isinstance((v := extract_lab(lab_file, '39-SC-01', 'C3')), (int,float)) else 0, 0)</t>
  </si>
  <si>
    <t>max(float(v) if isinstance((v := extract_lab(lab_file, '39-SC-01', 'C3=')), (int,float)) else 0, 0)</t>
  </si>
  <si>
    <t>max(float(v) if isinstance((v := extract_lab(lab_file, '39-SC-01', 'i-C4')), (int,float)) else 0, 0)</t>
  </si>
  <si>
    <t>max(float(v) if isinstance((v := extract_lab(lab_file, '39-SC-01', 'n-C4')), (int,float)) else 0, 0)</t>
  </si>
  <si>
    <t>max(float(v) if isinstance((v := extract_lab(lab_file, '39-SC-01', 'C4=')), (int,float)) else 0, 0)</t>
  </si>
  <si>
    <t>max(float(v) if isinstance((v := extract_lab(lab_file, '39-SC-01', 'C5')), (int,float)) else 0, 0)</t>
  </si>
  <si>
    <t>max(float(v) if isinstance((v := extract_lab(lab_file, '39-SC-01', 'C6+')), (int,float)) else 0, 0)</t>
  </si>
  <si>
    <t>max(float(v) if isinstance((v := extract_lab(lab_file, '39-SC-01', 'N2')), (int,float)) else 0, 0)</t>
  </si>
  <si>
    <t>max(float(v) if isinstance((v := extract_lab(lab_file, '39-SC-01', 'H2')), (int,float)) else 0, 0)</t>
  </si>
  <si>
    <t>max(float(v) if isinstance((v := extract_lab(lab_file, '39-SC-01', 'O2/Argon')), (int,float)) else 0, 0)</t>
  </si>
  <si>
    <t>max(float(v) if isinstance((v := extract_lab(lab_file, '39-SC-01', 'CO')), (int,float)) else 0, 0)</t>
  </si>
  <si>
    <t>max(float(v) if isinstance((v := extract_lab(lab_file, '39-SC-01', 'CO2')), (int,float)) else 0, 0)</t>
  </si>
  <si>
    <t>02-PI-065</t>
  </si>
  <si>
    <t>get_tag_average(U_2,'02-PI-065')</t>
  </si>
  <si>
    <t>get_tag_average(U_2,'02-PIC-021')</t>
  </si>
  <si>
    <t>02-PIC-021</t>
  </si>
  <si>
    <t>03AI875</t>
  </si>
  <si>
    <t>03AI875A</t>
  </si>
  <si>
    <t>03AI875B</t>
  </si>
  <si>
    <t>03AI875C</t>
  </si>
  <si>
    <t>03AI875D</t>
  </si>
  <si>
    <t>03FI875</t>
  </si>
  <si>
    <t>03PI875</t>
  </si>
  <si>
    <t>03TI875</t>
  </si>
  <si>
    <t>max(float(v) if isinstance((v := get_tag_average(CEMS, '03AI875')), (int,float)) else 0, 0)</t>
  </si>
  <si>
    <t>max(float(v) if isinstance((v := get_tag_average(CEMS, '03AI875A')), (int,float)) else 0, 0)</t>
  </si>
  <si>
    <t>max(float(v) if isinstance((v := get_tag_average(CEMS, '03AI875B')), (int,float)) else 0, 0)</t>
  </si>
  <si>
    <t>max(float(v) if isinstance((v := get_tag_average(CEMS, '03AI875C')), (int,float)) else 0, 0)</t>
  </si>
  <si>
    <t>max(float(v) if isinstance((v := get_tag_average(CEMS, '03AI875D')), (int,float)) else 0, 0)</t>
  </si>
  <si>
    <t>max(float(v) if isinstance((v := get_tag_average(CEMS, '03FI875')), (int,float)) else 0, 0)</t>
  </si>
  <si>
    <t>max(float(v) if isinstance((v := get_tag_average(CEMS, '03PI875')), (int,float)) else 0, 0)</t>
  </si>
  <si>
    <t>max(float(v) if isinstance((v := get_tag_average(CEMS, '03TI875')), (int,float)) else 0, 0)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</si>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</sst>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/mmm/yy;@"/>
    <numFmt numFmtId="165" formatCode="0.0"/>
    <numFmt numFmtId="166" formatCode="0.000"/>
    <numFmt numFmtId="167" formatCode="0.00000"/>
    <numFmt numFmtId="168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1" fontId="1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/>
    </xf>
    <xf numFmtId="168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/>
    <xf numFmtId="0" fontId="1" fillId="0" borderId="2" xfId="0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/>
    <xf numFmtId="2" fontId="1" fillId="4" borderId="0" xfId="0" applyNumberFormat="1" applyFont="1" applyFill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BA5D1-31F5-4F8E-84EF-3D3BDF12EFA0}">
  <sheetPr>
    <tabColor rgb="FFFFFF00"/>
  </sheetPr>
  <dimension ref="A1:M546"/>
  <sheetViews>
    <sheetView tabSelected="1"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13" sqref="O13"/>
    </sheetView>
  </sheetViews>
  <sheetFormatPr defaultRowHeight="15" x14ac:dyDescent="0.25"/>
  <cols>
    <col min="1" max="1" width="49" style="7" customWidth="1"/>
    <col min="2" max="2" width="25.85546875" style="2" customWidth="1"/>
    <col min="3" max="3" width="11.7109375" style="2" customWidth="1"/>
    <col min="4" max="4" width="32.140625" style="2" bestFit="1" customWidth="1"/>
    <col min="5" max="5" width="18.28515625" style="2" bestFit="1" customWidth="1"/>
    <col min="6" max="6" width="18.140625" style="2" bestFit="1" customWidth="1"/>
    <col min="7" max="7" width="126.42578125" style="2" bestFit="1" customWidth="1"/>
    <col min="8" max="16384" width="9.140625" style="2"/>
  </cols>
  <sheetData>
    <row r="1" spans="1:8" s="1" customFormat="1" x14ac:dyDescent="0.25">
      <c r="A1" s="8" t="s">
        <v>0</v>
      </c>
      <c r="B1" s="9" t="s">
        <v>221</v>
      </c>
      <c r="C1" s="10" t="s">
        <v>56</v>
      </c>
      <c r="D1" s="1" t="s">
        <v>260</v>
      </c>
      <c r="E1" s="1" t="s">
        <v>261</v>
      </c>
      <c r="F1" s="1" t="s">
        <v>261</v>
      </c>
      <c r="G1" s="1" t="s">
        <v>261</v>
      </c>
      <c r="H1" s="45"/>
    </row>
    <row r="2" spans="1:8" x14ac:dyDescent="0.25">
      <c r="A2" s="37" t="s">
        <v>237</v>
      </c>
      <c r="B2" s="37"/>
      <c r="E2" s="44" t="s">
        <v>267</v>
      </c>
      <c r="F2" s="44" t="s">
        <v>268</v>
      </c>
      <c r="G2" s="44" t="s">
        <v>275</v>
      </c>
    </row>
    <row r="3" spans="1:8" s="1" customFormat="1" x14ac:dyDescent="0.25">
      <c r="A3" s="8" t="s">
        <v>61</v>
      </c>
      <c r="B3" s="9" t="s">
        <v>54</v>
      </c>
      <c r="C3" s="11">
        <v>883.32797495524085</v>
      </c>
      <c r="D3" s="1" t="s">
        <v>259</v>
      </c>
      <c r="E3" s="1" t="s">
        <v>269</v>
      </c>
      <c r="G3" s="1" t="s">
        <v>270</v>
      </c>
    </row>
    <row r="4" spans="1:8" s="1" customFormat="1" x14ac:dyDescent="0.25">
      <c r="A4" s="8" t="s">
        <v>62</v>
      </c>
      <c r="B4" s="12" t="s">
        <v>2</v>
      </c>
      <c r="C4" s="11">
        <v>29.904127906236685</v>
      </c>
      <c r="D4" s="1" t="s">
        <v>262</v>
      </c>
      <c r="E4" s="1" t="s">
        <v>265</v>
      </c>
      <c r="G4" s="44" t="s">
        <v>264</v>
      </c>
    </row>
    <row r="5" spans="1:8" x14ac:dyDescent="0.25">
      <c r="A5" s="8" t="s">
        <v>63</v>
      </c>
      <c r="B5" s="12" t="s">
        <v>2</v>
      </c>
      <c r="C5" s="11">
        <v>25</v>
      </c>
      <c r="D5" s="1" t="s">
        <v>262</v>
      </c>
      <c r="E5" s="44" t="s">
        <v>266</v>
      </c>
      <c r="F5" s="44"/>
      <c r="G5" s="1" t="s">
        <v>263</v>
      </c>
    </row>
    <row r="6" spans="1:8" x14ac:dyDescent="0.25">
      <c r="A6" s="8" t="s">
        <v>217</v>
      </c>
      <c r="B6" s="9" t="s">
        <v>7</v>
      </c>
      <c r="C6" s="11">
        <v>3.9035093287626901</v>
      </c>
      <c r="D6" s="1" t="s">
        <v>262</v>
      </c>
      <c r="E6" s="44" t="s">
        <v>271</v>
      </c>
      <c r="G6" s="1" t="s">
        <v>272</v>
      </c>
    </row>
    <row r="7" spans="1:8" x14ac:dyDescent="0.25">
      <c r="A7" s="8" t="s">
        <v>64</v>
      </c>
      <c r="B7" s="12" t="s">
        <v>2</v>
      </c>
      <c r="C7" s="11">
        <v>241.06933530171713</v>
      </c>
      <c r="D7" s="1" t="s">
        <v>262</v>
      </c>
      <c r="E7" s="44" t="s">
        <v>273</v>
      </c>
      <c r="G7" s="1" t="s">
        <v>274</v>
      </c>
    </row>
    <row r="8" spans="1:8" x14ac:dyDescent="0.25">
      <c r="A8" s="8" t="s">
        <v>65</v>
      </c>
      <c r="B8" s="12" t="s">
        <v>2</v>
      </c>
      <c r="C8" s="11">
        <v>672.76445007324219</v>
      </c>
      <c r="D8" s="1" t="s">
        <v>262</v>
      </c>
      <c r="E8" s="44" t="s">
        <v>276</v>
      </c>
      <c r="F8" s="44"/>
      <c r="G8" s="44" t="s">
        <v>277</v>
      </c>
    </row>
    <row r="9" spans="1:8" hidden="1" x14ac:dyDescent="0.25">
      <c r="A9" s="22" t="s">
        <v>66</v>
      </c>
      <c r="B9" s="23"/>
      <c r="C9" s="24"/>
      <c r="D9" s="1"/>
    </row>
    <row r="10" spans="1:8" x14ac:dyDescent="0.25">
      <c r="A10" s="8" t="s">
        <v>67</v>
      </c>
      <c r="B10" s="9" t="s">
        <v>17</v>
      </c>
      <c r="C10" s="11">
        <v>33.317990421070604</v>
      </c>
      <c r="D10" s="1" t="s">
        <v>279</v>
      </c>
      <c r="F10" s="44" t="s">
        <v>278</v>
      </c>
      <c r="G10" s="44" t="s">
        <v>280</v>
      </c>
    </row>
    <row r="11" spans="1:8" x14ac:dyDescent="0.25">
      <c r="A11" s="8" t="s">
        <v>68</v>
      </c>
      <c r="B11" s="9" t="s">
        <v>17</v>
      </c>
      <c r="C11" s="11">
        <v>8.7594474479341518</v>
      </c>
      <c r="D11" s="1" t="s">
        <v>279</v>
      </c>
      <c r="F11" s="44" t="s">
        <v>278</v>
      </c>
      <c r="G11" s="44" t="s">
        <v>281</v>
      </c>
    </row>
    <row r="12" spans="1:8" x14ac:dyDescent="0.25">
      <c r="A12" s="8" t="s">
        <v>69</v>
      </c>
      <c r="B12" s="9" t="s">
        <v>17</v>
      </c>
      <c r="C12" s="11">
        <v>0</v>
      </c>
      <c r="D12" s="1" t="s">
        <v>279</v>
      </c>
      <c r="F12" s="44" t="s">
        <v>278</v>
      </c>
      <c r="G12" s="44" t="s">
        <v>282</v>
      </c>
    </row>
    <row r="13" spans="1:8" x14ac:dyDescent="0.25">
      <c r="A13" s="8" t="s">
        <v>70</v>
      </c>
      <c r="B13" s="9" t="s">
        <v>17</v>
      </c>
      <c r="C13" s="11">
        <v>5.9170210267593557</v>
      </c>
      <c r="D13" s="1" t="s">
        <v>279</v>
      </c>
      <c r="F13" s="44" t="s">
        <v>278</v>
      </c>
      <c r="G13" s="44" t="s">
        <v>283</v>
      </c>
    </row>
    <row r="14" spans="1:8" x14ac:dyDescent="0.25">
      <c r="A14" s="8" t="s">
        <v>71</v>
      </c>
      <c r="B14" s="9" t="s">
        <v>17</v>
      </c>
      <c r="C14" s="11">
        <v>0</v>
      </c>
      <c r="D14" s="1" t="s">
        <v>279</v>
      </c>
      <c r="F14" s="44" t="s">
        <v>278</v>
      </c>
      <c r="G14" s="44" t="s">
        <v>284</v>
      </c>
    </row>
    <row r="15" spans="1:8" x14ac:dyDescent="0.25">
      <c r="A15" s="8" t="s">
        <v>72</v>
      </c>
      <c r="B15" s="9" t="s">
        <v>17</v>
      </c>
      <c r="C15" s="11">
        <v>2.4278697774973659</v>
      </c>
      <c r="D15" s="1" t="s">
        <v>279</v>
      </c>
      <c r="F15" s="44" t="s">
        <v>278</v>
      </c>
      <c r="G15" s="44" t="s">
        <v>285</v>
      </c>
    </row>
    <row r="16" spans="1:8" x14ac:dyDescent="0.25">
      <c r="A16" s="8" t="s">
        <v>73</v>
      </c>
      <c r="B16" s="9" t="s">
        <v>17</v>
      </c>
      <c r="C16" s="11">
        <v>2.2664283617056986</v>
      </c>
      <c r="D16" s="1" t="s">
        <v>279</v>
      </c>
      <c r="F16" s="44" t="s">
        <v>278</v>
      </c>
      <c r="G16" s="44" t="s">
        <v>286</v>
      </c>
    </row>
    <row r="17" spans="1:7" x14ac:dyDescent="0.25">
      <c r="A17" s="8" t="s">
        <v>74</v>
      </c>
      <c r="B17" s="9" t="s">
        <v>17</v>
      </c>
      <c r="C17" s="11"/>
      <c r="D17" s="1" t="s">
        <v>279</v>
      </c>
      <c r="F17" s="44" t="s">
        <v>278</v>
      </c>
      <c r="G17" s="44" t="s">
        <v>287</v>
      </c>
    </row>
    <row r="18" spans="1:7" x14ac:dyDescent="0.25">
      <c r="A18" s="8" t="s">
        <v>75</v>
      </c>
      <c r="B18" s="9" t="s">
        <v>17</v>
      </c>
      <c r="C18" s="11">
        <v>0.4888239413181138</v>
      </c>
      <c r="D18" s="1" t="s">
        <v>279</v>
      </c>
      <c r="F18" s="44" t="s">
        <v>278</v>
      </c>
      <c r="G18" s="44" t="s">
        <v>288</v>
      </c>
    </row>
    <row r="19" spans="1:7" x14ac:dyDescent="0.25">
      <c r="A19" s="8" t="s">
        <v>76</v>
      </c>
      <c r="B19" s="9" t="s">
        <v>17</v>
      </c>
      <c r="C19" s="11">
        <v>0</v>
      </c>
      <c r="D19" s="1" t="s">
        <v>279</v>
      </c>
      <c r="F19" s="44" t="s">
        <v>278</v>
      </c>
      <c r="G19" s="44" t="s">
        <v>289</v>
      </c>
    </row>
    <row r="20" spans="1:7" x14ac:dyDescent="0.25">
      <c r="A20" s="8" t="s">
        <v>77</v>
      </c>
      <c r="B20" s="9" t="s">
        <v>17</v>
      </c>
      <c r="C20" s="11">
        <v>0</v>
      </c>
      <c r="D20" s="1" t="s">
        <v>279</v>
      </c>
      <c r="F20" s="44" t="s">
        <v>278</v>
      </c>
      <c r="G20" s="44" t="s">
        <v>290</v>
      </c>
    </row>
    <row r="21" spans="1:7" x14ac:dyDescent="0.25">
      <c r="A21" s="8" t="s">
        <v>78</v>
      </c>
      <c r="B21" s="9" t="s">
        <v>17</v>
      </c>
      <c r="C21" s="11">
        <v>46.243839600143538</v>
      </c>
      <c r="D21" s="1" t="s">
        <v>279</v>
      </c>
      <c r="F21" s="44" t="s">
        <v>278</v>
      </c>
      <c r="G21" s="44" t="s">
        <v>291</v>
      </c>
    </row>
    <row r="22" spans="1:7" x14ac:dyDescent="0.25">
      <c r="A22" s="8" t="s">
        <v>79</v>
      </c>
      <c r="B22" s="9" t="s">
        <v>17</v>
      </c>
      <c r="C22" s="11">
        <v>0</v>
      </c>
      <c r="D22" s="1" t="s">
        <v>279</v>
      </c>
      <c r="F22" s="44" t="s">
        <v>278</v>
      </c>
      <c r="G22" s="44" t="s">
        <v>292</v>
      </c>
    </row>
    <row r="23" spans="1:7" x14ac:dyDescent="0.25">
      <c r="A23" s="8" t="s">
        <v>80</v>
      </c>
      <c r="B23" s="9" t="s">
        <v>17</v>
      </c>
      <c r="C23" s="11">
        <v>0</v>
      </c>
      <c r="D23" s="1" t="s">
        <v>279</v>
      </c>
      <c r="F23" s="44" t="s">
        <v>278</v>
      </c>
      <c r="G23" s="44" t="s">
        <v>293</v>
      </c>
    </row>
    <row r="24" spans="1:7" x14ac:dyDescent="0.25">
      <c r="A24" s="8" t="s">
        <v>81</v>
      </c>
      <c r="B24" s="9" t="s">
        <v>17</v>
      </c>
      <c r="C24" s="11">
        <v>0.11623215753464304</v>
      </c>
      <c r="D24" s="1" t="s">
        <v>279</v>
      </c>
      <c r="F24" s="44" t="s">
        <v>278</v>
      </c>
      <c r="G24" s="44" t="s">
        <v>294</v>
      </c>
    </row>
    <row r="25" spans="1:7" x14ac:dyDescent="0.25">
      <c r="A25" s="8" t="s">
        <v>82</v>
      </c>
      <c r="B25" s="9" t="s">
        <v>17</v>
      </c>
      <c r="C25" s="11">
        <v>5.8116078767321527E-5</v>
      </c>
      <c r="D25" s="1" t="s">
        <v>279</v>
      </c>
      <c r="F25" s="44" t="s">
        <v>278</v>
      </c>
      <c r="G25" s="44">
        <v>0</v>
      </c>
    </row>
    <row r="26" spans="1:7" x14ac:dyDescent="0.25">
      <c r="A26" s="22" t="s">
        <v>89</v>
      </c>
      <c r="B26" s="23"/>
      <c r="C26" s="24"/>
      <c r="D26" s="1"/>
    </row>
    <row r="27" spans="1:7" x14ac:dyDescent="0.25">
      <c r="A27" s="8" t="s">
        <v>90</v>
      </c>
      <c r="B27" s="15" t="s">
        <v>3</v>
      </c>
      <c r="C27" s="15"/>
      <c r="D27" s="1"/>
      <c r="E27" s="44" t="s">
        <v>298</v>
      </c>
      <c r="F27" s="44"/>
      <c r="G27" s="44" t="s">
        <v>297</v>
      </c>
    </row>
    <row r="28" spans="1:7" s="1" customFormat="1" x14ac:dyDescent="0.25">
      <c r="A28" s="26" t="s">
        <v>91</v>
      </c>
      <c r="B28" s="27" t="s">
        <v>6</v>
      </c>
      <c r="C28" s="28">
        <v>-4.5439472099145251</v>
      </c>
      <c r="D28" s="1" t="s">
        <v>262</v>
      </c>
      <c r="E28" s="1" t="s">
        <v>295</v>
      </c>
      <c r="G28" s="1" t="s">
        <v>296</v>
      </c>
    </row>
    <row r="29" spans="1:7" x14ac:dyDescent="0.25">
      <c r="A29" s="8" t="s">
        <v>99</v>
      </c>
      <c r="B29" s="12" t="s">
        <v>2</v>
      </c>
      <c r="C29" s="11">
        <v>324.43646748860675</v>
      </c>
      <c r="D29" s="1"/>
    </row>
    <row r="30" spans="1:7" x14ac:dyDescent="0.25">
      <c r="A30" s="8" t="s">
        <v>100</v>
      </c>
      <c r="B30" s="12" t="s">
        <v>2</v>
      </c>
      <c r="C30" s="11">
        <v>353.03240076700848</v>
      </c>
      <c r="D30" s="1"/>
    </row>
    <row r="31" spans="1:7" x14ac:dyDescent="0.25">
      <c r="A31" s="8" t="s">
        <v>101</v>
      </c>
      <c r="B31" s="12" t="s">
        <v>2</v>
      </c>
      <c r="C31" s="11">
        <v>335.53548452589246</v>
      </c>
      <c r="D31" s="1"/>
    </row>
    <row r="32" spans="1:7" x14ac:dyDescent="0.25">
      <c r="A32" s="22" t="s">
        <v>83</v>
      </c>
      <c r="B32" s="23"/>
      <c r="C32" s="24"/>
      <c r="D32" s="1"/>
    </row>
    <row r="33" spans="1:7" x14ac:dyDescent="0.25">
      <c r="A33" s="8" t="s">
        <v>222</v>
      </c>
      <c r="B33" s="9" t="s">
        <v>9</v>
      </c>
      <c r="C33" s="11">
        <v>4.7118866642316179</v>
      </c>
      <c r="D33" s="1" t="s">
        <v>262</v>
      </c>
      <c r="E33" s="44" t="s">
        <v>299</v>
      </c>
      <c r="G33" s="44" t="s">
        <v>307</v>
      </c>
    </row>
    <row r="34" spans="1:7" x14ac:dyDescent="0.25">
      <c r="A34" s="8" t="s">
        <v>223</v>
      </c>
      <c r="B34" s="9" t="s">
        <v>9</v>
      </c>
      <c r="C34" s="11">
        <v>5.7635275522867842</v>
      </c>
      <c r="D34" s="1" t="s">
        <v>262</v>
      </c>
      <c r="E34" s="44" t="s">
        <v>300</v>
      </c>
      <c r="G34" s="44" t="s">
        <v>308</v>
      </c>
    </row>
    <row r="35" spans="1:7" x14ac:dyDescent="0.25">
      <c r="A35" s="8" t="s">
        <v>224</v>
      </c>
      <c r="B35" s="9" t="s">
        <v>9</v>
      </c>
      <c r="C35" s="11">
        <v>52.420381863911949</v>
      </c>
      <c r="D35" s="1" t="s">
        <v>262</v>
      </c>
      <c r="E35" s="44" t="s">
        <v>301</v>
      </c>
      <c r="G35" s="44" t="s">
        <v>309</v>
      </c>
    </row>
    <row r="36" spans="1:7" x14ac:dyDescent="0.25">
      <c r="A36" s="8" t="s">
        <v>225</v>
      </c>
      <c r="B36" s="9" t="s">
        <v>9</v>
      </c>
      <c r="C36" s="11">
        <v>55.315783659617104</v>
      </c>
      <c r="D36" s="1" t="s">
        <v>262</v>
      </c>
      <c r="E36" s="44" t="s">
        <v>302</v>
      </c>
      <c r="G36" s="44" t="s">
        <v>310</v>
      </c>
    </row>
    <row r="37" spans="1:7" x14ac:dyDescent="0.25">
      <c r="A37" s="8" t="s">
        <v>226</v>
      </c>
      <c r="B37" s="9" t="s">
        <v>10</v>
      </c>
      <c r="C37" s="11">
        <v>5.4129014809926348</v>
      </c>
      <c r="D37" s="1" t="s">
        <v>262</v>
      </c>
      <c r="E37" s="44" t="s">
        <v>303</v>
      </c>
      <c r="G37" s="44" t="s">
        <v>311</v>
      </c>
    </row>
    <row r="38" spans="1:7" x14ac:dyDescent="0.25">
      <c r="A38" s="8" t="s">
        <v>227</v>
      </c>
      <c r="B38" s="9" t="s">
        <v>1</v>
      </c>
      <c r="C38" s="11">
        <v>8572.3561197916661</v>
      </c>
      <c r="D38" s="1" t="s">
        <v>262</v>
      </c>
      <c r="E38" s="44" t="s">
        <v>304</v>
      </c>
      <c r="G38" s="44" t="s">
        <v>312</v>
      </c>
    </row>
    <row r="39" spans="1:7" x14ac:dyDescent="0.25">
      <c r="A39" s="8" t="s">
        <v>228</v>
      </c>
      <c r="B39" s="9" t="s">
        <v>11</v>
      </c>
      <c r="C39" s="11">
        <v>1017.3386103312174</v>
      </c>
      <c r="D39" s="1" t="s">
        <v>262</v>
      </c>
      <c r="E39" s="44" t="s">
        <v>305</v>
      </c>
      <c r="G39" s="44" t="s">
        <v>313</v>
      </c>
    </row>
    <row r="40" spans="1:7" x14ac:dyDescent="0.25">
      <c r="A40" s="8" t="s">
        <v>229</v>
      </c>
      <c r="B40" s="9" t="s">
        <v>2</v>
      </c>
      <c r="C40" s="11">
        <v>243.46743011474609</v>
      </c>
      <c r="D40" s="1" t="s">
        <v>262</v>
      </c>
      <c r="E40" s="44" t="s">
        <v>306</v>
      </c>
      <c r="G40" s="44" t="s">
        <v>314</v>
      </c>
    </row>
    <row r="41" spans="1:7" x14ac:dyDescent="0.25">
      <c r="A41" s="22" t="s">
        <v>84</v>
      </c>
      <c r="B41" s="23"/>
      <c r="C41" s="24"/>
      <c r="D41" s="1"/>
    </row>
    <row r="42" spans="1:7" x14ac:dyDescent="0.25">
      <c r="A42" s="8" t="s">
        <v>85</v>
      </c>
      <c r="B42" s="9" t="s">
        <v>12</v>
      </c>
      <c r="C42" s="9">
        <f>1013</f>
        <v>1013</v>
      </c>
      <c r="D42" s="1" t="s">
        <v>315</v>
      </c>
      <c r="G42" s="44">
        <v>1013</v>
      </c>
    </row>
    <row r="43" spans="1:7" x14ac:dyDescent="0.25">
      <c r="A43" s="8" t="s">
        <v>86</v>
      </c>
      <c r="B43" s="9" t="s">
        <v>4</v>
      </c>
      <c r="C43" s="9">
        <f>50</f>
        <v>50</v>
      </c>
      <c r="D43" s="1" t="s">
        <v>315</v>
      </c>
      <c r="G43" s="44">
        <v>50</v>
      </c>
    </row>
    <row r="44" spans="1:7" x14ac:dyDescent="0.25">
      <c r="A44" s="8" t="s">
        <v>87</v>
      </c>
      <c r="B44" s="12" t="s">
        <v>14</v>
      </c>
      <c r="C44" s="9">
        <f>0</f>
        <v>0</v>
      </c>
      <c r="D44" s="1" t="s">
        <v>315</v>
      </c>
      <c r="G44" s="44">
        <v>0</v>
      </c>
    </row>
    <row r="45" spans="1:7" s="1" customFormat="1" x14ac:dyDescent="0.25">
      <c r="A45" s="8" t="s">
        <v>88</v>
      </c>
      <c r="B45" s="9" t="s">
        <v>4</v>
      </c>
      <c r="C45" s="11">
        <f>2</f>
        <v>2</v>
      </c>
      <c r="D45" s="1" t="s">
        <v>315</v>
      </c>
      <c r="G45" s="44">
        <v>2</v>
      </c>
    </row>
    <row r="46" spans="1:7" s="1" customFormat="1" x14ac:dyDescent="0.25">
      <c r="A46" s="30"/>
      <c r="B46" s="29"/>
      <c r="C46" s="31"/>
    </row>
    <row r="47" spans="1:7" s="1" customFormat="1" x14ac:dyDescent="0.25">
      <c r="A47" s="30"/>
      <c r="B47" s="29"/>
      <c r="C47" s="31"/>
    </row>
    <row r="48" spans="1:7" x14ac:dyDescent="0.25">
      <c r="A48" s="37" t="s">
        <v>238</v>
      </c>
      <c r="B48" s="37"/>
    </row>
    <row r="49" spans="1:4" x14ac:dyDescent="0.25">
      <c r="A49" s="22" t="s">
        <v>239</v>
      </c>
      <c r="B49" s="23"/>
      <c r="C49" s="24"/>
      <c r="D49" s="1"/>
    </row>
    <row r="50" spans="1:4" s="1" customFormat="1" x14ac:dyDescent="0.25">
      <c r="A50" s="8" t="s">
        <v>240</v>
      </c>
      <c r="B50" s="9" t="s">
        <v>241</v>
      </c>
      <c r="C50" s="17">
        <f>C464</f>
        <v>14.721108495178662</v>
      </c>
    </row>
    <row r="51" spans="1:4" s="1" customFormat="1" x14ac:dyDescent="0.25">
      <c r="A51" s="8" t="s">
        <v>243</v>
      </c>
      <c r="B51" s="9" t="s">
        <v>242</v>
      </c>
      <c r="C51" s="16">
        <f>C190</f>
        <v>12481.056546241161</v>
      </c>
    </row>
    <row r="52" spans="1:4" s="1" customFormat="1" x14ac:dyDescent="0.25">
      <c r="A52" s="8" t="s">
        <v>243</v>
      </c>
      <c r="B52" s="9" t="s">
        <v>244</v>
      </c>
      <c r="C52" s="16">
        <f>C51*C50/22.414</f>
        <v>8197.3314692458298</v>
      </c>
    </row>
    <row r="53" spans="1:4" s="1" customFormat="1" x14ac:dyDescent="0.25">
      <c r="A53" s="38" t="s">
        <v>57</v>
      </c>
      <c r="B53" s="9" t="s">
        <v>213</v>
      </c>
      <c r="C53" s="20">
        <f>C508</f>
        <v>2.6997287877411334E-3</v>
      </c>
    </row>
    <row r="54" spans="1:4" s="1" customFormat="1" x14ac:dyDescent="0.25">
      <c r="A54" s="39"/>
      <c r="B54" s="9" t="s">
        <v>214</v>
      </c>
      <c r="C54" s="20">
        <f t="shared" ref="C54:C55" si="0">C509</f>
        <v>1.7731328808733105E-3</v>
      </c>
    </row>
    <row r="55" spans="1:4" s="1" customFormat="1" x14ac:dyDescent="0.25">
      <c r="A55" s="40"/>
      <c r="B55" s="9" t="s">
        <v>215</v>
      </c>
      <c r="C55" s="20">
        <f t="shared" si="0"/>
        <v>0.21630610980239431</v>
      </c>
    </row>
    <row r="56" spans="1:4" s="1" customFormat="1" x14ac:dyDescent="0.25">
      <c r="A56" s="20" t="s">
        <v>211</v>
      </c>
      <c r="B56" s="20" t="s">
        <v>2</v>
      </c>
      <c r="C56" s="17">
        <f>C505</f>
        <v>94.374771136218811</v>
      </c>
    </row>
    <row r="57" spans="1:4" s="1" customFormat="1" x14ac:dyDescent="0.25">
      <c r="A57" s="41"/>
      <c r="B57" s="43"/>
      <c r="C57" s="11"/>
    </row>
    <row r="58" spans="1:4" s="1" customFormat="1" x14ac:dyDescent="0.25">
      <c r="A58" s="22" t="s">
        <v>245</v>
      </c>
      <c r="B58" s="23"/>
      <c r="C58" s="24"/>
    </row>
    <row r="59" spans="1:4" s="1" customFormat="1" x14ac:dyDescent="0.25">
      <c r="A59" s="35" t="s">
        <v>246</v>
      </c>
      <c r="B59" s="11" t="s">
        <v>4</v>
      </c>
      <c r="C59" s="17">
        <f>C366</f>
        <v>25.586438900926286</v>
      </c>
    </row>
    <row r="60" spans="1:4" s="1" customFormat="1" x14ac:dyDescent="0.25">
      <c r="A60" s="35" t="s">
        <v>252</v>
      </c>
      <c r="B60" s="11" t="s">
        <v>4</v>
      </c>
      <c r="C60" s="17">
        <f>C409</f>
        <v>86.972634421036389</v>
      </c>
    </row>
    <row r="61" spans="1:4" s="1" customFormat="1" x14ac:dyDescent="0.25">
      <c r="A61" s="35" t="s">
        <v>251</v>
      </c>
      <c r="B61" s="11" t="s">
        <v>4</v>
      </c>
      <c r="C61" s="17">
        <f>C411</f>
        <v>87.502223949749009</v>
      </c>
    </row>
    <row r="62" spans="1:4" s="1" customFormat="1" x14ac:dyDescent="0.25">
      <c r="A62" s="35" t="s">
        <v>52</v>
      </c>
      <c r="B62" s="11" t="str">
        <f t="shared" ref="B62" si="1">B420</f>
        <v>Gcal/hr</v>
      </c>
      <c r="C62" s="11">
        <f>C420</f>
        <v>7.2409322067657866</v>
      </c>
    </row>
    <row r="63" spans="1:4" s="1" customFormat="1" x14ac:dyDescent="0.25">
      <c r="A63" s="35" t="s">
        <v>253</v>
      </c>
      <c r="B63" s="11" t="str">
        <f>B421</f>
        <v>Gcal/hr</v>
      </c>
      <c r="C63" s="11">
        <f>C421</f>
        <v>6.2976294968654907</v>
      </c>
    </row>
    <row r="64" spans="1:4" s="1" customFormat="1" x14ac:dyDescent="0.25">
      <c r="A64" s="35" t="s">
        <v>254</v>
      </c>
      <c r="B64" s="11" t="str">
        <f>B423</f>
        <v>Gcal/hr</v>
      </c>
      <c r="C64" s="11">
        <f>C423</f>
        <v>4.6341509956091755</v>
      </c>
    </row>
    <row r="65" spans="1:3" s="1" customFormat="1" x14ac:dyDescent="0.25">
      <c r="A65" s="35" t="s">
        <v>255</v>
      </c>
      <c r="B65" s="11" t="str">
        <f>B425</f>
        <v>Gcal/hr</v>
      </c>
      <c r="C65" s="11">
        <f>C425</f>
        <v>1.6634785012563151</v>
      </c>
    </row>
    <row r="66" spans="1:3" s="1" customFormat="1" x14ac:dyDescent="0.25">
      <c r="A66" s="36" t="s">
        <v>256</v>
      </c>
      <c r="B66" s="9" t="s">
        <v>54</v>
      </c>
      <c r="C66" s="16">
        <f>C529</f>
        <v>10777.249175438252</v>
      </c>
    </row>
    <row r="67" spans="1:3" s="1" customFormat="1" x14ac:dyDescent="0.25">
      <c r="A67" s="36" t="s">
        <v>248</v>
      </c>
      <c r="B67" s="9" t="s">
        <v>58</v>
      </c>
      <c r="C67" s="11">
        <f>C511</f>
        <v>1.5662578769883739</v>
      </c>
    </row>
    <row r="68" spans="1:3" s="1" customFormat="1" x14ac:dyDescent="0.25">
      <c r="A68" s="8" t="s">
        <v>249</v>
      </c>
      <c r="B68" s="9" t="s">
        <v>250</v>
      </c>
      <c r="C68" s="11">
        <f>C528/(C528+C527+C526)*100</f>
        <v>4.2130040209105397</v>
      </c>
    </row>
    <row r="69" spans="1:3" s="1" customFormat="1" x14ac:dyDescent="0.25">
      <c r="A69" s="41"/>
      <c r="B69" s="42"/>
      <c r="C69" s="43"/>
    </row>
    <row r="70" spans="1:3" s="1" customFormat="1" x14ac:dyDescent="0.25">
      <c r="A70" s="22" t="s">
        <v>257</v>
      </c>
      <c r="B70" s="23"/>
      <c r="C70" s="24"/>
    </row>
    <row r="71" spans="1:3" s="1" customFormat="1" x14ac:dyDescent="0.25">
      <c r="A71" s="35" t="s">
        <v>246</v>
      </c>
      <c r="B71" s="11" t="s">
        <v>4</v>
      </c>
      <c r="C71" s="17">
        <f>C370</f>
        <v>31.119484990740929</v>
      </c>
    </row>
    <row r="72" spans="1:3" s="1" customFormat="1" x14ac:dyDescent="0.25">
      <c r="A72" s="35" t="s">
        <v>252</v>
      </c>
      <c r="B72" s="11" t="s">
        <v>4</v>
      </c>
      <c r="C72" s="17">
        <f>C413</f>
        <v>86.974897654356084</v>
      </c>
    </row>
    <row r="73" spans="1:3" s="1" customFormat="1" x14ac:dyDescent="0.25">
      <c r="A73" s="35" t="s">
        <v>251</v>
      </c>
      <c r="B73" s="11" t="s">
        <v>4</v>
      </c>
      <c r="C73" s="17">
        <f>C415</f>
        <v>87.519705689464757</v>
      </c>
    </row>
    <row r="74" spans="1:3" s="1" customFormat="1" x14ac:dyDescent="0.25">
      <c r="A74" s="35" t="s">
        <v>52</v>
      </c>
      <c r="B74" s="11" t="s">
        <v>53</v>
      </c>
      <c r="C74" s="11">
        <f>C420</f>
        <v>7.2409322067657866</v>
      </c>
    </row>
    <row r="75" spans="1:3" s="1" customFormat="1" x14ac:dyDescent="0.25">
      <c r="A75" s="35" t="s">
        <v>253</v>
      </c>
      <c r="B75" s="11" t="s">
        <v>53</v>
      </c>
      <c r="C75" s="11">
        <f>C422</f>
        <v>6.2977933760558509</v>
      </c>
    </row>
    <row r="76" spans="1:3" s="1" customFormat="1" x14ac:dyDescent="0.25">
      <c r="A76" s="35" t="s">
        <v>254</v>
      </c>
      <c r="B76" s="11" t="s">
        <v>53</v>
      </c>
      <c r="C76" s="11">
        <f>C424</f>
        <v>4.5709131565109899</v>
      </c>
    </row>
    <row r="77" spans="1:3" s="1" customFormat="1" x14ac:dyDescent="0.25">
      <c r="A77" s="35" t="s">
        <v>255</v>
      </c>
      <c r="B77" s="11" t="s">
        <v>53</v>
      </c>
      <c r="C77" s="11">
        <f>C426</f>
        <v>1.7268802195448609</v>
      </c>
    </row>
    <row r="78" spans="1:3" s="1" customFormat="1" x14ac:dyDescent="0.25">
      <c r="A78" s="36" t="s">
        <v>247</v>
      </c>
      <c r="B78" s="9" t="s">
        <v>54</v>
      </c>
      <c r="C78" s="16">
        <f>C542</f>
        <v>1757.825757318079</v>
      </c>
    </row>
    <row r="79" spans="1:3" s="1" customFormat="1" x14ac:dyDescent="0.25">
      <c r="A79" s="36" t="s">
        <v>248</v>
      </c>
      <c r="B79" s="9" t="s">
        <v>58</v>
      </c>
      <c r="C79" s="11">
        <f>C67</f>
        <v>1.5662578769883739</v>
      </c>
    </row>
    <row r="80" spans="1:3" s="1" customFormat="1" x14ac:dyDescent="0.25">
      <c r="A80" s="8" t="s">
        <v>258</v>
      </c>
      <c r="B80" s="9" t="s">
        <v>250</v>
      </c>
      <c r="C80" s="11">
        <f>C545/C546*100</f>
        <v>4.1218249423432134</v>
      </c>
    </row>
    <row r="81" spans="1:4" s="1" customFormat="1" x14ac:dyDescent="0.25">
      <c r="A81" s="41"/>
      <c r="B81" s="43"/>
      <c r="C81" s="11"/>
    </row>
    <row r="82" spans="1:4" s="1" customFormat="1" x14ac:dyDescent="0.25">
      <c r="A82" s="30"/>
      <c r="B82" s="29"/>
      <c r="C82" s="31"/>
    </row>
    <row r="83" spans="1:4" s="1" customFormat="1" x14ac:dyDescent="0.25">
      <c r="A83" s="30"/>
      <c r="B83" s="29"/>
      <c r="C83" s="31"/>
    </row>
    <row r="84" spans="1:4" x14ac:dyDescent="0.25">
      <c r="A84" s="37" t="s">
        <v>55</v>
      </c>
      <c r="B84" s="37"/>
    </row>
    <row r="85" spans="1:4" x14ac:dyDescent="0.25">
      <c r="A85" s="8" t="s">
        <v>92</v>
      </c>
      <c r="B85" s="9" t="s">
        <v>12</v>
      </c>
      <c r="C85" s="16">
        <f>IF(C42="","",C42*EXP(-9.80665*0.0289644*C44/(8.31432*(C5+273.16))))</f>
        <v>1013</v>
      </c>
      <c r="D85" s="1"/>
    </row>
    <row r="86" spans="1:4" x14ac:dyDescent="0.25">
      <c r="A86" s="8" t="s">
        <v>93</v>
      </c>
      <c r="B86" s="9" t="s">
        <v>15</v>
      </c>
      <c r="C86" s="17">
        <f>IF(C42="","",610.78*10^(7.5*C5/(C5+237.3)))</f>
        <v>3167.4892860563968</v>
      </c>
      <c r="D86" s="1"/>
    </row>
    <row r="87" spans="1:4" x14ac:dyDescent="0.25">
      <c r="A87" s="8" t="s">
        <v>94</v>
      </c>
      <c r="B87" s="9" t="s">
        <v>15</v>
      </c>
      <c r="C87" s="17">
        <f>IF(C42="","",C86*C43/100)</f>
        <v>1583.7446430281984</v>
      </c>
      <c r="D87" s="1"/>
    </row>
    <row r="88" spans="1:4" x14ac:dyDescent="0.25">
      <c r="A88" s="8" t="s">
        <v>95</v>
      </c>
      <c r="B88" s="9" t="s">
        <v>11</v>
      </c>
      <c r="C88" s="11">
        <f>C87/100</f>
        <v>15.837446430281984</v>
      </c>
      <c r="D88" s="1"/>
    </row>
    <row r="89" spans="1:4" x14ac:dyDescent="0.25">
      <c r="A89" s="8" t="s">
        <v>96</v>
      </c>
      <c r="B89" s="12" t="s">
        <v>8</v>
      </c>
      <c r="C89" s="11">
        <f>IF(C7="","",C7*9/5+491.67)</f>
        <v>925.59480354309085</v>
      </c>
      <c r="D89" s="1"/>
    </row>
    <row r="90" spans="1:4" x14ac:dyDescent="0.25">
      <c r="A90" s="8" t="s">
        <v>97</v>
      </c>
      <c r="B90" s="12" t="s">
        <v>8</v>
      </c>
      <c r="C90" s="11">
        <f>IF(C8="","",C8*9/5+491.67)</f>
        <v>1702.646010131836</v>
      </c>
      <c r="D90" s="1"/>
    </row>
    <row r="91" spans="1:4" s="3" customFormat="1" x14ac:dyDescent="0.25">
      <c r="A91" s="8" t="s">
        <v>98</v>
      </c>
      <c r="B91" s="12" t="s">
        <v>5</v>
      </c>
      <c r="C91" s="11">
        <f>C5*1.8+32</f>
        <v>77</v>
      </c>
      <c r="D91" s="1"/>
    </row>
    <row r="92" spans="1:4" x14ac:dyDescent="0.25">
      <c r="A92" s="8" t="s">
        <v>63</v>
      </c>
      <c r="B92" s="12" t="s">
        <v>13</v>
      </c>
      <c r="C92" s="11">
        <f>IF(C5="","",C5*9/5+491.67)</f>
        <v>536.67000000000007</v>
      </c>
      <c r="D92" s="1"/>
    </row>
    <row r="93" spans="1:4" ht="15" customHeight="1" x14ac:dyDescent="0.25">
      <c r="A93" s="22" t="s">
        <v>102</v>
      </c>
      <c r="B93" s="23"/>
      <c r="C93" s="24"/>
      <c r="D93" s="1"/>
    </row>
    <row r="94" spans="1:4" x14ac:dyDescent="0.25">
      <c r="A94" s="22" t="s">
        <v>66</v>
      </c>
      <c r="B94" s="23"/>
      <c r="C94" s="24"/>
      <c r="D94" s="1"/>
    </row>
    <row r="95" spans="1:4" x14ac:dyDescent="0.25">
      <c r="A95" s="8" t="s">
        <v>67</v>
      </c>
      <c r="B95" s="9" t="s">
        <v>17</v>
      </c>
      <c r="C95" s="11">
        <f>C10/SUM($C$10:$C$25)*100</f>
        <v>33.472731225721638</v>
      </c>
      <c r="D95" s="1"/>
    </row>
    <row r="96" spans="1:4" x14ac:dyDescent="0.25">
      <c r="A96" s="8" t="s">
        <v>68</v>
      </c>
      <c r="B96" s="9" t="s">
        <v>17</v>
      </c>
      <c r="C96" s="11">
        <f t="shared" ref="C96:C110" si="2">C11/SUM($C$10:$C$25)*100</f>
        <v>8.8001294917567758</v>
      </c>
      <c r="D96" s="1"/>
    </row>
    <row r="97" spans="1:4" x14ac:dyDescent="0.25">
      <c r="A97" s="8" t="s">
        <v>69</v>
      </c>
      <c r="B97" s="9" t="s">
        <v>17</v>
      </c>
      <c r="C97" s="11">
        <f t="shared" si="2"/>
        <v>0</v>
      </c>
      <c r="D97" s="1"/>
    </row>
    <row r="98" spans="1:4" x14ac:dyDescent="0.25">
      <c r="A98" s="8" t="s">
        <v>70</v>
      </c>
      <c r="B98" s="9" t="s">
        <v>17</v>
      </c>
      <c r="C98" s="11">
        <f t="shared" si="2"/>
        <v>5.9445018136629626</v>
      </c>
      <c r="D98" s="1"/>
    </row>
    <row r="99" spans="1:4" x14ac:dyDescent="0.25">
      <c r="A99" s="8" t="s">
        <v>71</v>
      </c>
      <c r="B99" s="9" t="s">
        <v>17</v>
      </c>
      <c r="C99" s="11">
        <f t="shared" si="2"/>
        <v>0</v>
      </c>
      <c r="D99" s="1"/>
    </row>
    <row r="100" spans="1:4" x14ac:dyDescent="0.25">
      <c r="A100" s="8" t="s">
        <v>72</v>
      </c>
      <c r="B100" s="9" t="s">
        <v>17</v>
      </c>
      <c r="C100" s="11">
        <f t="shared" si="2"/>
        <v>2.4391456833431242</v>
      </c>
      <c r="D100" s="1"/>
    </row>
    <row r="101" spans="1:4" x14ac:dyDescent="0.25">
      <c r="A101" s="8" t="s">
        <v>73</v>
      </c>
      <c r="B101" s="9" t="s">
        <v>17</v>
      </c>
      <c r="C101" s="11">
        <f t="shared" si="2"/>
        <v>2.2769544751939983</v>
      </c>
      <c r="D101" s="1"/>
    </row>
    <row r="102" spans="1:4" x14ac:dyDescent="0.25">
      <c r="A102" s="8" t="s">
        <v>74</v>
      </c>
      <c r="B102" s="9" t="s">
        <v>17</v>
      </c>
      <c r="C102" s="11">
        <f t="shared" si="2"/>
        <v>0</v>
      </c>
      <c r="D102" s="1"/>
    </row>
    <row r="103" spans="1:4" x14ac:dyDescent="0.25">
      <c r="A103" s="8" t="s">
        <v>75</v>
      </c>
      <c r="B103" s="9" t="s">
        <v>17</v>
      </c>
      <c r="C103" s="11">
        <f t="shared" si="2"/>
        <v>0.49109421659751423</v>
      </c>
      <c r="D103" s="1"/>
    </row>
    <row r="104" spans="1:4" x14ac:dyDescent="0.25">
      <c r="A104" s="8" t="s">
        <v>76</v>
      </c>
      <c r="B104" s="9" t="s">
        <v>17</v>
      </c>
      <c r="C104" s="11">
        <f t="shared" si="2"/>
        <v>0</v>
      </c>
      <c r="D104" s="1"/>
    </row>
    <row r="105" spans="1:4" x14ac:dyDescent="0.25">
      <c r="A105" s="8" t="s">
        <v>77</v>
      </c>
      <c r="B105" s="9" t="s">
        <v>17</v>
      </c>
      <c r="C105" s="11">
        <f t="shared" si="2"/>
        <v>0</v>
      </c>
      <c r="D105" s="1"/>
    </row>
    <row r="106" spans="1:4" x14ac:dyDescent="0.25">
      <c r="A106" s="8" t="s">
        <v>78</v>
      </c>
      <c r="B106" s="9" t="s">
        <v>17</v>
      </c>
      <c r="C106" s="11">
        <f t="shared" si="2"/>
        <v>46.458612725996716</v>
      </c>
      <c r="D106" s="1"/>
    </row>
    <row r="107" spans="1:4" x14ac:dyDescent="0.25">
      <c r="A107" s="8" t="s">
        <v>79</v>
      </c>
      <c r="B107" s="9" t="s">
        <v>17</v>
      </c>
      <c r="C107" s="11">
        <f t="shared" si="2"/>
        <v>0</v>
      </c>
      <c r="D107" s="1"/>
    </row>
    <row r="108" spans="1:4" x14ac:dyDescent="0.25">
      <c r="A108" s="8" t="s">
        <v>80</v>
      </c>
      <c r="B108" s="9" t="s">
        <v>17</v>
      </c>
      <c r="C108" s="11">
        <f t="shared" si="2"/>
        <v>0</v>
      </c>
      <c r="D108" s="1"/>
    </row>
    <row r="109" spans="1:4" x14ac:dyDescent="0.25">
      <c r="A109" s="8" t="s">
        <v>81</v>
      </c>
      <c r="B109" s="9" t="s">
        <v>17</v>
      </c>
      <c r="C109" s="11">
        <f t="shared" si="2"/>
        <v>0.11677198173640109</v>
      </c>
      <c r="D109" s="1"/>
    </row>
    <row r="110" spans="1:4" x14ac:dyDescent="0.25">
      <c r="A110" s="8" t="s">
        <v>82</v>
      </c>
      <c r="B110" s="9" t="s">
        <v>17</v>
      </c>
      <c r="C110" s="11">
        <f t="shared" si="2"/>
        <v>5.838599086820055E-5</v>
      </c>
      <c r="D110" s="1"/>
    </row>
    <row r="111" spans="1:4" x14ac:dyDescent="0.25">
      <c r="A111" s="8" t="s">
        <v>103</v>
      </c>
      <c r="B111" s="9"/>
      <c r="C111" s="11">
        <f>IF(C95="","",SUM(C95:C110))</f>
        <v>100.00000000000001</v>
      </c>
      <c r="D111" s="1"/>
    </row>
    <row r="112" spans="1:4" x14ac:dyDescent="0.25">
      <c r="A112" s="8" t="s">
        <v>95</v>
      </c>
      <c r="B112" s="13"/>
      <c r="C112" s="14"/>
      <c r="D112" s="1"/>
    </row>
    <row r="113" spans="1:7" x14ac:dyDescent="0.25">
      <c r="A113" s="22" t="s">
        <v>104</v>
      </c>
      <c r="B113" s="23"/>
      <c r="C113" s="24"/>
      <c r="D113" s="1"/>
    </row>
    <row r="114" spans="1:7" x14ac:dyDescent="0.25">
      <c r="A114" s="22" t="s">
        <v>105</v>
      </c>
      <c r="B114" s="23"/>
      <c r="C114" s="24"/>
      <c r="D114" s="1"/>
    </row>
    <row r="115" spans="1:7" x14ac:dyDescent="0.25">
      <c r="A115" s="8" t="s">
        <v>67</v>
      </c>
      <c r="B115" s="9" t="s">
        <v>20</v>
      </c>
      <c r="C115" s="18">
        <f>16.043</f>
        <v>16.042999999999999</v>
      </c>
      <c r="D115" s="1"/>
      <c r="G115" s="4"/>
    </row>
    <row r="116" spans="1:7" x14ac:dyDescent="0.25">
      <c r="A116" s="8" t="s">
        <v>68</v>
      </c>
      <c r="B116" s="9" t="s">
        <v>20</v>
      </c>
      <c r="C116" s="18">
        <f>30.07</f>
        <v>30.07</v>
      </c>
      <c r="D116" s="1"/>
      <c r="G116" s="4"/>
    </row>
    <row r="117" spans="1:7" x14ac:dyDescent="0.25">
      <c r="A117" s="8" t="s">
        <v>69</v>
      </c>
      <c r="B117" s="9" t="s">
        <v>20</v>
      </c>
      <c r="C117" s="18">
        <f>28.054</f>
        <v>28.053999999999998</v>
      </c>
      <c r="D117" s="1"/>
      <c r="G117" s="4"/>
    </row>
    <row r="118" spans="1:7" x14ac:dyDescent="0.25">
      <c r="A118" s="8" t="s">
        <v>70</v>
      </c>
      <c r="B118" s="9" t="s">
        <v>20</v>
      </c>
      <c r="C118" s="18">
        <f>44.097</f>
        <v>44.097000000000001</v>
      </c>
      <c r="D118" s="1"/>
      <c r="G118" s="4"/>
    </row>
    <row r="119" spans="1:7" x14ac:dyDescent="0.25">
      <c r="A119" s="8" t="s">
        <v>71</v>
      </c>
      <c r="B119" s="9" t="s">
        <v>20</v>
      </c>
      <c r="C119" s="18">
        <f>42.081</f>
        <v>42.081000000000003</v>
      </c>
      <c r="D119" s="1"/>
      <c r="G119" s="4"/>
    </row>
    <row r="120" spans="1:7" x14ac:dyDescent="0.25">
      <c r="A120" s="8" t="s">
        <v>72</v>
      </c>
      <c r="B120" s="9" t="s">
        <v>20</v>
      </c>
      <c r="C120" s="18">
        <f>58.124</f>
        <v>58.124000000000002</v>
      </c>
      <c r="D120" s="1"/>
      <c r="G120" s="4"/>
    </row>
    <row r="121" spans="1:7" x14ac:dyDescent="0.25">
      <c r="A121" s="8" t="s">
        <v>73</v>
      </c>
      <c r="B121" s="9" t="s">
        <v>20</v>
      </c>
      <c r="C121" s="18">
        <f>58.124</f>
        <v>58.124000000000002</v>
      </c>
      <c r="D121" s="1"/>
      <c r="G121" s="4"/>
    </row>
    <row r="122" spans="1:7" x14ac:dyDescent="0.25">
      <c r="A122" s="8" t="s">
        <v>74</v>
      </c>
      <c r="B122" s="9" t="s">
        <v>20</v>
      </c>
      <c r="C122" s="18">
        <f>56.108</f>
        <v>56.107999999999997</v>
      </c>
      <c r="D122" s="1"/>
      <c r="G122" s="4"/>
    </row>
    <row r="123" spans="1:7" x14ac:dyDescent="0.25">
      <c r="A123" s="8" t="s">
        <v>75</v>
      </c>
      <c r="B123" s="9" t="s">
        <v>20</v>
      </c>
      <c r="C123" s="18">
        <f>72.151</f>
        <v>72.150999999999996</v>
      </c>
      <c r="D123" s="1"/>
      <c r="G123" s="4"/>
    </row>
    <row r="124" spans="1:7" x14ac:dyDescent="0.25">
      <c r="A124" s="8" t="s">
        <v>76</v>
      </c>
      <c r="B124" s="9" t="s">
        <v>20</v>
      </c>
      <c r="C124" s="18">
        <f>86.178</f>
        <v>86.177999999999997</v>
      </c>
      <c r="D124" s="1"/>
      <c r="G124" s="4"/>
    </row>
    <row r="125" spans="1:7" x14ac:dyDescent="0.25">
      <c r="A125" s="8" t="s">
        <v>77</v>
      </c>
      <c r="B125" s="9" t="s">
        <v>20</v>
      </c>
      <c r="C125" s="18">
        <f>28.013</f>
        <v>28.013000000000002</v>
      </c>
      <c r="D125" s="1"/>
      <c r="G125" s="4"/>
    </row>
    <row r="126" spans="1:7" x14ac:dyDescent="0.25">
      <c r="A126" s="8" t="s">
        <v>78</v>
      </c>
      <c r="B126" s="9" t="s">
        <v>20</v>
      </c>
      <c r="C126" s="18">
        <f>2.016</f>
        <v>2.016</v>
      </c>
      <c r="D126" s="1"/>
      <c r="G126" s="4"/>
    </row>
    <row r="127" spans="1:7" x14ac:dyDescent="0.25">
      <c r="A127" s="8" t="s">
        <v>79</v>
      </c>
      <c r="B127" s="9" t="s">
        <v>20</v>
      </c>
      <c r="C127" s="18">
        <f>31.999</f>
        <v>31.998999999999999</v>
      </c>
      <c r="D127" s="1"/>
      <c r="G127" s="4"/>
    </row>
    <row r="128" spans="1:7" x14ac:dyDescent="0.25">
      <c r="A128" s="8" t="s">
        <v>80</v>
      </c>
      <c r="B128" s="9" t="s">
        <v>20</v>
      </c>
      <c r="C128" s="18">
        <f>28.01</f>
        <v>28.01</v>
      </c>
      <c r="D128" s="1"/>
      <c r="G128" s="4"/>
    </row>
    <row r="129" spans="1:7" x14ac:dyDescent="0.25">
      <c r="A129" s="8" t="s">
        <v>81</v>
      </c>
      <c r="B129" s="9" t="s">
        <v>20</v>
      </c>
      <c r="C129" s="18">
        <f>44.01</f>
        <v>44.01</v>
      </c>
      <c r="D129" s="1"/>
      <c r="G129" s="4"/>
    </row>
    <row r="130" spans="1:7" x14ac:dyDescent="0.25">
      <c r="A130" s="8" t="s">
        <v>82</v>
      </c>
      <c r="B130" s="9" t="s">
        <v>20</v>
      </c>
      <c r="C130" s="18">
        <f>34.076</f>
        <v>34.076000000000001</v>
      </c>
      <c r="D130" s="1"/>
      <c r="G130" s="4"/>
    </row>
    <row r="131" spans="1:7" x14ac:dyDescent="0.25">
      <c r="A131" s="8" t="s">
        <v>95</v>
      </c>
      <c r="B131" s="13"/>
      <c r="C131" s="13"/>
      <c r="D131" s="1"/>
    </row>
    <row r="132" spans="1:7" x14ac:dyDescent="0.25">
      <c r="A132" s="22" t="s">
        <v>106</v>
      </c>
      <c r="B132" s="23"/>
      <c r="C132" s="24"/>
      <c r="D132" s="1"/>
    </row>
    <row r="133" spans="1:7" s="1" customFormat="1" x14ac:dyDescent="0.25">
      <c r="A133" s="22" t="s">
        <v>107</v>
      </c>
      <c r="B133" s="23"/>
      <c r="C133" s="24"/>
    </row>
    <row r="134" spans="1:7" s="1" customFormat="1" x14ac:dyDescent="0.25">
      <c r="A134" s="8" t="s">
        <v>67</v>
      </c>
      <c r="B134" s="9" t="s">
        <v>21</v>
      </c>
      <c r="C134" s="11">
        <f>IF(C95="","",C95*C115/100)</f>
        <v>5.3700302705425225</v>
      </c>
    </row>
    <row r="135" spans="1:7" s="1" customFormat="1" x14ac:dyDescent="0.25">
      <c r="A135" s="8" t="s">
        <v>68</v>
      </c>
      <c r="B135" s="9" t="s">
        <v>21</v>
      </c>
      <c r="C135" s="11">
        <f t="shared" ref="C135:C149" si="3">IF(C96="","",C96*C116/100)</f>
        <v>2.6461989381712625</v>
      </c>
    </row>
    <row r="136" spans="1:7" s="1" customFormat="1" x14ac:dyDescent="0.25">
      <c r="A136" s="8" t="s">
        <v>69</v>
      </c>
      <c r="B136" s="9" t="s">
        <v>21</v>
      </c>
      <c r="C136" s="11">
        <f t="shared" si="3"/>
        <v>0</v>
      </c>
    </row>
    <row r="137" spans="1:7" s="1" customFormat="1" x14ac:dyDescent="0.25">
      <c r="A137" s="8" t="s">
        <v>70</v>
      </c>
      <c r="B137" s="9" t="s">
        <v>21</v>
      </c>
      <c r="C137" s="11">
        <f t="shared" si="3"/>
        <v>2.6213469647709564</v>
      </c>
    </row>
    <row r="138" spans="1:7" s="1" customFormat="1" x14ac:dyDescent="0.25">
      <c r="A138" s="8" t="s">
        <v>71</v>
      </c>
      <c r="B138" s="9" t="s">
        <v>21</v>
      </c>
      <c r="C138" s="11">
        <f t="shared" si="3"/>
        <v>0</v>
      </c>
    </row>
    <row r="139" spans="1:7" s="1" customFormat="1" x14ac:dyDescent="0.25">
      <c r="A139" s="8" t="s">
        <v>72</v>
      </c>
      <c r="B139" s="9" t="s">
        <v>21</v>
      </c>
      <c r="C139" s="11">
        <f t="shared" si="3"/>
        <v>1.4177290369863575</v>
      </c>
    </row>
    <row r="140" spans="1:7" s="1" customFormat="1" x14ac:dyDescent="0.25">
      <c r="A140" s="8" t="s">
        <v>73</v>
      </c>
      <c r="B140" s="9" t="s">
        <v>21</v>
      </c>
      <c r="C140" s="11">
        <f t="shared" si="3"/>
        <v>1.3234570191617596</v>
      </c>
    </row>
    <row r="141" spans="1:7" s="1" customFormat="1" x14ac:dyDescent="0.25">
      <c r="A141" s="8" t="s">
        <v>74</v>
      </c>
      <c r="B141" s="9" t="s">
        <v>21</v>
      </c>
      <c r="C141" s="11">
        <f t="shared" si="3"/>
        <v>0</v>
      </c>
    </row>
    <row r="142" spans="1:7" s="1" customFormat="1" x14ac:dyDescent="0.25">
      <c r="A142" s="8" t="s">
        <v>75</v>
      </c>
      <c r="B142" s="9" t="s">
        <v>21</v>
      </c>
      <c r="C142" s="11">
        <f t="shared" si="3"/>
        <v>0.3543293882172725</v>
      </c>
    </row>
    <row r="143" spans="1:7" s="1" customFormat="1" x14ac:dyDescent="0.25">
      <c r="A143" s="8" t="s">
        <v>76</v>
      </c>
      <c r="B143" s="9" t="s">
        <v>21</v>
      </c>
      <c r="C143" s="11">
        <f t="shared" si="3"/>
        <v>0</v>
      </c>
    </row>
    <row r="144" spans="1:7" s="1" customFormat="1" x14ac:dyDescent="0.25">
      <c r="A144" s="8" t="s">
        <v>77</v>
      </c>
      <c r="B144" s="9" t="s">
        <v>21</v>
      </c>
      <c r="C144" s="11">
        <f t="shared" si="3"/>
        <v>0</v>
      </c>
    </row>
    <row r="145" spans="1:8" s="1" customFormat="1" x14ac:dyDescent="0.25">
      <c r="A145" s="8" t="s">
        <v>78</v>
      </c>
      <c r="B145" s="9" t="s">
        <v>21</v>
      </c>
      <c r="C145" s="11">
        <f t="shared" si="3"/>
        <v>0.93660563255609375</v>
      </c>
    </row>
    <row r="146" spans="1:8" s="1" customFormat="1" x14ac:dyDescent="0.25">
      <c r="A146" s="8" t="s">
        <v>79</v>
      </c>
      <c r="B146" s="9" t="s">
        <v>21</v>
      </c>
      <c r="C146" s="11">
        <f t="shared" si="3"/>
        <v>0</v>
      </c>
    </row>
    <row r="147" spans="1:8" s="1" customFormat="1" x14ac:dyDescent="0.25">
      <c r="A147" s="8" t="s">
        <v>80</v>
      </c>
      <c r="B147" s="9" t="s">
        <v>21</v>
      </c>
      <c r="C147" s="11">
        <f t="shared" si="3"/>
        <v>0</v>
      </c>
    </row>
    <row r="148" spans="1:8" s="1" customFormat="1" x14ac:dyDescent="0.25">
      <c r="A148" s="8" t="s">
        <v>81</v>
      </c>
      <c r="B148" s="9" t="s">
        <v>21</v>
      </c>
      <c r="C148" s="11">
        <f t="shared" si="3"/>
        <v>5.1391349162190118E-2</v>
      </c>
    </row>
    <row r="149" spans="1:8" s="1" customFormat="1" x14ac:dyDescent="0.25">
      <c r="A149" s="8" t="s">
        <v>82</v>
      </c>
      <c r="B149" s="9" t="s">
        <v>21</v>
      </c>
      <c r="C149" s="11">
        <f t="shared" si="3"/>
        <v>1.989561024824802E-5</v>
      </c>
    </row>
    <row r="150" spans="1:8" s="1" customFormat="1" x14ac:dyDescent="0.25">
      <c r="A150" s="8" t="s">
        <v>103</v>
      </c>
      <c r="B150" s="9" t="s">
        <v>22</v>
      </c>
      <c r="C150" s="11">
        <f>IF(C134="","",SUM(C134:C149))</f>
        <v>14.721108495178665</v>
      </c>
    </row>
    <row r="151" spans="1:8" x14ac:dyDescent="0.25">
      <c r="A151" s="8" t="s">
        <v>95</v>
      </c>
      <c r="B151" s="13"/>
      <c r="C151" s="13"/>
      <c r="D151" s="1"/>
    </row>
    <row r="152" spans="1:8" x14ac:dyDescent="0.25">
      <c r="A152" s="22" t="s">
        <v>108</v>
      </c>
      <c r="B152" s="23"/>
      <c r="C152" s="24"/>
      <c r="D152" s="1"/>
    </row>
    <row r="153" spans="1:8" x14ac:dyDescent="0.25">
      <c r="A153" s="22" t="s">
        <v>109</v>
      </c>
      <c r="B153" s="23"/>
      <c r="C153" s="24"/>
      <c r="D153" s="1"/>
    </row>
    <row r="154" spans="1:8" s="1" customFormat="1" x14ac:dyDescent="0.25">
      <c r="A154" s="8" t="s">
        <v>67</v>
      </c>
      <c r="B154" s="9" t="s">
        <v>23</v>
      </c>
      <c r="C154" s="16">
        <f>11949.4444444444</f>
        <v>11949.4444444444</v>
      </c>
      <c r="H154" s="5"/>
    </row>
    <row r="155" spans="1:8" s="1" customFormat="1" x14ac:dyDescent="0.25">
      <c r="A155" s="8" t="s">
        <v>68</v>
      </c>
      <c r="B155" s="9" t="s">
        <v>23</v>
      </c>
      <c r="C155" s="16">
        <f>11348.3333333333</f>
        <v>11348.333333333299</v>
      </c>
      <c r="H155" s="5"/>
    </row>
    <row r="156" spans="1:8" s="1" customFormat="1" x14ac:dyDescent="0.25">
      <c r="A156" s="8" t="s">
        <v>69</v>
      </c>
      <c r="B156" s="9" t="s">
        <v>23</v>
      </c>
      <c r="C156" s="16">
        <f>11263.8888888889</f>
        <v>11263.8888888889</v>
      </c>
      <c r="H156" s="5"/>
    </row>
    <row r="157" spans="1:8" s="1" customFormat="1" x14ac:dyDescent="0.25">
      <c r="A157" s="8" t="s">
        <v>70</v>
      </c>
      <c r="B157" s="9" t="s">
        <v>23</v>
      </c>
      <c r="C157" s="16">
        <f>11066.6666666667</f>
        <v>11066.666666666701</v>
      </c>
      <c r="H157" s="5"/>
    </row>
    <row r="158" spans="1:8" s="1" customFormat="1" x14ac:dyDescent="0.25">
      <c r="A158" s="8" t="s">
        <v>71</v>
      </c>
      <c r="B158" s="9" t="s">
        <v>23</v>
      </c>
      <c r="C158" s="16">
        <f>10930.5555555556</f>
        <v>10930.5555555556</v>
      </c>
      <c r="H158" s="5"/>
    </row>
    <row r="159" spans="1:8" s="1" customFormat="1" x14ac:dyDescent="0.25">
      <c r="A159" s="8" t="s">
        <v>72</v>
      </c>
      <c r="B159" s="9" t="s">
        <v>23</v>
      </c>
      <c r="C159" s="16">
        <f>10885.5555555556</f>
        <v>10885.5555555556</v>
      </c>
      <c r="H159" s="5"/>
    </row>
    <row r="160" spans="1:8" s="1" customFormat="1" x14ac:dyDescent="0.25">
      <c r="A160" s="8" t="s">
        <v>73</v>
      </c>
      <c r="B160" s="9" t="s">
        <v>23</v>
      </c>
      <c r="C160" s="16">
        <f>10920</f>
        <v>10920</v>
      </c>
      <c r="H160" s="5"/>
    </row>
    <row r="161" spans="1:8" s="1" customFormat="1" x14ac:dyDescent="0.25">
      <c r="A161" s="8" t="s">
        <v>74</v>
      </c>
      <c r="B161" s="9" t="s">
        <v>23</v>
      </c>
      <c r="C161" s="16">
        <f>10816.111111</f>
        <v>10816.111111</v>
      </c>
      <c r="H161" s="5"/>
    </row>
    <row r="162" spans="1:8" s="1" customFormat="1" x14ac:dyDescent="0.25">
      <c r="A162" s="8" t="s">
        <v>75</v>
      </c>
      <c r="B162" s="9" t="s">
        <v>23</v>
      </c>
      <c r="C162" s="16">
        <f>10742.2222222222</f>
        <v>10742.222222222201</v>
      </c>
      <c r="H162" s="5"/>
    </row>
    <row r="163" spans="1:8" s="1" customFormat="1" x14ac:dyDescent="0.25">
      <c r="A163" s="8" t="s">
        <v>76</v>
      </c>
      <c r="B163" s="9" t="s">
        <v>23</v>
      </c>
      <c r="C163" s="16">
        <f>10685</f>
        <v>10685</v>
      </c>
      <c r="H163" s="5"/>
    </row>
    <row r="164" spans="1:8" s="1" customFormat="1" x14ac:dyDescent="0.25">
      <c r="A164" s="8" t="s">
        <v>77</v>
      </c>
      <c r="B164" s="9" t="s">
        <v>23</v>
      </c>
      <c r="C164" s="16">
        <f>0</f>
        <v>0</v>
      </c>
      <c r="H164" s="5"/>
    </row>
    <row r="165" spans="1:8" s="1" customFormat="1" x14ac:dyDescent="0.25">
      <c r="A165" s="8" t="s">
        <v>78</v>
      </c>
      <c r="B165" s="9" t="s">
        <v>23</v>
      </c>
      <c r="C165" s="16">
        <f>28651.6666666667</f>
        <v>28651.666666666701</v>
      </c>
      <c r="H165" s="5"/>
    </row>
    <row r="166" spans="1:8" s="1" customFormat="1" x14ac:dyDescent="0.25">
      <c r="A166" s="8" t="s">
        <v>79</v>
      </c>
      <c r="B166" s="9" t="s">
        <v>23</v>
      </c>
      <c r="C166" s="16">
        <f>0</f>
        <v>0</v>
      </c>
      <c r="H166" s="5"/>
    </row>
    <row r="167" spans="1:8" s="1" customFormat="1" x14ac:dyDescent="0.25">
      <c r="A167" s="8" t="s">
        <v>80</v>
      </c>
      <c r="B167" s="9" t="s">
        <v>23</v>
      </c>
      <c r="C167" s="16">
        <f>2413.333333</f>
        <v>2413.333333</v>
      </c>
      <c r="H167" s="5"/>
    </row>
    <row r="168" spans="1:8" s="1" customFormat="1" x14ac:dyDescent="0.25">
      <c r="A168" s="8" t="s">
        <v>81</v>
      </c>
      <c r="B168" s="9" t="s">
        <v>23</v>
      </c>
      <c r="C168" s="16">
        <f>0</f>
        <v>0</v>
      </c>
      <c r="H168" s="5"/>
    </row>
    <row r="169" spans="1:8" s="1" customFormat="1" x14ac:dyDescent="0.25">
      <c r="A169" s="8" t="s">
        <v>82</v>
      </c>
      <c r="B169" s="9" t="s">
        <v>23</v>
      </c>
      <c r="C169" s="16">
        <f>3630</f>
        <v>3630</v>
      </c>
      <c r="H169" s="5"/>
    </row>
    <row r="170" spans="1:8" x14ac:dyDescent="0.25">
      <c r="A170" s="8" t="s">
        <v>95</v>
      </c>
      <c r="B170" s="13"/>
      <c r="C170" s="13"/>
      <c r="D170" s="1"/>
    </row>
    <row r="171" spans="1:8" x14ac:dyDescent="0.25">
      <c r="A171" s="22" t="s">
        <v>110</v>
      </c>
      <c r="B171" s="23"/>
      <c r="C171" s="24"/>
      <c r="D171" s="1"/>
    </row>
    <row r="172" spans="1:8" s="1" customFormat="1" x14ac:dyDescent="0.25">
      <c r="A172" s="22" t="s">
        <v>111</v>
      </c>
      <c r="B172" s="23"/>
      <c r="C172" s="24"/>
    </row>
    <row r="173" spans="1:8" s="1" customFormat="1" x14ac:dyDescent="0.25">
      <c r="A173" s="8" t="s">
        <v>67</v>
      </c>
      <c r="B173" s="9" t="s">
        <v>24</v>
      </c>
      <c r="C173" s="16">
        <f>IF(C134="","",C134*C154)</f>
        <v>64168.878382832605</v>
      </c>
    </row>
    <row r="174" spans="1:8" s="1" customFormat="1" x14ac:dyDescent="0.25">
      <c r="A174" s="8" t="s">
        <v>68</v>
      </c>
      <c r="B174" s="9" t="s">
        <v>24</v>
      </c>
      <c r="C174" s="16">
        <f t="shared" ref="C174:C188" si="4">IF(C135="","",C135*C155)</f>
        <v>30029.947616680121</v>
      </c>
    </row>
    <row r="175" spans="1:8" s="1" customFormat="1" x14ac:dyDescent="0.25">
      <c r="A175" s="8" t="s">
        <v>69</v>
      </c>
      <c r="B175" s="9" t="s">
        <v>24</v>
      </c>
      <c r="C175" s="16">
        <f t="shared" si="4"/>
        <v>0</v>
      </c>
    </row>
    <row r="176" spans="1:8" s="1" customFormat="1" x14ac:dyDescent="0.25">
      <c r="A176" s="8" t="s">
        <v>70</v>
      </c>
      <c r="B176" s="9" t="s">
        <v>24</v>
      </c>
      <c r="C176" s="16">
        <f t="shared" si="4"/>
        <v>29009.573076798672</v>
      </c>
    </row>
    <row r="177" spans="1:4" s="1" customFormat="1" x14ac:dyDescent="0.25">
      <c r="A177" s="8" t="s">
        <v>71</v>
      </c>
      <c r="B177" s="9" t="s">
        <v>24</v>
      </c>
      <c r="C177" s="16">
        <f t="shared" si="4"/>
        <v>0</v>
      </c>
    </row>
    <row r="178" spans="1:4" s="1" customFormat="1" x14ac:dyDescent="0.25">
      <c r="A178" s="8" t="s">
        <v>72</v>
      </c>
      <c r="B178" s="9" t="s">
        <v>24</v>
      </c>
      <c r="C178" s="16">
        <f t="shared" si="4"/>
        <v>15432.768194839335</v>
      </c>
    </row>
    <row r="179" spans="1:4" s="1" customFormat="1" x14ac:dyDescent="0.25">
      <c r="A179" s="8" t="s">
        <v>73</v>
      </c>
      <c r="B179" s="9" t="s">
        <v>24</v>
      </c>
      <c r="C179" s="16">
        <f t="shared" si="4"/>
        <v>14452.150649246416</v>
      </c>
    </row>
    <row r="180" spans="1:4" s="1" customFormat="1" x14ac:dyDescent="0.25">
      <c r="A180" s="8" t="s">
        <v>74</v>
      </c>
      <c r="B180" s="9" t="s">
        <v>24</v>
      </c>
      <c r="C180" s="16">
        <f t="shared" si="4"/>
        <v>0</v>
      </c>
    </row>
    <row r="181" spans="1:4" s="1" customFormat="1" x14ac:dyDescent="0.25">
      <c r="A181" s="8" t="s">
        <v>75</v>
      </c>
      <c r="B181" s="9" t="s">
        <v>24</v>
      </c>
      <c r="C181" s="16">
        <f t="shared" si="4"/>
        <v>3806.285028093982</v>
      </c>
    </row>
    <row r="182" spans="1:4" s="1" customFormat="1" x14ac:dyDescent="0.25">
      <c r="A182" s="8" t="s">
        <v>76</v>
      </c>
      <c r="B182" s="9" t="s">
        <v>24</v>
      </c>
      <c r="C182" s="16">
        <f t="shared" si="4"/>
        <v>0</v>
      </c>
    </row>
    <row r="183" spans="1:4" s="1" customFormat="1" x14ac:dyDescent="0.25">
      <c r="A183" s="8" t="s">
        <v>77</v>
      </c>
      <c r="B183" s="9" t="s">
        <v>24</v>
      </c>
      <c r="C183" s="16">
        <f t="shared" si="4"/>
        <v>0</v>
      </c>
    </row>
    <row r="184" spans="1:4" s="1" customFormat="1" x14ac:dyDescent="0.25">
      <c r="A184" s="8" t="s">
        <v>78</v>
      </c>
      <c r="B184" s="9" t="s">
        <v>24</v>
      </c>
      <c r="C184" s="16">
        <f t="shared" si="4"/>
        <v>26835.312382119711</v>
      </c>
    </row>
    <row r="185" spans="1:4" s="1" customFormat="1" x14ac:dyDescent="0.25">
      <c r="A185" s="8" t="s">
        <v>79</v>
      </c>
      <c r="B185" s="9" t="s">
        <v>24</v>
      </c>
      <c r="C185" s="16">
        <f t="shared" si="4"/>
        <v>0</v>
      </c>
    </row>
    <row r="186" spans="1:4" s="1" customFormat="1" x14ac:dyDescent="0.25">
      <c r="A186" s="8" t="s">
        <v>80</v>
      </c>
      <c r="B186" s="9" t="s">
        <v>24</v>
      </c>
      <c r="C186" s="16">
        <f t="shared" si="4"/>
        <v>0</v>
      </c>
    </row>
    <row r="187" spans="1:4" s="1" customFormat="1" x14ac:dyDescent="0.25">
      <c r="A187" s="8" t="s">
        <v>81</v>
      </c>
      <c r="B187" s="9" t="s">
        <v>24</v>
      </c>
      <c r="C187" s="16">
        <f t="shared" si="4"/>
        <v>0</v>
      </c>
    </row>
    <row r="188" spans="1:4" s="1" customFormat="1" x14ac:dyDescent="0.25">
      <c r="A188" s="8" t="s">
        <v>82</v>
      </c>
      <c r="B188" s="9" t="s">
        <v>24</v>
      </c>
      <c r="C188" s="16">
        <f t="shared" si="4"/>
        <v>7.2221065201140314E-2</v>
      </c>
    </row>
    <row r="189" spans="1:4" s="1" customFormat="1" x14ac:dyDescent="0.25">
      <c r="A189" s="22" t="s">
        <v>103</v>
      </c>
      <c r="B189" s="23" t="s">
        <v>24</v>
      </c>
      <c r="C189" s="25">
        <f>IF(C173="","",SUM(C173:C188))</f>
        <v>183734.98755167605</v>
      </c>
    </row>
    <row r="190" spans="1:4" s="1" customFormat="1" x14ac:dyDescent="0.25">
      <c r="A190" s="22" t="s">
        <v>112</v>
      </c>
      <c r="B190" s="23" t="s">
        <v>23</v>
      </c>
      <c r="C190" s="25">
        <f>IF(C189="","",C189/C150)</f>
        <v>12481.056546241161</v>
      </c>
    </row>
    <row r="191" spans="1:4" x14ac:dyDescent="0.25">
      <c r="A191" s="8" t="s">
        <v>95</v>
      </c>
      <c r="B191" s="13"/>
      <c r="C191" s="13"/>
      <c r="D191" s="1"/>
    </row>
    <row r="192" spans="1:4" s="1" customFormat="1" x14ac:dyDescent="0.25">
      <c r="A192" s="22" t="s">
        <v>113</v>
      </c>
      <c r="B192" s="23"/>
      <c r="C192" s="24"/>
    </row>
    <row r="193" spans="1:7" s="1" customFormat="1" x14ac:dyDescent="0.25">
      <c r="A193" s="22" t="s">
        <v>114</v>
      </c>
      <c r="B193" s="23"/>
      <c r="C193" s="24"/>
    </row>
    <row r="194" spans="1:7" s="1" customFormat="1" x14ac:dyDescent="0.25">
      <c r="A194" s="8" t="s">
        <v>67</v>
      </c>
      <c r="B194" s="9" t="s">
        <v>25</v>
      </c>
      <c r="C194" s="11">
        <f>17.24</f>
        <v>17.239999999999998</v>
      </c>
      <c r="G194" s="6"/>
    </row>
    <row r="195" spans="1:7" s="1" customFormat="1" x14ac:dyDescent="0.25">
      <c r="A195" s="8" t="s">
        <v>68</v>
      </c>
      <c r="B195" s="9" t="s">
        <v>25</v>
      </c>
      <c r="C195" s="11">
        <f>16.09</f>
        <v>16.09</v>
      </c>
      <c r="G195" s="6"/>
    </row>
    <row r="196" spans="1:7" s="1" customFormat="1" x14ac:dyDescent="0.25">
      <c r="A196" s="8" t="s">
        <v>69</v>
      </c>
      <c r="B196" s="9" t="s">
        <v>25</v>
      </c>
      <c r="C196" s="11">
        <f>14.79</f>
        <v>14.79</v>
      </c>
      <c r="G196" s="6"/>
    </row>
    <row r="197" spans="1:7" s="1" customFormat="1" x14ac:dyDescent="0.25">
      <c r="A197" s="8" t="s">
        <v>70</v>
      </c>
      <c r="B197" s="9" t="s">
        <v>25</v>
      </c>
      <c r="C197" s="11">
        <f>15.68</f>
        <v>15.68</v>
      </c>
      <c r="G197" s="6"/>
    </row>
    <row r="198" spans="1:7" s="1" customFormat="1" x14ac:dyDescent="0.25">
      <c r="A198" s="8" t="s">
        <v>71</v>
      </c>
      <c r="B198" s="9" t="s">
        <v>25</v>
      </c>
      <c r="C198" s="11">
        <f>14.79</f>
        <v>14.79</v>
      </c>
      <c r="G198" s="6"/>
    </row>
    <row r="199" spans="1:7" s="1" customFormat="1" x14ac:dyDescent="0.25">
      <c r="A199" s="8" t="s">
        <v>72</v>
      </c>
      <c r="B199" s="9" t="s">
        <v>25</v>
      </c>
      <c r="C199" s="11">
        <f>15.46</f>
        <v>15.46</v>
      </c>
      <c r="G199" s="6"/>
    </row>
    <row r="200" spans="1:7" s="1" customFormat="1" x14ac:dyDescent="0.25">
      <c r="A200" s="8" t="s">
        <v>73</v>
      </c>
      <c r="B200" s="9" t="s">
        <v>25</v>
      </c>
      <c r="C200" s="11">
        <f>15.46</f>
        <v>15.46</v>
      </c>
      <c r="G200" s="6"/>
    </row>
    <row r="201" spans="1:7" s="1" customFormat="1" x14ac:dyDescent="0.25">
      <c r="A201" s="8" t="s">
        <v>74</v>
      </c>
      <c r="B201" s="9" t="s">
        <v>25</v>
      </c>
      <c r="C201" s="11">
        <f>14.79</f>
        <v>14.79</v>
      </c>
      <c r="G201" s="6"/>
    </row>
    <row r="202" spans="1:7" s="1" customFormat="1" x14ac:dyDescent="0.25">
      <c r="A202" s="8" t="s">
        <v>75</v>
      </c>
      <c r="B202" s="9" t="s">
        <v>25</v>
      </c>
      <c r="C202" s="11">
        <f>15.33</f>
        <v>15.33</v>
      </c>
      <c r="G202" s="6"/>
    </row>
    <row r="203" spans="1:7" s="1" customFormat="1" x14ac:dyDescent="0.25">
      <c r="A203" s="8" t="s">
        <v>76</v>
      </c>
      <c r="B203" s="9" t="s">
        <v>25</v>
      </c>
      <c r="C203" s="11">
        <f>15.24</f>
        <v>15.24</v>
      </c>
      <c r="G203" s="6"/>
    </row>
    <row r="204" spans="1:7" s="1" customFormat="1" x14ac:dyDescent="0.25">
      <c r="A204" s="8" t="s">
        <v>77</v>
      </c>
      <c r="B204" s="9" t="s">
        <v>25</v>
      </c>
      <c r="C204" s="11">
        <f>0</f>
        <v>0</v>
      </c>
      <c r="G204" s="6"/>
    </row>
    <row r="205" spans="1:7" s="1" customFormat="1" x14ac:dyDescent="0.25">
      <c r="A205" s="8" t="s">
        <v>78</v>
      </c>
      <c r="B205" s="9" t="s">
        <v>25</v>
      </c>
      <c r="C205" s="11">
        <f>34.29</f>
        <v>34.29</v>
      </c>
      <c r="G205" s="6"/>
    </row>
    <row r="206" spans="1:7" s="1" customFormat="1" x14ac:dyDescent="0.25">
      <c r="A206" s="8" t="s">
        <v>79</v>
      </c>
      <c r="B206" s="9" t="s">
        <v>25</v>
      </c>
      <c r="C206" s="11">
        <f>-4.32</f>
        <v>-4.32</v>
      </c>
      <c r="G206" s="6"/>
    </row>
    <row r="207" spans="1:7" s="1" customFormat="1" x14ac:dyDescent="0.25">
      <c r="A207" s="8" t="s">
        <v>80</v>
      </c>
      <c r="B207" s="9" t="s">
        <v>25</v>
      </c>
      <c r="C207" s="11">
        <f>2.47</f>
        <v>2.4700000000000002</v>
      </c>
      <c r="G207" s="6"/>
    </row>
    <row r="208" spans="1:7" s="1" customFormat="1" x14ac:dyDescent="0.25">
      <c r="A208" s="8" t="s">
        <v>81</v>
      </c>
      <c r="B208" s="9" t="s">
        <v>25</v>
      </c>
      <c r="C208" s="11">
        <f>0</f>
        <v>0</v>
      </c>
      <c r="G208" s="6"/>
    </row>
    <row r="209" spans="1:7" s="1" customFormat="1" x14ac:dyDescent="0.25">
      <c r="A209" s="8" t="s">
        <v>82</v>
      </c>
      <c r="B209" s="9" t="s">
        <v>25</v>
      </c>
      <c r="C209" s="11">
        <f>6.08</f>
        <v>6.08</v>
      </c>
      <c r="G209" s="6"/>
    </row>
    <row r="210" spans="1:7" s="1" customFormat="1" x14ac:dyDescent="0.25">
      <c r="A210" s="8" t="s">
        <v>95</v>
      </c>
      <c r="B210" s="9"/>
      <c r="C210" s="9"/>
    </row>
    <row r="211" spans="1:7" s="1" customFormat="1" x14ac:dyDescent="0.25">
      <c r="A211" s="22" t="s">
        <v>115</v>
      </c>
      <c r="B211" s="23"/>
      <c r="C211" s="24"/>
    </row>
    <row r="212" spans="1:7" s="1" customFormat="1" x14ac:dyDescent="0.25">
      <c r="A212" s="22" t="s">
        <v>116</v>
      </c>
      <c r="B212" s="23"/>
      <c r="C212" s="24"/>
    </row>
    <row r="213" spans="1:7" s="1" customFormat="1" x14ac:dyDescent="0.25">
      <c r="A213" s="8" t="s">
        <v>67</v>
      </c>
      <c r="B213" s="9" t="s">
        <v>26</v>
      </c>
      <c r="C213" s="11">
        <f t="shared" ref="C213:C221" si="5">IF(C134="","",C134*C194)</f>
        <v>92.579321864153073</v>
      </c>
    </row>
    <row r="214" spans="1:7" s="1" customFormat="1" x14ac:dyDescent="0.25">
      <c r="A214" s="8" t="s">
        <v>68</v>
      </c>
      <c r="B214" s="9" t="s">
        <v>26</v>
      </c>
      <c r="C214" s="11">
        <f t="shared" si="5"/>
        <v>42.577340915175611</v>
      </c>
    </row>
    <row r="215" spans="1:7" s="1" customFormat="1" x14ac:dyDescent="0.25">
      <c r="A215" s="8" t="s">
        <v>69</v>
      </c>
      <c r="B215" s="9" t="s">
        <v>26</v>
      </c>
      <c r="C215" s="11">
        <f t="shared" si="5"/>
        <v>0</v>
      </c>
    </row>
    <row r="216" spans="1:7" s="1" customFormat="1" x14ac:dyDescent="0.25">
      <c r="A216" s="8" t="s">
        <v>70</v>
      </c>
      <c r="B216" s="9" t="s">
        <v>26</v>
      </c>
      <c r="C216" s="11">
        <f t="shared" si="5"/>
        <v>41.102720407608594</v>
      </c>
    </row>
    <row r="217" spans="1:7" s="1" customFormat="1" x14ac:dyDescent="0.25">
      <c r="A217" s="8" t="s">
        <v>71</v>
      </c>
      <c r="B217" s="9" t="s">
        <v>26</v>
      </c>
      <c r="C217" s="11">
        <f t="shared" si="5"/>
        <v>0</v>
      </c>
    </row>
    <row r="218" spans="1:7" s="1" customFormat="1" x14ac:dyDescent="0.25">
      <c r="A218" s="8" t="s">
        <v>72</v>
      </c>
      <c r="B218" s="9" t="s">
        <v>26</v>
      </c>
      <c r="C218" s="11">
        <f t="shared" si="5"/>
        <v>21.918090911809088</v>
      </c>
    </row>
    <row r="219" spans="1:7" s="1" customFormat="1" x14ac:dyDescent="0.25">
      <c r="A219" s="8" t="s">
        <v>73</v>
      </c>
      <c r="B219" s="9" t="s">
        <v>26</v>
      </c>
      <c r="C219" s="11">
        <f t="shared" si="5"/>
        <v>20.460645516240806</v>
      </c>
    </row>
    <row r="220" spans="1:7" s="1" customFormat="1" x14ac:dyDescent="0.25">
      <c r="A220" s="8" t="s">
        <v>74</v>
      </c>
      <c r="B220" s="9" t="s">
        <v>26</v>
      </c>
      <c r="C220" s="11">
        <f t="shared" si="5"/>
        <v>0</v>
      </c>
    </row>
    <row r="221" spans="1:7" s="1" customFormat="1" x14ac:dyDescent="0.25">
      <c r="A221" s="8" t="s">
        <v>75</v>
      </c>
      <c r="B221" s="9" t="s">
        <v>26</v>
      </c>
      <c r="C221" s="11">
        <f t="shared" si="5"/>
        <v>5.4318695213707873</v>
      </c>
    </row>
    <row r="222" spans="1:7" s="1" customFormat="1" x14ac:dyDescent="0.25">
      <c r="A222" s="8" t="s">
        <v>76</v>
      </c>
      <c r="B222" s="9" t="s">
        <v>26</v>
      </c>
      <c r="C222" s="11">
        <f t="shared" ref="C222:C228" si="6">IF(C143="","",C143*C203)</f>
        <v>0</v>
      </c>
    </row>
    <row r="223" spans="1:7" s="1" customFormat="1" x14ac:dyDescent="0.25">
      <c r="A223" s="8" t="s">
        <v>77</v>
      </c>
      <c r="B223" s="9" t="s">
        <v>26</v>
      </c>
      <c r="C223" s="11">
        <f t="shared" si="6"/>
        <v>0</v>
      </c>
    </row>
    <row r="224" spans="1:7" s="1" customFormat="1" x14ac:dyDescent="0.25">
      <c r="A224" s="8" t="s">
        <v>78</v>
      </c>
      <c r="B224" s="9" t="s">
        <v>26</v>
      </c>
      <c r="C224" s="11">
        <f t="shared" si="6"/>
        <v>32.11620714034845</v>
      </c>
    </row>
    <row r="225" spans="1:7" s="1" customFormat="1" x14ac:dyDescent="0.25">
      <c r="A225" s="8" t="s">
        <v>79</v>
      </c>
      <c r="B225" s="9" t="s">
        <v>26</v>
      </c>
      <c r="C225" s="11">
        <f t="shared" si="6"/>
        <v>0</v>
      </c>
    </row>
    <row r="226" spans="1:7" s="1" customFormat="1" x14ac:dyDescent="0.25">
      <c r="A226" s="8" t="s">
        <v>80</v>
      </c>
      <c r="B226" s="9" t="s">
        <v>26</v>
      </c>
      <c r="C226" s="11">
        <f t="shared" si="6"/>
        <v>0</v>
      </c>
    </row>
    <row r="227" spans="1:7" s="1" customFormat="1" x14ac:dyDescent="0.25">
      <c r="A227" s="8" t="s">
        <v>81</v>
      </c>
      <c r="B227" s="9" t="s">
        <v>26</v>
      </c>
      <c r="C227" s="11">
        <f t="shared" si="6"/>
        <v>0</v>
      </c>
    </row>
    <row r="228" spans="1:7" s="1" customFormat="1" x14ac:dyDescent="0.25">
      <c r="A228" s="8" t="s">
        <v>82</v>
      </c>
      <c r="B228" s="9" t="s">
        <v>26</v>
      </c>
      <c r="C228" s="11">
        <f t="shared" si="6"/>
        <v>1.2096531030934796E-4</v>
      </c>
    </row>
    <row r="229" spans="1:7" s="1" customFormat="1" x14ac:dyDescent="0.25">
      <c r="A229" s="8" t="s">
        <v>103</v>
      </c>
      <c r="B229" s="9" t="s">
        <v>26</v>
      </c>
      <c r="C229" s="11">
        <f>IF(C213="","",SUM(C213:C228))</f>
        <v>256.18631724201674</v>
      </c>
    </row>
    <row r="230" spans="1:7" s="1" customFormat="1" x14ac:dyDescent="0.25">
      <c r="A230" s="8" t="s">
        <v>117</v>
      </c>
      <c r="B230" s="9" t="s">
        <v>27</v>
      </c>
      <c r="C230" s="11">
        <f>IF(C229="","",C229/C150)</f>
        <v>17.40265125591057</v>
      </c>
    </row>
    <row r="231" spans="1:7" s="1" customFormat="1" x14ac:dyDescent="0.25">
      <c r="A231" s="8" t="s">
        <v>95</v>
      </c>
      <c r="B231" s="9"/>
      <c r="C231" s="9"/>
    </row>
    <row r="232" spans="1:7" s="1" customFormat="1" x14ac:dyDescent="0.25">
      <c r="A232" s="22" t="s">
        <v>118</v>
      </c>
      <c r="B232" s="23"/>
      <c r="C232" s="24"/>
    </row>
    <row r="233" spans="1:7" s="1" customFormat="1" x14ac:dyDescent="0.25">
      <c r="A233" s="22" t="s">
        <v>119</v>
      </c>
      <c r="B233" s="23"/>
      <c r="C233" s="24"/>
    </row>
    <row r="234" spans="1:7" s="1" customFormat="1" x14ac:dyDescent="0.25">
      <c r="A234" s="8" t="s">
        <v>67</v>
      </c>
      <c r="B234" s="9" t="s">
        <v>28</v>
      </c>
      <c r="C234" s="11">
        <f>2.74</f>
        <v>2.74</v>
      </c>
      <c r="G234" s="6"/>
    </row>
    <row r="235" spans="1:7" s="1" customFormat="1" x14ac:dyDescent="0.25">
      <c r="A235" s="8" t="s">
        <v>68</v>
      </c>
      <c r="B235" s="9" t="s">
        <v>28</v>
      </c>
      <c r="C235" s="11">
        <f>2.93</f>
        <v>2.93</v>
      </c>
      <c r="G235" s="6"/>
    </row>
    <row r="236" spans="1:7" s="1" customFormat="1" x14ac:dyDescent="0.25">
      <c r="A236" s="8" t="s">
        <v>69</v>
      </c>
      <c r="B236" s="9" t="s">
        <v>28</v>
      </c>
      <c r="C236" s="11">
        <f>3.14</f>
        <v>3.14</v>
      </c>
      <c r="G236" s="6"/>
    </row>
    <row r="237" spans="1:7" s="1" customFormat="1" x14ac:dyDescent="0.25">
      <c r="A237" s="8" t="s">
        <v>70</v>
      </c>
      <c r="B237" s="9" t="s">
        <v>28</v>
      </c>
      <c r="C237" s="11">
        <f>2.99</f>
        <v>2.99</v>
      </c>
      <c r="G237" s="6"/>
    </row>
    <row r="238" spans="1:7" s="1" customFormat="1" x14ac:dyDescent="0.25">
      <c r="A238" s="8" t="s">
        <v>71</v>
      </c>
      <c r="B238" s="9" t="s">
        <v>28</v>
      </c>
      <c r="C238" s="11">
        <f>3.14</f>
        <v>3.14</v>
      </c>
      <c r="G238" s="6"/>
    </row>
    <row r="239" spans="1:7" s="1" customFormat="1" x14ac:dyDescent="0.25">
      <c r="A239" s="8" t="s">
        <v>72</v>
      </c>
      <c r="B239" s="9" t="s">
        <v>28</v>
      </c>
      <c r="C239" s="11">
        <f>3.03</f>
        <v>3.03</v>
      </c>
      <c r="G239" s="6"/>
    </row>
    <row r="240" spans="1:7" s="1" customFormat="1" x14ac:dyDescent="0.25">
      <c r="A240" s="8" t="s">
        <v>73</v>
      </c>
      <c r="B240" s="9" t="s">
        <v>28</v>
      </c>
      <c r="C240" s="11">
        <f>3.03</f>
        <v>3.03</v>
      </c>
      <c r="G240" s="6"/>
    </row>
    <row r="241" spans="1:7" s="1" customFormat="1" x14ac:dyDescent="0.25">
      <c r="A241" s="8" t="s">
        <v>74</v>
      </c>
      <c r="B241" s="9" t="s">
        <v>28</v>
      </c>
      <c r="C241" s="11">
        <f>3.14</f>
        <v>3.14</v>
      </c>
      <c r="G241" s="6"/>
    </row>
    <row r="242" spans="1:7" s="1" customFormat="1" x14ac:dyDescent="0.25">
      <c r="A242" s="8" t="s">
        <v>75</v>
      </c>
      <c r="B242" s="9" t="s">
        <v>28</v>
      </c>
      <c r="C242" s="11">
        <f>3.05</f>
        <v>3.05</v>
      </c>
      <c r="G242" s="6"/>
    </row>
    <row r="243" spans="1:7" s="1" customFormat="1" x14ac:dyDescent="0.25">
      <c r="A243" s="8" t="s">
        <v>76</v>
      </c>
      <c r="B243" s="9" t="s">
        <v>28</v>
      </c>
      <c r="C243" s="11">
        <f>3.06</f>
        <v>3.06</v>
      </c>
      <c r="G243" s="6"/>
    </row>
    <row r="244" spans="1:7" s="1" customFormat="1" x14ac:dyDescent="0.25">
      <c r="A244" s="8" t="s">
        <v>77</v>
      </c>
      <c r="B244" s="9" t="s">
        <v>28</v>
      </c>
      <c r="C244" s="11">
        <f>0</f>
        <v>0</v>
      </c>
      <c r="G244" s="6"/>
    </row>
    <row r="245" spans="1:7" s="1" customFormat="1" x14ac:dyDescent="0.25">
      <c r="A245" s="8" t="s">
        <v>78</v>
      </c>
      <c r="B245" s="9" t="s">
        <v>28</v>
      </c>
      <c r="C245" s="11">
        <f>0</f>
        <v>0</v>
      </c>
      <c r="G245" s="6"/>
    </row>
    <row r="246" spans="1:7" s="1" customFormat="1" x14ac:dyDescent="0.25">
      <c r="A246" s="8" t="s">
        <v>79</v>
      </c>
      <c r="B246" s="9" t="s">
        <v>28</v>
      </c>
      <c r="C246" s="11">
        <f>0</f>
        <v>0</v>
      </c>
      <c r="G246" s="6"/>
    </row>
    <row r="247" spans="1:7" s="1" customFormat="1" x14ac:dyDescent="0.25">
      <c r="A247" s="8" t="s">
        <v>80</v>
      </c>
      <c r="B247" s="9" t="s">
        <v>28</v>
      </c>
      <c r="C247" s="11">
        <f>1.57</f>
        <v>1.57</v>
      </c>
      <c r="G247" s="6"/>
    </row>
    <row r="248" spans="1:7" s="1" customFormat="1" x14ac:dyDescent="0.25">
      <c r="A248" s="8" t="s">
        <v>81</v>
      </c>
      <c r="B248" s="9" t="s">
        <v>28</v>
      </c>
      <c r="C248" s="11">
        <f>1</f>
        <v>1</v>
      </c>
      <c r="G248" s="6"/>
    </row>
    <row r="249" spans="1:7" s="1" customFormat="1" x14ac:dyDescent="0.25">
      <c r="A249" s="8" t="s">
        <v>82</v>
      </c>
      <c r="B249" s="9" t="s">
        <v>28</v>
      </c>
      <c r="C249" s="11">
        <f>1.88</f>
        <v>1.88</v>
      </c>
      <c r="G249" s="6"/>
    </row>
    <row r="250" spans="1:7" s="1" customFormat="1" x14ac:dyDescent="0.25">
      <c r="A250" s="8" t="s">
        <v>95</v>
      </c>
      <c r="B250" s="9"/>
      <c r="C250" s="9"/>
    </row>
    <row r="251" spans="1:7" s="1" customFormat="1" x14ac:dyDescent="0.25">
      <c r="A251" s="22" t="s">
        <v>120</v>
      </c>
      <c r="B251" s="23"/>
      <c r="C251" s="24"/>
    </row>
    <row r="252" spans="1:7" x14ac:dyDescent="0.25">
      <c r="A252" s="22" t="s">
        <v>121</v>
      </c>
      <c r="B252" s="23"/>
      <c r="C252" s="24"/>
      <c r="D252" s="1"/>
    </row>
    <row r="253" spans="1:7" x14ac:dyDescent="0.25">
      <c r="A253" s="8" t="s">
        <v>67</v>
      </c>
      <c r="B253" s="9" t="s">
        <v>29</v>
      </c>
      <c r="C253" s="11">
        <f>IF(C134="","",C134*C234)</f>
        <v>14.713882941286514</v>
      </c>
      <c r="D253" s="1"/>
    </row>
    <row r="254" spans="1:7" x14ac:dyDescent="0.25">
      <c r="A254" s="8" t="s">
        <v>68</v>
      </c>
      <c r="B254" s="9" t="s">
        <v>29</v>
      </c>
      <c r="C254" s="11">
        <f t="shared" ref="C254:C268" si="7">IF(C135="","",C135*C235)</f>
        <v>7.7533628888417994</v>
      </c>
      <c r="D254" s="1"/>
    </row>
    <row r="255" spans="1:7" x14ac:dyDescent="0.25">
      <c r="A255" s="8" t="s">
        <v>69</v>
      </c>
      <c r="B255" s="9" t="s">
        <v>29</v>
      </c>
      <c r="C255" s="11">
        <f t="shared" si="7"/>
        <v>0</v>
      </c>
      <c r="D255" s="1"/>
    </row>
    <row r="256" spans="1:7" x14ac:dyDescent="0.25">
      <c r="A256" s="8" t="s">
        <v>70</v>
      </c>
      <c r="B256" s="9" t="s">
        <v>29</v>
      </c>
      <c r="C256" s="11">
        <f t="shared" si="7"/>
        <v>7.8378274246651598</v>
      </c>
      <c r="D256" s="1"/>
    </row>
    <row r="257" spans="1:4" x14ac:dyDescent="0.25">
      <c r="A257" s="8" t="s">
        <v>71</v>
      </c>
      <c r="B257" s="9" t="s">
        <v>29</v>
      </c>
      <c r="C257" s="11">
        <f t="shared" si="7"/>
        <v>0</v>
      </c>
      <c r="D257" s="1"/>
    </row>
    <row r="258" spans="1:4" x14ac:dyDescent="0.25">
      <c r="A258" s="8" t="s">
        <v>72</v>
      </c>
      <c r="B258" s="9" t="s">
        <v>29</v>
      </c>
      <c r="C258" s="11">
        <f t="shared" si="7"/>
        <v>4.2957189820686628</v>
      </c>
      <c r="D258" s="1"/>
    </row>
    <row r="259" spans="1:4" x14ac:dyDescent="0.25">
      <c r="A259" s="8" t="s">
        <v>73</v>
      </c>
      <c r="B259" s="9" t="s">
        <v>29</v>
      </c>
      <c r="C259" s="11">
        <f t="shared" si="7"/>
        <v>4.0100747680601314</v>
      </c>
      <c r="D259" s="1"/>
    </row>
    <row r="260" spans="1:4" x14ac:dyDescent="0.25">
      <c r="A260" s="8" t="s">
        <v>74</v>
      </c>
      <c r="B260" s="9" t="s">
        <v>29</v>
      </c>
      <c r="C260" s="11">
        <f t="shared" si="7"/>
        <v>0</v>
      </c>
      <c r="D260" s="1"/>
    </row>
    <row r="261" spans="1:4" x14ac:dyDescent="0.25">
      <c r="A261" s="8" t="s">
        <v>75</v>
      </c>
      <c r="B261" s="9" t="s">
        <v>29</v>
      </c>
      <c r="C261" s="11">
        <f t="shared" si="7"/>
        <v>1.0807046340626811</v>
      </c>
      <c r="D261" s="1"/>
    </row>
    <row r="262" spans="1:4" x14ac:dyDescent="0.25">
      <c r="A262" s="8" t="s">
        <v>76</v>
      </c>
      <c r="B262" s="9" t="s">
        <v>29</v>
      </c>
      <c r="C262" s="11">
        <f t="shared" si="7"/>
        <v>0</v>
      </c>
      <c r="D262" s="1"/>
    </row>
    <row r="263" spans="1:4" x14ac:dyDescent="0.25">
      <c r="A263" s="8" t="s">
        <v>77</v>
      </c>
      <c r="B263" s="9" t="s">
        <v>29</v>
      </c>
      <c r="C263" s="11">
        <f t="shared" si="7"/>
        <v>0</v>
      </c>
      <c r="D263" s="1"/>
    </row>
    <row r="264" spans="1:4" x14ac:dyDescent="0.25">
      <c r="A264" s="8" t="s">
        <v>78</v>
      </c>
      <c r="B264" s="9" t="s">
        <v>29</v>
      </c>
      <c r="C264" s="11">
        <f t="shared" si="7"/>
        <v>0</v>
      </c>
      <c r="D264" s="1"/>
    </row>
    <row r="265" spans="1:4" x14ac:dyDescent="0.25">
      <c r="A265" s="8" t="s">
        <v>79</v>
      </c>
      <c r="B265" s="9" t="s">
        <v>29</v>
      </c>
      <c r="C265" s="11">
        <f t="shared" si="7"/>
        <v>0</v>
      </c>
      <c r="D265" s="1"/>
    </row>
    <row r="266" spans="1:4" x14ac:dyDescent="0.25">
      <c r="A266" s="8" t="s">
        <v>80</v>
      </c>
      <c r="B266" s="9" t="s">
        <v>29</v>
      </c>
      <c r="C266" s="11">
        <f t="shared" si="7"/>
        <v>0</v>
      </c>
      <c r="D266" s="1"/>
    </row>
    <row r="267" spans="1:4" x14ac:dyDescent="0.25">
      <c r="A267" s="8" t="s">
        <v>81</v>
      </c>
      <c r="B267" s="9" t="s">
        <v>29</v>
      </c>
      <c r="C267" s="11">
        <f t="shared" si="7"/>
        <v>5.1391349162190118E-2</v>
      </c>
      <c r="D267" s="1"/>
    </row>
    <row r="268" spans="1:4" x14ac:dyDescent="0.25">
      <c r="A268" s="8" t="s">
        <v>82</v>
      </c>
      <c r="B268" s="9" t="s">
        <v>29</v>
      </c>
      <c r="C268" s="11">
        <f t="shared" si="7"/>
        <v>3.7403747266706278E-5</v>
      </c>
      <c r="D268" s="1"/>
    </row>
    <row r="269" spans="1:4" x14ac:dyDescent="0.25">
      <c r="A269" s="8" t="s">
        <v>103</v>
      </c>
      <c r="B269" s="9" t="s">
        <v>29</v>
      </c>
      <c r="C269" s="11">
        <f>IF(C253="","",SUM(C253:C268))</f>
        <v>39.743000391894398</v>
      </c>
      <c r="D269" s="1"/>
    </row>
    <row r="270" spans="1:4" x14ac:dyDescent="0.25">
      <c r="A270" s="8" t="s">
        <v>117</v>
      </c>
      <c r="B270" s="9" t="s">
        <v>30</v>
      </c>
      <c r="C270" s="11">
        <f>IF(C269="","",C269/C150)</f>
        <v>2.6997287877411336</v>
      </c>
      <c r="D270" s="1"/>
    </row>
    <row r="271" spans="1:4" x14ac:dyDescent="0.25">
      <c r="A271" s="8" t="s">
        <v>95</v>
      </c>
      <c r="B271" s="13"/>
      <c r="C271" s="9"/>
      <c r="D271" s="1"/>
    </row>
    <row r="272" spans="1:4" s="1" customFormat="1" x14ac:dyDescent="0.25">
      <c r="A272" s="22" t="s">
        <v>122</v>
      </c>
      <c r="B272" s="23"/>
      <c r="C272" s="24"/>
    </row>
    <row r="273" spans="1:7" s="1" customFormat="1" x14ac:dyDescent="0.25">
      <c r="A273" s="22" t="s">
        <v>123</v>
      </c>
      <c r="B273" s="23"/>
      <c r="C273" s="24"/>
    </row>
    <row r="274" spans="1:7" s="1" customFormat="1" x14ac:dyDescent="0.25">
      <c r="A274" s="8" t="s">
        <v>67</v>
      </c>
      <c r="B274" s="9" t="s">
        <v>31</v>
      </c>
      <c r="C274" s="11">
        <f>2.25</f>
        <v>2.25</v>
      </c>
      <c r="G274" s="6"/>
    </row>
    <row r="275" spans="1:7" s="1" customFormat="1" x14ac:dyDescent="0.25">
      <c r="A275" s="8" t="s">
        <v>68</v>
      </c>
      <c r="B275" s="9" t="s">
        <v>31</v>
      </c>
      <c r="C275" s="11">
        <f>1.8</f>
        <v>1.8</v>
      </c>
      <c r="G275" s="6"/>
    </row>
    <row r="276" spans="1:7" s="1" customFormat="1" x14ac:dyDescent="0.25">
      <c r="A276" s="8" t="s">
        <v>69</v>
      </c>
      <c r="B276" s="9" t="s">
        <v>31</v>
      </c>
      <c r="C276" s="11">
        <f>1.28</f>
        <v>1.28</v>
      </c>
      <c r="G276" s="6"/>
    </row>
    <row r="277" spans="1:7" s="1" customFormat="1" x14ac:dyDescent="0.25">
      <c r="A277" s="8" t="s">
        <v>70</v>
      </c>
      <c r="B277" s="9" t="s">
        <v>31</v>
      </c>
      <c r="C277" s="11">
        <f>1.63</f>
        <v>1.63</v>
      </c>
      <c r="G277" s="6"/>
    </row>
    <row r="278" spans="1:7" s="1" customFormat="1" x14ac:dyDescent="0.25">
      <c r="A278" s="8" t="s">
        <v>71</v>
      </c>
      <c r="B278" s="9" t="s">
        <v>31</v>
      </c>
      <c r="C278" s="11">
        <f>1.28</f>
        <v>1.28</v>
      </c>
      <c r="G278" s="6"/>
    </row>
    <row r="279" spans="1:7" s="1" customFormat="1" x14ac:dyDescent="0.25">
      <c r="A279" s="8" t="s">
        <v>72</v>
      </c>
      <c r="B279" s="9" t="s">
        <v>31</v>
      </c>
      <c r="C279" s="11">
        <f>1.55</f>
        <v>1.55</v>
      </c>
      <c r="G279" s="6"/>
    </row>
    <row r="280" spans="1:7" s="1" customFormat="1" x14ac:dyDescent="0.25">
      <c r="A280" s="8" t="s">
        <v>73</v>
      </c>
      <c r="B280" s="9" t="s">
        <v>31</v>
      </c>
      <c r="C280" s="11">
        <f>1.55</f>
        <v>1.55</v>
      </c>
      <c r="G280" s="6"/>
    </row>
    <row r="281" spans="1:7" s="1" customFormat="1" x14ac:dyDescent="0.25">
      <c r="A281" s="8" t="s">
        <v>74</v>
      </c>
      <c r="B281" s="9" t="s">
        <v>31</v>
      </c>
      <c r="C281" s="11">
        <f>1.28</f>
        <v>1.28</v>
      </c>
      <c r="G281" s="6"/>
    </row>
    <row r="282" spans="1:7" s="1" customFormat="1" x14ac:dyDescent="0.25">
      <c r="A282" s="8" t="s">
        <v>75</v>
      </c>
      <c r="B282" s="9" t="s">
        <v>31</v>
      </c>
      <c r="C282" s="11">
        <f>1.5</f>
        <v>1.5</v>
      </c>
      <c r="G282" s="6"/>
    </row>
    <row r="283" spans="1:7" s="1" customFormat="1" x14ac:dyDescent="0.25">
      <c r="A283" s="8" t="s">
        <v>76</v>
      </c>
      <c r="B283" s="9" t="s">
        <v>31</v>
      </c>
      <c r="C283" s="11">
        <f>1.46</f>
        <v>1.46</v>
      </c>
      <c r="G283" s="6"/>
    </row>
    <row r="284" spans="1:7" s="1" customFormat="1" x14ac:dyDescent="0.25">
      <c r="A284" s="8" t="s">
        <v>77</v>
      </c>
      <c r="B284" s="9" t="s">
        <v>31</v>
      </c>
      <c r="C284" s="11">
        <f>0</f>
        <v>0</v>
      </c>
      <c r="G284" s="6"/>
    </row>
    <row r="285" spans="1:7" s="1" customFormat="1" x14ac:dyDescent="0.25">
      <c r="A285" s="8" t="s">
        <v>78</v>
      </c>
      <c r="B285" s="9" t="s">
        <v>31</v>
      </c>
      <c r="C285" s="11">
        <f>8.94</f>
        <v>8.94</v>
      </c>
      <c r="G285" s="6"/>
    </row>
    <row r="286" spans="1:7" s="1" customFormat="1" x14ac:dyDescent="0.25">
      <c r="A286" s="8" t="s">
        <v>79</v>
      </c>
      <c r="B286" s="9" t="s">
        <v>31</v>
      </c>
      <c r="C286" s="11">
        <f>0</f>
        <v>0</v>
      </c>
      <c r="G286" s="6"/>
    </row>
    <row r="287" spans="1:7" s="1" customFormat="1" x14ac:dyDescent="0.25">
      <c r="A287" s="8" t="s">
        <v>80</v>
      </c>
      <c r="B287" s="9" t="s">
        <v>31</v>
      </c>
      <c r="C287" s="11">
        <f>0</f>
        <v>0</v>
      </c>
      <c r="G287" s="6"/>
    </row>
    <row r="288" spans="1:7" s="1" customFormat="1" x14ac:dyDescent="0.25">
      <c r="A288" s="8" t="s">
        <v>81</v>
      </c>
      <c r="B288" s="9" t="s">
        <v>31</v>
      </c>
      <c r="C288" s="11">
        <f>0</f>
        <v>0</v>
      </c>
      <c r="G288" s="6"/>
    </row>
    <row r="289" spans="1:7" s="1" customFormat="1" x14ac:dyDescent="0.25">
      <c r="A289" s="8" t="s">
        <v>82</v>
      </c>
      <c r="B289" s="9" t="s">
        <v>31</v>
      </c>
      <c r="C289" s="11">
        <f>0.53</f>
        <v>0.53</v>
      </c>
      <c r="G289" s="6"/>
    </row>
    <row r="290" spans="1:7" s="1" customFormat="1" x14ac:dyDescent="0.25">
      <c r="A290" s="8" t="s">
        <v>95</v>
      </c>
      <c r="B290" s="9"/>
      <c r="C290" s="9"/>
    </row>
    <row r="291" spans="1:7" s="1" customFormat="1" x14ac:dyDescent="0.25">
      <c r="A291" s="22" t="s">
        <v>124</v>
      </c>
      <c r="B291" s="23"/>
      <c r="C291" s="24"/>
    </row>
    <row r="292" spans="1:7" s="1" customFormat="1" x14ac:dyDescent="0.25">
      <c r="A292" s="22" t="s">
        <v>125</v>
      </c>
      <c r="B292" s="23"/>
      <c r="C292" s="24"/>
    </row>
    <row r="293" spans="1:7" s="1" customFormat="1" x14ac:dyDescent="0.25">
      <c r="A293" s="8" t="s">
        <v>67</v>
      </c>
      <c r="B293" s="9" t="s">
        <v>32</v>
      </c>
      <c r="C293" s="11">
        <f>IF(C134="","",C134*C274)</f>
        <v>12.082568108720675</v>
      </c>
    </row>
    <row r="294" spans="1:7" s="1" customFormat="1" x14ac:dyDescent="0.25">
      <c r="A294" s="8" t="s">
        <v>68</v>
      </c>
      <c r="B294" s="9" t="s">
        <v>32</v>
      </c>
      <c r="C294" s="11">
        <f t="shared" ref="C294:C308" si="8">IF(C135="","",C135*C275)</f>
        <v>4.7631580887082725</v>
      </c>
    </row>
    <row r="295" spans="1:7" s="1" customFormat="1" x14ac:dyDescent="0.25">
      <c r="A295" s="8" t="s">
        <v>69</v>
      </c>
      <c r="B295" s="9" t="s">
        <v>32</v>
      </c>
      <c r="C295" s="11">
        <f t="shared" si="8"/>
        <v>0</v>
      </c>
    </row>
    <row r="296" spans="1:7" s="1" customFormat="1" x14ac:dyDescent="0.25">
      <c r="A296" s="8" t="s">
        <v>70</v>
      </c>
      <c r="B296" s="9" t="s">
        <v>32</v>
      </c>
      <c r="C296" s="11">
        <f t="shared" si="8"/>
        <v>4.2727955525766586</v>
      </c>
    </row>
    <row r="297" spans="1:7" s="1" customFormat="1" x14ac:dyDescent="0.25">
      <c r="A297" s="8" t="s">
        <v>71</v>
      </c>
      <c r="B297" s="9" t="s">
        <v>32</v>
      </c>
      <c r="C297" s="11">
        <f t="shared" si="8"/>
        <v>0</v>
      </c>
    </row>
    <row r="298" spans="1:7" s="1" customFormat="1" x14ac:dyDescent="0.25">
      <c r="A298" s="8" t="s">
        <v>72</v>
      </c>
      <c r="B298" s="9" t="s">
        <v>32</v>
      </c>
      <c r="C298" s="11">
        <f t="shared" si="8"/>
        <v>2.1974800073288541</v>
      </c>
    </row>
    <row r="299" spans="1:7" s="1" customFormat="1" x14ac:dyDescent="0.25">
      <c r="A299" s="8" t="s">
        <v>73</v>
      </c>
      <c r="B299" s="9" t="s">
        <v>32</v>
      </c>
      <c r="C299" s="11">
        <f t="shared" si="8"/>
        <v>2.0513583797007273</v>
      </c>
    </row>
    <row r="300" spans="1:7" s="1" customFormat="1" x14ac:dyDescent="0.25">
      <c r="A300" s="8" t="s">
        <v>74</v>
      </c>
      <c r="B300" s="9" t="s">
        <v>32</v>
      </c>
      <c r="C300" s="11">
        <f t="shared" si="8"/>
        <v>0</v>
      </c>
    </row>
    <row r="301" spans="1:7" s="1" customFormat="1" x14ac:dyDescent="0.25">
      <c r="A301" s="8" t="s">
        <v>75</v>
      </c>
      <c r="B301" s="9" t="s">
        <v>32</v>
      </c>
      <c r="C301" s="11">
        <f t="shared" si="8"/>
        <v>0.53149408232590878</v>
      </c>
    </row>
    <row r="302" spans="1:7" s="1" customFormat="1" x14ac:dyDescent="0.25">
      <c r="A302" s="8" t="s">
        <v>76</v>
      </c>
      <c r="B302" s="9" t="s">
        <v>32</v>
      </c>
      <c r="C302" s="11">
        <f t="shared" si="8"/>
        <v>0</v>
      </c>
    </row>
    <row r="303" spans="1:7" s="1" customFormat="1" x14ac:dyDescent="0.25">
      <c r="A303" s="8" t="s">
        <v>77</v>
      </c>
      <c r="B303" s="9" t="s">
        <v>32</v>
      </c>
      <c r="C303" s="11">
        <f t="shared" si="8"/>
        <v>0</v>
      </c>
    </row>
    <row r="304" spans="1:7" s="1" customFormat="1" x14ac:dyDescent="0.25">
      <c r="A304" s="8" t="s">
        <v>78</v>
      </c>
      <c r="B304" s="9" t="s">
        <v>32</v>
      </c>
      <c r="C304" s="11">
        <f t="shared" si="8"/>
        <v>8.3732543550514773</v>
      </c>
    </row>
    <row r="305" spans="1:8" s="1" customFormat="1" x14ac:dyDescent="0.25">
      <c r="A305" s="8" t="s">
        <v>79</v>
      </c>
      <c r="B305" s="9" t="s">
        <v>32</v>
      </c>
      <c r="C305" s="11">
        <f t="shared" si="8"/>
        <v>0</v>
      </c>
    </row>
    <row r="306" spans="1:8" s="1" customFormat="1" x14ac:dyDescent="0.25">
      <c r="A306" s="8" t="s">
        <v>80</v>
      </c>
      <c r="B306" s="9" t="s">
        <v>32</v>
      </c>
      <c r="C306" s="11">
        <f t="shared" si="8"/>
        <v>0</v>
      </c>
    </row>
    <row r="307" spans="1:8" s="1" customFormat="1" x14ac:dyDescent="0.25">
      <c r="A307" s="8" t="s">
        <v>81</v>
      </c>
      <c r="B307" s="9" t="s">
        <v>32</v>
      </c>
      <c r="C307" s="11">
        <f t="shared" si="8"/>
        <v>0</v>
      </c>
    </row>
    <row r="308" spans="1:8" s="1" customFormat="1" x14ac:dyDescent="0.25">
      <c r="A308" s="8" t="s">
        <v>82</v>
      </c>
      <c r="B308" s="9" t="s">
        <v>32</v>
      </c>
      <c r="C308" s="11">
        <f t="shared" si="8"/>
        <v>1.0544673431571451E-5</v>
      </c>
    </row>
    <row r="309" spans="1:8" s="1" customFormat="1" x14ac:dyDescent="0.25">
      <c r="A309" s="8" t="s">
        <v>103</v>
      </c>
      <c r="B309" s="9" t="s">
        <v>32</v>
      </c>
      <c r="C309" s="11">
        <f>IF(C293="","",SUM(C293:C308))</f>
        <v>34.272119119086</v>
      </c>
    </row>
    <row r="310" spans="1:8" s="1" customFormat="1" x14ac:dyDescent="0.25">
      <c r="A310" s="8" t="s">
        <v>117</v>
      </c>
      <c r="B310" s="9" t="s">
        <v>33</v>
      </c>
      <c r="C310" s="11">
        <f>IF(C309="","",C309/C150)</f>
        <v>2.3280936439202602</v>
      </c>
    </row>
    <row r="311" spans="1:8" s="1" customFormat="1" x14ac:dyDescent="0.25">
      <c r="A311" s="8" t="s">
        <v>95</v>
      </c>
      <c r="B311" s="9"/>
      <c r="C311" s="9"/>
    </row>
    <row r="312" spans="1:8" s="1" customFormat="1" x14ac:dyDescent="0.25">
      <c r="A312" s="22" t="s">
        <v>126</v>
      </c>
      <c r="B312" s="23"/>
      <c r="C312" s="24"/>
    </row>
    <row r="313" spans="1:8" s="1" customFormat="1" x14ac:dyDescent="0.25">
      <c r="A313" s="22" t="s">
        <v>127</v>
      </c>
      <c r="B313" s="23"/>
      <c r="C313" s="24"/>
    </row>
    <row r="314" spans="1:8" s="1" customFormat="1" x14ac:dyDescent="0.25">
      <c r="A314" s="8" t="s">
        <v>67</v>
      </c>
      <c r="B314" s="9" t="s">
        <v>34</v>
      </c>
      <c r="C314" s="11">
        <f>13.25</f>
        <v>13.25</v>
      </c>
      <c r="H314" s="6"/>
    </row>
    <row r="315" spans="1:8" s="1" customFormat="1" x14ac:dyDescent="0.25">
      <c r="A315" s="8" t="s">
        <v>68</v>
      </c>
      <c r="B315" s="9" t="s">
        <v>34</v>
      </c>
      <c r="C315" s="11">
        <f>12.37</f>
        <v>12.37</v>
      </c>
      <c r="H315" s="6"/>
    </row>
    <row r="316" spans="1:8" s="1" customFormat="1" x14ac:dyDescent="0.25">
      <c r="A316" s="8" t="s">
        <v>69</v>
      </c>
      <c r="B316" s="9" t="s">
        <v>34</v>
      </c>
      <c r="C316" s="11">
        <f>11.36</f>
        <v>11.36</v>
      </c>
      <c r="H316" s="6"/>
    </row>
    <row r="317" spans="1:8" s="1" customFormat="1" x14ac:dyDescent="0.25">
      <c r="A317" s="8" t="s">
        <v>70</v>
      </c>
      <c r="B317" s="9" t="s">
        <v>34</v>
      </c>
      <c r="C317" s="11">
        <f>12.05</f>
        <v>12.05</v>
      </c>
      <c r="H317" s="6"/>
    </row>
    <row r="318" spans="1:8" s="1" customFormat="1" x14ac:dyDescent="0.25">
      <c r="A318" s="8" t="s">
        <v>71</v>
      </c>
      <c r="B318" s="9" t="s">
        <v>34</v>
      </c>
      <c r="C318" s="11">
        <f>11.36</f>
        <v>11.36</v>
      </c>
      <c r="H318" s="6"/>
    </row>
    <row r="319" spans="1:8" s="1" customFormat="1" x14ac:dyDescent="0.25">
      <c r="A319" s="8" t="s">
        <v>72</v>
      </c>
      <c r="B319" s="9" t="s">
        <v>34</v>
      </c>
      <c r="C319" s="11">
        <f>11.88</f>
        <v>11.88</v>
      </c>
      <c r="H319" s="6"/>
    </row>
    <row r="320" spans="1:8" s="1" customFormat="1" x14ac:dyDescent="0.25">
      <c r="A320" s="8" t="s">
        <v>73</v>
      </c>
      <c r="B320" s="9" t="s">
        <v>34</v>
      </c>
      <c r="C320" s="11">
        <f>11.88</f>
        <v>11.88</v>
      </c>
      <c r="H320" s="6"/>
    </row>
    <row r="321" spans="1:8" s="1" customFormat="1" x14ac:dyDescent="0.25">
      <c r="A321" s="8" t="s">
        <v>74</v>
      </c>
      <c r="B321" s="9" t="s">
        <v>34</v>
      </c>
      <c r="C321" s="11">
        <f>11.36</f>
        <v>11.36</v>
      </c>
      <c r="H321" s="6"/>
    </row>
    <row r="322" spans="1:8" s="1" customFormat="1" x14ac:dyDescent="0.25">
      <c r="A322" s="8" t="s">
        <v>75</v>
      </c>
      <c r="B322" s="9" t="s">
        <v>34</v>
      </c>
      <c r="C322" s="11">
        <f>11.78</f>
        <v>11.78</v>
      </c>
      <c r="H322" s="6"/>
    </row>
    <row r="323" spans="1:8" s="1" customFormat="1" x14ac:dyDescent="0.25">
      <c r="A323" s="8" t="s">
        <v>76</v>
      </c>
      <c r="B323" s="9" t="s">
        <v>34</v>
      </c>
      <c r="C323" s="11">
        <f>11.71</f>
        <v>11.71</v>
      </c>
      <c r="H323" s="6"/>
    </row>
    <row r="324" spans="1:8" s="1" customFormat="1" x14ac:dyDescent="0.25">
      <c r="A324" s="8" t="s">
        <v>77</v>
      </c>
      <c r="B324" s="9" t="s">
        <v>34</v>
      </c>
      <c r="C324" s="11">
        <f>1</f>
        <v>1</v>
      </c>
      <c r="H324" s="6"/>
    </row>
    <row r="325" spans="1:8" s="1" customFormat="1" x14ac:dyDescent="0.25">
      <c r="A325" s="8" t="s">
        <v>78</v>
      </c>
      <c r="B325" s="9" t="s">
        <v>34</v>
      </c>
      <c r="C325" s="11">
        <f>26.36</f>
        <v>26.36</v>
      </c>
      <c r="H325" s="6"/>
    </row>
    <row r="326" spans="1:8" s="1" customFormat="1" x14ac:dyDescent="0.25">
      <c r="A326" s="8" t="s">
        <v>79</v>
      </c>
      <c r="B326" s="9" t="s">
        <v>34</v>
      </c>
      <c r="C326" s="11">
        <f>-3.32</f>
        <v>-3.32</v>
      </c>
      <c r="H326" s="6"/>
    </row>
    <row r="327" spans="1:8" s="1" customFormat="1" x14ac:dyDescent="0.25">
      <c r="A327" s="8" t="s">
        <v>80</v>
      </c>
      <c r="B327" s="9" t="s">
        <v>34</v>
      </c>
      <c r="C327" s="11">
        <f>1.9</f>
        <v>1.9</v>
      </c>
      <c r="H327" s="6"/>
    </row>
    <row r="328" spans="1:8" s="1" customFormat="1" x14ac:dyDescent="0.25">
      <c r="A328" s="8" t="s">
        <v>81</v>
      </c>
      <c r="B328" s="9" t="s">
        <v>34</v>
      </c>
      <c r="C328" s="11">
        <f>0</f>
        <v>0</v>
      </c>
      <c r="H328" s="6"/>
    </row>
    <row r="329" spans="1:8" s="1" customFormat="1" x14ac:dyDescent="0.25">
      <c r="A329" s="8" t="s">
        <v>82</v>
      </c>
      <c r="B329" s="9" t="s">
        <v>34</v>
      </c>
      <c r="C329" s="11">
        <f>4.68</f>
        <v>4.68</v>
      </c>
      <c r="H329" s="6"/>
    </row>
    <row r="330" spans="1:8" s="1" customFormat="1" x14ac:dyDescent="0.25">
      <c r="A330" s="8" t="s">
        <v>95</v>
      </c>
      <c r="B330" s="9"/>
      <c r="C330" s="9"/>
    </row>
    <row r="331" spans="1:8" s="1" customFormat="1" x14ac:dyDescent="0.25">
      <c r="A331" s="22" t="s">
        <v>128</v>
      </c>
      <c r="B331" s="23"/>
      <c r="C331" s="24"/>
    </row>
    <row r="332" spans="1:8" s="1" customFormat="1" x14ac:dyDescent="0.25">
      <c r="A332" s="22" t="s">
        <v>129</v>
      </c>
      <c r="B332" s="23"/>
      <c r="C332" s="24"/>
    </row>
    <row r="333" spans="1:8" s="1" customFormat="1" x14ac:dyDescent="0.25">
      <c r="A333" s="8" t="s">
        <v>67</v>
      </c>
      <c r="B333" s="9" t="s">
        <v>35</v>
      </c>
      <c r="C333" s="11">
        <f>IF(C134="","",C134*C314)</f>
        <v>71.152901084688423</v>
      </c>
    </row>
    <row r="334" spans="1:8" s="1" customFormat="1" x14ac:dyDescent="0.25">
      <c r="A334" s="8" t="s">
        <v>68</v>
      </c>
      <c r="B334" s="9" t="s">
        <v>35</v>
      </c>
      <c r="C334" s="11">
        <f t="shared" ref="C334:C348" si="9">IF(C135="","",C135*C315)</f>
        <v>32.733480865178514</v>
      </c>
    </row>
    <row r="335" spans="1:8" s="1" customFormat="1" x14ac:dyDescent="0.25">
      <c r="A335" s="8" t="s">
        <v>69</v>
      </c>
      <c r="B335" s="9" t="s">
        <v>35</v>
      </c>
      <c r="C335" s="11">
        <f t="shared" si="9"/>
        <v>0</v>
      </c>
    </row>
    <row r="336" spans="1:8" s="1" customFormat="1" x14ac:dyDescent="0.25">
      <c r="A336" s="8" t="s">
        <v>70</v>
      </c>
      <c r="B336" s="9" t="s">
        <v>35</v>
      </c>
      <c r="C336" s="11">
        <f t="shared" si="9"/>
        <v>31.587230925490026</v>
      </c>
    </row>
    <row r="337" spans="1:4" s="1" customFormat="1" x14ac:dyDescent="0.25">
      <c r="A337" s="8" t="s">
        <v>71</v>
      </c>
      <c r="B337" s="9" t="s">
        <v>35</v>
      </c>
      <c r="C337" s="11">
        <f t="shared" si="9"/>
        <v>0</v>
      </c>
    </row>
    <row r="338" spans="1:4" s="1" customFormat="1" x14ac:dyDescent="0.25">
      <c r="A338" s="8" t="s">
        <v>72</v>
      </c>
      <c r="B338" s="9" t="s">
        <v>35</v>
      </c>
      <c r="C338" s="11">
        <f t="shared" si="9"/>
        <v>16.84262095939793</v>
      </c>
    </row>
    <row r="339" spans="1:4" s="1" customFormat="1" x14ac:dyDescent="0.25">
      <c r="A339" s="8" t="s">
        <v>73</v>
      </c>
      <c r="B339" s="9" t="s">
        <v>35</v>
      </c>
      <c r="C339" s="11">
        <f t="shared" si="9"/>
        <v>15.722669387641705</v>
      </c>
    </row>
    <row r="340" spans="1:4" s="1" customFormat="1" x14ac:dyDescent="0.25">
      <c r="A340" s="8" t="s">
        <v>74</v>
      </c>
      <c r="B340" s="9" t="s">
        <v>35</v>
      </c>
      <c r="C340" s="11">
        <f t="shared" si="9"/>
        <v>0</v>
      </c>
    </row>
    <row r="341" spans="1:4" s="1" customFormat="1" x14ac:dyDescent="0.25">
      <c r="A341" s="8" t="s">
        <v>75</v>
      </c>
      <c r="B341" s="9" t="s">
        <v>35</v>
      </c>
      <c r="C341" s="11">
        <f t="shared" si="9"/>
        <v>4.1740001931994701</v>
      </c>
    </row>
    <row r="342" spans="1:4" s="1" customFormat="1" x14ac:dyDescent="0.25">
      <c r="A342" s="8" t="s">
        <v>76</v>
      </c>
      <c r="B342" s="9" t="s">
        <v>35</v>
      </c>
      <c r="C342" s="11">
        <f t="shared" si="9"/>
        <v>0</v>
      </c>
    </row>
    <row r="343" spans="1:4" s="1" customFormat="1" x14ac:dyDescent="0.25">
      <c r="A343" s="8" t="s">
        <v>77</v>
      </c>
      <c r="B343" s="9" t="s">
        <v>35</v>
      </c>
      <c r="C343" s="11">
        <f t="shared" si="9"/>
        <v>0</v>
      </c>
    </row>
    <row r="344" spans="1:4" s="1" customFormat="1" x14ac:dyDescent="0.25">
      <c r="A344" s="8" t="s">
        <v>78</v>
      </c>
      <c r="B344" s="9" t="s">
        <v>35</v>
      </c>
      <c r="C344" s="11">
        <f t="shared" si="9"/>
        <v>24.688924474178631</v>
      </c>
    </row>
    <row r="345" spans="1:4" s="1" customFormat="1" x14ac:dyDescent="0.25">
      <c r="A345" s="8" t="s">
        <v>79</v>
      </c>
      <c r="B345" s="9" t="s">
        <v>35</v>
      </c>
      <c r="C345" s="11">
        <f t="shared" si="9"/>
        <v>0</v>
      </c>
    </row>
    <row r="346" spans="1:4" s="1" customFormat="1" x14ac:dyDescent="0.25">
      <c r="A346" s="8" t="s">
        <v>80</v>
      </c>
      <c r="B346" s="9" t="s">
        <v>35</v>
      </c>
      <c r="C346" s="11">
        <f t="shared" si="9"/>
        <v>0</v>
      </c>
    </row>
    <row r="347" spans="1:4" s="1" customFormat="1" x14ac:dyDescent="0.25">
      <c r="A347" s="8" t="s">
        <v>81</v>
      </c>
      <c r="B347" s="9" t="s">
        <v>35</v>
      </c>
      <c r="C347" s="11">
        <f t="shared" si="9"/>
        <v>0</v>
      </c>
    </row>
    <row r="348" spans="1:4" s="1" customFormat="1" x14ac:dyDescent="0.25">
      <c r="A348" s="8" t="s">
        <v>82</v>
      </c>
      <c r="B348" s="9" t="s">
        <v>35</v>
      </c>
      <c r="C348" s="11">
        <f t="shared" si="9"/>
        <v>9.3111455961800729E-5</v>
      </c>
    </row>
    <row r="349" spans="1:4" s="1" customFormat="1" x14ac:dyDescent="0.25">
      <c r="A349" s="8" t="s">
        <v>103</v>
      </c>
      <c r="B349" s="9" t="s">
        <v>35</v>
      </c>
      <c r="C349" s="11">
        <f>IF(C333="","",SUM(C333:C348))</f>
        <v>196.90192100123065</v>
      </c>
    </row>
    <row r="350" spans="1:4" s="1" customFormat="1" x14ac:dyDescent="0.25">
      <c r="A350" s="8" t="s">
        <v>117</v>
      </c>
      <c r="B350" s="9" t="s">
        <v>36</v>
      </c>
      <c r="C350" s="11">
        <f>IF(C349="","",C349/C150)</f>
        <v>13.375481952715607</v>
      </c>
    </row>
    <row r="351" spans="1:4" s="1" customFormat="1" x14ac:dyDescent="0.25">
      <c r="A351" s="22" t="s">
        <v>95</v>
      </c>
      <c r="B351" s="23"/>
      <c r="C351" s="24"/>
    </row>
    <row r="352" spans="1:4" x14ac:dyDescent="0.25">
      <c r="A352" s="8" t="s">
        <v>130</v>
      </c>
      <c r="B352" s="9"/>
      <c r="C352" s="13"/>
      <c r="D352" s="1"/>
    </row>
    <row r="353" spans="1:4" s="1" customFormat="1" x14ac:dyDescent="0.25">
      <c r="A353" s="8" t="s">
        <v>131</v>
      </c>
      <c r="B353" s="9" t="s">
        <v>37</v>
      </c>
      <c r="C353" s="19">
        <f>IF(C43="","",C43*C88*18.015/(1013.25*100*28.85))</f>
        <v>4.8800806547479852E-3</v>
      </c>
    </row>
    <row r="354" spans="1:4" s="1" customFormat="1" x14ac:dyDescent="0.25">
      <c r="A354" s="22" t="s">
        <v>95</v>
      </c>
      <c r="B354" s="23"/>
      <c r="C354" s="24"/>
    </row>
    <row r="355" spans="1:4" s="1" customFormat="1" x14ac:dyDescent="0.25">
      <c r="A355" s="8" t="s">
        <v>132</v>
      </c>
      <c r="B355" s="9"/>
      <c r="C355" s="9"/>
    </row>
    <row r="356" spans="1:4" s="1" customFormat="1" x14ac:dyDescent="0.25">
      <c r="A356" s="8" t="s">
        <v>132</v>
      </c>
      <c r="B356" s="9" t="s">
        <v>38</v>
      </c>
      <c r="C356" s="11">
        <f>IF(C230="","",C230/(1-C353))</f>
        <v>17.487994077498517</v>
      </c>
    </row>
    <row r="357" spans="1:4" s="1" customFormat="1" x14ac:dyDescent="0.25">
      <c r="A357" s="8" t="s">
        <v>95</v>
      </c>
      <c r="B357" s="9"/>
      <c r="C357" s="9"/>
    </row>
    <row r="358" spans="1:4" s="1" customFormat="1" x14ac:dyDescent="0.25">
      <c r="A358" s="22" t="s">
        <v>133</v>
      </c>
      <c r="B358" s="22"/>
      <c r="C358" s="22"/>
    </row>
    <row r="359" spans="1:4" s="1" customFormat="1" x14ac:dyDescent="0.25">
      <c r="A359" s="8" t="s">
        <v>133</v>
      </c>
      <c r="B359" s="9" t="s">
        <v>39</v>
      </c>
      <c r="C359" s="9">
        <f>IF(C356="","",(C356-C230))</f>
        <v>8.5342821587946815E-2</v>
      </c>
    </row>
    <row r="360" spans="1:4" s="1" customFormat="1" x14ac:dyDescent="0.25">
      <c r="A360" s="8" t="s">
        <v>95</v>
      </c>
      <c r="B360" s="9"/>
      <c r="C360" s="9"/>
    </row>
    <row r="361" spans="1:4" s="1" customFormat="1" x14ac:dyDescent="0.25">
      <c r="A361" s="22" t="s">
        <v>134</v>
      </c>
      <c r="B361" s="22"/>
      <c r="C361" s="22"/>
    </row>
    <row r="362" spans="1:4" s="1" customFormat="1" x14ac:dyDescent="0.25">
      <c r="A362" s="8" t="s">
        <v>134</v>
      </c>
      <c r="B362" s="9" t="s">
        <v>40</v>
      </c>
      <c r="C362" s="18">
        <f>IF(C310="","",(C310+C359))</f>
        <v>2.413436465508207</v>
      </c>
    </row>
    <row r="363" spans="1:4" x14ac:dyDescent="0.25">
      <c r="A363" s="8" t="s">
        <v>95</v>
      </c>
      <c r="B363" s="13"/>
      <c r="C363" s="13"/>
      <c r="D363" s="1"/>
    </row>
    <row r="364" spans="1:4" s="1" customFormat="1" x14ac:dyDescent="0.25">
      <c r="A364" s="8" t="s">
        <v>135</v>
      </c>
      <c r="B364" s="9"/>
      <c r="C364" s="9"/>
    </row>
    <row r="365" spans="1:4" s="1" customFormat="1" x14ac:dyDescent="0.25">
      <c r="A365" s="8" t="s">
        <v>95</v>
      </c>
      <c r="B365" s="9" t="s">
        <v>41</v>
      </c>
      <c r="C365" s="11">
        <f>IF(C6="","",(28.85*C6)*(C350/28.013+C270/44.01+C362/18.015)/(20.95-C6*((1.6028*C359/C230)+1)))</f>
        <v>4.4527187307348388</v>
      </c>
    </row>
    <row r="366" spans="1:4" s="1" customFormat="1" x14ac:dyDescent="0.25">
      <c r="A366" s="8" t="s">
        <v>95</v>
      </c>
      <c r="B366" s="9" t="s">
        <v>42</v>
      </c>
      <c r="C366" s="11">
        <f>IF(C365="","",C365*100/C230)</f>
        <v>25.586438900926286</v>
      </c>
    </row>
    <row r="367" spans="1:4" x14ac:dyDescent="0.25">
      <c r="A367" s="8" t="s">
        <v>95</v>
      </c>
      <c r="B367" s="13"/>
      <c r="C367" s="13"/>
      <c r="D367" s="1"/>
    </row>
    <row r="368" spans="1:4" s="1" customFormat="1" x14ac:dyDescent="0.25">
      <c r="A368" s="8" t="s">
        <v>136</v>
      </c>
      <c r="B368" s="9"/>
      <c r="C368" s="9"/>
    </row>
    <row r="369" spans="1:4" s="1" customFormat="1" x14ac:dyDescent="0.25">
      <c r="A369" s="8" t="s">
        <v>95</v>
      </c>
      <c r="B369" s="9" t="s">
        <v>41</v>
      </c>
      <c r="C369" s="11">
        <f>IF(C37="","",(28.85*C37)*(C350/28.013+C270/44.01)/(20.95-C37))</f>
        <v>5.415615445574077</v>
      </c>
    </row>
    <row r="370" spans="1:4" s="1" customFormat="1" x14ac:dyDescent="0.25">
      <c r="A370" s="8" t="s">
        <v>95</v>
      </c>
      <c r="B370" s="9" t="s">
        <v>42</v>
      </c>
      <c r="C370" s="11">
        <f>IF(C369="","",C369*100/C230)</f>
        <v>31.119484990740929</v>
      </c>
    </row>
    <row r="371" spans="1:4" s="1" customFormat="1" x14ac:dyDescent="0.25">
      <c r="A371" s="8" t="s">
        <v>95</v>
      </c>
      <c r="B371" s="9"/>
      <c r="C371" s="9"/>
    </row>
    <row r="372" spans="1:4" s="1" customFormat="1" x14ac:dyDescent="0.25">
      <c r="A372" s="22" t="s">
        <v>137</v>
      </c>
      <c r="B372" s="22"/>
      <c r="C372" s="22"/>
    </row>
    <row r="373" spans="1:4" s="1" customFormat="1" x14ac:dyDescent="0.25">
      <c r="A373" s="8" t="s">
        <v>138</v>
      </c>
      <c r="B373" s="9" t="s">
        <v>40</v>
      </c>
      <c r="C373" s="18">
        <f>IF(C366="","",(C366*C359/100)+C362)</f>
        <v>2.4352726544101335</v>
      </c>
    </row>
    <row r="374" spans="1:4" s="1" customFormat="1" x14ac:dyDescent="0.25">
      <c r="A374" s="8" t="s">
        <v>139</v>
      </c>
      <c r="B374" s="9" t="s">
        <v>40</v>
      </c>
      <c r="C374" s="18">
        <f>IF(C370="","",(C370*C359/100)+C362)</f>
        <v>2.4399947120629428</v>
      </c>
    </row>
    <row r="375" spans="1:4" s="1" customFormat="1" x14ac:dyDescent="0.25">
      <c r="A375" s="8" t="s">
        <v>95</v>
      </c>
      <c r="B375" s="9"/>
      <c r="C375" s="9"/>
    </row>
    <row r="376" spans="1:4" s="1" customFormat="1" x14ac:dyDescent="0.25">
      <c r="A376" s="22" t="s">
        <v>140</v>
      </c>
      <c r="B376" s="22"/>
      <c r="C376" s="22"/>
    </row>
    <row r="377" spans="1:4" s="1" customFormat="1" x14ac:dyDescent="0.25">
      <c r="A377" s="8" t="s">
        <v>141</v>
      </c>
      <c r="B377" s="9" t="s">
        <v>43</v>
      </c>
      <c r="C377" s="11">
        <f>IF(C89="","",((-1.93001+0.447642*C89-0.021898/1000*C89^2+0.030496/1000000*C89^3-0.056618/10000000000*C89^4+0.027722/100000000000000*C89^5)-(-1.93001+0.447642*519.67-0.021898/1000*519.67^2+0.030496/1000000*519.67^3-0.056618/10000000000*519.67^4+0.027722/100000000000000*519.67^5))*5/9)</f>
        <v>102.88896865271408</v>
      </c>
    </row>
    <row r="378" spans="1:4" s="1" customFormat="1" x14ac:dyDescent="0.25">
      <c r="A378" s="8" t="s">
        <v>142</v>
      </c>
      <c r="B378" s="9" t="s">
        <v>44</v>
      </c>
      <c r="C378" s="11">
        <f>IF(C89="","",((0.09688+0.158843*C89-0.033712/1000*C89^2+0.148105/1000000*C89^3-0.966203/10000000000*C89^4+2.073832/100000000000000*C89^5)-(0.09688+0.158843*519.67-0.033712/1000*519.67^2+0.148105/1000000*519.67^3-0.966203/10000000000*519.67^4+2.073832/100000000000000*519.67^5))*5/9)</f>
        <v>50.440063718575757</v>
      </c>
    </row>
    <row r="379" spans="1:4" s="1" customFormat="1" x14ac:dyDescent="0.25">
      <c r="A379" s="8" t="s">
        <v>143</v>
      </c>
      <c r="B379" s="9" t="s">
        <v>45</v>
      </c>
      <c r="C379" s="11">
        <f>IF(C89="","",((-0.65665+0.254098*C89-0.016624/1000*C89^2+0.015302/1000000*C89^3-0.030995/10000000000*C89^4+0.015167/100000000000000*C89^5)-(-0.65665+0.254098*519.67-0.016624/1000*519.67^2+0.015302/1000000*519.67^3-0.030995/10000000000*519.67^4+0.015167/100000000000000*519.67^5))*5/9)</f>
        <v>56.348318904358337</v>
      </c>
    </row>
    <row r="380" spans="1:4" s="1" customFormat="1" x14ac:dyDescent="0.25">
      <c r="A380" s="8" t="s">
        <v>144</v>
      </c>
      <c r="B380" s="9" t="s">
        <v>46</v>
      </c>
      <c r="C380" s="11">
        <f>IF(C89="","",((-0.34466+0.221724*C89-0.020517/1000*C89^2+0.030639/1000000*C89^3-0.108606/10000000000*C89^4+0.130606/100000000000000*C89^5)-(-0.34466+0.221724*519.67-0.020517/1000*519.67^2+0.030639/1000000*519.67^3-0.108606/10000000000*519.67^4+0.130606/100000000000000*519.67^5))*5/9)</f>
        <v>50.900694718179047</v>
      </c>
    </row>
    <row r="381" spans="1:4" s="1" customFormat="1" x14ac:dyDescent="0.25">
      <c r="A381" s="8" t="s">
        <v>145</v>
      </c>
      <c r="B381" s="9" t="s">
        <v>47</v>
      </c>
      <c r="C381" s="11">
        <f>IF(C89="","",0.21*C380+0.79*C379)</f>
        <v>55.204317825260688</v>
      </c>
    </row>
    <row r="382" spans="1:4" s="1" customFormat="1" x14ac:dyDescent="0.25">
      <c r="A382" s="8" t="s">
        <v>146</v>
      </c>
      <c r="B382" s="9" t="s">
        <v>48</v>
      </c>
      <c r="C382" s="11">
        <f>IF(C89="","",(C377*C373)+(C378*C270)+(C379*C350)+(C381*C365))</f>
        <v>1386.2324064460381</v>
      </c>
    </row>
    <row r="383" spans="1:4" s="1" customFormat="1" x14ac:dyDescent="0.25">
      <c r="A383" s="8" t="s">
        <v>147</v>
      </c>
      <c r="B383" s="9" t="s">
        <v>48</v>
      </c>
      <c r="C383" s="11">
        <f>IF(C89="","",(C377*C374)+(C378*C270)+(C379*C350)+(C381*C369))</f>
        <v>1439.8743103667391</v>
      </c>
    </row>
    <row r="384" spans="1:4" x14ac:dyDescent="0.25">
      <c r="A384" s="8" t="s">
        <v>95</v>
      </c>
      <c r="B384" s="13"/>
      <c r="C384" s="13"/>
      <c r="D384" s="1"/>
    </row>
    <row r="385" spans="1:4" x14ac:dyDescent="0.25">
      <c r="A385" s="22" t="s">
        <v>148</v>
      </c>
      <c r="B385" s="22"/>
      <c r="C385" s="22"/>
      <c r="D385" s="1"/>
    </row>
    <row r="386" spans="1:4" x14ac:dyDescent="0.25">
      <c r="A386" s="8" t="s">
        <v>141</v>
      </c>
      <c r="B386" s="9" t="s">
        <v>43</v>
      </c>
      <c r="C386" s="11">
        <f>IF(C90="","",((-1.93001+0.447642*C90-0.021898/1000*C90^2+0.030496/1000000*C90^3-0.056618/10000000000*C90^4+0.027722/100000000000000*C90^5)-(-1.93001+0.447642*519.67-0.021898/1000*519.67^2+0.030496/1000000*519.67^3-0.056618/10000000000*519.67^4+0.027722/100000000000000*519.67^5))*5/9)</f>
        <v>319.4528036331904</v>
      </c>
      <c r="D386" s="1"/>
    </row>
    <row r="387" spans="1:4" x14ac:dyDescent="0.25">
      <c r="A387" s="8" t="s">
        <v>142</v>
      </c>
      <c r="B387" s="9" t="s">
        <v>44</v>
      </c>
      <c r="C387" s="11">
        <f>IF(C90="","",((0.09688+0.158843*C90-0.033712/1000*C90^2+0.148105/1000000*C90^3-0.966203/10000000000*C90^4+2.073832/100000000000000*C90^5)-(0.09688+0.158843*519.67-0.033712/1000*519.67^2+0.148105/1000000*519.67^3-0.966203/10000000000*519.67^4+2.073832/100000000000000*519.67^5))*5/9)</f>
        <v>166.96308834561552</v>
      </c>
      <c r="D387" s="1"/>
    </row>
    <row r="388" spans="1:4" x14ac:dyDescent="0.25">
      <c r="A388" s="8" t="s">
        <v>143</v>
      </c>
      <c r="B388" s="9" t="s">
        <v>45</v>
      </c>
      <c r="C388" s="11">
        <f>IF(C90="","",((-0.65665+0.254098*C90-0.016624/1000*C90^2+0.015302/1000000*C90^3-0.030995/10000000000*C90^4+0.015167/100000000000000*C90^5)-(-0.65665+0.254098*519.67-0.016624/1000*519.67^2+0.015302/1000000*519.67^3-0.030995/10000000000*519.67^4+0.015167/100000000000000*519.67^5))*5/9)</f>
        <v>170.34043453364504</v>
      </c>
      <c r="D388" s="1"/>
    </row>
    <row r="389" spans="1:4" x14ac:dyDescent="0.25">
      <c r="A389" s="8" t="s">
        <v>144</v>
      </c>
      <c r="B389" s="9" t="s">
        <v>46</v>
      </c>
      <c r="C389" s="11">
        <f>IF(C90="","",((-0.34466+0.221724*C90-0.020517/1000*C90^2+0.030639/1000000*C90^3-0.108606/10000000000*C90^4+0.130606/100000000000000*C90^5)-(-0.34466+0.221724*519.67-0.020517/1000*519.67^2+0.030639/1000000*519.67^3-0.108606/10000000000*519.67^4+0.130606/100000000000000*519.67^5))*5/9)</f>
        <v>157.47011985126471</v>
      </c>
      <c r="D389" s="1"/>
    </row>
    <row r="390" spans="1:4" x14ac:dyDescent="0.25">
      <c r="A390" s="8" t="s">
        <v>145</v>
      </c>
      <c r="B390" s="9" t="s">
        <v>47</v>
      </c>
      <c r="C390" s="11">
        <f>IF(C90="","",0.21*C389+0.79*C388)</f>
        <v>167.63766845034516</v>
      </c>
      <c r="D390" s="1"/>
    </row>
    <row r="391" spans="1:4" x14ac:dyDescent="0.25">
      <c r="A391" s="8" t="s">
        <v>149</v>
      </c>
      <c r="B391" s="9" t="s">
        <v>48</v>
      </c>
      <c r="C391" s="11">
        <f>IF(C90="","",(C386*C373)+(C387*C270)+(C388*C350)+(C390*C365))</f>
        <v>4253.5385273674556</v>
      </c>
      <c r="D391" s="1"/>
    </row>
    <row r="392" spans="1:4" x14ac:dyDescent="0.25">
      <c r="A392" s="8" t="s">
        <v>150</v>
      </c>
      <c r="B392" s="9" t="s">
        <v>48</v>
      </c>
      <c r="C392" s="11">
        <f>IF(C90="","",(C386*C374)+(C387*C270)+(C388*C350)+(C390*C369))</f>
        <v>4416.4647621577096</v>
      </c>
      <c r="D392" s="1"/>
    </row>
    <row r="393" spans="1:4" x14ac:dyDescent="0.25">
      <c r="A393" s="8" t="s">
        <v>95</v>
      </c>
      <c r="B393" s="13"/>
      <c r="C393" s="13"/>
      <c r="D393" s="1"/>
    </row>
    <row r="394" spans="1:4" s="1" customFormat="1" x14ac:dyDescent="0.25">
      <c r="A394" s="8" t="s">
        <v>151</v>
      </c>
      <c r="B394" s="9"/>
      <c r="C394" s="9"/>
    </row>
    <row r="395" spans="1:4" s="1" customFormat="1" x14ac:dyDescent="0.25">
      <c r="A395" s="8" t="s">
        <v>152</v>
      </c>
      <c r="B395" s="9" t="s">
        <v>49</v>
      </c>
      <c r="C395" s="20">
        <f>IF(C92="","",0.0286895*(C92/100)-0.00121326*(C92/100)^2+0.0000186119*(C92/100)^3+0.518105*(100/C92))</f>
        <v>0.2184417940713817</v>
      </c>
    </row>
    <row r="396" spans="1:4" s="1" customFormat="1" x14ac:dyDescent="0.25">
      <c r="A396" s="8" t="s">
        <v>153</v>
      </c>
      <c r="B396" s="9" t="s">
        <v>49</v>
      </c>
      <c r="C396" s="20">
        <f>IF(C92="","",0.0288541*(C92/100)-0.00118902*(C92/100)^2+0.0000185046*(C92/100)^3+0.663371*(100/C92))</f>
        <v>0.2470747458937616</v>
      </c>
    </row>
    <row r="397" spans="1:4" s="1" customFormat="1" x14ac:dyDescent="0.25">
      <c r="A397" s="8" t="s">
        <v>154</v>
      </c>
      <c r="B397" s="9" t="s">
        <v>49</v>
      </c>
      <c r="C397" s="20">
        <f>IF(C92="","",C395*0.21+C396*0.79)</f>
        <v>0.24106182601106182</v>
      </c>
    </row>
    <row r="398" spans="1:4" s="1" customFormat="1" x14ac:dyDescent="0.25">
      <c r="A398" s="8" t="s">
        <v>155</v>
      </c>
      <c r="B398" s="9" t="s">
        <v>50</v>
      </c>
      <c r="C398" s="11">
        <f>IF(C91="","",C397*(C5-15.6)*(C356+C365))</f>
        <v>49.717241959248035</v>
      </c>
    </row>
    <row r="399" spans="1:4" s="1" customFormat="1" x14ac:dyDescent="0.25">
      <c r="A399" s="8" t="s">
        <v>156</v>
      </c>
      <c r="B399" s="9" t="s">
        <v>48</v>
      </c>
      <c r="C399" s="11">
        <f>IF(C91="","",C397*(C5-15.6)*(C356+C369))</f>
        <v>51.899147778436507</v>
      </c>
    </row>
    <row r="400" spans="1:4" x14ac:dyDescent="0.25">
      <c r="A400" s="8" t="s">
        <v>95</v>
      </c>
      <c r="B400" s="13"/>
      <c r="C400" s="13"/>
      <c r="D400" s="1"/>
    </row>
    <row r="401" spans="1:4" s="1" customFormat="1" x14ac:dyDescent="0.25">
      <c r="A401" s="8" t="s">
        <v>157</v>
      </c>
      <c r="B401" s="9" t="s">
        <v>49</v>
      </c>
      <c r="C401" s="11">
        <f>IF('Heater Calculations'!C499="","",'Heater Calculations'!C499)</f>
        <v>1.8373577004818964</v>
      </c>
    </row>
    <row r="402" spans="1:4" s="1" customFormat="1" x14ac:dyDescent="0.25">
      <c r="A402" s="8" t="s">
        <v>158</v>
      </c>
      <c r="B402" s="9" t="s">
        <v>48</v>
      </c>
      <c r="C402" s="11">
        <f>IF(C401="","",C401*(C4-15.6))</f>
        <v>26.28179955720196</v>
      </c>
    </row>
    <row r="403" spans="1:4" x14ac:dyDescent="0.25">
      <c r="A403" s="8" t="s">
        <v>95</v>
      </c>
      <c r="B403" s="13"/>
      <c r="C403" s="13"/>
      <c r="D403" s="1"/>
    </row>
    <row r="404" spans="1:4" s="1" customFormat="1" x14ac:dyDescent="0.25">
      <c r="A404" s="8" t="s">
        <v>159</v>
      </c>
      <c r="B404" s="9" t="s">
        <v>48</v>
      </c>
      <c r="C404" s="11">
        <f>IF(C45="","",C45*C190/100)</f>
        <v>249.62113092482323</v>
      </c>
    </row>
    <row r="405" spans="1:4" x14ac:dyDescent="0.25">
      <c r="A405" s="8" t="s">
        <v>95</v>
      </c>
      <c r="B405" s="13"/>
      <c r="C405" s="13"/>
      <c r="D405" s="1"/>
    </row>
    <row r="406" spans="1:4" s="1" customFormat="1" x14ac:dyDescent="0.25">
      <c r="A406" s="8" t="s">
        <v>160</v>
      </c>
      <c r="B406" s="9" t="s">
        <v>48</v>
      </c>
      <c r="C406" s="11">
        <f>IF(C190="","",C190+(C373*588.73125))</f>
        <v>13914.777660162858</v>
      </c>
    </row>
    <row r="407" spans="1:4" s="1" customFormat="1" x14ac:dyDescent="0.25">
      <c r="A407" s="8" t="s">
        <v>161</v>
      </c>
      <c r="B407" s="9" t="s">
        <v>48</v>
      </c>
      <c r="C407" s="11">
        <f>IF(C190="","",C190+(C374*588.73125))</f>
        <v>13917.557683067367</v>
      </c>
    </row>
    <row r="408" spans="1:4" x14ac:dyDescent="0.25">
      <c r="A408" s="22" t="s">
        <v>95</v>
      </c>
      <c r="B408" s="22"/>
      <c r="C408" s="22"/>
      <c r="D408" s="1"/>
    </row>
    <row r="409" spans="1:4" s="1" customFormat="1" x14ac:dyDescent="0.25">
      <c r="A409" s="8" t="s">
        <v>59</v>
      </c>
      <c r="B409" s="9" t="s">
        <v>4</v>
      </c>
      <c r="C409" s="11">
        <f>IF(C190="","",((C190+C398+C402)-(C404+C382))/(C190+C398+C402)*100)</f>
        <v>86.972634421036389</v>
      </c>
    </row>
    <row r="410" spans="1:4" s="1" customFormat="1" x14ac:dyDescent="0.25">
      <c r="A410" s="8" t="s">
        <v>162</v>
      </c>
      <c r="B410" s="9" t="s">
        <v>4</v>
      </c>
      <c r="C410" s="11">
        <f>IF(C190="","",((C190+C398+C402)-(C404+C382))/(C406+C398+C402)*100)</f>
        <v>78.060012558672895</v>
      </c>
    </row>
    <row r="411" spans="1:4" s="1" customFormat="1" x14ac:dyDescent="0.25">
      <c r="A411" s="8" t="s">
        <v>163</v>
      </c>
      <c r="B411" s="9" t="s">
        <v>4</v>
      </c>
      <c r="C411" s="11">
        <f>IF(C190="","",((C190+C398+C402)-(C404+C382))/C190*100)</f>
        <v>87.502223949749009</v>
      </c>
    </row>
    <row r="412" spans="1:4" x14ac:dyDescent="0.25">
      <c r="A412" s="22" t="s">
        <v>95</v>
      </c>
      <c r="B412" s="22"/>
      <c r="C412" s="22"/>
      <c r="D412" s="1"/>
    </row>
    <row r="413" spans="1:4" s="1" customFormat="1" x14ac:dyDescent="0.25">
      <c r="A413" s="8" t="s">
        <v>60</v>
      </c>
      <c r="B413" s="9" t="s">
        <v>4</v>
      </c>
      <c r="C413" s="11">
        <f>IF(C194="","",((C190+C399+C402)-(C404+C382))/(C190+C399+C402)*100)</f>
        <v>86.974897654356084</v>
      </c>
    </row>
    <row r="414" spans="1:4" s="1" customFormat="1" x14ac:dyDescent="0.25">
      <c r="A414" s="8" t="s">
        <v>162</v>
      </c>
      <c r="B414" s="9" t="s">
        <v>4</v>
      </c>
      <c r="C414" s="11">
        <f>IF(C194="","",((C190+C399+C402)-(C404+C382))/(C407+C399+C402)*100)</f>
        <v>78.047927620461721</v>
      </c>
    </row>
    <row r="415" spans="1:4" s="1" customFormat="1" x14ac:dyDescent="0.25">
      <c r="A415" s="8" t="s">
        <v>163</v>
      </c>
      <c r="B415" s="9" t="s">
        <v>4</v>
      </c>
      <c r="C415" s="11">
        <f>IF(C194="","",((C190+C399+C402)-(C404+C382))/C190*100)</f>
        <v>87.519705689464757</v>
      </c>
    </row>
    <row r="416" spans="1:4" x14ac:dyDescent="0.25">
      <c r="A416" s="22" t="s">
        <v>95</v>
      </c>
      <c r="B416" s="22"/>
      <c r="C416" s="22"/>
      <c r="D416" s="1"/>
    </row>
    <row r="417" spans="1:4" s="1" customFormat="1" x14ac:dyDescent="0.25">
      <c r="A417" s="8" t="s">
        <v>164</v>
      </c>
      <c r="B417" s="9" t="s">
        <v>4</v>
      </c>
      <c r="C417" s="18">
        <f t="shared" ref="C417" si="10">C413-C409</f>
        <v>2.2632333196952459E-3</v>
      </c>
    </row>
    <row r="418" spans="1:4" x14ac:dyDescent="0.25">
      <c r="A418" s="8" t="s">
        <v>95</v>
      </c>
      <c r="B418" s="13"/>
      <c r="C418" s="13"/>
      <c r="D418" s="1"/>
    </row>
    <row r="419" spans="1:4" s="1" customFormat="1" x14ac:dyDescent="0.25">
      <c r="A419" s="8" t="s">
        <v>165</v>
      </c>
      <c r="B419" s="9" t="s">
        <v>51</v>
      </c>
      <c r="C419" s="11">
        <f>C3*'Heater Calculations'!C464/22.414</f>
        <v>580.15378585449093</v>
      </c>
    </row>
    <row r="420" spans="1:4" s="1" customFormat="1" x14ac:dyDescent="0.25">
      <c r="A420" s="8" t="s">
        <v>166</v>
      </c>
      <c r="B420" s="9" t="s">
        <v>53</v>
      </c>
      <c r="C420" s="11">
        <f>C419*C190/1000000</f>
        <v>7.2409322067657866</v>
      </c>
    </row>
    <row r="421" spans="1:4" s="1" customFormat="1" x14ac:dyDescent="0.25">
      <c r="A421" s="8" t="s">
        <v>167</v>
      </c>
      <c r="B421" s="9" t="s">
        <v>53</v>
      </c>
      <c r="C421" s="11">
        <f>C420*C409/100</f>
        <v>6.2976294968654907</v>
      </c>
    </row>
    <row r="422" spans="1:4" x14ac:dyDescent="0.25">
      <c r="A422" s="8" t="s">
        <v>168</v>
      </c>
      <c r="B422" s="9" t="s">
        <v>53</v>
      </c>
      <c r="C422" s="11">
        <f>C420*C413/100</f>
        <v>6.2977933760558509</v>
      </c>
      <c r="D422" s="1"/>
    </row>
    <row r="423" spans="1:4" x14ac:dyDescent="0.25">
      <c r="A423" s="8" t="s">
        <v>169</v>
      </c>
      <c r="B423" s="9" t="s">
        <v>53</v>
      </c>
      <c r="C423" s="11">
        <f>C421-C425</f>
        <v>4.6341509956091755</v>
      </c>
      <c r="D423" s="1"/>
    </row>
    <row r="424" spans="1:4" x14ac:dyDescent="0.25">
      <c r="A424" s="8" t="s">
        <v>170</v>
      </c>
      <c r="B424" s="9" t="s">
        <v>53</v>
      </c>
      <c r="C424" s="11">
        <f>C422-C426</f>
        <v>4.5709131565109899</v>
      </c>
      <c r="D424" s="1"/>
    </row>
    <row r="425" spans="1:4" x14ac:dyDescent="0.25">
      <c r="A425" s="8" t="s">
        <v>171</v>
      </c>
      <c r="B425" s="9" t="s">
        <v>53</v>
      </c>
      <c r="C425" s="11">
        <f>C419*(C391-C382)/1000000</f>
        <v>1.6634785012563151</v>
      </c>
      <c r="D425" s="1"/>
    </row>
    <row r="426" spans="1:4" x14ac:dyDescent="0.25">
      <c r="A426" s="8" t="s">
        <v>172</v>
      </c>
      <c r="B426" s="9" t="s">
        <v>53</v>
      </c>
      <c r="C426" s="11">
        <f>C419*(C392-C383)/1000000</f>
        <v>1.7268802195448609</v>
      </c>
      <c r="D426" s="1"/>
    </row>
    <row r="427" spans="1:4" x14ac:dyDescent="0.25">
      <c r="A427" s="8" t="s">
        <v>95</v>
      </c>
      <c r="B427" s="9"/>
      <c r="C427" s="21"/>
      <c r="D427" s="1"/>
    </row>
    <row r="428" spans="1:4" x14ac:dyDescent="0.25">
      <c r="A428" s="8" t="s">
        <v>62</v>
      </c>
      <c r="B428" s="9" t="s">
        <v>2</v>
      </c>
      <c r="C428" s="11">
        <v>132.84264437357584</v>
      </c>
      <c r="D428" s="1"/>
    </row>
    <row r="429" spans="1:4" x14ac:dyDescent="0.25">
      <c r="A429" s="8" t="s">
        <v>95</v>
      </c>
      <c r="B429" s="9" t="s">
        <v>13</v>
      </c>
      <c r="C429" s="11">
        <f>IF(C4="","",C4*9/5+491.67)</f>
        <v>545.49743023122608</v>
      </c>
      <c r="D429" s="1"/>
    </row>
    <row r="430" spans="1:4" x14ac:dyDescent="0.25">
      <c r="A430" s="22" t="s">
        <v>218</v>
      </c>
      <c r="B430" s="22"/>
      <c r="C430" s="22"/>
      <c r="D430" s="1"/>
    </row>
    <row r="431" spans="1:4" x14ac:dyDescent="0.25">
      <c r="A431" s="8" t="s">
        <v>173</v>
      </c>
      <c r="B431" s="9"/>
      <c r="C431" s="18">
        <f>C95/$C$111</f>
        <v>0.33472731225721636</v>
      </c>
      <c r="D431" s="1"/>
    </row>
    <row r="432" spans="1:4" x14ac:dyDescent="0.25">
      <c r="A432" s="8" t="s">
        <v>174</v>
      </c>
      <c r="B432" s="9"/>
      <c r="C432" s="18">
        <f t="shared" ref="C432:C446" si="11">C96/$C$111</f>
        <v>8.8001294917567752E-2</v>
      </c>
      <c r="D432" s="1"/>
    </row>
    <row r="433" spans="1:4" x14ac:dyDescent="0.25">
      <c r="A433" s="8" t="s">
        <v>175</v>
      </c>
      <c r="B433" s="9"/>
      <c r="C433" s="18">
        <f t="shared" si="11"/>
        <v>0</v>
      </c>
      <c r="D433" s="1"/>
    </row>
    <row r="434" spans="1:4" x14ac:dyDescent="0.25">
      <c r="A434" s="8" t="s">
        <v>176</v>
      </c>
      <c r="B434" s="9"/>
      <c r="C434" s="18">
        <f t="shared" si="11"/>
        <v>5.944501813662962E-2</v>
      </c>
      <c r="D434" s="1"/>
    </row>
    <row r="435" spans="1:4" x14ac:dyDescent="0.25">
      <c r="A435" s="8" t="s">
        <v>177</v>
      </c>
      <c r="B435" s="9"/>
      <c r="C435" s="18">
        <f t="shared" si="11"/>
        <v>0</v>
      </c>
      <c r="D435" s="1"/>
    </row>
    <row r="436" spans="1:4" x14ac:dyDescent="0.25">
      <c r="A436" s="8" t="s">
        <v>178</v>
      </c>
      <c r="B436" s="9"/>
      <c r="C436" s="18">
        <f t="shared" si="11"/>
        <v>2.439145683343124E-2</v>
      </c>
      <c r="D436" s="1"/>
    </row>
    <row r="437" spans="1:4" x14ac:dyDescent="0.25">
      <c r="A437" s="8" t="s">
        <v>179</v>
      </c>
      <c r="B437" s="9"/>
      <c r="C437" s="18">
        <f t="shared" si="11"/>
        <v>2.2769544751939978E-2</v>
      </c>
      <c r="D437" s="1"/>
    </row>
    <row r="438" spans="1:4" x14ac:dyDescent="0.25">
      <c r="A438" s="8" t="s">
        <v>180</v>
      </c>
      <c r="B438" s="9"/>
      <c r="C438" s="18">
        <f t="shared" si="11"/>
        <v>0</v>
      </c>
      <c r="D438" s="1"/>
    </row>
    <row r="439" spans="1:4" x14ac:dyDescent="0.25">
      <c r="A439" s="8" t="s">
        <v>181</v>
      </c>
      <c r="B439" s="9"/>
      <c r="C439" s="18">
        <f t="shared" si="11"/>
        <v>4.9109421659751414E-3</v>
      </c>
      <c r="D439" s="1"/>
    </row>
    <row r="440" spans="1:4" x14ac:dyDescent="0.25">
      <c r="A440" s="8" t="s">
        <v>182</v>
      </c>
      <c r="B440" s="9"/>
      <c r="C440" s="18">
        <f t="shared" si="11"/>
        <v>0</v>
      </c>
      <c r="D440" s="1"/>
    </row>
    <row r="441" spans="1:4" x14ac:dyDescent="0.25">
      <c r="A441" s="8" t="s">
        <v>183</v>
      </c>
      <c r="B441" s="9"/>
      <c r="C441" s="18">
        <f t="shared" si="11"/>
        <v>0</v>
      </c>
      <c r="D441" s="1"/>
    </row>
    <row r="442" spans="1:4" x14ac:dyDescent="0.25">
      <c r="A442" s="8" t="s">
        <v>184</v>
      </c>
      <c r="B442" s="9"/>
      <c r="C442" s="18">
        <f t="shared" si="11"/>
        <v>0.46458612725996706</v>
      </c>
      <c r="D442" s="1"/>
    </row>
    <row r="443" spans="1:4" x14ac:dyDescent="0.25">
      <c r="A443" s="8" t="s">
        <v>185</v>
      </c>
      <c r="B443" s="9"/>
      <c r="C443" s="18">
        <f t="shared" si="11"/>
        <v>0</v>
      </c>
      <c r="D443" s="1"/>
    </row>
    <row r="444" spans="1:4" x14ac:dyDescent="0.25">
      <c r="A444" s="8" t="s">
        <v>186</v>
      </c>
      <c r="B444" s="9"/>
      <c r="C444" s="18">
        <f t="shared" si="11"/>
        <v>0</v>
      </c>
      <c r="D444" s="1"/>
    </row>
    <row r="445" spans="1:4" x14ac:dyDescent="0.25">
      <c r="A445" s="8" t="s">
        <v>187</v>
      </c>
      <c r="B445" s="9"/>
      <c r="C445" s="18">
        <f t="shared" si="11"/>
        <v>1.1677198173640107E-3</v>
      </c>
      <c r="D445" s="1"/>
    </row>
    <row r="446" spans="1:4" x14ac:dyDescent="0.25">
      <c r="A446" s="8" t="s">
        <v>188</v>
      </c>
      <c r="B446" s="9"/>
      <c r="C446" s="18">
        <f t="shared" si="11"/>
        <v>5.8385990868200538E-7</v>
      </c>
      <c r="D446" s="1"/>
    </row>
    <row r="447" spans="1:4" x14ac:dyDescent="0.25">
      <c r="A447" s="22" t="s">
        <v>220</v>
      </c>
      <c r="B447" s="22"/>
      <c r="C447" s="22"/>
      <c r="D447" s="1"/>
    </row>
    <row r="448" spans="1:4" x14ac:dyDescent="0.25">
      <c r="A448" s="8" t="s">
        <v>189</v>
      </c>
      <c r="B448" s="9">
        <v>16.042999999999999</v>
      </c>
      <c r="C448" s="11">
        <f>IF(C431="","",C431*$B$448)</f>
        <v>5.3700302705425216</v>
      </c>
      <c r="D448" s="1"/>
    </row>
    <row r="449" spans="1:7" x14ac:dyDescent="0.25">
      <c r="A449" s="8" t="s">
        <v>190</v>
      </c>
      <c r="B449" s="9">
        <v>30.07</v>
      </c>
      <c r="C449" s="11">
        <f>IF(C432="","",C432*$B$449)</f>
        <v>2.6461989381712625</v>
      </c>
      <c r="D449" s="1"/>
      <c r="G449" s="32"/>
    </row>
    <row r="450" spans="1:7" x14ac:dyDescent="0.25">
      <c r="A450" s="8" t="s">
        <v>191</v>
      </c>
      <c r="B450" s="9">
        <v>28.053999999999998</v>
      </c>
      <c r="C450" s="11">
        <f>IF(C433="","",C433*$B$450)</f>
        <v>0</v>
      </c>
      <c r="D450" s="1"/>
    </row>
    <row r="451" spans="1:7" x14ac:dyDescent="0.25">
      <c r="A451" s="8" t="s">
        <v>192</v>
      </c>
      <c r="B451" s="9">
        <v>44.097000000000001</v>
      </c>
      <c r="C451" s="11">
        <f>IF(C434="","",C434*$B$451)</f>
        <v>2.6213469647709564</v>
      </c>
      <c r="D451" s="1"/>
    </row>
    <row r="452" spans="1:7" x14ac:dyDescent="0.25">
      <c r="A452" s="8" t="s">
        <v>193</v>
      </c>
      <c r="B452" s="9">
        <v>42.081000000000003</v>
      </c>
      <c r="C452" s="11">
        <f>IF(C435="","",C435*$B$452)</f>
        <v>0</v>
      </c>
      <c r="D452" s="1"/>
    </row>
    <row r="453" spans="1:7" x14ac:dyDescent="0.25">
      <c r="A453" s="8" t="s">
        <v>194</v>
      </c>
      <c r="B453" s="9">
        <v>58.124000000000002</v>
      </c>
      <c r="C453" s="11">
        <f>IF(C436="","",C436*$B$453)</f>
        <v>1.4177290369863573</v>
      </c>
      <c r="D453" s="1"/>
    </row>
    <row r="454" spans="1:7" x14ac:dyDescent="0.25">
      <c r="A454" s="8" t="s">
        <v>195</v>
      </c>
      <c r="B454" s="9">
        <v>58.124000000000002</v>
      </c>
      <c r="C454" s="11">
        <f>IF(C437="","",C437*$B$454)</f>
        <v>1.3234570191617594</v>
      </c>
      <c r="D454" s="1"/>
    </row>
    <row r="455" spans="1:7" x14ac:dyDescent="0.25">
      <c r="A455" s="8" t="s">
        <v>196</v>
      </c>
      <c r="B455" s="9">
        <v>56.107999999999997</v>
      </c>
      <c r="C455" s="11">
        <f>IF(C438="","",C438*$B$455)</f>
        <v>0</v>
      </c>
      <c r="D455" s="1"/>
    </row>
    <row r="456" spans="1:7" x14ac:dyDescent="0.25">
      <c r="A456" s="8" t="s">
        <v>197</v>
      </c>
      <c r="B456" s="9">
        <v>72.150999999999996</v>
      </c>
      <c r="C456" s="11">
        <f>IF(C439="","",C439*$B$456)</f>
        <v>0.35432938821727239</v>
      </c>
      <c r="D456" s="1"/>
    </row>
    <row r="457" spans="1:7" x14ac:dyDescent="0.25">
      <c r="A457" s="8" t="s">
        <v>198</v>
      </c>
      <c r="B457" s="9">
        <v>86.177999999999997</v>
      </c>
      <c r="C457" s="11">
        <f>IF(C440="","",C440*$B$457)</f>
        <v>0</v>
      </c>
      <c r="D457" s="1"/>
    </row>
    <row r="458" spans="1:7" x14ac:dyDescent="0.25">
      <c r="A458" s="8" t="s">
        <v>199</v>
      </c>
      <c r="B458" s="9">
        <v>28.013000000000002</v>
      </c>
      <c r="C458" s="11">
        <f>IF(C441="","",C441*$B$458)</f>
        <v>0</v>
      </c>
      <c r="D458" s="1"/>
    </row>
    <row r="459" spans="1:7" x14ac:dyDescent="0.25">
      <c r="A459" s="8" t="s">
        <v>200</v>
      </c>
      <c r="B459" s="9">
        <v>2.016</v>
      </c>
      <c r="C459" s="11">
        <f>IF(C442="","",C442*$B$459)</f>
        <v>0.93660563255609364</v>
      </c>
      <c r="D459" s="1"/>
    </row>
    <row r="460" spans="1:7" x14ac:dyDescent="0.25">
      <c r="A460" s="8" t="s">
        <v>201</v>
      </c>
      <c r="B460" s="9">
        <v>31.998999999999999</v>
      </c>
      <c r="C460" s="11">
        <f>IF(C443="","",C443*$B$460)</f>
        <v>0</v>
      </c>
      <c r="D460" s="1"/>
    </row>
    <row r="461" spans="1:7" x14ac:dyDescent="0.25">
      <c r="A461" s="8" t="s">
        <v>202</v>
      </c>
      <c r="B461" s="9">
        <v>28.01</v>
      </c>
      <c r="C461" s="11">
        <f>IF(C444="","",C444*$B$461)</f>
        <v>0</v>
      </c>
      <c r="D461" s="1"/>
    </row>
    <row r="462" spans="1:7" x14ac:dyDescent="0.25">
      <c r="A462" s="8" t="s">
        <v>203</v>
      </c>
      <c r="B462" s="9">
        <v>44.01</v>
      </c>
      <c r="C462" s="11">
        <f>IF(C445="","",C445*$B$462)</f>
        <v>5.1391349162190104E-2</v>
      </c>
      <c r="D462" s="1"/>
    </row>
    <row r="463" spans="1:7" x14ac:dyDescent="0.25">
      <c r="A463" s="8" t="s">
        <v>204</v>
      </c>
      <c r="B463" s="9">
        <v>34.076000000000001</v>
      </c>
      <c r="C463" s="11">
        <f>IF(C446="","",C446*$B$463)</f>
        <v>1.9895610248248017E-5</v>
      </c>
      <c r="D463" s="1"/>
    </row>
    <row r="464" spans="1:7" x14ac:dyDescent="0.25">
      <c r="A464" s="8" t="s">
        <v>205</v>
      </c>
      <c r="B464" s="9"/>
      <c r="C464" s="11">
        <f>IF(C448="","",SUM(C448:C463))</f>
        <v>14.721108495178662</v>
      </c>
      <c r="D464" s="1"/>
    </row>
    <row r="465" spans="1:4" x14ac:dyDescent="0.25">
      <c r="A465" s="22" t="s">
        <v>219</v>
      </c>
      <c r="B465" s="22"/>
      <c r="C465" s="22"/>
      <c r="D465" s="1"/>
    </row>
    <row r="466" spans="1:4" x14ac:dyDescent="0.25">
      <c r="A466" s="8" t="s">
        <v>16</v>
      </c>
      <c r="B466" s="9" t="s">
        <v>49</v>
      </c>
      <c r="C466" s="20">
        <f>IF(C429="","",0.0776543*(C429/100)-0.00112162*(C429/100)^2-0.0000012072*(C429/100)^3+0.798622*(100/C429))</f>
        <v>0.53643301844991054</v>
      </c>
      <c r="D466" s="1"/>
    </row>
    <row r="467" spans="1:4" x14ac:dyDescent="0.25">
      <c r="A467" s="8" t="s">
        <v>68</v>
      </c>
      <c r="B467" s="9" t="s">
        <v>49</v>
      </c>
      <c r="C467" s="20">
        <f>IF(C429="","",0.0830087*(C429/100)-0.00189188*(C429/100)^2+0.0000147441*(C429/100)^3+0.143728*(100/C429))</f>
        <v>0.42525549300367865</v>
      </c>
      <c r="D467" s="1"/>
    </row>
    <row r="468" spans="1:4" x14ac:dyDescent="0.25">
      <c r="A468" s="8" t="s">
        <v>69</v>
      </c>
      <c r="B468" s="9" t="s">
        <v>49</v>
      </c>
      <c r="C468" s="20">
        <f>IF(C429="","",0.0773807*(C429/100)-0.00233748*(C429/100)^2+0.0000280498*(C429/100)^3+0.101394*(100/C429))</f>
        <v>0.37569448056767341</v>
      </c>
      <c r="D468" s="1"/>
    </row>
    <row r="469" spans="1:4" x14ac:dyDescent="0.25">
      <c r="A469" s="8" t="s">
        <v>70</v>
      </c>
      <c r="B469" s="9" t="s">
        <v>49</v>
      </c>
      <c r="C469" s="20">
        <f>IF(C429="","",0.088012*(C429/100)-0.00241553*(C429/100)^2+0.0000255127*(C429/100)^3-0.033623*(100/C429))</f>
        <v>0.40620243642109422</v>
      </c>
      <c r="D469" s="1"/>
    </row>
    <row r="470" spans="1:4" x14ac:dyDescent="0.25">
      <c r="A470" s="8" t="s">
        <v>71</v>
      </c>
      <c r="B470" s="9" t="s">
        <v>49</v>
      </c>
      <c r="C470" s="20">
        <f>IF(C429="","",0.0761423*(C429/100)-0.00212824*(C429/100)^2+0.0000230049*(C429/100)^3+0.066058*(100/C429))</f>
        <v>0.36786868461121097</v>
      </c>
      <c r="D470" s="1"/>
    </row>
    <row r="471" spans="1:4" x14ac:dyDescent="0.25">
      <c r="A471" s="8" t="s">
        <v>72</v>
      </c>
      <c r="B471" s="9" t="s">
        <v>49</v>
      </c>
      <c r="C471" s="20">
        <f>IF(C429="","",0.0904328*(C429/100)-0.00268123*(C429/100)^2+0.0000310858*(C429/100)^3-0.072466*(100/C429))</f>
        <v>0.40528545261960192</v>
      </c>
      <c r="D471" s="1"/>
    </row>
    <row r="472" spans="1:4" x14ac:dyDescent="0.25">
      <c r="A472" s="8" t="s">
        <v>73</v>
      </c>
      <c r="B472" s="9" t="s">
        <v>49</v>
      </c>
      <c r="C472" s="20">
        <f>IF(C429="","",0.0873284*(C429/100)-0.00244614*(C429/100)^2+0.0000263297*(C429/100)^3-0.000166*(100/C429))</f>
        <v>0.40782848045558928</v>
      </c>
      <c r="D472" s="1"/>
    </row>
    <row r="473" spans="1:4" x14ac:dyDescent="0.25">
      <c r="A473" s="8" t="s">
        <v>74</v>
      </c>
      <c r="B473" s="9" t="s">
        <v>49</v>
      </c>
      <c r="C473" s="20">
        <f>IF(C429="","",0.0810215*(C429/100)-0.00244194*(C429/100)^2+0.0000289049*(C429/100)^3-0.021342*(100/C429))</f>
        <v>0.370085532225647</v>
      </c>
      <c r="D473" s="1"/>
    </row>
    <row r="474" spans="1:4" x14ac:dyDescent="0.25">
      <c r="A474" s="8" t="s">
        <v>75</v>
      </c>
      <c r="B474" s="9" t="s">
        <v>49</v>
      </c>
      <c r="C474" s="20">
        <f>IF(C429="","",0.0872614*(C429/100)-0.00249277*(C429/100)^2+0.0000274194*(C429/100)^3-0.004821*(100/C429))</f>
        <v>0.40539897318588558</v>
      </c>
      <c r="D474" s="1"/>
    </row>
    <row r="475" spans="1:4" x14ac:dyDescent="0.25">
      <c r="A475" s="8" t="s">
        <v>76</v>
      </c>
      <c r="B475" s="9" t="s">
        <v>49</v>
      </c>
      <c r="C475" s="20">
        <f>IF(C429="","",0.08763*(C429/100)-0.00258687*(C429/100)^2+0.0000295908*(C429/100)^3-0.021653*(100/C429))</f>
        <v>0.4018764095677318</v>
      </c>
      <c r="D475" s="1"/>
    </row>
    <row r="476" spans="1:4" x14ac:dyDescent="0.25">
      <c r="A476" s="8" t="s">
        <v>77</v>
      </c>
      <c r="B476" s="9" t="s">
        <v>49</v>
      </c>
      <c r="C476" s="20">
        <f>IF(C429="","",0.0288541*(C429/100)-0.00118902*(C429/100)^2+0.0000185046*(C429/100)^3+0.663371*(100/C429))</f>
        <v>0.24662917387447642</v>
      </c>
      <c r="D476" s="1"/>
    </row>
    <row r="477" spans="1:4" x14ac:dyDescent="0.25">
      <c r="A477" s="8" t="s">
        <v>78</v>
      </c>
      <c r="B477" s="9" t="s">
        <v>49</v>
      </c>
      <c r="C477" s="20">
        <f>IF(C429="","",0.4383729*(C429/100)-0.021712*(C429/100)^2+0.0003856489*(C429/100)^3+8.629312*(100/C429))</f>
        <v>3.3897500322044243</v>
      </c>
      <c r="D477" s="1"/>
    </row>
    <row r="478" spans="1:4" x14ac:dyDescent="0.25">
      <c r="A478" s="8" t="s">
        <v>79</v>
      </c>
      <c r="B478" s="9" t="s">
        <v>49</v>
      </c>
      <c r="C478" s="20">
        <f>IF(C429="","",0.0286895*(C429/100)-0.00121326*(C429/100)^2+0.0000186119*(C429/100)^3+0.518105*(100/C429))</f>
        <v>0.21839739250139317</v>
      </c>
      <c r="D478" s="1"/>
    </row>
    <row r="479" spans="1:4" x14ac:dyDescent="0.25">
      <c r="A479" s="8" t="s">
        <v>80</v>
      </c>
      <c r="B479" s="9" t="s">
        <v>49</v>
      </c>
      <c r="C479" s="20">
        <f>IF(C429="","",0.0292794*(C429/100)-0.00119378*(C429/100)^2+0.0000182626*(C429/100)^3+0.653378*(100/C429))</f>
        <v>0.24693634437793316</v>
      </c>
      <c r="D479" s="1"/>
    </row>
    <row r="480" spans="1:4" x14ac:dyDescent="0.25">
      <c r="A480" s="8" t="s">
        <v>81</v>
      </c>
      <c r="B480" s="9" t="s">
        <v>49</v>
      </c>
      <c r="C480" s="20">
        <f>IF(C429="","",0.0341626*(C429/100)-0.00143219*(C429/100)^2+0.0000219472*(C429/100)^3+0.297697*(100/C429))</f>
        <v>0.20187480513197617</v>
      </c>
      <c r="D480" s="1"/>
    </row>
    <row r="481" spans="1:4" x14ac:dyDescent="0.25">
      <c r="A481" s="8" t="s">
        <v>82</v>
      </c>
      <c r="B481" s="9" t="s">
        <v>49</v>
      </c>
      <c r="C481" s="20">
        <f>IF(C429="","",0.0323884*(C429/100)-0.00122936*(C429/100)^2+0.0000187648*(C429/100)^3+0.502249*(100/C429))</f>
        <v>0.23521382763360787</v>
      </c>
      <c r="D481" s="1"/>
    </row>
    <row r="482" spans="1:4" x14ac:dyDescent="0.25">
      <c r="A482" s="22" t="s">
        <v>219</v>
      </c>
      <c r="B482" s="22"/>
      <c r="C482" s="22"/>
      <c r="D482" s="1"/>
    </row>
    <row r="483" spans="1:4" x14ac:dyDescent="0.25">
      <c r="A483" s="8" t="s">
        <v>16</v>
      </c>
      <c r="B483" s="9" t="s">
        <v>49</v>
      </c>
      <c r="C483" s="20">
        <f t="shared" ref="C483:C498" si="12">IF(C466="","",C431*C466)</f>
        <v>0.17955878247176429</v>
      </c>
      <c r="D483" s="1"/>
    </row>
    <row r="484" spans="1:4" x14ac:dyDescent="0.25">
      <c r="A484" s="8" t="s">
        <v>68</v>
      </c>
      <c r="B484" s="9" t="s">
        <v>49</v>
      </c>
      <c r="C484" s="20">
        <f t="shared" si="12"/>
        <v>3.7423034055132393E-2</v>
      </c>
      <c r="D484" s="1"/>
    </row>
    <row r="485" spans="1:4" x14ac:dyDescent="0.25">
      <c r="A485" s="8" t="s">
        <v>69</v>
      </c>
      <c r="B485" s="9" t="s">
        <v>49</v>
      </c>
      <c r="C485" s="20">
        <f t="shared" si="12"/>
        <v>0</v>
      </c>
      <c r="D485" s="1"/>
    </row>
    <row r="486" spans="1:4" x14ac:dyDescent="0.25">
      <c r="A486" s="8" t="s">
        <v>70</v>
      </c>
      <c r="B486" s="9" t="s">
        <v>49</v>
      </c>
      <c r="C486" s="20">
        <f t="shared" si="12"/>
        <v>2.4146711200195084E-2</v>
      </c>
      <c r="D486" s="1"/>
    </row>
    <row r="487" spans="1:4" x14ac:dyDescent="0.25">
      <c r="A487" s="8" t="s">
        <v>71</v>
      </c>
      <c r="B487" s="9" t="s">
        <v>49</v>
      </c>
      <c r="C487" s="20">
        <f t="shared" si="12"/>
        <v>0</v>
      </c>
      <c r="D487" s="1"/>
    </row>
    <row r="488" spans="1:4" x14ac:dyDescent="0.25">
      <c r="A488" s="8" t="s">
        <v>72</v>
      </c>
      <c r="B488" s="9" t="s">
        <v>49</v>
      </c>
      <c r="C488" s="20">
        <f t="shared" si="12"/>
        <v>9.8855026227886618E-3</v>
      </c>
      <c r="D488" s="1"/>
    </row>
    <row r="489" spans="1:4" x14ac:dyDescent="0.25">
      <c r="A489" s="8" t="s">
        <v>73</v>
      </c>
      <c r="B489" s="9" t="s">
        <v>49</v>
      </c>
      <c r="C489" s="20">
        <f t="shared" si="12"/>
        <v>9.2860688368492181E-3</v>
      </c>
      <c r="D489" s="1"/>
    </row>
    <row r="490" spans="1:4" x14ac:dyDescent="0.25">
      <c r="A490" s="8" t="s">
        <v>74</v>
      </c>
      <c r="B490" s="9" t="s">
        <v>49</v>
      </c>
      <c r="C490" s="20">
        <f t="shared" si="12"/>
        <v>0</v>
      </c>
      <c r="D490" s="1"/>
    </row>
    <row r="491" spans="1:4" x14ac:dyDescent="0.25">
      <c r="A491" s="8" t="s">
        <v>75</v>
      </c>
      <c r="B491" s="9" t="s">
        <v>49</v>
      </c>
      <c r="C491" s="20">
        <f t="shared" si="12"/>
        <v>1.990890911461591E-3</v>
      </c>
      <c r="D491" s="1"/>
    </row>
    <row r="492" spans="1:4" x14ac:dyDescent="0.25">
      <c r="A492" s="8" t="s">
        <v>76</v>
      </c>
      <c r="B492" s="9" t="s">
        <v>49</v>
      </c>
      <c r="C492" s="20">
        <f t="shared" si="12"/>
        <v>0</v>
      </c>
      <c r="D492" s="1"/>
    </row>
    <row r="493" spans="1:4" x14ac:dyDescent="0.25">
      <c r="A493" s="8" t="s">
        <v>77</v>
      </c>
      <c r="B493" s="9" t="s">
        <v>49</v>
      </c>
      <c r="C493" s="20">
        <f t="shared" si="12"/>
        <v>0</v>
      </c>
      <c r="D493" s="1"/>
    </row>
    <row r="494" spans="1:4" x14ac:dyDescent="0.25">
      <c r="A494" s="8" t="s">
        <v>78</v>
      </c>
      <c r="B494" s="9" t="s">
        <v>49</v>
      </c>
      <c r="C494" s="20">
        <f t="shared" si="12"/>
        <v>1.5748308398412021</v>
      </c>
      <c r="D494" s="1"/>
    </row>
    <row r="495" spans="1:4" x14ac:dyDescent="0.25">
      <c r="A495" s="8" t="s">
        <v>79</v>
      </c>
      <c r="B495" s="9" t="s">
        <v>49</v>
      </c>
      <c r="C495" s="20">
        <f t="shared" si="12"/>
        <v>0</v>
      </c>
      <c r="D495" s="1"/>
    </row>
    <row r="496" spans="1:4" x14ac:dyDescent="0.25">
      <c r="A496" s="8" t="s">
        <v>80</v>
      </c>
      <c r="B496" s="9" t="s">
        <v>49</v>
      </c>
      <c r="C496" s="20">
        <f t="shared" si="12"/>
        <v>0</v>
      </c>
      <c r="D496" s="1"/>
    </row>
    <row r="497" spans="1:4" x14ac:dyDescent="0.25">
      <c r="A497" s="8" t="s">
        <v>81</v>
      </c>
      <c r="B497" s="9" t="s">
        <v>49</v>
      </c>
      <c r="C497" s="20">
        <f t="shared" si="12"/>
        <v>2.3573321057910647E-4</v>
      </c>
      <c r="D497" s="1"/>
    </row>
    <row r="498" spans="1:4" x14ac:dyDescent="0.25">
      <c r="A498" s="8" t="s">
        <v>82</v>
      </c>
      <c r="B498" s="9" t="s">
        <v>49</v>
      </c>
      <c r="C498" s="20">
        <f t="shared" si="12"/>
        <v>1.3733192392290324E-7</v>
      </c>
      <c r="D498" s="1"/>
    </row>
    <row r="499" spans="1:4" x14ac:dyDescent="0.25">
      <c r="A499" s="8" t="s">
        <v>206</v>
      </c>
      <c r="B499" s="9" t="s">
        <v>49</v>
      </c>
      <c r="C499" s="20">
        <f>IF(C483="","",SUM(C483:C498))</f>
        <v>1.8373577004818964</v>
      </c>
      <c r="D499" s="1"/>
    </row>
    <row r="500" spans="1:4" x14ac:dyDescent="0.25">
      <c r="A500" s="8" t="s">
        <v>95</v>
      </c>
      <c r="B500" s="9"/>
      <c r="C500" s="21"/>
      <c r="D500" s="1"/>
    </row>
    <row r="501" spans="1:4" x14ac:dyDescent="0.25">
      <c r="A501" s="22" t="s">
        <v>207</v>
      </c>
      <c r="B501" s="22"/>
      <c r="C501" s="22"/>
      <c r="D501" s="1"/>
    </row>
    <row r="502" spans="1:4" x14ac:dyDescent="0.25">
      <c r="A502" s="8" t="s">
        <v>208</v>
      </c>
      <c r="B502" s="9"/>
      <c r="C502" s="11">
        <f>34.08/C464*C25</f>
        <v>1.345412245986086E-4</v>
      </c>
      <c r="D502" s="1"/>
    </row>
    <row r="503" spans="1:4" x14ac:dyDescent="0.25">
      <c r="A503" s="8" t="s">
        <v>209</v>
      </c>
      <c r="B503" s="9" t="s">
        <v>5</v>
      </c>
      <c r="C503" s="11">
        <f>IF(C502&lt;1.1,279*C502^0.0363,43.442*(LOG(C502))^2+13.516*LOG(C502)+277.8)</f>
        <v>201.87458804519386</v>
      </c>
      <c r="D503" s="1"/>
    </row>
    <row r="504" spans="1:4" x14ac:dyDescent="0.25">
      <c r="A504" s="8" t="s">
        <v>210</v>
      </c>
      <c r="B504" s="9" t="s">
        <v>5</v>
      </c>
      <c r="C504" s="11">
        <f>IF(C502&gt;0.5,-0.4468*C502^2+11.561*C502+269.07,151*C502+199.3)</f>
        <v>199.32031572491439</v>
      </c>
      <c r="D504" s="1"/>
    </row>
    <row r="505" spans="1:4" x14ac:dyDescent="0.25">
      <c r="A505" s="8" t="s">
        <v>211</v>
      </c>
      <c r="B505" s="9" t="s">
        <v>2</v>
      </c>
      <c r="C505" s="11">
        <f>(MAX(C503,C504)-32)/1.8</f>
        <v>94.374771136218811</v>
      </c>
      <c r="D505" s="1"/>
    </row>
    <row r="506" spans="1:4" x14ac:dyDescent="0.25">
      <c r="A506" s="8" t="s">
        <v>95</v>
      </c>
      <c r="B506" s="13"/>
      <c r="C506" s="13"/>
      <c r="D506" s="1"/>
    </row>
    <row r="507" spans="1:4" x14ac:dyDescent="0.25">
      <c r="A507" s="22" t="s">
        <v>212</v>
      </c>
      <c r="B507" s="22"/>
      <c r="C507" s="22"/>
      <c r="D507" s="1"/>
    </row>
    <row r="508" spans="1:4" x14ac:dyDescent="0.25">
      <c r="A508" s="8"/>
      <c r="B508" s="9" t="s">
        <v>213</v>
      </c>
      <c r="C508" s="20">
        <f>C270/1000</f>
        <v>2.6997287877411334E-3</v>
      </c>
      <c r="D508" s="1"/>
    </row>
    <row r="509" spans="1:4" x14ac:dyDescent="0.25">
      <c r="A509" s="8"/>
      <c r="B509" s="9" t="s">
        <v>214</v>
      </c>
      <c r="C509" s="20">
        <f>C508*C464/22.414</f>
        <v>1.7731328808733105E-3</v>
      </c>
      <c r="D509" s="1"/>
    </row>
    <row r="510" spans="1:4" x14ac:dyDescent="0.25">
      <c r="A510" s="8"/>
      <c r="B510" s="9" t="s">
        <v>215</v>
      </c>
      <c r="C510" s="20">
        <f>C508*1000000/C190</f>
        <v>0.21630610980239431</v>
      </c>
      <c r="D510" s="1"/>
    </row>
    <row r="511" spans="1:4" x14ac:dyDescent="0.25">
      <c r="A511" s="8"/>
      <c r="B511" s="9" t="s">
        <v>216</v>
      </c>
      <c r="C511" s="11">
        <f>C508*C419</f>
        <v>1.5662578769883739</v>
      </c>
      <c r="D511" s="1"/>
    </row>
    <row r="514" spans="1:13" x14ac:dyDescent="0.25">
      <c r="A514" s="22" t="s">
        <v>235</v>
      </c>
      <c r="B514" s="22"/>
      <c r="C514" s="22"/>
    </row>
    <row r="515" spans="1:13" x14ac:dyDescent="0.25">
      <c r="A515" s="8" t="s">
        <v>230</v>
      </c>
      <c r="B515" s="9" t="s">
        <v>232</v>
      </c>
      <c r="C515" s="20">
        <f>C373</f>
        <v>2.4352726544101335</v>
      </c>
      <c r="G515" s="1"/>
      <c r="H515" s="1"/>
      <c r="I515" s="1"/>
      <c r="J515" s="1"/>
      <c r="K515" s="1"/>
      <c r="L515" s="1"/>
      <c r="M515" s="1"/>
    </row>
    <row r="516" spans="1:13" x14ac:dyDescent="0.25">
      <c r="A516" s="8" t="s">
        <v>19</v>
      </c>
      <c r="B516" s="9" t="s">
        <v>232</v>
      </c>
      <c r="C516" s="20">
        <f>C270</f>
        <v>2.6997287877411336</v>
      </c>
      <c r="G516" s="1"/>
      <c r="H516" s="1"/>
      <c r="I516" s="1"/>
      <c r="J516" s="1"/>
      <c r="K516" s="1"/>
      <c r="L516" s="1"/>
      <c r="M516" s="1"/>
    </row>
    <row r="517" spans="1:13" x14ac:dyDescent="0.25">
      <c r="A517" s="8" t="s">
        <v>18</v>
      </c>
      <c r="B517" s="9" t="s">
        <v>232</v>
      </c>
      <c r="C517" s="20">
        <f>C350+0.79*C365</f>
        <v>16.893129749996127</v>
      </c>
      <c r="G517" s="1"/>
      <c r="H517" s="33"/>
      <c r="I517" s="1"/>
      <c r="K517" s="1"/>
      <c r="L517" s="1"/>
      <c r="M517" s="1"/>
    </row>
    <row r="518" spans="1:13" x14ac:dyDescent="0.25">
      <c r="A518" s="8" t="s">
        <v>231</v>
      </c>
      <c r="B518" s="9" t="s">
        <v>232</v>
      </c>
      <c r="C518" s="20">
        <f>0.21*C365</f>
        <v>0.93507093345431613</v>
      </c>
      <c r="G518" s="1"/>
      <c r="H518" s="6"/>
      <c r="I518" s="1"/>
      <c r="K518" s="1"/>
      <c r="L518" s="1"/>
      <c r="M518" s="1"/>
    </row>
    <row r="519" spans="1:13" x14ac:dyDescent="0.25">
      <c r="G519" s="1"/>
      <c r="H519" s="1"/>
      <c r="I519" s="1"/>
      <c r="K519" s="1"/>
      <c r="L519" s="1"/>
      <c r="M519" s="1"/>
    </row>
    <row r="520" spans="1:13" x14ac:dyDescent="0.25">
      <c r="A520" s="8" t="s">
        <v>230</v>
      </c>
      <c r="B520" s="9" t="s">
        <v>233</v>
      </c>
      <c r="C520" s="16">
        <f>C515*$C$419</f>
        <v>1412.8326500439543</v>
      </c>
      <c r="G520" s="1"/>
      <c r="H520" s="1"/>
      <c r="I520" s="1"/>
      <c r="K520" s="1"/>
      <c r="L520" s="1"/>
      <c r="M520" s="1"/>
    </row>
    <row r="521" spans="1:13" x14ac:dyDescent="0.25">
      <c r="A521" s="8" t="s">
        <v>19</v>
      </c>
      <c r="B521" s="9" t="s">
        <v>233</v>
      </c>
      <c r="C521" s="16">
        <f t="shared" ref="C521:C523" si="13">C516*$C$419</f>
        <v>1566.2578769883739</v>
      </c>
      <c r="G521" s="1"/>
      <c r="H521" s="1"/>
      <c r="I521" s="1"/>
      <c r="J521" s="6"/>
      <c r="K521" s="1"/>
      <c r="L521" s="6"/>
      <c r="M521" s="1"/>
    </row>
    <row r="522" spans="1:13" x14ac:dyDescent="0.25">
      <c r="A522" s="8" t="s">
        <v>18</v>
      </c>
      <c r="B522" s="9" t="s">
        <v>233</v>
      </c>
      <c r="C522" s="16">
        <f t="shared" si="13"/>
        <v>9800.6131793913828</v>
      </c>
      <c r="G522" s="1"/>
      <c r="H522" s="1"/>
      <c r="I522" s="1"/>
      <c r="J522" s="1"/>
      <c r="K522" s="1"/>
      <c r="L522" s="1"/>
      <c r="M522" s="1"/>
    </row>
    <row r="523" spans="1:13" x14ac:dyDescent="0.25">
      <c r="A523" s="8" t="s">
        <v>231</v>
      </c>
      <c r="B523" s="9" t="s">
        <v>233</v>
      </c>
      <c r="C523" s="16">
        <f t="shared" si="13"/>
        <v>542.48494208601426</v>
      </c>
    </row>
    <row r="524" spans="1:13" x14ac:dyDescent="0.25">
      <c r="C524" s="34"/>
    </row>
    <row r="525" spans="1:13" x14ac:dyDescent="0.25">
      <c r="A525" s="8" t="s">
        <v>230</v>
      </c>
      <c r="B525" s="9" t="s">
        <v>54</v>
      </c>
      <c r="C525" s="16">
        <f>C520/18.015*22.414</f>
        <v>1757.825757318079</v>
      </c>
    </row>
    <row r="526" spans="1:13" x14ac:dyDescent="0.25">
      <c r="A526" s="8" t="s">
        <v>19</v>
      </c>
      <c r="B526" s="9" t="s">
        <v>54</v>
      </c>
      <c r="C526" s="16">
        <f>C521/$B$462*22.414</f>
        <v>797.68470926647171</v>
      </c>
    </row>
    <row r="527" spans="1:13" x14ac:dyDescent="0.25">
      <c r="A527" s="8" t="s">
        <v>18</v>
      </c>
      <c r="B527" s="9" t="s">
        <v>54</v>
      </c>
      <c r="C527" s="16">
        <f>C522/$B$458*22.414</f>
        <v>7841.7500375853515</v>
      </c>
    </row>
    <row r="528" spans="1:13" x14ac:dyDescent="0.25">
      <c r="A528" s="8" t="s">
        <v>231</v>
      </c>
      <c r="B528" s="9" t="s">
        <v>54</v>
      </c>
      <c r="C528" s="16">
        <f>C523/$B$460*22.414</f>
        <v>379.98867126834978</v>
      </c>
    </row>
    <row r="529" spans="1:3" x14ac:dyDescent="0.25">
      <c r="A529" s="8" t="s">
        <v>234</v>
      </c>
      <c r="B529" s="9" t="s">
        <v>54</v>
      </c>
      <c r="C529" s="16">
        <f>SUM(C525:C528)</f>
        <v>10777.249175438252</v>
      </c>
    </row>
    <row r="531" spans="1:3" x14ac:dyDescent="0.25">
      <c r="A531" s="22" t="s">
        <v>236</v>
      </c>
      <c r="B531" s="22"/>
      <c r="C531" s="22"/>
    </row>
    <row r="532" spans="1:3" x14ac:dyDescent="0.25">
      <c r="A532" s="8" t="s">
        <v>230</v>
      </c>
      <c r="B532" s="9" t="s">
        <v>232</v>
      </c>
      <c r="C532" s="20">
        <f>C373</f>
        <v>2.4352726544101335</v>
      </c>
    </row>
    <row r="533" spans="1:3" x14ac:dyDescent="0.25">
      <c r="A533" s="8" t="s">
        <v>19</v>
      </c>
      <c r="B533" s="9" t="s">
        <v>232</v>
      </c>
      <c r="C533" s="20">
        <f>C270</f>
        <v>2.6997287877411336</v>
      </c>
    </row>
    <row r="534" spans="1:3" x14ac:dyDescent="0.25">
      <c r="A534" s="8" t="s">
        <v>18</v>
      </c>
      <c r="B534" s="9" t="s">
        <v>232</v>
      </c>
      <c r="C534" s="20">
        <f>C350+0.79*C369</f>
        <v>17.653818154719126</v>
      </c>
    </row>
    <row r="535" spans="1:3" x14ac:dyDescent="0.25">
      <c r="A535" s="8" t="s">
        <v>231</v>
      </c>
      <c r="B535" s="9" t="s">
        <v>232</v>
      </c>
      <c r="C535" s="20">
        <f>0.21*C369</f>
        <v>1.1372792435705561</v>
      </c>
    </row>
    <row r="537" spans="1:3" x14ac:dyDescent="0.25">
      <c r="A537" s="8" t="s">
        <v>230</v>
      </c>
      <c r="B537" s="9" t="s">
        <v>233</v>
      </c>
      <c r="C537" s="16">
        <f>C532*$C$419</f>
        <v>1412.8326500439543</v>
      </c>
    </row>
    <row r="538" spans="1:3" x14ac:dyDescent="0.25">
      <c r="A538" s="8" t="s">
        <v>19</v>
      </c>
      <c r="B538" s="9" t="s">
        <v>233</v>
      </c>
      <c r="C538" s="16">
        <f t="shared" ref="C538:C540" si="14">C533*$C$419</f>
        <v>1566.2578769883739</v>
      </c>
    </row>
    <row r="539" spans="1:3" x14ac:dyDescent="0.25">
      <c r="A539" s="8" t="s">
        <v>18</v>
      </c>
      <c r="B539" s="9" t="s">
        <v>233</v>
      </c>
      <c r="C539" s="16">
        <f t="shared" si="14"/>
        <v>10241.929437247043</v>
      </c>
    </row>
    <row r="540" spans="1:3" x14ac:dyDescent="0.25">
      <c r="A540" s="8" t="s">
        <v>231</v>
      </c>
      <c r="B540" s="9" t="s">
        <v>233</v>
      </c>
      <c r="C540" s="16">
        <f t="shared" si="14"/>
        <v>659.79685873118979</v>
      </c>
    </row>
    <row r="541" spans="1:3" x14ac:dyDescent="0.25">
      <c r="C541" s="34"/>
    </row>
    <row r="542" spans="1:3" x14ac:dyDescent="0.25">
      <c r="A542" s="8" t="s">
        <v>230</v>
      </c>
      <c r="B542" s="9" t="s">
        <v>54</v>
      </c>
      <c r="C542" s="16">
        <f>C537/18.015*22.414</f>
        <v>1757.825757318079</v>
      </c>
    </row>
    <row r="543" spans="1:3" x14ac:dyDescent="0.25">
      <c r="A543" s="8" t="s">
        <v>19</v>
      </c>
      <c r="B543" s="9" t="s">
        <v>54</v>
      </c>
      <c r="C543" s="16">
        <f>C538/$B$462*22.414</f>
        <v>797.68470926647171</v>
      </c>
    </row>
    <row r="544" spans="1:3" x14ac:dyDescent="0.25">
      <c r="A544" s="8" t="s">
        <v>18</v>
      </c>
      <c r="B544" s="9" t="s">
        <v>54</v>
      </c>
      <c r="C544" s="16">
        <f>C539/$B$458*22.414</f>
        <v>8194.8597581999511</v>
      </c>
    </row>
    <row r="545" spans="1:3" x14ac:dyDescent="0.25">
      <c r="A545" s="8" t="s">
        <v>231</v>
      </c>
      <c r="B545" s="9" t="s">
        <v>54</v>
      </c>
      <c r="C545" s="16">
        <f>C540/$B$460*22.414</f>
        <v>462.16090476580166</v>
      </c>
    </row>
    <row r="546" spans="1:3" x14ac:dyDescent="0.25">
      <c r="A546" s="8" t="s">
        <v>234</v>
      </c>
      <c r="B546" s="9" t="s">
        <v>54</v>
      </c>
      <c r="C546" s="16">
        <f>SUM(C542:C545)</f>
        <v>11212.531129550303</v>
      </c>
    </row>
  </sheetData>
  <mergeCells count="7">
    <mergeCell ref="A2:B2"/>
    <mergeCell ref="A48:B48"/>
    <mergeCell ref="A53:A55"/>
    <mergeCell ref="A69:C69"/>
    <mergeCell ref="A84:B84"/>
    <mergeCell ref="A81:B81"/>
    <mergeCell ref="A57:B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Heater Calculations</vt:lpstr>
    </vt:vector>
  </TitlesOfParts>
  <Company>EPROM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Hassan Abu Mady</dc:creator>
  <cp:lastModifiedBy>Ahmed Mohamed Sabri</cp:lastModifiedBy>
  <dcterms:created xsi:type="dcterms:W3CDTF">2025-06-23T08:23:40Z</dcterms:created>
  <dcterms:modified xsi:type="dcterms:W3CDTF">2025-08-18T11:34:07Z</dcterms:modified>
</cp:coreProperties>
</file>