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tti\Documents\Université\Controle de gestion\M1---Controle-de-gestion\"/>
    </mc:Choice>
  </mc:AlternateContent>
  <xr:revisionPtr revIDLastSave="0" documentId="13_ncr:1_{7EE8B0A7-5D0F-4A08-ADC3-B50F3963FBF0}" xr6:coauthVersionLast="47" xr6:coauthVersionMax="47" xr10:uidLastSave="{00000000-0000-0000-0000-000000000000}"/>
  <bookViews>
    <workbookView xWindow="-110" yWindow="-110" windowWidth="19420" windowHeight="11020" xr2:uid="{E93606DE-3904-4879-9FF7-DAF90B90E3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9" i="1" l="1"/>
  <c r="J220" i="1"/>
  <c r="J221" i="1"/>
  <c r="J218" i="1"/>
  <c r="H222" i="1"/>
  <c r="H223" i="1"/>
  <c r="I219" i="1" s="1"/>
  <c r="D216" i="1"/>
  <c r="D217" i="1"/>
  <c r="D218" i="1"/>
  <c r="D219" i="1"/>
  <c r="H218" i="1" s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5" i="1"/>
  <c r="H219" i="1"/>
  <c r="H220" i="1"/>
  <c r="H221" i="1"/>
  <c r="B187" i="1"/>
  <c r="B186" i="1"/>
  <c r="A187" i="1"/>
  <c r="A186" i="1"/>
  <c r="B177" i="1"/>
  <c r="P99" i="1"/>
  <c r="D161" i="1"/>
  <c r="C163" i="1"/>
  <c r="D163" i="1" s="1"/>
  <c r="C162" i="1"/>
  <c r="D162" i="1" s="1"/>
  <c r="C161" i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J156" i="1" s="1"/>
  <c r="C153" i="1"/>
  <c r="C152" i="1"/>
  <c r="D152" i="1" s="1"/>
  <c r="B126" i="1"/>
  <c r="C126" i="1"/>
  <c r="D126" i="1"/>
  <c r="E126" i="1"/>
  <c r="C132" i="1"/>
  <c r="C133" i="1"/>
  <c r="C134" i="1"/>
  <c r="C135" i="1"/>
  <c r="C136" i="1"/>
  <c r="C137" i="1"/>
  <c r="C138" i="1"/>
  <c r="C139" i="1"/>
  <c r="C140" i="1"/>
  <c r="C141" i="1"/>
  <c r="C142" i="1"/>
  <c r="C131" i="1"/>
  <c r="Q100" i="1"/>
  <c r="Q101" i="1"/>
  <c r="Q102" i="1"/>
  <c r="Q103" i="1"/>
  <c r="Q99" i="1"/>
  <c r="P100" i="1"/>
  <c r="P101" i="1"/>
  <c r="P102" i="1"/>
  <c r="P103" i="1"/>
  <c r="O100" i="1"/>
  <c r="O101" i="1"/>
  <c r="O102" i="1"/>
  <c r="O103" i="1"/>
  <c r="O99" i="1"/>
  <c r="N105" i="1"/>
  <c r="S102" i="1" s="1"/>
  <c r="M105" i="1"/>
  <c r="R101" i="1" s="1"/>
  <c r="U101" i="1" s="1"/>
  <c r="N104" i="1"/>
  <c r="M104" i="1"/>
  <c r="B106" i="1"/>
  <c r="G103" i="1" s="1"/>
  <c r="A106" i="1"/>
  <c r="C101" i="1" s="1"/>
  <c r="B105" i="1"/>
  <c r="A105" i="1"/>
  <c r="H81" i="1"/>
  <c r="H80" i="1"/>
  <c r="H79" i="1"/>
  <c r="H78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45" i="1"/>
  <c r="A61" i="1"/>
  <c r="A62" i="1" s="1"/>
  <c r="I47" i="1" s="1"/>
  <c r="C19" i="1"/>
  <c r="B46" i="1" s="1"/>
  <c r="C46" i="1" s="1"/>
  <c r="C20" i="1"/>
  <c r="B47" i="1" s="1"/>
  <c r="C47" i="1" s="1"/>
  <c r="C21" i="1"/>
  <c r="B48" i="1" s="1"/>
  <c r="C48" i="1" s="1"/>
  <c r="C22" i="1"/>
  <c r="B49" i="1" s="1"/>
  <c r="C49" i="1" s="1"/>
  <c r="C23" i="1"/>
  <c r="B50" i="1" s="1"/>
  <c r="C50" i="1" s="1"/>
  <c r="C24" i="1"/>
  <c r="B51" i="1" s="1"/>
  <c r="C51" i="1" s="1"/>
  <c r="C25" i="1"/>
  <c r="B52" i="1" s="1"/>
  <c r="C52" i="1" s="1"/>
  <c r="C26" i="1"/>
  <c r="B53" i="1" s="1"/>
  <c r="C53" i="1" s="1"/>
  <c r="C27" i="1"/>
  <c r="B54" i="1" s="1"/>
  <c r="C54" i="1" s="1"/>
  <c r="C28" i="1"/>
  <c r="B55" i="1" s="1"/>
  <c r="C55" i="1" s="1"/>
  <c r="C29" i="1"/>
  <c r="B56" i="1" s="1"/>
  <c r="C56" i="1" s="1"/>
  <c r="C30" i="1"/>
  <c r="B57" i="1" s="1"/>
  <c r="C57" i="1" s="1"/>
  <c r="C31" i="1"/>
  <c r="B58" i="1" s="1"/>
  <c r="C58" i="1" s="1"/>
  <c r="C32" i="1"/>
  <c r="B59" i="1" s="1"/>
  <c r="C59" i="1" s="1"/>
  <c r="C33" i="1"/>
  <c r="B60" i="1" s="1"/>
  <c r="C60" i="1" s="1"/>
  <c r="C18" i="1"/>
  <c r="B45" i="1" s="1"/>
  <c r="I218" i="1" l="1"/>
  <c r="I221" i="1"/>
  <c r="I220" i="1"/>
  <c r="J154" i="1"/>
  <c r="P104" i="1"/>
  <c r="Q104" i="1"/>
  <c r="R100" i="1"/>
  <c r="U100" i="1" s="1"/>
  <c r="J157" i="1"/>
  <c r="D61" i="1"/>
  <c r="I54" i="1" s="1"/>
  <c r="F101" i="1"/>
  <c r="O104" i="1"/>
  <c r="B61" i="1"/>
  <c r="B62" i="1" s="1"/>
  <c r="C45" i="1"/>
  <c r="C61" i="1" s="1"/>
  <c r="F100" i="1"/>
  <c r="R99" i="1"/>
  <c r="I155" i="1"/>
  <c r="F104" i="1"/>
  <c r="R103" i="1"/>
  <c r="U103" i="1" s="1"/>
  <c r="I156" i="1"/>
  <c r="D153" i="1"/>
  <c r="J155" i="1" s="1"/>
  <c r="F103" i="1"/>
  <c r="R102" i="1"/>
  <c r="U102" i="1" s="1"/>
  <c r="I157" i="1"/>
  <c r="I154" i="1"/>
  <c r="F102" i="1"/>
  <c r="G102" i="1"/>
  <c r="G101" i="1"/>
  <c r="D100" i="1"/>
  <c r="D103" i="1"/>
  <c r="E103" i="1" s="1"/>
  <c r="D102" i="1"/>
  <c r="G104" i="1"/>
  <c r="G100" i="1"/>
  <c r="D104" i="1"/>
  <c r="D101" i="1"/>
  <c r="E101" i="1" s="1"/>
  <c r="V102" i="1"/>
  <c r="S101" i="1"/>
  <c r="S100" i="1"/>
  <c r="S103" i="1"/>
  <c r="S99" i="1"/>
  <c r="C100" i="1"/>
  <c r="C104" i="1"/>
  <c r="C103" i="1"/>
  <c r="C102" i="1"/>
  <c r="I222" i="1" l="1"/>
  <c r="E102" i="1"/>
  <c r="F105" i="1"/>
  <c r="T102" i="1"/>
  <c r="C105" i="1"/>
  <c r="E104" i="1"/>
  <c r="R104" i="1"/>
  <c r="U99" i="1"/>
  <c r="U104" i="1" s="1"/>
  <c r="I46" i="1"/>
  <c r="I53" i="1" s="1"/>
  <c r="I55" i="1" s="1"/>
  <c r="J158" i="1"/>
  <c r="J159" i="1" s="1"/>
  <c r="G105" i="1"/>
  <c r="D105" i="1"/>
  <c r="E100" i="1"/>
  <c r="T101" i="1"/>
  <c r="V101" i="1"/>
  <c r="V99" i="1"/>
  <c r="T99" i="1"/>
  <c r="S104" i="1"/>
  <c r="V103" i="1"/>
  <c r="T103" i="1"/>
  <c r="V100" i="1"/>
  <c r="T100" i="1"/>
  <c r="E105" i="1" l="1"/>
  <c r="J99" i="1" s="1"/>
  <c r="J100" i="1"/>
  <c r="J101" i="1" s="1"/>
  <c r="I57" i="1"/>
  <c r="D88" i="1" s="1"/>
  <c r="E88" i="1" s="1"/>
  <c r="K154" i="1"/>
  <c r="B175" i="1" s="1"/>
  <c r="K157" i="1"/>
  <c r="B174" i="1" s="1"/>
  <c r="K156" i="1"/>
  <c r="B173" i="1" s="1"/>
  <c r="K155" i="1"/>
  <c r="B176" i="1" s="1"/>
  <c r="T104" i="1"/>
  <c r="D185" i="1"/>
  <c r="G185" i="1" s="1"/>
  <c r="D184" i="1"/>
  <c r="G184" i="1" s="1"/>
  <c r="D182" i="1"/>
  <c r="G182" i="1" s="1"/>
  <c r="D181" i="1"/>
  <c r="D183" i="1"/>
  <c r="G183" i="1" s="1"/>
  <c r="C185" i="1"/>
  <c r="D186" i="1" l="1"/>
  <c r="D82" i="1"/>
  <c r="E82" i="1" s="1"/>
  <c r="D80" i="1"/>
  <c r="E80" i="1" s="1"/>
  <c r="F185" i="1"/>
  <c r="E185" i="1"/>
  <c r="G181" i="1"/>
  <c r="G186" i="1" s="1"/>
  <c r="C181" i="1"/>
  <c r="D74" i="1"/>
  <c r="E74" i="1" s="1"/>
  <c r="D75" i="1"/>
  <c r="E75" i="1" s="1"/>
  <c r="D72" i="1"/>
  <c r="E72" i="1" s="1"/>
  <c r="D87" i="1"/>
  <c r="E87" i="1" s="1"/>
  <c r="C184" i="1"/>
  <c r="D71" i="1"/>
  <c r="E71" i="1" s="1"/>
  <c r="D79" i="1"/>
  <c r="E79" i="1" s="1"/>
  <c r="D69" i="1"/>
  <c r="E69" i="1" s="1"/>
  <c r="C182" i="1"/>
  <c r="D86" i="1"/>
  <c r="E86" i="1" s="1"/>
  <c r="D78" i="1"/>
  <c r="E78" i="1" s="1"/>
  <c r="D81" i="1"/>
  <c r="E81" i="1" s="1"/>
  <c r="D70" i="1"/>
  <c r="E70" i="1" s="1"/>
  <c r="D85" i="1"/>
  <c r="E85" i="1" s="1"/>
  <c r="D73" i="1"/>
  <c r="E73" i="1" s="1"/>
  <c r="C183" i="1"/>
  <c r="D77" i="1"/>
  <c r="E77" i="1" s="1"/>
  <c r="D84" i="1"/>
  <c r="E84" i="1" s="1"/>
  <c r="D83" i="1"/>
  <c r="E83" i="1" s="1"/>
  <c r="D76" i="1"/>
  <c r="E76" i="1" s="1"/>
  <c r="C186" i="1" l="1"/>
  <c r="E182" i="1"/>
  <c r="F182" i="1"/>
  <c r="H73" i="1"/>
  <c r="I81" i="1" s="1"/>
  <c r="E183" i="1"/>
  <c r="F183" i="1"/>
  <c r="H70" i="1"/>
  <c r="H72" i="1"/>
  <c r="I80" i="1" s="1"/>
  <c r="E181" i="1"/>
  <c r="F181" i="1"/>
  <c r="H71" i="1"/>
  <c r="I79" i="1" s="1"/>
  <c r="E184" i="1"/>
  <c r="F184" i="1"/>
  <c r="F186" i="1" l="1"/>
  <c r="E186" i="1"/>
  <c r="J181" i="1"/>
  <c r="H74" i="1"/>
  <c r="I78" i="1"/>
  <c r="J182" i="1" l="1"/>
  <c r="J183" i="1" s="1"/>
</calcChain>
</file>

<file path=xl/sharedStrings.xml><?xml version="1.0" encoding="utf-8"?>
<sst xmlns="http://schemas.openxmlformats.org/spreadsheetml/2006/main" count="147" uniqueCount="102">
  <si>
    <t>Exercice 1</t>
  </si>
  <si>
    <t>Trimestre
Année</t>
  </si>
  <si>
    <t>N</t>
  </si>
  <si>
    <t>N+1</t>
  </si>
  <si>
    <t>N+2</t>
  </si>
  <si>
    <t>N+3</t>
  </si>
  <si>
    <t>N+4</t>
  </si>
  <si>
    <t>Annexe</t>
  </si>
  <si>
    <t>On remarque des effets de saisonalité, avec les revenus qui vaissent au 3ième trimestre et repartent au 4ième. La tendance d'une année à l'autre est croissante.</t>
  </si>
  <si>
    <t>1. (faire un graphe avec les trimestre en abscisse et les revenus en ordonnée)</t>
  </si>
  <si>
    <t xml:space="preserve">2. </t>
  </si>
  <si>
    <t>Rang (xi)</t>
  </si>
  <si>
    <t>Ventes (yi)</t>
  </si>
  <si>
    <t>M Mobiles (MMI)</t>
  </si>
  <si>
    <t>Tendance (y'i)</t>
  </si>
  <si>
    <t>Coef saisonnier
(CS = yi/y'i)</t>
  </si>
  <si>
    <t>4.</t>
  </si>
  <si>
    <t>xi</t>
  </si>
  <si>
    <t>n = le nombre d'observations = 16</t>
  </si>
  <si>
    <t>x = temps</t>
  </si>
  <si>
    <t>y = CA</t>
  </si>
  <si>
    <t>yi</t>
  </si>
  <si>
    <t>Xi * Yi</t>
  </si>
  <si>
    <t>(J'écris "x barre" "x_" pour faciliter la notation)</t>
  </si>
  <si>
    <t>xi²</t>
  </si>
  <si>
    <t>n =</t>
  </si>
  <si>
    <t>nx_y_ =</t>
  </si>
  <si>
    <t>On prend la seconde équation pour calculer a</t>
  </si>
  <si>
    <t>Ligne haut</t>
  </si>
  <si>
    <t>Ligne bas</t>
  </si>
  <si>
    <t>a</t>
  </si>
  <si>
    <t>(nx_)^2 =</t>
  </si>
  <si>
    <t>b</t>
  </si>
  <si>
    <t>donc y = 2,432x + 101,839</t>
  </si>
  <si>
    <t>5.</t>
  </si>
  <si>
    <t>On reprend le tableau de la question 2 et on rempli la tendance grâce à notre droite d'ajustement précédemment calculée</t>
  </si>
  <si>
    <t>Coef saisonnier moyen</t>
  </si>
  <si>
    <t>1ier trimestre</t>
  </si>
  <si>
    <t>2nd trimestre</t>
  </si>
  <si>
    <t>4e trimestre</t>
  </si>
  <si>
    <t>Total</t>
  </si>
  <si>
    <t>3e trimestre</t>
  </si>
  <si>
    <t>Prévisions N+5</t>
  </si>
  <si>
    <t>Droite de la tendance : y' = 2,432x + 101,839</t>
  </si>
  <si>
    <t>Rang 1 : y'1 = 2,432 * 1) + 101,839 = 104,272</t>
  </si>
  <si>
    <t>Rang 2 : y'2 = 2,432 * 2) + 101,839 = 106,704</t>
  </si>
  <si>
    <t>6.</t>
  </si>
  <si>
    <t>Exercice 2</t>
  </si>
  <si>
    <t>Exercice N-i</t>
  </si>
  <si>
    <t>Ventes (CA en k€)</t>
  </si>
  <si>
    <t>Nb commerc.</t>
  </si>
  <si>
    <t>1.</t>
  </si>
  <si>
    <t>xi-x_</t>
  </si>
  <si>
    <t>Xi est la variable indépendante et yi la variable dépendante.</t>
  </si>
  <si>
    <t>yi-y_</t>
  </si>
  <si>
    <t>Xi*Yi</t>
  </si>
  <si>
    <t>(xi-x_)^2</t>
  </si>
  <si>
    <t>(yi-y_)^2</t>
  </si>
  <si>
    <t>On prend l'équation de r</t>
  </si>
  <si>
    <t>partie haute</t>
  </si>
  <si>
    <t>partie basse</t>
  </si>
  <si>
    <t>r</t>
  </si>
  <si>
    <t>xi yi</t>
  </si>
  <si>
    <t>yi²</t>
  </si>
  <si>
    <t>XiYi</t>
  </si>
  <si>
    <t>Xi2</t>
  </si>
  <si>
    <t>Yi2</t>
  </si>
  <si>
    <t>Xi</t>
  </si>
  <si>
    <t>Yi</t>
  </si>
  <si>
    <t>?</t>
  </si>
  <si>
    <t>5. Pas pour un nouveau produit, à moins qu'il soit très similaire au produit étudié.</t>
  </si>
  <si>
    <t>Je n'ai pas réussi à prendre la fin de la correction. Je corrigerai ça plus tard.</t>
  </si>
  <si>
    <t>Document non fini, voir photos du 23/01/2024</t>
  </si>
  <si>
    <t>3.</t>
  </si>
  <si>
    <t>Exercice 3</t>
  </si>
  <si>
    <t>Volume des ventes trimestrielles (en milliers de tubes Y)</t>
  </si>
  <si>
    <t>N-3</t>
  </si>
  <si>
    <t>N-2</t>
  </si>
  <si>
    <t>N-1</t>
  </si>
  <si>
    <t>2e trimestre</t>
  </si>
  <si>
    <t>Ventes (xy)</t>
  </si>
  <si>
    <t>Xi^2</t>
  </si>
  <si>
    <t>Tendance</t>
  </si>
  <si>
    <t>Coef saisonnier</t>
  </si>
  <si>
    <t>Moyennes</t>
  </si>
  <si>
    <t>Trimestres</t>
  </si>
  <si>
    <t>Prévisions</t>
  </si>
  <si>
    <t>Exercice 4</t>
  </si>
  <si>
    <t>Xi (xi-x_)</t>
  </si>
  <si>
    <t>Yi (yi-y_)</t>
  </si>
  <si>
    <t>Yi^2</t>
  </si>
  <si>
    <t>Coef saisonnier ajusté</t>
  </si>
  <si>
    <t>Coefs ajustés</t>
  </si>
  <si>
    <t>2.</t>
  </si>
  <si>
    <t>Valeurs observées</t>
  </si>
  <si>
    <t>Valeurs ajustées</t>
  </si>
  <si>
    <t>Indices
saisonniers
(Vo/Va)</t>
  </si>
  <si>
    <t>trimestres</t>
  </si>
  <si>
    <t>coefs moyens</t>
  </si>
  <si>
    <t>Prévisions année N</t>
  </si>
  <si>
    <t>On obtient normalement ces valeurs dans la question 2</t>
  </si>
  <si>
    <t>Pas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</si>
</sst>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0" fontId="0" fillId="2" borderId="2" xfId="0" applyFill="1" applyBorder="1"/>
    <xf numFmtId="164" fontId="0" fillId="0" borderId="9" xfId="0" applyNumberFormat="1" applyBorder="1"/>
    <xf numFmtId="2" fontId="1" fillId="0" borderId="0" xfId="0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  <xf numFmtId="0" fontId="1" fillId="0" borderId="0" xfId="0" applyNumberFormat="1" applyFont="1"/>
    <xf numFmtId="0" fontId="0" fillId="0" borderId="0" xfId="0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Valeurs</a:t>
            </a:r>
            <a:r>
              <a:rPr lang="fr-FR" baseline="0"/>
              <a:t> trimestrielles</a:t>
            </a:r>
            <a:r>
              <a:rPr lang="fr-FR"/>
              <a:t> (q1)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Feuil1!$A$16:$A$35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Feuil1!$B$16:$B$35</c:f>
              <c:numCache>
                <c:formatCode>General</c:formatCode>
                <c:ptCount val="20"/>
                <c:pt idx="0">
                  <c:v>110</c:v>
                </c:pt>
                <c:pt idx="1">
                  <c:v>90</c:v>
                </c:pt>
                <c:pt idx="2">
                  <c:v>75</c:v>
                </c:pt>
                <c:pt idx="3">
                  <c:v>150</c:v>
                </c:pt>
                <c:pt idx="4">
                  <c:v>130</c:v>
                </c:pt>
                <c:pt idx="5">
                  <c:v>100</c:v>
                </c:pt>
                <c:pt idx="6">
                  <c:v>70</c:v>
                </c:pt>
                <c:pt idx="7">
                  <c:v>180</c:v>
                </c:pt>
                <c:pt idx="8">
                  <c:v>133</c:v>
                </c:pt>
                <c:pt idx="9">
                  <c:v>104</c:v>
                </c:pt>
                <c:pt idx="10">
                  <c:v>90</c:v>
                </c:pt>
                <c:pt idx="11">
                  <c:v>171</c:v>
                </c:pt>
                <c:pt idx="12">
                  <c:v>150</c:v>
                </c:pt>
                <c:pt idx="13">
                  <c:v>115</c:v>
                </c:pt>
                <c:pt idx="14">
                  <c:v>100</c:v>
                </c:pt>
                <c:pt idx="15">
                  <c:v>200</c:v>
                </c:pt>
                <c:pt idx="16">
                  <c:v>145</c:v>
                </c:pt>
                <c:pt idx="17">
                  <c:v>120</c:v>
                </c:pt>
                <c:pt idx="18">
                  <c:v>105</c:v>
                </c:pt>
                <c:pt idx="1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1-4247-86F8-A147AEB3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326464"/>
        <c:axId val="409851536"/>
      </c:lineChart>
      <c:catAx>
        <c:axId val="2323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9851536"/>
        <c:crosses val="autoZero"/>
        <c:auto val="1"/>
        <c:lblAlgn val="ctr"/>
        <c:lblOffset val="100"/>
        <c:noMultiLvlLbl val="0"/>
      </c:catAx>
      <c:valAx>
        <c:axId val="4098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232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 (q3)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Feuil1!$A$16:$A$35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Feuil1!$B$16:$B$35</c:f>
              <c:numCache>
                <c:formatCode>General</c:formatCode>
                <c:ptCount val="20"/>
                <c:pt idx="0">
                  <c:v>110</c:v>
                </c:pt>
                <c:pt idx="1">
                  <c:v>90</c:v>
                </c:pt>
                <c:pt idx="2">
                  <c:v>75</c:v>
                </c:pt>
                <c:pt idx="3">
                  <c:v>150</c:v>
                </c:pt>
                <c:pt idx="4">
                  <c:v>130</c:v>
                </c:pt>
                <c:pt idx="5">
                  <c:v>100</c:v>
                </c:pt>
                <c:pt idx="6">
                  <c:v>70</c:v>
                </c:pt>
                <c:pt idx="7">
                  <c:v>180</c:v>
                </c:pt>
                <c:pt idx="8">
                  <c:v>133</c:v>
                </c:pt>
                <c:pt idx="9">
                  <c:v>104</c:v>
                </c:pt>
                <c:pt idx="10">
                  <c:v>90</c:v>
                </c:pt>
                <c:pt idx="11">
                  <c:v>171</c:v>
                </c:pt>
                <c:pt idx="12">
                  <c:v>150</c:v>
                </c:pt>
                <c:pt idx="13">
                  <c:v>115</c:v>
                </c:pt>
                <c:pt idx="14">
                  <c:v>100</c:v>
                </c:pt>
                <c:pt idx="15">
                  <c:v>200</c:v>
                </c:pt>
                <c:pt idx="16">
                  <c:v>145</c:v>
                </c:pt>
                <c:pt idx="17">
                  <c:v>120</c:v>
                </c:pt>
                <c:pt idx="18">
                  <c:v>105</c:v>
                </c:pt>
                <c:pt idx="1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1-477B-93DE-A83272CD2E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Feuil1!$A$16:$A$35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Feuil1!$C$16:$C$35</c:f>
              <c:numCache>
                <c:formatCode>General</c:formatCode>
                <c:ptCount val="20"/>
                <c:pt idx="2">
                  <c:v>108.75</c:v>
                </c:pt>
                <c:pt idx="3">
                  <c:v>112.5</c:v>
                </c:pt>
                <c:pt idx="4">
                  <c:v>113.125</c:v>
                </c:pt>
                <c:pt idx="5">
                  <c:v>116.25</c:v>
                </c:pt>
                <c:pt idx="6">
                  <c:v>120.375</c:v>
                </c:pt>
                <c:pt idx="7">
                  <c:v>121.25</c:v>
                </c:pt>
                <c:pt idx="8">
                  <c:v>124.25</c:v>
                </c:pt>
                <c:pt idx="9">
                  <c:v>125.625</c:v>
                </c:pt>
                <c:pt idx="10">
                  <c:v>126.625</c:v>
                </c:pt>
                <c:pt idx="11">
                  <c:v>130.125</c:v>
                </c:pt>
                <c:pt idx="12">
                  <c:v>132.75</c:v>
                </c:pt>
                <c:pt idx="13">
                  <c:v>137.625</c:v>
                </c:pt>
                <c:pt idx="14">
                  <c:v>140.625</c:v>
                </c:pt>
                <c:pt idx="15">
                  <c:v>140.625</c:v>
                </c:pt>
                <c:pt idx="16">
                  <c:v>141.875</c:v>
                </c:pt>
                <c:pt idx="17">
                  <c:v>145.625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F1-477B-93DE-A83272CD2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551632"/>
        <c:axId val="261169616"/>
      </c:lineChart>
      <c:catAx>
        <c:axId val="4075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1169616"/>
        <c:crosses val="autoZero"/>
        <c:auto val="1"/>
        <c:lblAlgn val="ctr"/>
        <c:lblOffset val="100"/>
        <c:noMultiLvlLbl val="0"/>
      </c:catAx>
      <c:valAx>
        <c:axId val="2611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5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10</xdr:row>
      <xdr:rowOff>79375</xdr:rowOff>
    </xdr:from>
    <xdr:to>
      <xdr:col>12</xdr:col>
      <xdr:colOff>352425</xdr:colOff>
      <xdr:row>23</xdr:row>
      <xdr:rowOff>60325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81FEC02-E373-4A40-9FE5-C2EEC7CB7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339725</xdr:colOff>
      <xdr:row>23</xdr:row>
      <xdr:rowOff>123825</xdr:rowOff>
    </xdr:from>
    <xdr:to>
      <xdr:col>12</xdr:col>
      <xdr:colOff>339725</xdr:colOff>
      <xdr:row>38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CBAFD02-0F0D-77C9-AFA2-A7F054085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ACBE-41B4-4F0D-BDDD-8C9E237DAFD9}">
  <dimension ref="A1:V234"/>
  <sheetViews>
    <sheetView tabSelected="1" topLeftCell="A198" workbookViewId="0">
      <selection activeCell="H204" sqref="H204"/>
    </sheetView>
  </sheetViews>
  <sheetFormatPr baseColWidth="10" defaultRowHeight="14.5" x14ac:dyDescent="0.35"/>
  <cols>
    <col min="3" max="3" width="13.90625" bestFit="1" customWidth="1"/>
    <col min="4" max="4" width="12" bestFit="1" customWidth="1"/>
    <col min="7" max="7" width="12.81640625" customWidth="1"/>
    <col min="9" max="9" width="14.36328125" bestFit="1" customWidth="1"/>
  </cols>
  <sheetData>
    <row r="1" spans="1:5" x14ac:dyDescent="0.35">
      <c r="A1" s="3" t="s">
        <v>0</v>
      </c>
    </row>
    <row r="2" spans="1:5" x14ac:dyDescent="0.35">
      <c r="A2" s="19" t="s">
        <v>7</v>
      </c>
      <c r="B2" s="19"/>
      <c r="C2" s="19"/>
      <c r="D2" s="19"/>
      <c r="E2" s="19"/>
    </row>
    <row r="3" spans="1:5" ht="29" x14ac:dyDescent="0.35">
      <c r="A3" s="1" t="s">
        <v>1</v>
      </c>
      <c r="B3" s="2">
        <v>1</v>
      </c>
      <c r="C3" s="2">
        <v>2</v>
      </c>
      <c r="D3" s="2">
        <v>3</v>
      </c>
      <c r="E3" s="2">
        <v>4</v>
      </c>
    </row>
    <row r="4" spans="1:5" x14ac:dyDescent="0.35">
      <c r="A4" s="2" t="s">
        <v>2</v>
      </c>
      <c r="B4" s="2">
        <v>110</v>
      </c>
      <c r="C4" s="2">
        <v>90</v>
      </c>
      <c r="D4" s="2">
        <v>75</v>
      </c>
      <c r="E4" s="2">
        <v>150</v>
      </c>
    </row>
    <row r="5" spans="1:5" x14ac:dyDescent="0.35">
      <c r="A5" s="2" t="s">
        <v>3</v>
      </c>
      <c r="B5" s="2">
        <v>130</v>
      </c>
      <c r="C5" s="2">
        <v>100</v>
      </c>
      <c r="D5" s="2">
        <v>70</v>
      </c>
      <c r="E5" s="2">
        <v>180</v>
      </c>
    </row>
    <row r="6" spans="1:5" x14ac:dyDescent="0.35">
      <c r="A6" s="2" t="s">
        <v>4</v>
      </c>
      <c r="B6" s="2">
        <v>133</v>
      </c>
      <c r="C6" s="2">
        <v>104</v>
      </c>
      <c r="D6" s="2">
        <v>90</v>
      </c>
      <c r="E6" s="2">
        <v>171</v>
      </c>
    </row>
    <row r="7" spans="1:5" x14ac:dyDescent="0.35">
      <c r="A7" s="2" t="s">
        <v>5</v>
      </c>
      <c r="B7" s="2">
        <v>150</v>
      </c>
      <c r="C7" s="2">
        <v>115</v>
      </c>
      <c r="D7" s="2">
        <v>100</v>
      </c>
      <c r="E7" s="2">
        <v>200</v>
      </c>
    </row>
    <row r="8" spans="1:5" x14ac:dyDescent="0.35">
      <c r="A8" s="2" t="s">
        <v>6</v>
      </c>
      <c r="B8" s="2">
        <v>145</v>
      </c>
      <c r="C8" s="2">
        <v>120</v>
      </c>
      <c r="D8" s="2">
        <v>105</v>
      </c>
      <c r="E8" s="2">
        <v>225</v>
      </c>
    </row>
    <row r="10" spans="1:5" x14ac:dyDescent="0.35">
      <c r="A10" t="s">
        <v>8</v>
      </c>
    </row>
    <row r="12" spans="1:5" x14ac:dyDescent="0.35">
      <c r="A12" t="s">
        <v>9</v>
      </c>
    </row>
    <row r="14" spans="1:5" x14ac:dyDescent="0.35">
      <c r="A14" t="s">
        <v>10</v>
      </c>
    </row>
    <row r="15" spans="1:5" ht="43.5" x14ac:dyDescent="0.35">
      <c r="A15" s="4" t="s">
        <v>11</v>
      </c>
      <c r="B15" s="4" t="s">
        <v>12</v>
      </c>
      <c r="C15" s="4" t="s">
        <v>13</v>
      </c>
      <c r="D15" s="4" t="s">
        <v>14</v>
      </c>
      <c r="E15" s="5" t="s">
        <v>15</v>
      </c>
    </row>
    <row r="16" spans="1:5" x14ac:dyDescent="0.35">
      <c r="A16">
        <v>1</v>
      </c>
      <c r="B16">
        <v>110</v>
      </c>
      <c r="C16" s="6"/>
    </row>
    <row r="17" spans="1:3" x14ac:dyDescent="0.35">
      <c r="A17">
        <v>2</v>
      </c>
      <c r="B17">
        <v>90</v>
      </c>
      <c r="C17" s="6"/>
    </row>
    <row r="18" spans="1:3" x14ac:dyDescent="0.35">
      <c r="A18">
        <v>3</v>
      </c>
      <c r="B18">
        <v>75</v>
      </c>
      <c r="C18">
        <f>1/4*(1/2*B16+B17+B18+B19+1/2*B20)</f>
        <v>108.75</v>
      </c>
    </row>
    <row r="19" spans="1:3" x14ac:dyDescent="0.35">
      <c r="A19">
        <v>4</v>
      </c>
      <c r="B19">
        <v>150</v>
      </c>
      <c r="C19">
        <f t="shared" ref="C19:C33" si="0">1/4*(1/2*B17+B18+B19+B20+1/2*B21)</f>
        <v>112.5</v>
      </c>
    </row>
    <row r="20" spans="1:3" x14ac:dyDescent="0.35">
      <c r="A20">
        <v>5</v>
      </c>
      <c r="B20">
        <v>130</v>
      </c>
      <c r="C20">
        <f t="shared" si="0"/>
        <v>113.125</v>
      </c>
    </row>
    <row r="21" spans="1:3" x14ac:dyDescent="0.35">
      <c r="A21">
        <v>6</v>
      </c>
      <c r="B21">
        <v>100</v>
      </c>
      <c r="C21">
        <f t="shared" si="0"/>
        <v>116.25</v>
      </c>
    </row>
    <row r="22" spans="1:3" x14ac:dyDescent="0.35">
      <c r="A22">
        <v>7</v>
      </c>
      <c r="B22">
        <v>70</v>
      </c>
      <c r="C22">
        <f t="shared" si="0"/>
        <v>120.375</v>
      </c>
    </row>
    <row r="23" spans="1:3" x14ac:dyDescent="0.35">
      <c r="A23">
        <v>8</v>
      </c>
      <c r="B23">
        <v>180</v>
      </c>
      <c r="C23">
        <f t="shared" si="0"/>
        <v>121.25</v>
      </c>
    </row>
    <row r="24" spans="1:3" x14ac:dyDescent="0.35">
      <c r="A24">
        <v>9</v>
      </c>
      <c r="B24">
        <v>133</v>
      </c>
      <c r="C24">
        <f t="shared" si="0"/>
        <v>124.25</v>
      </c>
    </row>
    <row r="25" spans="1:3" x14ac:dyDescent="0.35">
      <c r="A25">
        <v>10</v>
      </c>
      <c r="B25">
        <v>104</v>
      </c>
      <c r="C25">
        <f t="shared" si="0"/>
        <v>125.625</v>
      </c>
    </row>
    <row r="26" spans="1:3" x14ac:dyDescent="0.35">
      <c r="A26">
        <v>11</v>
      </c>
      <c r="B26">
        <v>90</v>
      </c>
      <c r="C26">
        <f t="shared" si="0"/>
        <v>126.625</v>
      </c>
    </row>
    <row r="27" spans="1:3" x14ac:dyDescent="0.35">
      <c r="A27">
        <v>12</v>
      </c>
      <c r="B27">
        <v>171</v>
      </c>
      <c r="C27">
        <f t="shared" si="0"/>
        <v>130.125</v>
      </c>
    </row>
    <row r="28" spans="1:3" x14ac:dyDescent="0.35">
      <c r="A28">
        <v>13</v>
      </c>
      <c r="B28">
        <v>150</v>
      </c>
      <c r="C28">
        <f t="shared" si="0"/>
        <v>132.75</v>
      </c>
    </row>
    <row r="29" spans="1:3" x14ac:dyDescent="0.35">
      <c r="A29">
        <v>14</v>
      </c>
      <c r="B29">
        <v>115</v>
      </c>
      <c r="C29">
        <f t="shared" si="0"/>
        <v>137.625</v>
      </c>
    </row>
    <row r="30" spans="1:3" x14ac:dyDescent="0.35">
      <c r="A30">
        <v>15</v>
      </c>
      <c r="B30">
        <v>100</v>
      </c>
      <c r="C30">
        <f t="shared" si="0"/>
        <v>140.625</v>
      </c>
    </row>
    <row r="31" spans="1:3" x14ac:dyDescent="0.35">
      <c r="A31">
        <v>16</v>
      </c>
      <c r="B31">
        <v>200</v>
      </c>
      <c r="C31">
        <f t="shared" si="0"/>
        <v>140.625</v>
      </c>
    </row>
    <row r="32" spans="1:3" x14ac:dyDescent="0.35">
      <c r="A32">
        <v>17</v>
      </c>
      <c r="B32">
        <v>145</v>
      </c>
      <c r="C32">
        <f t="shared" si="0"/>
        <v>141.875</v>
      </c>
    </row>
    <row r="33" spans="1:9" x14ac:dyDescent="0.35">
      <c r="A33">
        <v>18</v>
      </c>
      <c r="B33">
        <v>120</v>
      </c>
      <c r="C33">
        <f t="shared" si="0"/>
        <v>145.625</v>
      </c>
    </row>
    <row r="34" spans="1:9" x14ac:dyDescent="0.35">
      <c r="A34">
        <v>19</v>
      </c>
      <c r="B34">
        <v>105</v>
      </c>
      <c r="C34" s="6"/>
    </row>
    <row r="35" spans="1:9" x14ac:dyDescent="0.35">
      <c r="A35">
        <v>20</v>
      </c>
      <c r="B35">
        <v>225</v>
      </c>
      <c r="C35" s="6"/>
    </row>
    <row r="40" spans="1:9" x14ac:dyDescent="0.35">
      <c r="A40" t="s">
        <v>16</v>
      </c>
      <c r="B40" t="s">
        <v>18</v>
      </c>
    </row>
    <row r="41" spans="1:9" x14ac:dyDescent="0.35">
      <c r="B41" t="s">
        <v>19</v>
      </c>
      <c r="F41" t="s">
        <v>23</v>
      </c>
    </row>
    <row r="42" spans="1:9" x14ac:dyDescent="0.35">
      <c r="B42" t="s">
        <v>20</v>
      </c>
    </row>
    <row r="44" spans="1:9" x14ac:dyDescent="0.35">
      <c r="A44" t="s">
        <v>17</v>
      </c>
      <c r="B44" t="s">
        <v>21</v>
      </c>
      <c r="C44" t="s">
        <v>22</v>
      </c>
      <c r="D44" t="s">
        <v>24</v>
      </c>
    </row>
    <row r="45" spans="1:9" x14ac:dyDescent="0.35">
      <c r="A45">
        <v>3</v>
      </c>
      <c r="B45">
        <f t="shared" ref="B45:B60" si="1">C18</f>
        <v>108.75</v>
      </c>
      <c r="C45">
        <f t="shared" ref="C45:C60" si="2">A45*B45</f>
        <v>326.25</v>
      </c>
      <c r="D45">
        <f>A45^2</f>
        <v>9</v>
      </c>
      <c r="H45" t="s">
        <v>25</v>
      </c>
      <c r="I45">
        <v>16</v>
      </c>
    </row>
    <row r="46" spans="1:9" x14ac:dyDescent="0.35">
      <c r="A46">
        <v>4</v>
      </c>
      <c r="B46">
        <f t="shared" si="1"/>
        <v>112.5</v>
      </c>
      <c r="C46">
        <f t="shared" si="2"/>
        <v>450</v>
      </c>
      <c r="D46">
        <f t="shared" ref="D46:D60" si="3">A46^2</f>
        <v>16</v>
      </c>
      <c r="H46" t="s">
        <v>26</v>
      </c>
      <c r="I46">
        <f>I45*A62*B62</f>
        <v>21399</v>
      </c>
    </row>
    <row r="47" spans="1:9" x14ac:dyDescent="0.35">
      <c r="A47">
        <v>5</v>
      </c>
      <c r="B47">
        <f t="shared" si="1"/>
        <v>113.125</v>
      </c>
      <c r="C47">
        <f t="shared" si="2"/>
        <v>565.625</v>
      </c>
      <c r="D47">
        <f t="shared" si="3"/>
        <v>25</v>
      </c>
      <c r="H47" t="s">
        <v>31</v>
      </c>
      <c r="I47">
        <f>I45*A62^2</f>
        <v>1764</v>
      </c>
    </row>
    <row r="48" spans="1:9" x14ac:dyDescent="0.35">
      <c r="A48">
        <v>6</v>
      </c>
      <c r="B48">
        <f t="shared" si="1"/>
        <v>116.25</v>
      </c>
      <c r="C48">
        <f t="shared" si="2"/>
        <v>697.5</v>
      </c>
      <c r="D48">
        <f t="shared" si="3"/>
        <v>36</v>
      </c>
    </row>
    <row r="49" spans="1:9" x14ac:dyDescent="0.35">
      <c r="A49">
        <v>7</v>
      </c>
      <c r="B49">
        <f t="shared" si="1"/>
        <v>120.375</v>
      </c>
      <c r="C49">
        <f t="shared" si="2"/>
        <v>842.625</v>
      </c>
      <c r="D49">
        <f t="shared" si="3"/>
        <v>49</v>
      </c>
    </row>
    <row r="50" spans="1:9" x14ac:dyDescent="0.35">
      <c r="A50">
        <v>8</v>
      </c>
      <c r="B50">
        <f t="shared" si="1"/>
        <v>121.25</v>
      </c>
      <c r="C50">
        <f t="shared" si="2"/>
        <v>970</v>
      </c>
      <c r="D50">
        <f t="shared" si="3"/>
        <v>64</v>
      </c>
    </row>
    <row r="51" spans="1:9" x14ac:dyDescent="0.35">
      <c r="A51">
        <v>9</v>
      </c>
      <c r="B51">
        <f t="shared" si="1"/>
        <v>124.25</v>
      </c>
      <c r="C51">
        <f t="shared" si="2"/>
        <v>1118.25</v>
      </c>
      <c r="D51">
        <f t="shared" si="3"/>
        <v>81</v>
      </c>
      <c r="H51" t="s">
        <v>27</v>
      </c>
    </row>
    <row r="52" spans="1:9" x14ac:dyDescent="0.35">
      <c r="A52">
        <v>10</v>
      </c>
      <c r="B52">
        <f t="shared" si="1"/>
        <v>125.625</v>
      </c>
      <c r="C52">
        <f t="shared" si="2"/>
        <v>1256.25</v>
      </c>
      <c r="D52">
        <f t="shared" si="3"/>
        <v>100</v>
      </c>
    </row>
    <row r="53" spans="1:9" x14ac:dyDescent="0.35">
      <c r="A53">
        <v>11</v>
      </c>
      <c r="B53">
        <f t="shared" si="1"/>
        <v>126.625</v>
      </c>
      <c r="C53">
        <f t="shared" si="2"/>
        <v>1392.875</v>
      </c>
      <c r="D53">
        <f t="shared" si="3"/>
        <v>121</v>
      </c>
      <c r="H53" t="s">
        <v>28</v>
      </c>
      <c r="I53">
        <f>C61-I46</f>
        <v>826.875</v>
      </c>
    </row>
    <row r="54" spans="1:9" x14ac:dyDescent="0.35">
      <c r="A54">
        <v>12</v>
      </c>
      <c r="B54">
        <f t="shared" si="1"/>
        <v>130.125</v>
      </c>
      <c r="C54">
        <f t="shared" si="2"/>
        <v>1561.5</v>
      </c>
      <c r="D54">
        <f t="shared" si="3"/>
        <v>144</v>
      </c>
      <c r="H54" t="s">
        <v>29</v>
      </c>
      <c r="I54">
        <f>D61-I47</f>
        <v>340</v>
      </c>
    </row>
    <row r="55" spans="1:9" x14ac:dyDescent="0.35">
      <c r="A55">
        <v>13</v>
      </c>
      <c r="B55">
        <f t="shared" si="1"/>
        <v>132.75</v>
      </c>
      <c r="C55">
        <f t="shared" si="2"/>
        <v>1725.75</v>
      </c>
      <c r="D55">
        <f t="shared" si="3"/>
        <v>169</v>
      </c>
      <c r="H55" t="s">
        <v>30</v>
      </c>
      <c r="I55" s="8">
        <f>I53/I54</f>
        <v>2.4319852941176472</v>
      </c>
    </row>
    <row r="56" spans="1:9" x14ac:dyDescent="0.35">
      <c r="A56">
        <v>14</v>
      </c>
      <c r="B56">
        <f t="shared" si="1"/>
        <v>137.625</v>
      </c>
      <c r="C56">
        <f t="shared" si="2"/>
        <v>1926.75</v>
      </c>
      <c r="D56">
        <f t="shared" si="3"/>
        <v>196</v>
      </c>
    </row>
    <row r="57" spans="1:9" x14ac:dyDescent="0.35">
      <c r="A57">
        <v>15</v>
      </c>
      <c r="B57">
        <f t="shared" si="1"/>
        <v>140.625</v>
      </c>
      <c r="C57">
        <f t="shared" si="2"/>
        <v>2109.375</v>
      </c>
      <c r="D57">
        <f t="shared" si="3"/>
        <v>225</v>
      </c>
      <c r="H57" t="s">
        <v>32</v>
      </c>
      <c r="I57" s="8">
        <f>B62-I55*A62</f>
        <v>101.8391544117647</v>
      </c>
    </row>
    <row r="58" spans="1:9" x14ac:dyDescent="0.35">
      <c r="A58">
        <v>16</v>
      </c>
      <c r="B58">
        <f t="shared" si="1"/>
        <v>140.625</v>
      </c>
      <c r="C58">
        <f t="shared" si="2"/>
        <v>2250</v>
      </c>
      <c r="D58">
        <f t="shared" si="3"/>
        <v>256</v>
      </c>
    </row>
    <row r="59" spans="1:9" x14ac:dyDescent="0.35">
      <c r="A59">
        <v>17</v>
      </c>
      <c r="B59">
        <f t="shared" si="1"/>
        <v>141.875</v>
      </c>
      <c r="C59">
        <f t="shared" si="2"/>
        <v>2411.875</v>
      </c>
      <c r="D59">
        <f t="shared" si="3"/>
        <v>289</v>
      </c>
      <c r="H59" t="s">
        <v>33</v>
      </c>
    </row>
    <row r="60" spans="1:9" x14ac:dyDescent="0.35">
      <c r="A60">
        <v>18</v>
      </c>
      <c r="B60">
        <f t="shared" si="1"/>
        <v>145.625</v>
      </c>
      <c r="C60">
        <f t="shared" si="2"/>
        <v>2621.25</v>
      </c>
      <c r="D60">
        <f t="shared" si="3"/>
        <v>324</v>
      </c>
    </row>
    <row r="61" spans="1:9" x14ac:dyDescent="0.35">
      <c r="A61" s="7">
        <f>SUM(A45:A60)</f>
        <v>168</v>
      </c>
      <c r="B61" s="7">
        <f>SUM(B45:B60)</f>
        <v>2038</v>
      </c>
      <c r="C61" s="7">
        <f>SUM(C45:C60)</f>
        <v>22225.875</v>
      </c>
      <c r="D61" s="7">
        <f>SUM(D45:D60)</f>
        <v>2104</v>
      </c>
    </row>
    <row r="62" spans="1:9" x14ac:dyDescent="0.35">
      <c r="A62">
        <f>A61/16</f>
        <v>10.5</v>
      </c>
      <c r="B62">
        <f>B61/16</f>
        <v>127.375</v>
      </c>
    </row>
    <row r="66" spans="1:11" x14ac:dyDescent="0.35">
      <c r="A66" t="s">
        <v>34</v>
      </c>
    </row>
    <row r="67" spans="1:11" x14ac:dyDescent="0.35">
      <c r="A67" t="s">
        <v>35</v>
      </c>
    </row>
    <row r="68" spans="1:11" ht="43.5" x14ac:dyDescent="0.35">
      <c r="A68" s="9" t="s">
        <v>11</v>
      </c>
      <c r="B68" s="10" t="s">
        <v>12</v>
      </c>
      <c r="C68" s="10" t="s">
        <v>13</v>
      </c>
      <c r="D68" s="10" t="s">
        <v>14</v>
      </c>
      <c r="E68" s="11" t="s">
        <v>15</v>
      </c>
    </row>
    <row r="69" spans="1:11" x14ac:dyDescent="0.35">
      <c r="A69" s="12">
        <v>1</v>
      </c>
      <c r="B69">
        <v>110</v>
      </c>
      <c r="C69" s="6"/>
      <c r="D69" s="8">
        <f>$I$55*A69+$I$57</f>
        <v>104.27113970588235</v>
      </c>
      <c r="E69" s="13">
        <f>B69/D69</f>
        <v>1.0549419552742691</v>
      </c>
      <c r="G69" s="20" t="s">
        <v>36</v>
      </c>
      <c r="H69" s="20"/>
    </row>
    <row r="70" spans="1:11" x14ac:dyDescent="0.35">
      <c r="A70" s="12">
        <v>2</v>
      </c>
      <c r="B70">
        <v>90</v>
      </c>
      <c r="C70" s="6"/>
      <c r="D70" s="8">
        <f t="shared" ref="D70:D88" si="4">$I$55*A70+$I$57</f>
        <v>106.70312499999999</v>
      </c>
      <c r="E70" s="13">
        <f t="shared" ref="E70:E88" si="5">B70/D70</f>
        <v>0.84346170742422033</v>
      </c>
      <c r="G70" s="2" t="s">
        <v>37</v>
      </c>
      <c r="H70" s="2">
        <f>(E69+E73+E77+E81+E85)/5</f>
        <v>1.0813829021798678</v>
      </c>
    </row>
    <row r="71" spans="1:11" x14ac:dyDescent="0.35">
      <c r="A71" s="12">
        <v>3</v>
      </c>
      <c r="B71">
        <v>75</v>
      </c>
      <c r="C71">
        <f>1/4*(1/2*B69+B70+B71+B72+1/2*B73)</f>
        <v>108.75</v>
      </c>
      <c r="D71" s="8">
        <f t="shared" si="4"/>
        <v>109.13511029411764</v>
      </c>
      <c r="E71" s="13">
        <f t="shared" si="5"/>
        <v>0.68722155315439748</v>
      </c>
      <c r="G71" s="2" t="s">
        <v>38</v>
      </c>
      <c r="H71" s="2">
        <f t="shared" ref="H71:H73" si="6">(E70+E74+E78+E82+E86)/5</f>
        <v>0.8394157601501222</v>
      </c>
    </row>
    <row r="72" spans="1:11" x14ac:dyDescent="0.35">
      <c r="A72" s="12">
        <v>4</v>
      </c>
      <c r="B72">
        <v>150</v>
      </c>
      <c r="C72">
        <f t="shared" ref="C72:C86" si="7">1/4*(1/2*B70+B71+B72+B73+1/2*B74)</f>
        <v>112.5</v>
      </c>
      <c r="D72" s="8">
        <f t="shared" si="4"/>
        <v>111.56709558823529</v>
      </c>
      <c r="E72" s="13">
        <f t="shared" si="5"/>
        <v>1.3444824319314579</v>
      </c>
      <c r="G72" s="2" t="s">
        <v>41</v>
      </c>
      <c r="H72" s="2">
        <f t="shared" si="6"/>
        <v>0.68164594719610572</v>
      </c>
    </row>
    <row r="73" spans="1:11" x14ac:dyDescent="0.35">
      <c r="A73" s="12">
        <v>5</v>
      </c>
      <c r="B73">
        <v>130</v>
      </c>
      <c r="C73">
        <f t="shared" si="7"/>
        <v>113.125</v>
      </c>
      <c r="D73" s="8">
        <f t="shared" si="4"/>
        <v>113.99908088235293</v>
      </c>
      <c r="E73" s="13">
        <f t="shared" si="5"/>
        <v>1.1403600712725046</v>
      </c>
      <c r="G73" s="2" t="s">
        <v>39</v>
      </c>
      <c r="H73" s="2">
        <f t="shared" si="6"/>
        <v>1.4099516800205023</v>
      </c>
    </row>
    <row r="74" spans="1:11" x14ac:dyDescent="0.35">
      <c r="A74" s="12">
        <v>6</v>
      </c>
      <c r="B74">
        <v>100</v>
      </c>
      <c r="C74">
        <f t="shared" si="7"/>
        <v>116.25</v>
      </c>
      <c r="D74" s="8">
        <f t="shared" si="4"/>
        <v>116.43106617647058</v>
      </c>
      <c r="E74" s="13">
        <f t="shared" si="5"/>
        <v>0.85887730211482749</v>
      </c>
      <c r="G74" s="2" t="s">
        <v>40</v>
      </c>
      <c r="H74" s="2">
        <f>SUM(H70:H73)</f>
        <v>4.0123962895465981</v>
      </c>
    </row>
    <row r="75" spans="1:11" x14ac:dyDescent="0.35">
      <c r="A75" s="12">
        <v>7</v>
      </c>
      <c r="B75">
        <v>70</v>
      </c>
      <c r="C75">
        <f t="shared" si="7"/>
        <v>120.375</v>
      </c>
      <c r="D75" s="8">
        <f t="shared" si="4"/>
        <v>118.86305147058823</v>
      </c>
      <c r="E75" s="13">
        <f t="shared" si="5"/>
        <v>0.5889130317112965</v>
      </c>
      <c r="K75" t="s">
        <v>43</v>
      </c>
    </row>
    <row r="76" spans="1:11" x14ac:dyDescent="0.35">
      <c r="A76" s="12">
        <v>8</v>
      </c>
      <c r="B76">
        <v>180</v>
      </c>
      <c r="C76">
        <f t="shared" si="7"/>
        <v>121.25</v>
      </c>
      <c r="D76" s="8">
        <f t="shared" si="4"/>
        <v>121.29503676470587</v>
      </c>
      <c r="E76" s="13">
        <f t="shared" si="5"/>
        <v>1.4839848752358511</v>
      </c>
      <c r="G76" t="s">
        <v>46</v>
      </c>
      <c r="K76" t="s">
        <v>44</v>
      </c>
    </row>
    <row r="77" spans="1:11" x14ac:dyDescent="0.35">
      <c r="A77" s="12">
        <v>9</v>
      </c>
      <c r="B77">
        <v>133</v>
      </c>
      <c r="C77">
        <f t="shared" si="7"/>
        <v>124.25</v>
      </c>
      <c r="D77" s="8">
        <f t="shared" si="4"/>
        <v>123.72702205882352</v>
      </c>
      <c r="E77" s="13">
        <f t="shared" si="5"/>
        <v>1.0749470712773466</v>
      </c>
      <c r="G77" s="20" t="s">
        <v>42</v>
      </c>
      <c r="H77" s="20"/>
      <c r="I77" s="20"/>
      <c r="K77" t="s">
        <v>45</v>
      </c>
    </row>
    <row r="78" spans="1:11" x14ac:dyDescent="0.35">
      <c r="A78" s="12">
        <v>10</v>
      </c>
      <c r="B78">
        <v>104</v>
      </c>
      <c r="C78">
        <f t="shared" si="7"/>
        <v>125.625</v>
      </c>
      <c r="D78" s="8">
        <f t="shared" si="4"/>
        <v>126.15900735294116</v>
      </c>
      <c r="E78" s="13">
        <f t="shared" si="5"/>
        <v>0.82435651787470599</v>
      </c>
      <c r="G78" s="2" t="s">
        <v>37</v>
      </c>
      <c r="H78" s="2">
        <f>A88+1</f>
        <v>21</v>
      </c>
      <c r="I78" s="2">
        <f>($I$55*H78+$I$57)*H70</f>
        <v>165.35517397698354</v>
      </c>
    </row>
    <row r="79" spans="1:11" x14ac:dyDescent="0.35">
      <c r="A79" s="12">
        <v>11</v>
      </c>
      <c r="B79">
        <v>90</v>
      </c>
      <c r="C79">
        <f t="shared" si="7"/>
        <v>126.625</v>
      </c>
      <c r="D79" s="8">
        <f t="shared" si="4"/>
        <v>128.59099264705881</v>
      </c>
      <c r="E79" s="13">
        <f t="shared" si="5"/>
        <v>0.69989350068259637</v>
      </c>
      <c r="G79" s="2" t="s">
        <v>38</v>
      </c>
      <c r="H79" s="2">
        <f>A88+2</f>
        <v>22</v>
      </c>
      <c r="I79" s="2">
        <f>($I$55*H79+$I$57)*H71</f>
        <v>130.39722046898217</v>
      </c>
    </row>
    <row r="80" spans="1:11" x14ac:dyDescent="0.35">
      <c r="A80" s="12">
        <v>12</v>
      </c>
      <c r="B80">
        <v>171</v>
      </c>
      <c r="C80">
        <f t="shared" si="7"/>
        <v>130.125</v>
      </c>
      <c r="D80" s="8">
        <f t="shared" si="4"/>
        <v>131.02297794117646</v>
      </c>
      <c r="E80" s="13">
        <f t="shared" si="5"/>
        <v>1.3051145889598956</v>
      </c>
      <c r="G80" s="2" t="s">
        <v>41</v>
      </c>
      <c r="H80" s="2">
        <f>A88+3</f>
        <v>23</v>
      </c>
      <c r="I80" s="2">
        <f>($I$55*H80+$I$57)*H72</f>
        <v>107.54656401630174</v>
      </c>
    </row>
    <row r="81" spans="1:9" x14ac:dyDescent="0.35">
      <c r="A81" s="12">
        <v>13</v>
      </c>
      <c r="B81">
        <v>150</v>
      </c>
      <c r="C81">
        <f t="shared" si="7"/>
        <v>132.75</v>
      </c>
      <c r="D81" s="8">
        <f t="shared" si="4"/>
        <v>133.45496323529412</v>
      </c>
      <c r="E81" s="13">
        <f t="shared" si="5"/>
        <v>1.1239746830212329</v>
      </c>
      <c r="G81" s="2" t="s">
        <v>39</v>
      </c>
      <c r="H81" s="2">
        <f>A88+4</f>
        <v>24</v>
      </c>
      <c r="I81" s="2">
        <f>($I$55*H81+$I$57)*H73</f>
        <v>225.88384888416695</v>
      </c>
    </row>
    <row r="82" spans="1:9" x14ac:dyDescent="0.35">
      <c r="A82" s="12">
        <v>14</v>
      </c>
      <c r="B82">
        <v>115</v>
      </c>
      <c r="C82">
        <f t="shared" si="7"/>
        <v>137.625</v>
      </c>
      <c r="D82" s="8">
        <f t="shared" si="4"/>
        <v>135.88694852941177</v>
      </c>
      <c r="E82" s="13">
        <f t="shared" si="5"/>
        <v>0.84629172444113765</v>
      </c>
    </row>
    <row r="83" spans="1:9" x14ac:dyDescent="0.35">
      <c r="A83" s="12">
        <v>15</v>
      </c>
      <c r="B83">
        <v>100</v>
      </c>
      <c r="C83">
        <f t="shared" si="7"/>
        <v>140.625</v>
      </c>
      <c r="D83" s="8">
        <f t="shared" si="4"/>
        <v>138.31893382352939</v>
      </c>
      <c r="E83" s="13">
        <f t="shared" si="5"/>
        <v>0.72296682193619566</v>
      </c>
    </row>
    <row r="84" spans="1:9" x14ac:dyDescent="0.35">
      <c r="A84" s="12">
        <v>16</v>
      </c>
      <c r="B84">
        <v>200</v>
      </c>
      <c r="C84">
        <f t="shared" si="7"/>
        <v>140.625</v>
      </c>
      <c r="D84" s="8">
        <f t="shared" si="4"/>
        <v>140.75091911764704</v>
      </c>
      <c r="E84" s="13">
        <f t="shared" si="5"/>
        <v>1.4209498684184751</v>
      </c>
    </row>
    <row r="85" spans="1:9" x14ac:dyDescent="0.35">
      <c r="A85" s="12">
        <v>17</v>
      </c>
      <c r="B85">
        <v>145</v>
      </c>
      <c r="C85">
        <f t="shared" si="7"/>
        <v>141.875</v>
      </c>
      <c r="D85" s="8">
        <f t="shared" si="4"/>
        <v>143.1829044117647</v>
      </c>
      <c r="E85" s="13">
        <f t="shared" si="5"/>
        <v>1.0126907300539854</v>
      </c>
    </row>
    <row r="86" spans="1:9" x14ac:dyDescent="0.35">
      <c r="A86" s="12">
        <v>18</v>
      </c>
      <c r="B86">
        <v>120</v>
      </c>
      <c r="C86">
        <f t="shared" si="7"/>
        <v>145.625</v>
      </c>
      <c r="D86" s="8">
        <f t="shared" si="4"/>
        <v>145.61488970588235</v>
      </c>
      <c r="E86" s="13">
        <f t="shared" si="5"/>
        <v>0.82409154889571989</v>
      </c>
    </row>
    <row r="87" spans="1:9" x14ac:dyDescent="0.35">
      <c r="A87" s="12">
        <v>19</v>
      </c>
      <c r="B87">
        <v>105</v>
      </c>
      <c r="C87" s="6"/>
      <c r="D87" s="8">
        <f t="shared" si="4"/>
        <v>148.046875</v>
      </c>
      <c r="E87" s="13">
        <f t="shared" si="5"/>
        <v>0.70923482849604225</v>
      </c>
    </row>
    <row r="88" spans="1:9" x14ac:dyDescent="0.35">
      <c r="A88" s="14">
        <v>20</v>
      </c>
      <c r="B88" s="15">
        <v>225</v>
      </c>
      <c r="C88" s="16"/>
      <c r="D88" s="8">
        <f t="shared" si="4"/>
        <v>150.47886029411762</v>
      </c>
      <c r="E88" s="17">
        <f t="shared" si="5"/>
        <v>1.4952266355568318</v>
      </c>
    </row>
    <row r="91" spans="1:9" x14ac:dyDescent="0.35">
      <c r="A91" s="3" t="s">
        <v>47</v>
      </c>
    </row>
    <row r="93" spans="1:9" x14ac:dyDescent="0.35">
      <c r="A93" t="s">
        <v>48</v>
      </c>
      <c r="B93">
        <v>5</v>
      </c>
      <c r="C93">
        <v>4</v>
      </c>
      <c r="D93">
        <v>3</v>
      </c>
      <c r="E93">
        <v>2</v>
      </c>
      <c r="F93">
        <v>1</v>
      </c>
    </row>
    <row r="94" spans="1:9" x14ac:dyDescent="0.35">
      <c r="A94" t="s">
        <v>49</v>
      </c>
      <c r="B94">
        <v>1320</v>
      </c>
      <c r="C94">
        <v>1560</v>
      </c>
      <c r="D94">
        <v>1597</v>
      </c>
      <c r="E94">
        <v>1990</v>
      </c>
      <c r="F94">
        <v>2010</v>
      </c>
    </row>
    <row r="95" spans="1:9" x14ac:dyDescent="0.35">
      <c r="A95" t="s">
        <v>50</v>
      </c>
      <c r="B95">
        <v>12</v>
      </c>
      <c r="C95">
        <v>14</v>
      </c>
      <c r="D95">
        <v>15</v>
      </c>
      <c r="E95">
        <v>20</v>
      </c>
      <c r="F95">
        <v>22</v>
      </c>
    </row>
    <row r="97" spans="1:22" x14ac:dyDescent="0.35">
      <c r="A97" t="s">
        <v>51</v>
      </c>
      <c r="B97" t="s">
        <v>53</v>
      </c>
      <c r="V97" t="s">
        <v>69</v>
      </c>
    </row>
    <row r="98" spans="1:22" x14ac:dyDescent="0.35">
      <c r="I98" t="s">
        <v>58</v>
      </c>
      <c r="M98" t="s">
        <v>17</v>
      </c>
      <c r="N98" t="s">
        <v>21</v>
      </c>
      <c r="O98" t="s">
        <v>62</v>
      </c>
      <c r="P98" t="s">
        <v>24</v>
      </c>
      <c r="Q98" t="s">
        <v>63</v>
      </c>
      <c r="R98" t="s">
        <v>67</v>
      </c>
      <c r="S98" t="s">
        <v>68</v>
      </c>
      <c r="T98" t="s">
        <v>64</v>
      </c>
      <c r="U98" t="s">
        <v>65</v>
      </c>
      <c r="V98" t="s">
        <v>66</v>
      </c>
    </row>
    <row r="99" spans="1:22" x14ac:dyDescent="0.35">
      <c r="A99" t="s">
        <v>17</v>
      </c>
      <c r="B99" t="s">
        <v>21</v>
      </c>
      <c r="C99" t="s">
        <v>52</v>
      </c>
      <c r="D99" t="s">
        <v>54</v>
      </c>
      <c r="E99" t="s">
        <v>55</v>
      </c>
      <c r="F99" t="s">
        <v>56</v>
      </c>
      <c r="G99" t="s">
        <v>57</v>
      </c>
      <c r="I99" t="s">
        <v>59</v>
      </c>
      <c r="J99">
        <f>E105</f>
        <v>4936.8</v>
      </c>
      <c r="M99">
        <v>12</v>
      </c>
      <c r="N99">
        <v>1320</v>
      </c>
      <c r="O99">
        <f>M99*N99</f>
        <v>15840</v>
      </c>
      <c r="P99">
        <f>M99^2</f>
        <v>144</v>
      </c>
      <c r="Q99">
        <f>N99^2</f>
        <v>1742400</v>
      </c>
      <c r="R99">
        <f>M99-$M$105</f>
        <v>-4.6000000000000014</v>
      </c>
      <c r="S99">
        <f>N99-$N$105</f>
        <v>-375.40000000000009</v>
      </c>
      <c r="T99">
        <f>R99*S99</f>
        <v>1726.8400000000011</v>
      </c>
      <c r="U99">
        <f>R99^2</f>
        <v>21.160000000000014</v>
      </c>
      <c r="V99">
        <f>S99^2</f>
        <v>140925.16000000006</v>
      </c>
    </row>
    <row r="100" spans="1:22" x14ac:dyDescent="0.35">
      <c r="A100">
        <v>12</v>
      </c>
      <c r="B100">
        <v>1320</v>
      </c>
      <c r="C100">
        <f>A100-$A$106</f>
        <v>-4.6000000000000014</v>
      </c>
      <c r="D100">
        <f>B100-$B$106</f>
        <v>-375.40000000000009</v>
      </c>
      <c r="E100">
        <f>C100*D100</f>
        <v>1726.8400000000011</v>
      </c>
      <c r="F100">
        <f>(A100-$A$106)^2</f>
        <v>21.160000000000014</v>
      </c>
      <c r="G100">
        <f>(B100-$B$106)^2</f>
        <v>140925.16000000006</v>
      </c>
      <c r="I100" t="s">
        <v>60</v>
      </c>
      <c r="J100">
        <f>SQRT(F105*G105)</f>
        <v>5025.4221554014748</v>
      </c>
      <c r="M100">
        <v>14</v>
      </c>
      <c r="N100">
        <v>1560</v>
      </c>
      <c r="O100">
        <f t="shared" ref="O100:O103" si="8">M100*N100</f>
        <v>21840</v>
      </c>
      <c r="P100">
        <f t="shared" ref="P100:P103" si="9">M100^2</f>
        <v>196</v>
      </c>
      <c r="Q100">
        <f t="shared" ref="Q100:Q103" si="10">N100^2</f>
        <v>2433600</v>
      </c>
      <c r="R100">
        <f t="shared" ref="R100:R103" si="11">M100-$M$105</f>
        <v>-2.6000000000000014</v>
      </c>
      <c r="S100">
        <f t="shared" ref="S100:S103" si="12">N100-$N$105</f>
        <v>-135.40000000000009</v>
      </c>
      <c r="T100">
        <f t="shared" ref="T100:T103" si="13">R100*S100</f>
        <v>352.04000000000042</v>
      </c>
      <c r="U100">
        <f t="shared" ref="U100:U103" si="14">R100^2</f>
        <v>6.7600000000000078</v>
      </c>
      <c r="V100">
        <f t="shared" ref="V100:V103" si="15">S100^2</f>
        <v>18333.160000000025</v>
      </c>
    </row>
    <row r="101" spans="1:22" x14ac:dyDescent="0.35">
      <c r="A101">
        <v>14</v>
      </c>
      <c r="B101">
        <v>1560</v>
      </c>
      <c r="C101">
        <f t="shared" ref="C101:C104" si="16">A101-$A$106</f>
        <v>-2.6000000000000014</v>
      </c>
      <c r="D101">
        <f t="shared" ref="D101:D104" si="17">B101-$B$106</f>
        <v>-135.40000000000009</v>
      </c>
      <c r="E101">
        <f t="shared" ref="E101:E104" si="18">C101*D101</f>
        <v>352.04000000000042</v>
      </c>
      <c r="F101">
        <f t="shared" ref="F101:F104" si="19">(A101-$A$106)^2</f>
        <v>6.7600000000000078</v>
      </c>
      <c r="G101">
        <f t="shared" ref="G101:G104" si="20">(B101-$B$106)^2</f>
        <v>18333.160000000025</v>
      </c>
      <c r="I101" t="s">
        <v>61</v>
      </c>
      <c r="J101">
        <f>J99/J100</f>
        <v>0.98236523168382561</v>
      </c>
      <c r="M101">
        <v>15</v>
      </c>
      <c r="N101">
        <v>1597</v>
      </c>
      <c r="O101">
        <f t="shared" si="8"/>
        <v>23955</v>
      </c>
      <c r="P101">
        <f t="shared" si="9"/>
        <v>225</v>
      </c>
      <c r="Q101">
        <f t="shared" si="10"/>
        <v>2550409</v>
      </c>
      <c r="R101">
        <f t="shared" si="11"/>
        <v>-1.6000000000000014</v>
      </c>
      <c r="S101">
        <f t="shared" si="12"/>
        <v>-98.400000000000091</v>
      </c>
      <c r="T101">
        <f t="shared" si="13"/>
        <v>157.44000000000028</v>
      </c>
      <c r="U101">
        <f t="shared" si="14"/>
        <v>2.5600000000000045</v>
      </c>
      <c r="V101">
        <f t="shared" si="15"/>
        <v>9682.5600000000177</v>
      </c>
    </row>
    <row r="102" spans="1:22" x14ac:dyDescent="0.35">
      <c r="A102">
        <v>15</v>
      </c>
      <c r="B102">
        <v>1597</v>
      </c>
      <c r="C102">
        <f t="shared" si="16"/>
        <v>-1.6000000000000014</v>
      </c>
      <c r="D102">
        <f t="shared" si="17"/>
        <v>-98.400000000000091</v>
      </c>
      <c r="E102">
        <f t="shared" si="18"/>
        <v>157.44000000000028</v>
      </c>
      <c r="F102">
        <f t="shared" si="19"/>
        <v>2.5600000000000045</v>
      </c>
      <c r="G102">
        <f t="shared" si="20"/>
        <v>9682.5600000000177</v>
      </c>
      <c r="M102">
        <v>20</v>
      </c>
      <c r="N102">
        <v>1990</v>
      </c>
      <c r="O102">
        <f t="shared" si="8"/>
        <v>39800</v>
      </c>
      <c r="P102">
        <f t="shared" si="9"/>
        <v>400</v>
      </c>
      <c r="Q102">
        <f t="shared" si="10"/>
        <v>3960100</v>
      </c>
      <c r="R102">
        <f t="shared" si="11"/>
        <v>3.3999999999999986</v>
      </c>
      <c r="S102">
        <f t="shared" si="12"/>
        <v>294.59999999999991</v>
      </c>
      <c r="T102">
        <f t="shared" si="13"/>
        <v>1001.6399999999993</v>
      </c>
      <c r="U102">
        <f t="shared" si="14"/>
        <v>11.55999999999999</v>
      </c>
      <c r="V102">
        <f t="shared" si="15"/>
        <v>86789.159999999945</v>
      </c>
    </row>
    <row r="103" spans="1:22" x14ac:dyDescent="0.35">
      <c r="A103">
        <v>20</v>
      </c>
      <c r="B103">
        <v>1990</v>
      </c>
      <c r="C103">
        <f t="shared" si="16"/>
        <v>3.3999999999999986</v>
      </c>
      <c r="D103">
        <f t="shared" si="17"/>
        <v>294.59999999999991</v>
      </c>
      <c r="E103">
        <f t="shared" si="18"/>
        <v>1001.6399999999993</v>
      </c>
      <c r="F103">
        <f t="shared" si="19"/>
        <v>11.55999999999999</v>
      </c>
      <c r="G103">
        <f t="shared" si="20"/>
        <v>86789.159999999945</v>
      </c>
      <c r="M103">
        <v>22</v>
      </c>
      <c r="N103">
        <v>2010</v>
      </c>
      <c r="O103">
        <f t="shared" si="8"/>
        <v>44220</v>
      </c>
      <c r="P103">
        <f t="shared" si="9"/>
        <v>484</v>
      </c>
      <c r="Q103">
        <f t="shared" si="10"/>
        <v>4040100</v>
      </c>
      <c r="R103">
        <f t="shared" si="11"/>
        <v>5.3999999999999986</v>
      </c>
      <c r="S103">
        <f t="shared" si="12"/>
        <v>314.59999999999991</v>
      </c>
      <c r="T103">
        <f t="shared" si="13"/>
        <v>1698.839999999999</v>
      </c>
      <c r="U103">
        <f t="shared" si="14"/>
        <v>29.159999999999986</v>
      </c>
      <c r="V103">
        <f t="shared" si="15"/>
        <v>98973.159999999945</v>
      </c>
    </row>
    <row r="104" spans="1:22" x14ac:dyDescent="0.35">
      <c r="A104">
        <v>22</v>
      </c>
      <c r="B104">
        <v>2010</v>
      </c>
      <c r="C104">
        <f t="shared" si="16"/>
        <v>5.3999999999999986</v>
      </c>
      <c r="D104">
        <f t="shared" si="17"/>
        <v>314.59999999999991</v>
      </c>
      <c r="E104">
        <f t="shared" si="18"/>
        <v>1698.839999999999</v>
      </c>
      <c r="F104">
        <f t="shared" si="19"/>
        <v>29.159999999999986</v>
      </c>
      <c r="G104">
        <f t="shared" si="20"/>
        <v>98973.159999999945</v>
      </c>
      <c r="M104" s="7">
        <f>SUM(M99:M103)</f>
        <v>83</v>
      </c>
      <c r="N104" s="7">
        <f>SUM(N99:N103)</f>
        <v>8477</v>
      </c>
      <c r="O104" s="7">
        <f t="shared" ref="O104:U104" si="21">SUM(O99:O103)</f>
        <v>145655</v>
      </c>
      <c r="P104" s="7">
        <f t="shared" si="21"/>
        <v>1449</v>
      </c>
      <c r="Q104" s="7">
        <f t="shared" si="21"/>
        <v>14726609</v>
      </c>
      <c r="R104" s="7">
        <f t="shared" si="21"/>
        <v>-7.1054273576010019E-15</v>
      </c>
      <c r="S104" s="7">
        <f t="shared" si="21"/>
        <v>-4.5474735088646412E-13</v>
      </c>
      <c r="T104" s="7">
        <f t="shared" si="21"/>
        <v>4936.8</v>
      </c>
      <c r="U104" s="7">
        <f t="shared" si="21"/>
        <v>71.2</v>
      </c>
    </row>
    <row r="105" spans="1:22" x14ac:dyDescent="0.35">
      <c r="A105" s="7">
        <f>SUM(A100:A104)</f>
        <v>83</v>
      </c>
      <c r="B105" s="7">
        <f>SUM(B100:B104)</f>
        <v>8477</v>
      </c>
      <c r="C105" s="18">
        <f t="shared" ref="C105:G105" si="22">SUM(C100:C104)</f>
        <v>-7.1054273576010019E-15</v>
      </c>
      <c r="D105" s="18">
        <f t="shared" si="22"/>
        <v>-4.5474735088646412E-13</v>
      </c>
      <c r="E105" s="7">
        <f t="shared" si="22"/>
        <v>4936.8</v>
      </c>
      <c r="F105" s="7">
        <f t="shared" si="22"/>
        <v>71.2</v>
      </c>
      <c r="G105" s="7">
        <f t="shared" si="22"/>
        <v>354703.2</v>
      </c>
      <c r="M105">
        <f>AVERAGE(M99:M103)</f>
        <v>16.600000000000001</v>
      </c>
      <c r="N105">
        <f>AVERAGE(N99:N103)</f>
        <v>1695.4</v>
      </c>
    </row>
    <row r="106" spans="1:22" x14ac:dyDescent="0.35">
      <c r="A106">
        <f>AVERAGE(A100:A104)</f>
        <v>16.600000000000001</v>
      </c>
      <c r="B106">
        <f>AVERAGE(B100:B104)</f>
        <v>1695.4</v>
      </c>
    </row>
    <row r="107" spans="1:22" x14ac:dyDescent="0.35">
      <c r="P107" t="s">
        <v>72</v>
      </c>
    </row>
    <row r="108" spans="1:22" x14ac:dyDescent="0.35">
      <c r="B108" t="s">
        <v>59</v>
      </c>
    </row>
    <row r="109" spans="1:22" x14ac:dyDescent="0.35">
      <c r="B109" t="s">
        <v>60</v>
      </c>
    </row>
    <row r="110" spans="1:22" x14ac:dyDescent="0.35">
      <c r="B110" t="s">
        <v>30</v>
      </c>
    </row>
    <row r="112" spans="1:22" x14ac:dyDescent="0.35">
      <c r="A112" t="s">
        <v>71</v>
      </c>
    </row>
    <row r="114" spans="1:5" x14ac:dyDescent="0.35">
      <c r="A114" t="s">
        <v>70</v>
      </c>
    </row>
    <row r="118" spans="1:5" x14ac:dyDescent="0.35">
      <c r="A118" s="3" t="s">
        <v>74</v>
      </c>
    </row>
    <row r="120" spans="1:5" x14ac:dyDescent="0.35">
      <c r="A120" t="s">
        <v>75</v>
      </c>
    </row>
    <row r="121" spans="1:5" x14ac:dyDescent="0.35">
      <c r="B121" t="s">
        <v>76</v>
      </c>
      <c r="C121" t="s">
        <v>77</v>
      </c>
      <c r="D121" t="s">
        <v>78</v>
      </c>
      <c r="E121" t="s">
        <v>2</v>
      </c>
    </row>
    <row r="122" spans="1:5" x14ac:dyDescent="0.35">
      <c r="A122" t="s">
        <v>37</v>
      </c>
      <c r="B122">
        <v>524</v>
      </c>
      <c r="C122">
        <v>532</v>
      </c>
      <c r="D122">
        <v>556</v>
      </c>
      <c r="E122">
        <v>660</v>
      </c>
    </row>
    <row r="123" spans="1:5" x14ac:dyDescent="0.35">
      <c r="A123" t="s">
        <v>79</v>
      </c>
      <c r="B123">
        <v>378</v>
      </c>
      <c r="C123">
        <v>418</v>
      </c>
      <c r="D123">
        <v>426</v>
      </c>
      <c r="E123">
        <v>482</v>
      </c>
    </row>
    <row r="124" spans="1:5" x14ac:dyDescent="0.35">
      <c r="A124" t="s">
        <v>41</v>
      </c>
      <c r="B124">
        <v>354</v>
      </c>
      <c r="C124">
        <v>378</v>
      </c>
      <c r="D124">
        <v>394</v>
      </c>
      <c r="E124">
        <v>434</v>
      </c>
    </row>
    <row r="125" spans="1:5" x14ac:dyDescent="0.35">
      <c r="A125" t="s">
        <v>39</v>
      </c>
      <c r="B125">
        <v>636</v>
      </c>
      <c r="C125">
        <v>692</v>
      </c>
      <c r="D125">
        <v>716</v>
      </c>
      <c r="E125">
        <v>724</v>
      </c>
    </row>
    <row r="126" spans="1:5" x14ac:dyDescent="0.35">
      <c r="B126" s="7">
        <f t="shared" ref="B126:E126" si="23">AVERAGE(B122:B125)</f>
        <v>473</v>
      </c>
      <c r="C126" s="7">
        <f t="shared" si="23"/>
        <v>505</v>
      </c>
      <c r="D126" s="7">
        <f t="shared" si="23"/>
        <v>523</v>
      </c>
      <c r="E126" s="7">
        <f t="shared" si="23"/>
        <v>575</v>
      </c>
    </row>
    <row r="128" spans="1:5" x14ac:dyDescent="0.35">
      <c r="A128" t="s">
        <v>11</v>
      </c>
      <c r="B128" t="s">
        <v>80</v>
      </c>
      <c r="C128" s="4" t="s">
        <v>13</v>
      </c>
      <c r="D128" t="s">
        <v>82</v>
      </c>
    </row>
    <row r="129" spans="1:3" x14ac:dyDescent="0.35">
      <c r="A129">
        <v>1</v>
      </c>
      <c r="B129">
        <v>524</v>
      </c>
      <c r="C129" s="6"/>
    </row>
    <row r="130" spans="1:3" x14ac:dyDescent="0.35">
      <c r="A130">
        <v>2</v>
      </c>
      <c r="B130">
        <v>378</v>
      </c>
      <c r="C130" s="6"/>
    </row>
    <row r="131" spans="1:3" x14ac:dyDescent="0.35">
      <c r="A131">
        <v>3</v>
      </c>
      <c r="B131">
        <v>354</v>
      </c>
      <c r="C131">
        <f>1/4*(1/2*B129+B130+B131+B132+1/2*B133)</f>
        <v>474</v>
      </c>
    </row>
    <row r="132" spans="1:3" x14ac:dyDescent="0.35">
      <c r="A132">
        <v>4</v>
      </c>
      <c r="B132">
        <v>636</v>
      </c>
      <c r="C132">
        <f t="shared" ref="C132:C142" si="24">1/4*(1/2*B130+B131+B132+B133+1/2*B134)</f>
        <v>480</v>
      </c>
    </row>
    <row r="133" spans="1:3" x14ac:dyDescent="0.35">
      <c r="A133">
        <v>5</v>
      </c>
      <c r="B133">
        <v>532</v>
      </c>
      <c r="C133">
        <f t="shared" si="24"/>
        <v>488</v>
      </c>
    </row>
    <row r="134" spans="1:3" x14ac:dyDescent="0.35">
      <c r="A134">
        <v>6</v>
      </c>
      <c r="B134">
        <v>418</v>
      </c>
      <c r="C134">
        <f t="shared" si="24"/>
        <v>498</v>
      </c>
    </row>
    <row r="135" spans="1:3" x14ac:dyDescent="0.35">
      <c r="A135">
        <v>7</v>
      </c>
      <c r="B135">
        <v>378</v>
      </c>
      <c r="C135">
        <f t="shared" si="24"/>
        <v>508</v>
      </c>
    </row>
    <row r="136" spans="1:3" x14ac:dyDescent="0.35">
      <c r="A136">
        <v>8</v>
      </c>
      <c r="B136">
        <v>692</v>
      </c>
      <c r="C136">
        <f t="shared" si="24"/>
        <v>512</v>
      </c>
    </row>
    <row r="137" spans="1:3" x14ac:dyDescent="0.35">
      <c r="A137">
        <v>9</v>
      </c>
      <c r="B137">
        <v>556</v>
      </c>
      <c r="C137">
        <f t="shared" si="24"/>
        <v>515</v>
      </c>
    </row>
    <row r="138" spans="1:3" x14ac:dyDescent="0.35">
      <c r="A138">
        <v>10</v>
      </c>
      <c r="B138">
        <v>426</v>
      </c>
      <c r="C138">
        <f t="shared" si="24"/>
        <v>520</v>
      </c>
    </row>
    <row r="139" spans="1:3" x14ac:dyDescent="0.35">
      <c r="A139">
        <v>11</v>
      </c>
      <c r="B139">
        <v>394</v>
      </c>
      <c r="C139">
        <f t="shared" si="24"/>
        <v>536</v>
      </c>
    </row>
    <row r="140" spans="1:3" x14ac:dyDescent="0.35">
      <c r="A140">
        <v>12</v>
      </c>
      <c r="B140">
        <v>716</v>
      </c>
      <c r="C140">
        <f t="shared" si="24"/>
        <v>556</v>
      </c>
    </row>
    <row r="141" spans="1:3" x14ac:dyDescent="0.35">
      <c r="A141">
        <v>13</v>
      </c>
      <c r="B141">
        <v>660</v>
      </c>
      <c r="C141">
        <f t="shared" si="24"/>
        <v>568</v>
      </c>
    </row>
    <row r="142" spans="1:3" x14ac:dyDescent="0.35">
      <c r="A142">
        <v>14</v>
      </c>
      <c r="B142">
        <v>482</v>
      </c>
      <c r="C142">
        <f t="shared" si="24"/>
        <v>574</v>
      </c>
    </row>
    <row r="143" spans="1:3" x14ac:dyDescent="0.35">
      <c r="A143">
        <v>15</v>
      </c>
      <c r="B143">
        <v>434</v>
      </c>
      <c r="C143" s="6"/>
    </row>
    <row r="144" spans="1:3" x14ac:dyDescent="0.35">
      <c r="A144">
        <v>16</v>
      </c>
      <c r="B144">
        <v>724</v>
      </c>
      <c r="C144" s="6"/>
    </row>
    <row r="147" spans="1:11" x14ac:dyDescent="0.35">
      <c r="A147" t="s">
        <v>73</v>
      </c>
    </row>
    <row r="149" spans="1:11" x14ac:dyDescent="0.35">
      <c r="A149" t="s">
        <v>11</v>
      </c>
      <c r="B149" t="s">
        <v>80</v>
      </c>
      <c r="C149" s="4" t="s">
        <v>13</v>
      </c>
      <c r="D149" t="s">
        <v>83</v>
      </c>
      <c r="H149" t="s">
        <v>30</v>
      </c>
      <c r="I149">
        <v>9</v>
      </c>
    </row>
    <row r="150" spans="1:11" x14ac:dyDescent="0.35">
      <c r="A150">
        <v>1</v>
      </c>
      <c r="B150">
        <v>524</v>
      </c>
      <c r="C150" s="6"/>
      <c r="H150" t="s">
        <v>32</v>
      </c>
      <c r="I150">
        <v>460</v>
      </c>
    </row>
    <row r="151" spans="1:11" x14ac:dyDescent="0.35">
      <c r="A151">
        <v>2</v>
      </c>
      <c r="B151">
        <v>378</v>
      </c>
      <c r="C151" s="6"/>
    </row>
    <row r="152" spans="1:11" x14ac:dyDescent="0.35">
      <c r="A152">
        <v>3</v>
      </c>
      <c r="B152">
        <v>354</v>
      </c>
      <c r="C152">
        <f>1/4*(1/2*B150+B151+B152+B153+1/2*B154)</f>
        <v>474</v>
      </c>
      <c r="D152">
        <f>B152/C152</f>
        <v>0.74683544303797467</v>
      </c>
    </row>
    <row r="153" spans="1:11" x14ac:dyDescent="0.35">
      <c r="A153">
        <v>4</v>
      </c>
      <c r="B153">
        <v>636</v>
      </c>
      <c r="C153">
        <f t="shared" ref="C153:C163" si="25">1/4*(1/2*B151+B152+B153+B154+1/2*B155)</f>
        <v>480</v>
      </c>
      <c r="D153">
        <f>B153/C153</f>
        <v>1.325</v>
      </c>
      <c r="H153" t="s">
        <v>85</v>
      </c>
      <c r="I153" t="s">
        <v>84</v>
      </c>
      <c r="K153" t="s">
        <v>92</v>
      </c>
    </row>
    <row r="154" spans="1:11" x14ac:dyDescent="0.35">
      <c r="A154">
        <v>5</v>
      </c>
      <c r="B154">
        <v>532</v>
      </c>
      <c r="C154">
        <f t="shared" si="25"/>
        <v>488</v>
      </c>
      <c r="D154">
        <f>B154/C154</f>
        <v>1.0901639344262295</v>
      </c>
      <c r="H154">
        <v>3</v>
      </c>
      <c r="I154" s="21">
        <f>(C152+C156+C160)/3</f>
        <v>506</v>
      </c>
      <c r="J154">
        <f>(D152+D156+D160)/3</f>
        <v>0.74200151936420744</v>
      </c>
      <c r="K154">
        <f>J154*$J$159</f>
        <v>0.74074264504961418</v>
      </c>
    </row>
    <row r="155" spans="1:11" x14ac:dyDescent="0.35">
      <c r="A155">
        <v>6</v>
      </c>
      <c r="B155">
        <v>418</v>
      </c>
      <c r="C155">
        <f t="shared" si="25"/>
        <v>498</v>
      </c>
      <c r="D155">
        <f>B155/C155</f>
        <v>0.8393574297188755</v>
      </c>
      <c r="H155">
        <v>4</v>
      </c>
      <c r="I155" s="21">
        <f t="shared" ref="I155:I157" si="26">(C153+C157+C161)/3</f>
        <v>516</v>
      </c>
      <c r="J155">
        <f>(D153+D157+D161)/3</f>
        <v>1.3214440947242208</v>
      </c>
      <c r="K155">
        <f t="shared" ref="K155:K157" si="27">J155*$J$159</f>
        <v>1.3192021424025535</v>
      </c>
    </row>
    <row r="156" spans="1:11" x14ac:dyDescent="0.35">
      <c r="A156">
        <v>7</v>
      </c>
      <c r="B156">
        <v>378</v>
      </c>
      <c r="C156">
        <f t="shared" si="25"/>
        <v>508</v>
      </c>
      <c r="D156">
        <f>B156/C156</f>
        <v>0.74409448818897639</v>
      </c>
      <c r="H156">
        <v>1</v>
      </c>
      <c r="I156" s="21">
        <f t="shared" si="26"/>
        <v>523.66666666666663</v>
      </c>
      <c r="J156">
        <f>(D154+D158+D162)/3</f>
        <v>1.1105824719658606</v>
      </c>
      <c r="K156">
        <f t="shared" si="27"/>
        <v>1.1086982659208471</v>
      </c>
    </row>
    <row r="157" spans="1:11" x14ac:dyDescent="0.35">
      <c r="A157">
        <v>8</v>
      </c>
      <c r="B157">
        <v>692</v>
      </c>
      <c r="C157">
        <f t="shared" si="25"/>
        <v>512</v>
      </c>
      <c r="D157">
        <f>B157/C157</f>
        <v>1.3515625</v>
      </c>
      <c r="H157">
        <v>2</v>
      </c>
      <c r="I157" s="21">
        <f t="shared" si="26"/>
        <v>530.66666666666663</v>
      </c>
      <c r="J157">
        <f>(D155+D159+D163)/3</f>
        <v>0.83276981776834846</v>
      </c>
      <c r="K157">
        <f t="shared" si="27"/>
        <v>0.83135694662698567</v>
      </c>
    </row>
    <row r="158" spans="1:11" x14ac:dyDescent="0.35">
      <c r="A158">
        <v>9</v>
      </c>
      <c r="B158">
        <v>556</v>
      </c>
      <c r="C158">
        <f t="shared" si="25"/>
        <v>515</v>
      </c>
      <c r="D158">
        <f>B158/C158</f>
        <v>1.0796116504854369</v>
      </c>
      <c r="J158">
        <f>SUM(J154:J157)</f>
        <v>4.0067979038226369</v>
      </c>
    </row>
    <row r="159" spans="1:11" x14ac:dyDescent="0.35">
      <c r="A159">
        <v>10</v>
      </c>
      <c r="B159">
        <v>426</v>
      </c>
      <c r="C159">
        <f t="shared" si="25"/>
        <v>520</v>
      </c>
      <c r="D159">
        <f>B159/C159</f>
        <v>0.81923076923076921</v>
      </c>
      <c r="H159" t="s">
        <v>91</v>
      </c>
      <c r="J159">
        <f>4/J158</f>
        <v>0.99830340736273437</v>
      </c>
    </row>
    <row r="160" spans="1:11" x14ac:dyDescent="0.35">
      <c r="A160">
        <v>11</v>
      </c>
      <c r="B160">
        <v>394</v>
      </c>
      <c r="C160">
        <f t="shared" si="25"/>
        <v>536</v>
      </c>
      <c r="D160">
        <f>B160/C160</f>
        <v>0.7350746268656716</v>
      </c>
    </row>
    <row r="161" spans="1:4" x14ac:dyDescent="0.35">
      <c r="A161">
        <v>12</v>
      </c>
      <c r="B161">
        <v>716</v>
      </c>
      <c r="C161">
        <f t="shared" si="25"/>
        <v>556</v>
      </c>
      <c r="D161">
        <f>B161/C161</f>
        <v>1.2877697841726619</v>
      </c>
    </row>
    <row r="162" spans="1:4" x14ac:dyDescent="0.35">
      <c r="A162">
        <v>13</v>
      </c>
      <c r="B162">
        <v>660</v>
      </c>
      <c r="C162">
        <f t="shared" si="25"/>
        <v>568</v>
      </c>
      <c r="D162">
        <f>B162/C162</f>
        <v>1.1619718309859155</v>
      </c>
    </row>
    <row r="163" spans="1:4" x14ac:dyDescent="0.35">
      <c r="A163">
        <v>14</v>
      </c>
      <c r="B163">
        <v>482</v>
      </c>
      <c r="C163">
        <f t="shared" si="25"/>
        <v>574</v>
      </c>
      <c r="D163">
        <f>B163/C163</f>
        <v>0.83972125435540068</v>
      </c>
    </row>
    <row r="164" spans="1:4" x14ac:dyDescent="0.35">
      <c r="A164">
        <v>15</v>
      </c>
      <c r="B164">
        <v>434</v>
      </c>
      <c r="C164" s="6"/>
    </row>
    <row r="165" spans="1:4" x14ac:dyDescent="0.35">
      <c r="A165">
        <v>16</v>
      </c>
      <c r="B165">
        <v>724</v>
      </c>
      <c r="C165" s="6"/>
    </row>
    <row r="169" spans="1:4" x14ac:dyDescent="0.35">
      <c r="A169" t="s">
        <v>16</v>
      </c>
    </row>
    <row r="172" spans="1:4" x14ac:dyDescent="0.35">
      <c r="A172" t="s">
        <v>85</v>
      </c>
      <c r="B172" t="s">
        <v>86</v>
      </c>
    </row>
    <row r="173" spans="1:4" x14ac:dyDescent="0.35">
      <c r="A173">
        <v>17</v>
      </c>
      <c r="B173">
        <f>($I$149*A173+$I$150)*K156</f>
        <v>679.63203700947929</v>
      </c>
    </row>
    <row r="174" spans="1:4" x14ac:dyDescent="0.35">
      <c r="A174">
        <v>18</v>
      </c>
      <c r="B174">
        <f>($I$149*A174+$I$150)*K157</f>
        <v>517.10402080198514</v>
      </c>
    </row>
    <row r="175" spans="1:4" x14ac:dyDescent="0.35">
      <c r="A175">
        <v>19</v>
      </c>
      <c r="B175">
        <f>($I$149*A175+$I$150)*K154</f>
        <v>467.40860902630652</v>
      </c>
    </row>
    <row r="176" spans="1:4" x14ac:dyDescent="0.35">
      <c r="A176">
        <v>20</v>
      </c>
      <c r="B176">
        <f>($I$149*A176+$I$150)*K155</f>
        <v>844.28937113763425</v>
      </c>
    </row>
    <row r="177" spans="1:10" x14ac:dyDescent="0.35">
      <c r="B177" s="7">
        <f>SUM(B173:B176)</f>
        <v>2508.4340379754053</v>
      </c>
    </row>
    <row r="178" spans="1:10" x14ac:dyDescent="0.35">
      <c r="A178" s="3" t="s">
        <v>87</v>
      </c>
    </row>
    <row r="179" spans="1:10" x14ac:dyDescent="0.35">
      <c r="A179" t="s">
        <v>51</v>
      </c>
    </row>
    <row r="180" spans="1:10" x14ac:dyDescent="0.35">
      <c r="A180" s="9" t="s">
        <v>11</v>
      </c>
      <c r="B180" s="10" t="s">
        <v>12</v>
      </c>
      <c r="C180" s="10" t="s">
        <v>88</v>
      </c>
      <c r="D180" s="23" t="s">
        <v>89</v>
      </c>
      <c r="E180" s="23" t="s">
        <v>22</v>
      </c>
      <c r="F180" s="23" t="s">
        <v>81</v>
      </c>
      <c r="G180" s="23" t="s">
        <v>90</v>
      </c>
      <c r="I180" t="s">
        <v>58</v>
      </c>
    </row>
    <row r="181" spans="1:10" x14ac:dyDescent="0.35">
      <c r="A181" s="12">
        <v>1</v>
      </c>
      <c r="B181">
        <v>610</v>
      </c>
      <c r="C181">
        <f>A181-$A$187</f>
        <v>-2</v>
      </c>
      <c r="D181">
        <f>B181-$B$187</f>
        <v>-354</v>
      </c>
      <c r="E181">
        <f>C181*D181</f>
        <v>708</v>
      </c>
      <c r="F181">
        <f>C181^2</f>
        <v>4</v>
      </c>
      <c r="G181">
        <f>D181^2</f>
        <v>125316</v>
      </c>
      <c r="I181" t="s">
        <v>59</v>
      </c>
      <c r="J181">
        <f>E186</f>
        <v>1654</v>
      </c>
    </row>
    <row r="182" spans="1:10" x14ac:dyDescent="0.35">
      <c r="A182" s="12">
        <v>2</v>
      </c>
      <c r="B182">
        <v>818</v>
      </c>
      <c r="C182">
        <f>A182-$A$187</f>
        <v>-1</v>
      </c>
      <c r="D182">
        <f>B182-$B$187</f>
        <v>-146</v>
      </c>
      <c r="E182">
        <f t="shared" ref="E182:E200" si="28">C182*D182</f>
        <v>146</v>
      </c>
      <c r="F182">
        <f t="shared" ref="F182:F200" si="29">C182^2</f>
        <v>1</v>
      </c>
      <c r="G182">
        <f t="shared" ref="G182:G200" si="30">D182^2</f>
        <v>21316</v>
      </c>
      <c r="I182" t="s">
        <v>60</v>
      </c>
      <c r="J182">
        <f>SQRT(F186*G186)</f>
        <v>1683.6804922549884</v>
      </c>
    </row>
    <row r="183" spans="1:10" x14ac:dyDescent="0.35">
      <c r="A183" s="12">
        <v>3</v>
      </c>
      <c r="B183">
        <v>943</v>
      </c>
      <c r="C183">
        <f>A183-$A$187</f>
        <v>0</v>
      </c>
      <c r="D183">
        <f>B183-$B$187</f>
        <v>-21</v>
      </c>
      <c r="E183">
        <f t="shared" si="28"/>
        <v>0</v>
      </c>
      <c r="F183">
        <f t="shared" si="29"/>
        <v>0</v>
      </c>
      <c r="G183">
        <f t="shared" si="30"/>
        <v>441</v>
      </c>
      <c r="I183" t="s">
        <v>61</v>
      </c>
      <c r="J183">
        <f>J181/J182</f>
        <v>0.98237165994883224</v>
      </c>
    </row>
    <row r="184" spans="1:10" x14ac:dyDescent="0.35">
      <c r="A184" s="12">
        <v>4</v>
      </c>
      <c r="B184">
        <v>1206</v>
      </c>
      <c r="C184">
        <f>A184-$A$187</f>
        <v>1</v>
      </c>
      <c r="D184">
        <f>B184-$B$187</f>
        <v>242</v>
      </c>
      <c r="E184">
        <f t="shared" si="28"/>
        <v>242</v>
      </c>
      <c r="F184">
        <f t="shared" si="29"/>
        <v>1</v>
      </c>
      <c r="G184">
        <f t="shared" si="30"/>
        <v>58564</v>
      </c>
    </row>
    <row r="185" spans="1:10" x14ac:dyDescent="0.35">
      <c r="A185" s="12">
        <v>5</v>
      </c>
      <c r="B185">
        <v>1243</v>
      </c>
      <c r="C185">
        <f>A185-$A$187</f>
        <v>2</v>
      </c>
      <c r="D185">
        <f>B185-$B$187</f>
        <v>279</v>
      </c>
      <c r="E185">
        <f t="shared" si="28"/>
        <v>558</v>
      </c>
      <c r="F185">
        <f t="shared" si="29"/>
        <v>4</v>
      </c>
      <c r="G185">
        <f t="shared" si="30"/>
        <v>77841</v>
      </c>
    </row>
    <row r="186" spans="1:10" x14ac:dyDescent="0.35">
      <c r="A186" s="22">
        <f>SUM(A181:A185)</f>
        <v>15</v>
      </c>
      <c r="B186" s="22">
        <f>SUM(B181:B185)</f>
        <v>4820</v>
      </c>
      <c r="C186" s="22">
        <f>SUM(C181:C185)</f>
        <v>0</v>
      </c>
      <c r="D186" s="22">
        <f>SUM(D181:D185)</f>
        <v>0</v>
      </c>
      <c r="E186" s="22">
        <f>SUM(E181:E185)</f>
        <v>1654</v>
      </c>
      <c r="F186" s="22">
        <f>SUM(F181:F185)</f>
        <v>10</v>
      </c>
      <c r="G186" s="22">
        <f>SUM(G181:G185)</f>
        <v>283478</v>
      </c>
    </row>
    <row r="187" spans="1:10" x14ac:dyDescent="0.35">
      <c r="A187">
        <f>AVERAGE(A181:A185)</f>
        <v>3</v>
      </c>
      <c r="B187">
        <f>AVERAGE(B181:B185)</f>
        <v>964</v>
      </c>
    </row>
    <row r="188" spans="1:10" x14ac:dyDescent="0.35">
      <c r="A188" s="12" t="s">
        <v>93</v>
      </c>
    </row>
    <row r="189" spans="1:10" x14ac:dyDescent="0.35">
      <c r="A189" s="12"/>
    </row>
    <row r="190" spans="1:10" x14ac:dyDescent="0.35">
      <c r="A190" s="9" t="s">
        <v>11</v>
      </c>
      <c r="B190" s="10" t="s">
        <v>12</v>
      </c>
    </row>
    <row r="191" spans="1:10" x14ac:dyDescent="0.35">
      <c r="A191" s="12">
        <v>1</v>
      </c>
      <c r="B191">
        <v>92</v>
      </c>
    </row>
    <row r="192" spans="1:10" x14ac:dyDescent="0.35">
      <c r="A192" s="12">
        <v>2</v>
      </c>
      <c r="B192">
        <v>151</v>
      </c>
    </row>
    <row r="193" spans="1:8" x14ac:dyDescent="0.35">
      <c r="A193" s="12">
        <v>3</v>
      </c>
      <c r="B193">
        <v>306</v>
      </c>
    </row>
    <row r="194" spans="1:8" x14ac:dyDescent="0.35">
      <c r="A194" s="12">
        <v>4</v>
      </c>
      <c r="B194">
        <v>61</v>
      </c>
    </row>
    <row r="195" spans="1:8" x14ac:dyDescent="0.35">
      <c r="A195" s="12">
        <v>5</v>
      </c>
      <c r="B195">
        <v>125</v>
      </c>
    </row>
    <row r="196" spans="1:8" x14ac:dyDescent="0.35">
      <c r="A196" s="12">
        <v>6</v>
      </c>
      <c r="B196">
        <v>203</v>
      </c>
    </row>
    <row r="197" spans="1:8" x14ac:dyDescent="0.35">
      <c r="A197" s="12">
        <v>7</v>
      </c>
      <c r="B197">
        <v>395</v>
      </c>
    </row>
    <row r="198" spans="1:8" x14ac:dyDescent="0.35">
      <c r="A198" s="12">
        <v>8</v>
      </c>
      <c r="B198">
        <v>95</v>
      </c>
    </row>
    <row r="199" spans="1:8" x14ac:dyDescent="0.35">
      <c r="A199" s="12">
        <v>9</v>
      </c>
      <c r="B199">
        <v>146</v>
      </c>
    </row>
    <row r="200" spans="1:8" x14ac:dyDescent="0.35">
      <c r="A200" s="14">
        <v>10</v>
      </c>
      <c r="B200">
        <v>232</v>
      </c>
    </row>
    <row r="201" spans="1:8" x14ac:dyDescent="0.35">
      <c r="A201" s="24">
        <v>11</v>
      </c>
      <c r="B201">
        <v>442</v>
      </c>
    </row>
    <row r="202" spans="1:8" x14ac:dyDescent="0.35">
      <c r="A202" s="24">
        <v>12</v>
      </c>
      <c r="B202">
        <v>123</v>
      </c>
    </row>
    <row r="203" spans="1:8" x14ac:dyDescent="0.35">
      <c r="A203" s="24">
        <v>13</v>
      </c>
      <c r="B203">
        <v>230</v>
      </c>
    </row>
    <row r="204" spans="1:8" x14ac:dyDescent="0.35">
      <c r="A204" s="24">
        <v>14</v>
      </c>
      <c r="B204">
        <v>275</v>
      </c>
      <c r="G204" t="s">
        <v>101</v>
      </c>
    </row>
    <row r="205" spans="1:8" x14ac:dyDescent="0.35">
      <c r="A205" s="24">
        <v>15</v>
      </c>
      <c r="B205">
        <v>566</v>
      </c>
    </row>
    <row r="206" spans="1:8" x14ac:dyDescent="0.35">
      <c r="A206" s="24">
        <v>16</v>
      </c>
      <c r="B206">
        <v>135</v>
      </c>
    </row>
    <row r="207" spans="1:8" x14ac:dyDescent="0.35">
      <c r="A207" s="24">
        <v>17</v>
      </c>
      <c r="B207">
        <v>158</v>
      </c>
      <c r="G207" t="s">
        <v>100</v>
      </c>
    </row>
    <row r="208" spans="1:8" x14ac:dyDescent="0.35">
      <c r="A208" s="24">
        <v>18</v>
      </c>
      <c r="B208">
        <v>312</v>
      </c>
      <c r="G208" t="s">
        <v>30</v>
      </c>
      <c r="H208">
        <v>10.37</v>
      </c>
    </row>
    <row r="209" spans="1:10" x14ac:dyDescent="0.35">
      <c r="A209" s="24">
        <v>19</v>
      </c>
      <c r="B209">
        <v>641</v>
      </c>
      <c r="G209" t="s">
        <v>32</v>
      </c>
      <c r="H209">
        <v>132.12</v>
      </c>
    </row>
    <row r="210" spans="1:10" x14ac:dyDescent="0.35">
      <c r="A210" s="24">
        <v>20</v>
      </c>
      <c r="B210">
        <v>132</v>
      </c>
    </row>
    <row r="212" spans="1:10" x14ac:dyDescent="0.35">
      <c r="A212" t="s">
        <v>73</v>
      </c>
    </row>
    <row r="214" spans="1:10" ht="43.5" x14ac:dyDescent="0.35">
      <c r="A214" t="s">
        <v>85</v>
      </c>
      <c r="B214" t="s">
        <v>94</v>
      </c>
      <c r="C214" t="s">
        <v>95</v>
      </c>
      <c r="D214" s="25" t="s">
        <v>96</v>
      </c>
    </row>
    <row r="215" spans="1:10" x14ac:dyDescent="0.35">
      <c r="A215" s="12">
        <v>1</v>
      </c>
      <c r="B215">
        <v>92</v>
      </c>
      <c r="C215">
        <v>142.49</v>
      </c>
      <c r="D215">
        <f>B215/C215</f>
        <v>0.64565934451540452</v>
      </c>
    </row>
    <row r="216" spans="1:10" x14ac:dyDescent="0.35">
      <c r="A216" s="12">
        <v>2</v>
      </c>
      <c r="B216">
        <v>151</v>
      </c>
      <c r="C216">
        <v>152.86000000000001</v>
      </c>
      <c r="D216">
        <f t="shared" ref="D216:D234" si="31">B216/C216</f>
        <v>0.98783200314012809</v>
      </c>
    </row>
    <row r="217" spans="1:10" x14ac:dyDescent="0.35">
      <c r="A217" s="12">
        <v>3</v>
      </c>
      <c r="B217">
        <v>306</v>
      </c>
      <c r="C217">
        <v>163.22999999999999</v>
      </c>
      <c r="D217">
        <f t="shared" si="31"/>
        <v>1.8746553942290021</v>
      </c>
      <c r="G217" t="s">
        <v>97</v>
      </c>
      <c r="H217" t="s">
        <v>98</v>
      </c>
      <c r="I217" t="s">
        <v>92</v>
      </c>
      <c r="J217" t="s">
        <v>99</v>
      </c>
    </row>
    <row r="218" spans="1:10" x14ac:dyDescent="0.35">
      <c r="A218" s="12">
        <v>4</v>
      </c>
      <c r="B218">
        <v>61</v>
      </c>
      <c r="C218">
        <v>173.6</v>
      </c>
      <c r="D218">
        <f t="shared" si="31"/>
        <v>0.35138248847926268</v>
      </c>
      <c r="G218">
        <v>21</v>
      </c>
      <c r="H218">
        <f>(D215+D219+D223+D227+D231)/5</f>
        <v>0.66933316466998394</v>
      </c>
      <c r="I218">
        <f>H218*$H$223</f>
        <v>0.67060437626040015</v>
      </c>
      <c r="J218">
        <f>($H$208*G218+$H$209)*I218</f>
        <v>234.63776520975139</v>
      </c>
    </row>
    <row r="219" spans="1:10" x14ac:dyDescent="0.35">
      <c r="A219" s="12">
        <v>5</v>
      </c>
      <c r="B219">
        <v>125</v>
      </c>
      <c r="C219">
        <v>183.97</v>
      </c>
      <c r="D219">
        <f t="shared" si="31"/>
        <v>0.67945860738163832</v>
      </c>
      <c r="G219">
        <v>22</v>
      </c>
      <c r="H219">
        <f t="shared" ref="H219:H221" si="32">(D216+D220+D224+D228+D232)/5</f>
        <v>0.99732628666938827</v>
      </c>
      <c r="I219">
        <f t="shared" ref="I219:I221" si="33">H219*$H$223</f>
        <v>0.9992204296791195</v>
      </c>
      <c r="J219">
        <f t="shared" ref="J219:J221" si="34">($H$208*G219+$H$209)*I219</f>
        <v>359.97915199619956</v>
      </c>
    </row>
    <row r="220" spans="1:10" x14ac:dyDescent="0.35">
      <c r="A220" s="12">
        <v>6</v>
      </c>
      <c r="B220">
        <v>203</v>
      </c>
      <c r="C220">
        <v>194.34</v>
      </c>
      <c r="D220">
        <f t="shared" si="31"/>
        <v>1.0445610785221775</v>
      </c>
      <c r="G220">
        <v>23</v>
      </c>
      <c r="H220">
        <f t="shared" si="32"/>
        <v>1.9029096414506406</v>
      </c>
      <c r="I220">
        <f t="shared" si="33"/>
        <v>1.9065236873688935</v>
      </c>
      <c r="J220">
        <f t="shared" si="34"/>
        <v>706.61487424953305</v>
      </c>
    </row>
    <row r="221" spans="1:10" x14ac:dyDescent="0.35">
      <c r="A221" s="12">
        <v>7</v>
      </c>
      <c r="B221">
        <v>395</v>
      </c>
      <c r="C221">
        <v>204.71</v>
      </c>
      <c r="D221">
        <f t="shared" si="31"/>
        <v>1.9295588881832837</v>
      </c>
      <c r="G221">
        <v>24</v>
      </c>
      <c r="H221">
        <f t="shared" si="32"/>
        <v>0.42284842409226542</v>
      </c>
      <c r="I221">
        <f t="shared" si="33"/>
        <v>0.42365150669158702</v>
      </c>
      <c r="J221">
        <f t="shared" si="34"/>
        <v>161.41122404949465</v>
      </c>
    </row>
    <row r="222" spans="1:10" x14ac:dyDescent="0.35">
      <c r="A222" s="12">
        <v>8</v>
      </c>
      <c r="B222">
        <v>95</v>
      </c>
      <c r="C222">
        <v>215.08</v>
      </c>
      <c r="D222">
        <f t="shared" si="31"/>
        <v>0.44169611307420492</v>
      </c>
      <c r="H222" s="7">
        <f t="shared" ref="H222:I222" si="35">SUM(H218:H221)</f>
        <v>3.992417516882278</v>
      </c>
      <c r="I222" s="7">
        <f t="shared" si="35"/>
        <v>4</v>
      </c>
    </row>
    <row r="223" spans="1:10" x14ac:dyDescent="0.35">
      <c r="A223" s="12">
        <v>9</v>
      </c>
      <c r="B223">
        <v>146</v>
      </c>
      <c r="C223">
        <v>225.45</v>
      </c>
      <c r="D223">
        <f t="shared" si="31"/>
        <v>0.64759370148591711</v>
      </c>
      <c r="H223">
        <f>4/H222</f>
        <v>1.0018992209821891</v>
      </c>
    </row>
    <row r="224" spans="1:10" x14ac:dyDescent="0.35">
      <c r="A224" s="14">
        <v>10</v>
      </c>
      <c r="B224">
        <v>232</v>
      </c>
      <c r="C224">
        <v>235.82</v>
      </c>
      <c r="D224">
        <f t="shared" si="31"/>
        <v>0.98380120430837081</v>
      </c>
    </row>
    <row r="225" spans="1:4" x14ac:dyDescent="0.35">
      <c r="A225" s="24">
        <v>11</v>
      </c>
      <c r="B225">
        <v>442</v>
      </c>
      <c r="C225">
        <v>246.19</v>
      </c>
      <c r="D225">
        <f t="shared" si="31"/>
        <v>1.795361306308136</v>
      </c>
    </row>
    <row r="226" spans="1:4" x14ac:dyDescent="0.35">
      <c r="A226" s="24">
        <v>12</v>
      </c>
      <c r="B226">
        <v>123</v>
      </c>
      <c r="C226">
        <v>256.56</v>
      </c>
      <c r="D226">
        <f t="shared" si="31"/>
        <v>0.47942001870907391</v>
      </c>
    </row>
    <row r="227" spans="1:4" x14ac:dyDescent="0.35">
      <c r="A227" s="24">
        <v>13</v>
      </c>
      <c r="B227">
        <v>230</v>
      </c>
      <c r="C227">
        <v>266.93</v>
      </c>
      <c r="D227">
        <f t="shared" si="31"/>
        <v>0.86164912149252615</v>
      </c>
    </row>
    <row r="228" spans="1:4" x14ac:dyDescent="0.35">
      <c r="A228" s="24">
        <v>14</v>
      </c>
      <c r="B228">
        <v>275</v>
      </c>
      <c r="C228">
        <v>277.3</v>
      </c>
      <c r="D228">
        <f t="shared" si="31"/>
        <v>0.99170573386224303</v>
      </c>
    </row>
    <row r="229" spans="1:4" x14ac:dyDescent="0.35">
      <c r="A229" s="24">
        <v>15</v>
      </c>
      <c r="B229">
        <v>566</v>
      </c>
      <c r="C229">
        <v>287.67</v>
      </c>
      <c r="D229">
        <f t="shared" si="31"/>
        <v>1.9675322418048458</v>
      </c>
    </row>
    <row r="230" spans="1:4" x14ac:dyDescent="0.35">
      <c r="A230" s="24">
        <v>16</v>
      </c>
      <c r="B230">
        <v>135</v>
      </c>
      <c r="C230">
        <v>298.04000000000002</v>
      </c>
      <c r="D230">
        <f t="shared" si="31"/>
        <v>0.45295933431754126</v>
      </c>
    </row>
    <row r="231" spans="1:4" x14ac:dyDescent="0.35">
      <c r="A231" s="24">
        <v>17</v>
      </c>
      <c r="B231">
        <v>158</v>
      </c>
      <c r="C231">
        <v>308.41000000000003</v>
      </c>
      <c r="D231">
        <f t="shared" si="31"/>
        <v>0.51230504847443337</v>
      </c>
    </row>
    <row r="232" spans="1:4" x14ac:dyDescent="0.35">
      <c r="A232" s="24">
        <v>18</v>
      </c>
      <c r="B232">
        <v>312</v>
      </c>
      <c r="C232">
        <v>318.77999999999997</v>
      </c>
      <c r="D232">
        <f t="shared" si="31"/>
        <v>0.97873141351402226</v>
      </c>
    </row>
    <row r="233" spans="1:4" x14ac:dyDescent="0.35">
      <c r="A233" s="24">
        <v>19</v>
      </c>
      <c r="B233">
        <v>641</v>
      </c>
      <c r="C233">
        <v>329.15</v>
      </c>
      <c r="D233">
        <f t="shared" si="31"/>
        <v>1.9474403767279358</v>
      </c>
    </row>
    <row r="234" spans="1:4" x14ac:dyDescent="0.35">
      <c r="A234" s="24">
        <v>20</v>
      </c>
      <c r="B234">
        <v>132</v>
      </c>
      <c r="C234">
        <v>339.52</v>
      </c>
      <c r="D234">
        <f t="shared" si="31"/>
        <v>0.38878416588124415</v>
      </c>
    </row>
  </sheetData>
  <mergeCells count="3">
    <mergeCell ref="A2:E2"/>
    <mergeCell ref="G69:H69"/>
    <mergeCell ref="G77:I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Ramond</dc:creator>
  <cp:lastModifiedBy>Matthieu Ramond</cp:lastModifiedBy>
  <dcterms:created xsi:type="dcterms:W3CDTF">2025-01-23T08:59:53Z</dcterms:created>
  <dcterms:modified xsi:type="dcterms:W3CDTF">2025-01-24T10:59:47Z</dcterms:modified>
</cp:coreProperties>
</file>