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amtti\Documents\Université\Controle de gestion\"/>
    </mc:Choice>
  </mc:AlternateContent>
  <xr:revisionPtr revIDLastSave="0" documentId="13_ncr:1_{C6CABC49-6D14-4502-860C-994BC8CAE811}" xr6:coauthVersionLast="47" xr6:coauthVersionMax="47" xr10:uidLastSave="{00000000-0000-0000-0000-000000000000}"/>
  <bookViews>
    <workbookView xWindow="-110" yWindow="-110" windowWidth="19420" windowHeight="11020" xr2:uid="{7C52656D-C65E-4349-80C2-654D84900CC6}"/>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6" i="1" l="1"/>
  <c r="E137" i="1"/>
  <c r="B137" i="1"/>
  <c r="B136" i="1"/>
  <c r="D136" i="1" s="1"/>
  <c r="D144" i="1"/>
  <c r="G144" i="1"/>
  <c r="F144" i="1"/>
  <c r="C144" i="1"/>
  <c r="E145" i="1"/>
  <c r="B145" i="1"/>
  <c r="E144" i="1"/>
  <c r="B144" i="1"/>
  <c r="E143" i="1"/>
  <c r="B143" i="1"/>
  <c r="G142" i="1"/>
  <c r="D142" i="1"/>
  <c r="F142" i="1"/>
  <c r="C142" i="1"/>
  <c r="E142" i="1"/>
  <c r="B142" i="1"/>
  <c r="E140" i="1"/>
  <c r="B140" i="1"/>
  <c r="B139" i="1"/>
  <c r="F139" i="1"/>
  <c r="C139" i="1"/>
  <c r="E139" i="1"/>
  <c r="F138" i="1"/>
  <c r="E138" i="1"/>
  <c r="C138" i="1"/>
  <c r="D138" i="1" s="1"/>
  <c r="B138" i="1"/>
  <c r="C136" i="1"/>
  <c r="F136" i="1"/>
  <c r="F137" i="1"/>
  <c r="G137" i="1" s="1"/>
  <c r="C137" i="1"/>
  <c r="G139" i="1"/>
  <c r="G134" i="1"/>
  <c r="F134" i="1"/>
  <c r="E134" i="1"/>
  <c r="D139" i="1"/>
  <c r="D134" i="1"/>
  <c r="B134" i="1"/>
  <c r="C134" i="1"/>
  <c r="C103" i="1"/>
  <c r="D103" i="1"/>
  <c r="G133" i="1"/>
  <c r="F133" i="1"/>
  <c r="E133" i="1"/>
  <c r="B133" i="1"/>
  <c r="D133" i="1"/>
  <c r="C133" i="1"/>
  <c r="A133" i="1"/>
  <c r="F127" i="1"/>
  <c r="G127" i="1"/>
  <c r="E127" i="1"/>
  <c r="C127" i="1"/>
  <c r="D127" i="1"/>
  <c r="B127" i="1"/>
  <c r="C126" i="1"/>
  <c r="F126" i="1"/>
  <c r="G126" i="1"/>
  <c r="E126" i="1"/>
  <c r="D126" i="1"/>
  <c r="B126" i="1"/>
  <c r="D125" i="1"/>
  <c r="G125" i="1"/>
  <c r="E125" i="1"/>
  <c r="B125" i="1"/>
  <c r="F118" i="1"/>
  <c r="E118" i="1"/>
  <c r="G118" i="1"/>
  <c r="G117" i="1"/>
  <c r="F117" i="1"/>
  <c r="E117" i="1"/>
  <c r="G115" i="1"/>
  <c r="E115" i="1"/>
  <c r="C118" i="1"/>
  <c r="D118" i="1"/>
  <c r="B117" i="1"/>
  <c r="C99" i="1"/>
  <c r="D99" i="1" s="1"/>
  <c r="C117" i="1" s="1"/>
  <c r="D117" i="1" s="1"/>
  <c r="G116" i="1"/>
  <c r="F116" i="1"/>
  <c r="D116" i="1"/>
  <c r="C116" i="1"/>
  <c r="C101" i="1"/>
  <c r="C98" i="1"/>
  <c r="D98" i="1" s="1"/>
  <c r="C102" i="1"/>
  <c r="D101" i="1"/>
  <c r="D102" i="1"/>
  <c r="D104" i="1"/>
  <c r="C104" i="1"/>
  <c r="B105" i="1"/>
  <c r="B104" i="1"/>
  <c r="B98" i="1"/>
  <c r="B99" i="1"/>
  <c r="B101" i="1"/>
  <c r="B102" i="1"/>
  <c r="B103" i="1"/>
  <c r="D100" i="1"/>
  <c r="B100" i="1"/>
  <c r="C100" i="1"/>
  <c r="F72" i="1"/>
  <c r="C72" i="1"/>
  <c r="C74" i="1"/>
  <c r="F74" i="1"/>
  <c r="G74" i="1"/>
  <c r="D74" i="1"/>
  <c r="D73" i="1"/>
  <c r="G73" i="1"/>
  <c r="F73" i="1"/>
  <c r="C73" i="1"/>
  <c r="G72" i="1"/>
  <c r="D72" i="1"/>
  <c r="E74" i="1"/>
  <c r="E73" i="1"/>
  <c r="E72" i="1"/>
  <c r="B74" i="1"/>
  <c r="B73" i="1"/>
  <c r="B72" i="1"/>
  <c r="G71" i="1"/>
  <c r="D71" i="1"/>
  <c r="F71" i="1"/>
  <c r="C71" i="1"/>
  <c r="E70" i="1"/>
  <c r="G69" i="1"/>
  <c r="F69" i="1"/>
  <c r="E69" i="1"/>
  <c r="G66" i="1"/>
  <c r="G70" i="1" s="1"/>
  <c r="E71" i="1" s="1"/>
  <c r="F66" i="1"/>
  <c r="E66" i="1"/>
  <c r="G68" i="1"/>
  <c r="F68" i="1"/>
  <c r="E68" i="1"/>
  <c r="B70" i="1"/>
  <c r="D66" i="1"/>
  <c r="C66" i="1"/>
  <c r="B66" i="1"/>
  <c r="C69" i="1"/>
  <c r="D68" i="1"/>
  <c r="C68" i="1"/>
  <c r="J27" i="1"/>
  <c r="B69" i="1" s="1"/>
  <c r="D69" i="1" s="1"/>
  <c r="B68" i="1"/>
  <c r="G65" i="1"/>
  <c r="D65" i="1"/>
  <c r="E65" i="1"/>
  <c r="B65" i="1"/>
  <c r="F65" i="1"/>
  <c r="C65" i="1"/>
  <c r="B45" i="1"/>
  <c r="C53" i="1"/>
  <c r="E4" i="1"/>
  <c r="C57" i="1"/>
  <c r="C17" i="1"/>
  <c r="G16" i="1"/>
  <c r="E16" i="1"/>
  <c r="D16" i="1"/>
  <c r="B16" i="1"/>
  <c r="B18" i="1" s="1"/>
  <c r="G56" i="1"/>
  <c r="D56" i="1"/>
  <c r="E56" i="1"/>
  <c r="B56" i="1"/>
  <c r="E53" i="1"/>
  <c r="B53" i="1"/>
  <c r="F53" i="1"/>
  <c r="D53" i="1"/>
  <c r="D54" i="1" s="1"/>
  <c r="C54" i="1" s="1"/>
  <c r="B58" i="1"/>
  <c r="E57" i="1"/>
  <c r="E58" i="1" s="1"/>
  <c r="D57" i="1"/>
  <c r="C52" i="1"/>
  <c r="D46" i="1"/>
  <c r="C46" i="1"/>
  <c r="B46" i="1"/>
  <c r="E43" i="1"/>
  <c r="B36" i="1"/>
  <c r="E36" i="1"/>
  <c r="G35" i="1"/>
  <c r="D35" i="1"/>
  <c r="F35" i="1"/>
  <c r="C35" i="1"/>
  <c r="E35" i="1"/>
  <c r="B35" i="1"/>
  <c r="E34" i="1"/>
  <c r="B34" i="1"/>
  <c r="E31" i="1"/>
  <c r="E30" i="1"/>
  <c r="G30" i="1" s="1"/>
  <c r="F29" i="1"/>
  <c r="E28" i="1"/>
  <c r="B32" i="1"/>
  <c r="B31" i="1"/>
  <c r="B30" i="1"/>
  <c r="B28" i="1"/>
  <c r="D4" i="1"/>
  <c r="D5" i="1" s="1"/>
  <c r="F13" i="1"/>
  <c r="G13" i="1" s="1"/>
  <c r="G14" i="1" s="1"/>
  <c r="G17" i="1" s="1"/>
  <c r="E17" i="1"/>
  <c r="D17" i="1"/>
  <c r="D18" i="1" s="1"/>
  <c r="C12" i="1"/>
  <c r="B4" i="1"/>
  <c r="B5" i="1" s="1"/>
  <c r="C13" i="1" s="1"/>
  <c r="D13" i="1" s="1"/>
  <c r="C4" i="1"/>
  <c r="C5" i="1" s="1"/>
  <c r="F30" i="1" s="1"/>
  <c r="G136" i="1" l="1"/>
  <c r="D137" i="1"/>
  <c r="D140" i="1"/>
  <c r="G138" i="1"/>
  <c r="D70" i="1"/>
  <c r="E45" i="1" s="1"/>
  <c r="E46" i="1" s="1"/>
  <c r="F70" i="1"/>
  <c r="B71" i="1"/>
  <c r="C70" i="1"/>
  <c r="E18" i="1"/>
  <c r="C18" i="1"/>
  <c r="C28" i="1" s="1"/>
  <c r="D28" i="1" s="1"/>
  <c r="B29" i="1" s="1"/>
  <c r="D29" i="1" s="1"/>
  <c r="D31" i="1" s="1"/>
  <c r="D58" i="1"/>
  <c r="C58" i="1" s="1"/>
  <c r="G53" i="1"/>
  <c r="G54" i="1" s="1"/>
  <c r="G57" i="1" s="1"/>
  <c r="F54" i="1"/>
  <c r="C32" i="1"/>
  <c r="D32" i="1" s="1"/>
  <c r="F32" i="1"/>
  <c r="G32" i="1" s="1"/>
  <c r="C30" i="1"/>
  <c r="D30" i="1" s="1"/>
  <c r="D14" i="1"/>
  <c r="C14" i="1" s="1"/>
  <c r="F17" i="1"/>
  <c r="G18" i="1"/>
  <c r="F18" i="1" s="1"/>
  <c r="F28" i="1" s="1"/>
  <c r="G28" i="1" s="1"/>
  <c r="F14" i="1"/>
  <c r="G140" i="1" l="1"/>
  <c r="E141" i="1" s="1"/>
  <c r="C140" i="1"/>
  <c r="B141" i="1"/>
  <c r="G58" i="1"/>
  <c r="F58" i="1" s="1"/>
  <c r="F57" i="1"/>
  <c r="B33" i="1"/>
  <c r="C31" i="1"/>
  <c r="E29" i="1"/>
  <c r="G29" i="1" s="1"/>
  <c r="G31" i="1" s="1"/>
  <c r="B147" i="1" l="1"/>
  <c r="C105" i="1" s="1"/>
  <c r="D105" i="1" s="1"/>
  <c r="C141" i="1" s="1"/>
  <c r="D141" i="1" s="1"/>
  <c r="D143" i="1" s="1"/>
  <c r="D145" i="1" s="1"/>
  <c r="C145" i="1" s="1"/>
  <c r="F140" i="1"/>
  <c r="E33" i="1"/>
  <c r="F31" i="1"/>
  <c r="E5" i="1"/>
  <c r="C143" i="1" l="1"/>
  <c r="F141" i="1"/>
  <c r="G141" i="1" s="1"/>
  <c r="G143" i="1" s="1"/>
  <c r="F143" i="1" s="1"/>
  <c r="F33" i="1"/>
  <c r="G33" i="1" s="1"/>
  <c r="G34" i="1" s="1"/>
  <c r="C33" i="1"/>
  <c r="D33" i="1" s="1"/>
  <c r="D34" i="1" s="1"/>
  <c r="G145" i="1" l="1"/>
  <c r="F145" i="1" s="1"/>
  <c r="F34" i="1"/>
  <c r="G36" i="1"/>
  <c r="F36" i="1" s="1"/>
  <c r="C34" i="1"/>
  <c r="D36" i="1"/>
  <c r="C36" i="1" s="1"/>
</calcChain>
</file>

<file path=xl/sharedStrings.xml><?xml version="1.0" encoding="utf-8"?>
<sst xmlns="http://schemas.openxmlformats.org/spreadsheetml/2006/main" count="192" uniqueCount="109">
  <si>
    <t>Approvisionnement</t>
  </si>
  <si>
    <t>Usinage et finition</t>
  </si>
  <si>
    <t>Distribution</t>
  </si>
  <si>
    <t>Total après répartition II (en €)</t>
  </si>
  <si>
    <t>Nature de l'UO</t>
  </si>
  <si>
    <t>Kg acheté</t>
  </si>
  <si>
    <t>Heures machines</t>
  </si>
  <si>
    <t>Produit vendu</t>
  </si>
  <si>
    <t>Nombre d'UO</t>
  </si>
  <si>
    <t>Coût d'UO</t>
  </si>
  <si>
    <t>Administration
générale</t>
  </si>
  <si>
    <t>Coûts
production des 
produits vendus</t>
  </si>
  <si>
    <t>Achats du mois</t>
  </si>
  <si>
    <t>KG</t>
  </si>
  <si>
    <t>€</t>
  </si>
  <si>
    <t>Matières Y</t>
  </si>
  <si>
    <t>Matières X</t>
  </si>
  <si>
    <t>Consommation de facteurs pour la production réalisée</t>
  </si>
  <si>
    <t>XL901</t>
  </si>
  <si>
    <t>XL902</t>
  </si>
  <si>
    <t>Matières</t>
  </si>
  <si>
    <t>Fournitures diverses</t>
  </si>
  <si>
    <t>Heures atelier</t>
  </si>
  <si>
    <t>Stocks au 01/03</t>
  </si>
  <si>
    <t>Matière X</t>
  </si>
  <si>
    <t>Matière Y</t>
  </si>
  <si>
    <t>kg</t>
  </si>
  <si>
    <t>Coût d'achat X et Y</t>
  </si>
  <si>
    <t>X</t>
  </si>
  <si>
    <t>Y</t>
  </si>
  <si>
    <t>Frais
indirects</t>
  </si>
  <si>
    <t xml:space="preserve">Prix d'achat
</t>
  </si>
  <si>
    <t>Q</t>
  </si>
  <si>
    <t>CU</t>
  </si>
  <si>
    <t>MT</t>
  </si>
  <si>
    <t>Coût d'achat</t>
  </si>
  <si>
    <t>Stock initial</t>
  </si>
  <si>
    <t>Total</t>
  </si>
  <si>
    <t>Entrées 
(achat MP)</t>
  </si>
  <si>
    <t>Vert = CUMP (coût unitaire moyen pondéré)</t>
  </si>
  <si>
    <t>Production du mois de mars (en nb de pièces)</t>
  </si>
  <si>
    <t>Inventaire</t>
  </si>
  <si>
    <t>Fournitures 
diverses</t>
  </si>
  <si>
    <t>Coût de production,coût de revient, et résultat de XL901 et XL902</t>
  </si>
  <si>
    <t>Matières X et Y consommées</t>
  </si>
  <si>
    <t>Coût de production</t>
  </si>
  <si>
    <t>Frais de distribution</t>
  </si>
  <si>
    <t>Administration glé</t>
  </si>
  <si>
    <t>Coût de revient</t>
  </si>
  <si>
    <t>Chiffre d'affaires</t>
  </si>
  <si>
    <t>Résultat</t>
  </si>
  <si>
    <t>Prix de cession des pièces au client (en €)</t>
  </si>
  <si>
    <t>Coût de production total = 5321111,84 (345758,14 + 186353,7)</t>
  </si>
  <si>
    <t>1.2 coûts calculés à partir de la nouvelle analyse des charges indirectes</t>
  </si>
  <si>
    <t>Usinage</t>
  </si>
  <si>
    <t>Assiette de frais
liée aux achats</t>
  </si>
  <si>
    <t>Finition et
contrôle</t>
  </si>
  <si>
    <t>Heures main d'œuvre</t>
  </si>
  <si>
    <t>Coût d'achat matière X = 158 019 [144720 +(144720 x 9,19)]</t>
  </si>
  <si>
    <t>Heures de main d'œuvre</t>
  </si>
  <si>
    <t>Finition</t>
  </si>
  <si>
    <t>Charges indirectes</t>
  </si>
  <si>
    <t>Charges directes</t>
  </si>
  <si>
    <t>Les écarts résultent du choix de trois choses.
1.  Le changement du choix d'unité d'œuvre pour ce qui concerne le centre d'approvisionnement. On abandonne les unités physique, c’est-à-dire les kg de matière première achetés, au profit d'une unité monétaire (le taux de frais), donc la valeur in fine est plus élevée pour Y.
Chaque kg de matière première acheté entrainais des frais d'approvisionnement de 7,86€ par kg acheté pour X et Y contre 4,96€ par kg pour X et 27,29€ par kg pour Y avec la nouvelle méthode.
Donc ce n'est plus la quantité mais le taux de frais ramené au kg acheté qui permet d'imputer des frais d'approvisionnement.
2. La deuxième explication résulte de la différence d’activité et des coûts. XL901 consomme 1/3 de l’activité finition, contre 2/3 dans l’ancienne méthode, et inversement pour XL902.
La séparation des activités usinage et finition voient aussi baisser le coût de leurs machines consommées en plus grande proportion par XL901 alors qu’apparait une nouvelle activité, presque aussi coûteuse, consommée dans des rapports inverses par XL902.
3. L’abandon du centre distribution et le reversement de ses charges dans le centre administration fait que les coûts de celui ci augmentent, et sont en plus imputés en fonction du coût de production qui accrut pour XL902 en de fortes proportions alors qu’il a diminué pour XL901. Le produit XL901 subventionnait le produit XL902.</t>
  </si>
  <si>
    <t>Activités</t>
  </si>
  <si>
    <t>Coût des activités</t>
  </si>
  <si>
    <t>Inducteur de coût</t>
  </si>
  <si>
    <t>Gestion des commandes</t>
  </si>
  <si>
    <t>Nombre de commandes</t>
  </si>
  <si>
    <t>Gestion des stocks</t>
  </si>
  <si>
    <t>Montant des achats</t>
  </si>
  <si>
    <t>Approvisionnement des ateliers</t>
  </si>
  <si>
    <t>Nombre de lots mis en fabrication</t>
  </si>
  <si>
    <t>Préparation des fabrications</t>
  </si>
  <si>
    <t>Lancement des fabrications</t>
  </si>
  <si>
    <t>Maintenance des machines</t>
  </si>
  <si>
    <t>Heures de fonctionnement</t>
  </si>
  <si>
    <t>Polissage des pièces</t>
  </si>
  <si>
    <t>Nombre de pièces fabriquées</t>
  </si>
  <si>
    <t>Contrôle de la qualité</t>
  </si>
  <si>
    <t>Nombre de pièces contrôlées</t>
  </si>
  <si>
    <t>Expédition</t>
  </si>
  <si>
    <t>Nombre de lots expédiés</t>
  </si>
  <si>
    <t>Administration</t>
  </si>
  <si>
    <t>Organisation générale</t>
  </si>
  <si>
    <t>Administration générale</t>
  </si>
  <si>
    <t>3)</t>
  </si>
  <si>
    <t>Coût de l'inducteur</t>
  </si>
  <si>
    <t>Inducteurs</t>
  </si>
  <si>
    <t>2.1 Coût des inducteurs</t>
  </si>
  <si>
    <t>Coûts par inducteurs</t>
  </si>
  <si>
    <t>Volume de l'inducteur</t>
  </si>
  <si>
    <t>(Volume de l'inducteur trouvable dans l'énoncé)</t>
  </si>
  <si>
    <t>2.2 Calcul des coûts des pièces XL901 et XL902</t>
  </si>
  <si>
    <t>Coût d'achat des matières</t>
  </si>
  <si>
    <t>Achats</t>
  </si>
  <si>
    <t>Gestion commande</t>
  </si>
  <si>
    <t>CUMP Matières</t>
  </si>
  <si>
    <t>Entrées</t>
  </si>
  <si>
    <t>Coût de production des produits XL901 et XL902</t>
  </si>
  <si>
    <t>Centre</t>
  </si>
  <si>
    <t>Fourniture</t>
  </si>
  <si>
    <t>Approvmt ateliers + préparation</t>
  </si>
  <si>
    <t>Lancement des fabrications+maintenance</t>
  </si>
  <si>
    <t>Chiffre d'affaire</t>
  </si>
  <si>
    <t>Frais administratifs</t>
  </si>
  <si>
    <t>Frais d'expédition</t>
  </si>
  <si>
    <t>Coût total de production</t>
  </si>
  <si>
    <t>2.3. Non, il faudrait trouver un autre critère, une autre assiette pour imputer les coûts d'administrations.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</si>
</sst>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70" formatCode="0.0"/>
  </numFmts>
  <fonts count="6" x14ac:knownFonts="1">
    <font>
      <sz val="11"/>
      <color theme="1"/>
      <name val="Aptos Narrow"/>
      <family val="2"/>
      <scheme val="minor"/>
    </font>
    <font>
      <sz val="11"/>
      <color theme="9"/>
      <name val="Aptos Narrow"/>
      <family val="2"/>
      <scheme val="minor"/>
    </font>
    <font>
      <sz val="11"/>
      <color theme="1"/>
      <name val="Aptos Narrow"/>
      <family val="2"/>
      <scheme val="minor"/>
    </font>
    <font>
      <b/>
      <sz val="11"/>
      <color theme="1"/>
      <name val="Aptos Narrow"/>
      <family val="2"/>
      <scheme val="minor"/>
    </font>
    <font>
      <b/>
      <sz val="11"/>
      <color theme="9"/>
      <name val="Aptos Narrow"/>
      <family val="2"/>
      <scheme val="minor"/>
    </font>
    <font>
      <b/>
      <u/>
      <sz val="11"/>
      <color theme="1"/>
      <name val="Aptos Narrow"/>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0" fillId="0" borderId="0" xfId="0" applyAlignment="1">
      <alignment wrapText="1"/>
    </xf>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applyBorder="1" applyAlignment="1">
      <alignment wrapText="1"/>
    </xf>
    <xf numFmtId="9" fontId="0" fillId="0" borderId="1" xfId="0" applyNumberFormat="1" applyBorder="1"/>
    <xf numFmtId="0" fontId="3" fillId="0" borderId="1" xfId="0" applyFont="1" applyBorder="1"/>
    <xf numFmtId="0" fontId="1" fillId="0" borderId="1" xfId="0" applyFont="1" applyBorder="1"/>
    <xf numFmtId="164" fontId="0" fillId="0" borderId="1" xfId="0" applyNumberFormat="1" applyBorder="1"/>
    <xf numFmtId="2" fontId="0" fillId="0" borderId="1" xfId="0" applyNumberFormat="1" applyBorder="1"/>
    <xf numFmtId="10" fontId="0" fillId="0" borderId="1" xfId="1" applyNumberFormat="1" applyFont="1" applyBorder="1"/>
    <xf numFmtId="2" fontId="4" fillId="0" borderId="1" xfId="0" applyNumberFormat="1" applyFont="1" applyBorder="1"/>
    <xf numFmtId="2" fontId="3" fillId="0" borderId="1" xfId="0" applyNumberFormat="1" applyFont="1" applyBorder="1"/>
    <xf numFmtId="0" fontId="5" fillId="0" borderId="0" xfId="0" applyFont="1"/>
    <xf numFmtId="10" fontId="0" fillId="0" borderId="1" xfId="0" applyNumberFormat="1" applyBorder="1"/>
    <xf numFmtId="0" fontId="5" fillId="0" borderId="1" xfId="0" applyFont="1" applyBorder="1"/>
    <xf numFmtId="2" fontId="0" fillId="0" borderId="0" xfId="0" applyNumberFormat="1"/>
    <xf numFmtId="14" fontId="3" fillId="0" borderId="0" xfId="0" applyNumberFormat="1" applyFont="1"/>
    <xf numFmtId="170" fontId="0" fillId="0" borderId="1" xfId="0" applyNumberFormat="1" applyBorder="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A9F7F-2D60-420C-81D6-853DD5B2B414}">
  <dimension ref="A1:K151"/>
  <sheetViews>
    <sheetView tabSelected="1" topLeftCell="A64" workbookViewId="0">
      <selection activeCell="G86" sqref="G86"/>
    </sheetView>
  </sheetViews>
  <sheetFormatPr baseColWidth="10" defaultRowHeight="14.5" x14ac:dyDescent="0.35"/>
  <cols>
    <col min="1" max="1" width="24.453125" customWidth="1"/>
    <col min="2" max="2" width="16.453125" bestFit="1" customWidth="1"/>
    <col min="3" max="3" width="15.26953125" bestFit="1" customWidth="1"/>
    <col min="4" max="4" width="13.36328125" bestFit="1" customWidth="1"/>
    <col min="5" max="5" width="14.81640625" customWidth="1"/>
    <col min="6" max="6" width="16.81640625" customWidth="1"/>
    <col min="7" max="7" width="13.36328125" bestFit="1" customWidth="1"/>
    <col min="9" max="9" width="13.453125" customWidth="1"/>
  </cols>
  <sheetData>
    <row r="1" spans="1:11" ht="29" x14ac:dyDescent="0.35">
      <c r="A1" s="3"/>
      <c r="B1" s="3" t="s">
        <v>0</v>
      </c>
      <c r="C1" s="3" t="s">
        <v>1</v>
      </c>
      <c r="D1" s="3" t="s">
        <v>2</v>
      </c>
      <c r="E1" s="12" t="s">
        <v>10</v>
      </c>
    </row>
    <row r="2" spans="1:11" x14ac:dyDescent="0.35">
      <c r="A2" s="3" t="s">
        <v>3</v>
      </c>
      <c r="B2" s="3">
        <v>24208.799999999999</v>
      </c>
      <c r="C2" s="3">
        <v>232260</v>
      </c>
      <c r="D2" s="3">
        <v>29650</v>
      </c>
      <c r="E2" s="3">
        <v>77208.899999999994</v>
      </c>
    </row>
    <row r="3" spans="1:11" ht="43.5" x14ac:dyDescent="0.35">
      <c r="A3" s="3" t="s">
        <v>4</v>
      </c>
      <c r="B3" s="3" t="s">
        <v>5</v>
      </c>
      <c r="C3" s="3" t="s">
        <v>6</v>
      </c>
      <c r="D3" s="3" t="s">
        <v>7</v>
      </c>
      <c r="E3" s="12" t="s">
        <v>11</v>
      </c>
    </row>
    <row r="4" spans="1:11" x14ac:dyDescent="0.35">
      <c r="A4" s="3" t="s">
        <v>8</v>
      </c>
      <c r="B4" s="3">
        <f>J5+J6</f>
        <v>3080</v>
      </c>
      <c r="C4" s="3">
        <f>J20+K20</f>
        <v>735</v>
      </c>
      <c r="D4" s="3">
        <f>J13+J14</f>
        <v>2500</v>
      </c>
      <c r="E4" s="3">
        <f>D31+G31</f>
        <v>532111.64999999991</v>
      </c>
      <c r="I4" s="3" t="s">
        <v>12</v>
      </c>
      <c r="J4" s="3" t="s">
        <v>13</v>
      </c>
      <c r="K4" s="3" t="s">
        <v>14</v>
      </c>
    </row>
    <row r="5" spans="1:11" x14ac:dyDescent="0.35">
      <c r="A5" s="3" t="s">
        <v>9</v>
      </c>
      <c r="B5" s="3">
        <f>B2/B4</f>
        <v>7.8599999999999994</v>
      </c>
      <c r="C5" s="3">
        <f>C2/C4</f>
        <v>316</v>
      </c>
      <c r="D5" s="3">
        <f>D2/D4</f>
        <v>11.86</v>
      </c>
      <c r="E5" s="17">
        <f>E2/E4</f>
        <v>0.1450990595676678</v>
      </c>
      <c r="I5" s="3" t="s">
        <v>16</v>
      </c>
      <c r="J5" s="3">
        <v>2680</v>
      </c>
      <c r="K5" s="3">
        <v>144720</v>
      </c>
    </row>
    <row r="6" spans="1:11" x14ac:dyDescent="0.35">
      <c r="I6" s="3" t="s">
        <v>15</v>
      </c>
      <c r="J6" s="3">
        <v>400</v>
      </c>
      <c r="K6" s="3">
        <v>118800</v>
      </c>
    </row>
    <row r="8" spans="1:11" x14ac:dyDescent="0.35">
      <c r="I8" s="3" t="s">
        <v>23</v>
      </c>
      <c r="J8" s="3" t="s">
        <v>26</v>
      </c>
      <c r="K8" s="3" t="s">
        <v>14</v>
      </c>
    </row>
    <row r="9" spans="1:11" x14ac:dyDescent="0.35">
      <c r="A9" s="3" t="s">
        <v>27</v>
      </c>
      <c r="B9" s="3"/>
      <c r="C9" s="3" t="s">
        <v>39</v>
      </c>
      <c r="D9" s="3"/>
      <c r="E9" s="3"/>
      <c r="F9" s="3"/>
      <c r="G9" s="3"/>
      <c r="I9" s="3" t="s">
        <v>24</v>
      </c>
      <c r="J9" s="3">
        <v>350</v>
      </c>
      <c r="K9" s="3">
        <v>21378.3</v>
      </c>
    </row>
    <row r="10" spans="1:11" x14ac:dyDescent="0.35">
      <c r="A10" s="3"/>
      <c r="B10" s="3"/>
      <c r="C10" s="3" t="s">
        <v>28</v>
      </c>
      <c r="D10" s="3"/>
      <c r="E10" s="3"/>
      <c r="F10" s="3" t="s">
        <v>29</v>
      </c>
      <c r="G10" s="3"/>
      <c r="I10" s="3" t="s">
        <v>25</v>
      </c>
      <c r="J10" s="3">
        <v>80</v>
      </c>
      <c r="K10" s="3">
        <v>24264</v>
      </c>
    </row>
    <row r="11" spans="1:11" x14ac:dyDescent="0.35">
      <c r="A11" s="3"/>
      <c r="B11" s="3" t="s">
        <v>32</v>
      </c>
      <c r="C11" s="3" t="s">
        <v>33</v>
      </c>
      <c r="D11" s="3" t="s">
        <v>34</v>
      </c>
      <c r="E11" s="3" t="s">
        <v>32</v>
      </c>
      <c r="F11" s="3" t="s">
        <v>33</v>
      </c>
      <c r="G11" s="3" t="s">
        <v>34</v>
      </c>
    </row>
    <row r="12" spans="1:11" ht="29" x14ac:dyDescent="0.35">
      <c r="A12" s="12" t="s">
        <v>31</v>
      </c>
      <c r="B12" s="3">
        <v>2680</v>
      </c>
      <c r="C12" s="3">
        <f>D12/B12</f>
        <v>54</v>
      </c>
      <c r="D12" s="3">
        <v>144720</v>
      </c>
      <c r="E12" s="3">
        <v>400</v>
      </c>
      <c r="F12" s="3"/>
      <c r="G12" s="3">
        <v>118800</v>
      </c>
      <c r="I12" s="4" t="s">
        <v>40</v>
      </c>
      <c r="J12" s="5"/>
      <c r="K12" s="6"/>
    </row>
    <row r="13" spans="1:11" ht="29" x14ac:dyDescent="0.35">
      <c r="A13" s="12" t="s">
        <v>30</v>
      </c>
      <c r="B13" s="3">
        <v>2680</v>
      </c>
      <c r="C13" s="3">
        <f>B5</f>
        <v>7.8599999999999994</v>
      </c>
      <c r="D13" s="26">
        <f>B13*C13</f>
        <v>21064.799999999999</v>
      </c>
      <c r="E13" s="3">
        <v>400</v>
      </c>
      <c r="F13" s="3">
        <f>B5</f>
        <v>7.8599999999999994</v>
      </c>
      <c r="G13" s="3">
        <f>E13*F13</f>
        <v>3144</v>
      </c>
      <c r="I13" s="7" t="s">
        <v>18</v>
      </c>
      <c r="J13">
        <v>1200</v>
      </c>
      <c r="K13" s="8"/>
    </row>
    <row r="14" spans="1:11" x14ac:dyDescent="0.35">
      <c r="A14" s="3" t="s">
        <v>35</v>
      </c>
      <c r="B14" s="3">
        <v>2680</v>
      </c>
      <c r="C14" s="3">
        <f>D14/B14</f>
        <v>61.859999999999992</v>
      </c>
      <c r="D14" s="3">
        <f>D12+D13</f>
        <v>165784.79999999999</v>
      </c>
      <c r="E14" s="3">
        <v>400</v>
      </c>
      <c r="F14" s="3">
        <f>G14/E14</f>
        <v>304.86</v>
      </c>
      <c r="G14" s="3">
        <f>G12+G13</f>
        <v>121944</v>
      </c>
      <c r="I14" s="9" t="s">
        <v>19</v>
      </c>
      <c r="J14" s="10">
        <v>1300</v>
      </c>
      <c r="K14" s="11"/>
    </row>
    <row r="15" spans="1:11" x14ac:dyDescent="0.35">
      <c r="A15" s="3" t="s">
        <v>41</v>
      </c>
      <c r="B15" s="3"/>
      <c r="C15" s="3"/>
      <c r="D15" s="3"/>
      <c r="E15" s="3"/>
      <c r="F15" s="3"/>
      <c r="G15" s="3"/>
    </row>
    <row r="16" spans="1:11" x14ac:dyDescent="0.35">
      <c r="A16" s="3" t="s">
        <v>36</v>
      </c>
      <c r="B16" s="3">
        <f>J9</f>
        <v>350</v>
      </c>
      <c r="C16" s="3"/>
      <c r="D16" s="3">
        <f>K9</f>
        <v>21378.3</v>
      </c>
      <c r="E16" s="3">
        <f>J10</f>
        <v>80</v>
      </c>
      <c r="F16" s="3"/>
      <c r="G16" s="3">
        <f>K10</f>
        <v>24264</v>
      </c>
      <c r="I16" t="s">
        <v>17</v>
      </c>
    </row>
    <row r="17" spans="1:11" ht="29" x14ac:dyDescent="0.35">
      <c r="A17" s="12" t="s">
        <v>38</v>
      </c>
      <c r="B17" s="3">
        <v>2680</v>
      </c>
      <c r="C17" s="3">
        <f>C14</f>
        <v>61.859999999999992</v>
      </c>
      <c r="D17" s="3">
        <f>B17*C17</f>
        <v>165784.79999999999</v>
      </c>
      <c r="E17" s="3">
        <f>E14</f>
        <v>400</v>
      </c>
      <c r="F17" s="3">
        <f>G17/E17</f>
        <v>304.86</v>
      </c>
      <c r="G17" s="3">
        <f>G14</f>
        <v>121944</v>
      </c>
      <c r="I17" s="3"/>
      <c r="J17" s="3" t="s">
        <v>18</v>
      </c>
      <c r="K17" s="3" t="s">
        <v>19</v>
      </c>
    </row>
    <row r="18" spans="1:11" x14ac:dyDescent="0.35">
      <c r="A18" s="3" t="s">
        <v>37</v>
      </c>
      <c r="B18" s="3">
        <f>B17+B16</f>
        <v>3030</v>
      </c>
      <c r="C18" s="15">
        <f>D18/B18</f>
        <v>61.769999999999989</v>
      </c>
      <c r="D18" s="3">
        <f>D16+D17</f>
        <v>187163.09999999998</v>
      </c>
      <c r="E18" s="3">
        <f>E16+E17</f>
        <v>480</v>
      </c>
      <c r="F18" s="15">
        <f>G18/E18</f>
        <v>304.60000000000002</v>
      </c>
      <c r="G18" s="3">
        <f>G16+G17</f>
        <v>146208</v>
      </c>
      <c r="I18" s="3" t="s">
        <v>20</v>
      </c>
      <c r="J18" s="3">
        <v>2700</v>
      </c>
      <c r="K18" s="3">
        <v>390</v>
      </c>
    </row>
    <row r="19" spans="1:11" ht="29" x14ac:dyDescent="0.35">
      <c r="I19" s="12" t="s">
        <v>42</v>
      </c>
      <c r="J19" s="13">
        <v>0.05</v>
      </c>
      <c r="K19" s="13">
        <v>0.05</v>
      </c>
    </row>
    <row r="20" spans="1:11" x14ac:dyDescent="0.35">
      <c r="I20" s="3" t="s">
        <v>22</v>
      </c>
      <c r="J20" s="3">
        <v>540</v>
      </c>
      <c r="K20" s="3">
        <v>195</v>
      </c>
    </row>
    <row r="22" spans="1:11" x14ac:dyDescent="0.35">
      <c r="I22" t="s">
        <v>51</v>
      </c>
    </row>
    <row r="23" spans="1:11" x14ac:dyDescent="0.35">
      <c r="I23" s="3" t="s">
        <v>18</v>
      </c>
      <c r="J23" s="3">
        <v>325</v>
      </c>
    </row>
    <row r="24" spans="1:11" x14ac:dyDescent="0.35">
      <c r="I24" s="3" t="s">
        <v>19</v>
      </c>
      <c r="J24" s="3">
        <v>217</v>
      </c>
    </row>
    <row r="25" spans="1:11" x14ac:dyDescent="0.35">
      <c r="A25" s="2" t="s">
        <v>43</v>
      </c>
    </row>
    <row r="26" spans="1:11" x14ac:dyDescent="0.35">
      <c r="I26" t="s">
        <v>59</v>
      </c>
    </row>
    <row r="27" spans="1:11" x14ac:dyDescent="0.35">
      <c r="I27" s="3" t="s">
        <v>18</v>
      </c>
      <c r="J27" s="3">
        <f>700-J28</f>
        <v>185</v>
      </c>
    </row>
    <row r="28" spans="1:11" x14ac:dyDescent="0.35">
      <c r="A28" s="3" t="s">
        <v>44</v>
      </c>
      <c r="B28" s="3">
        <f>J18</f>
        <v>2700</v>
      </c>
      <c r="C28" s="3">
        <f>C18</f>
        <v>61.769999999999989</v>
      </c>
      <c r="D28" s="3">
        <f>B28*C28</f>
        <v>166778.99999999997</v>
      </c>
      <c r="E28" s="3">
        <f>K18</f>
        <v>390</v>
      </c>
      <c r="F28" s="3">
        <f>F18</f>
        <v>304.60000000000002</v>
      </c>
      <c r="G28" s="3">
        <f>E28*F28</f>
        <v>118794.00000000001</v>
      </c>
      <c r="I28" s="3" t="s">
        <v>19</v>
      </c>
      <c r="J28" s="3">
        <v>515</v>
      </c>
    </row>
    <row r="29" spans="1:11" x14ac:dyDescent="0.35">
      <c r="A29" s="3" t="s">
        <v>21</v>
      </c>
      <c r="B29" s="3">
        <f>D28</f>
        <v>166778.99999999997</v>
      </c>
      <c r="C29" s="13">
        <v>0.05</v>
      </c>
      <c r="D29" s="3">
        <f>B29*C29</f>
        <v>8338.9499999999989</v>
      </c>
      <c r="E29" s="3">
        <f>G28</f>
        <v>118794.00000000001</v>
      </c>
      <c r="F29" s="13">
        <f>K19</f>
        <v>0.05</v>
      </c>
      <c r="G29" s="3">
        <f>E29*F29</f>
        <v>5939.7000000000007</v>
      </c>
    </row>
    <row r="30" spans="1:11" x14ac:dyDescent="0.35">
      <c r="A30" s="3" t="s">
        <v>1</v>
      </c>
      <c r="B30" s="3">
        <f>J20</f>
        <v>540</v>
      </c>
      <c r="C30" s="3">
        <f>C5</f>
        <v>316</v>
      </c>
      <c r="D30" s="3">
        <f>B30*C30</f>
        <v>170640</v>
      </c>
      <c r="E30" s="3">
        <f>K20</f>
        <v>195</v>
      </c>
      <c r="F30" s="3">
        <f>C5</f>
        <v>316</v>
      </c>
      <c r="G30" s="3">
        <f>E30*F30</f>
        <v>61620</v>
      </c>
    </row>
    <row r="31" spans="1:11" x14ac:dyDescent="0.35">
      <c r="A31" s="14" t="s">
        <v>45</v>
      </c>
      <c r="B31" s="3">
        <f>J13</f>
        <v>1200</v>
      </c>
      <c r="C31" s="17">
        <f>D31/B31</f>
        <v>288.13162499999999</v>
      </c>
      <c r="D31" s="3">
        <f>SUM(D28:D30)</f>
        <v>345757.94999999995</v>
      </c>
      <c r="E31" s="3">
        <f>J14</f>
        <v>1300</v>
      </c>
      <c r="F31" s="3">
        <f>G31/E31</f>
        <v>143.34900000000002</v>
      </c>
      <c r="G31" s="3">
        <f>SUM(G28:G30)</f>
        <v>186353.7</v>
      </c>
    </row>
    <row r="32" spans="1:11" x14ac:dyDescent="0.35">
      <c r="A32" s="3" t="s">
        <v>46</v>
      </c>
      <c r="B32" s="3">
        <f>J13</f>
        <v>1200</v>
      </c>
      <c r="C32" s="3">
        <f>D5</f>
        <v>11.86</v>
      </c>
      <c r="D32" s="3">
        <f>B32*C32</f>
        <v>14232</v>
      </c>
      <c r="E32" s="3">
        <v>1300</v>
      </c>
      <c r="F32" s="3">
        <f>D5</f>
        <v>11.86</v>
      </c>
      <c r="G32" s="3">
        <f>E32*F32</f>
        <v>15418</v>
      </c>
    </row>
    <row r="33" spans="1:7" x14ac:dyDescent="0.35">
      <c r="A33" s="3" t="s">
        <v>47</v>
      </c>
      <c r="B33" s="3">
        <f>D31</f>
        <v>345757.94999999995</v>
      </c>
      <c r="C33" s="17">
        <f>E5</f>
        <v>0.1450990595676678</v>
      </c>
      <c r="D33" s="17">
        <f>B33*C33</f>
        <v>50169.153383044701</v>
      </c>
      <c r="E33" s="3">
        <f>G31</f>
        <v>186353.7</v>
      </c>
      <c r="F33" s="17">
        <f>E5</f>
        <v>0.1450990595676678</v>
      </c>
      <c r="G33" s="17">
        <f>E33*F33</f>
        <v>27039.746616955297</v>
      </c>
    </row>
    <row r="34" spans="1:7" x14ac:dyDescent="0.35">
      <c r="A34" s="14" t="s">
        <v>48</v>
      </c>
      <c r="B34" s="3">
        <f>J13</f>
        <v>1200</v>
      </c>
      <c r="C34" s="17">
        <f>D34/B34</f>
        <v>341.7992528192039</v>
      </c>
      <c r="D34" s="17">
        <f>SUM(D31:D33)</f>
        <v>410159.10338304465</v>
      </c>
      <c r="E34" s="3">
        <f>J14</f>
        <v>1300</v>
      </c>
      <c r="F34" s="17">
        <f>G34/E34</f>
        <v>176.00880508996562</v>
      </c>
      <c r="G34" s="17">
        <f>SUM(G31:G33)</f>
        <v>228811.44661695531</v>
      </c>
    </row>
    <row r="35" spans="1:7" x14ac:dyDescent="0.35">
      <c r="A35" s="3" t="s">
        <v>49</v>
      </c>
      <c r="B35" s="3">
        <f>J13</f>
        <v>1200</v>
      </c>
      <c r="C35" s="3">
        <f>J23</f>
        <v>325</v>
      </c>
      <c r="D35" s="3">
        <f>B35*C35</f>
        <v>390000</v>
      </c>
      <c r="E35" s="3">
        <f>J14</f>
        <v>1300</v>
      </c>
      <c r="F35" s="3">
        <f>J24</f>
        <v>217</v>
      </c>
      <c r="G35" s="3">
        <f>E35*F35</f>
        <v>282100</v>
      </c>
    </row>
    <row r="36" spans="1:7" x14ac:dyDescent="0.35">
      <c r="A36" s="3" t="s">
        <v>50</v>
      </c>
      <c r="B36" s="3">
        <f>J13</f>
        <v>1200</v>
      </c>
      <c r="C36" s="17">
        <f>D36/B36</f>
        <v>-16.799252819203879</v>
      </c>
      <c r="D36" s="17">
        <f>D35-D34</f>
        <v>-20159.103383044654</v>
      </c>
      <c r="E36" s="3">
        <f>J14</f>
        <v>1300</v>
      </c>
      <c r="F36" s="17">
        <f>G36/E36</f>
        <v>40.99119491003438</v>
      </c>
      <c r="G36" s="17">
        <f>G35-G34</f>
        <v>53288.553383044695</v>
      </c>
    </row>
    <row r="38" spans="1:7" x14ac:dyDescent="0.35">
      <c r="A38" t="s">
        <v>52</v>
      </c>
    </row>
    <row r="40" spans="1:7" x14ac:dyDescent="0.35">
      <c r="A40" s="2" t="s">
        <v>53</v>
      </c>
    </row>
    <row r="42" spans="1:7" ht="29" x14ac:dyDescent="0.35">
      <c r="A42" s="3"/>
      <c r="B42" s="3" t="s">
        <v>0</v>
      </c>
      <c r="C42" s="3" t="s">
        <v>54</v>
      </c>
      <c r="D42" s="12" t="s">
        <v>56</v>
      </c>
      <c r="E42" s="12" t="s">
        <v>10</v>
      </c>
    </row>
    <row r="43" spans="1:7" x14ac:dyDescent="0.35">
      <c r="A43" s="3" t="s">
        <v>3</v>
      </c>
      <c r="B43" s="3">
        <v>24208.799999999999</v>
      </c>
      <c r="C43" s="3">
        <v>124950</v>
      </c>
      <c r="D43" s="3">
        <v>107310</v>
      </c>
      <c r="E43" s="3">
        <f>E2+D2</f>
        <v>106858.9</v>
      </c>
    </row>
    <row r="44" spans="1:7" ht="43.5" x14ac:dyDescent="0.35">
      <c r="A44" s="3" t="s">
        <v>4</v>
      </c>
      <c r="B44" s="12" t="s">
        <v>55</v>
      </c>
      <c r="C44" s="3" t="s">
        <v>6</v>
      </c>
      <c r="D44" s="3" t="s">
        <v>57</v>
      </c>
      <c r="E44" s="12" t="s">
        <v>11</v>
      </c>
    </row>
    <row r="45" spans="1:7" x14ac:dyDescent="0.35">
      <c r="A45" s="3" t="s">
        <v>8</v>
      </c>
      <c r="B45" s="3">
        <f>K5+K6</f>
        <v>263520</v>
      </c>
      <c r="C45" s="3">
        <v>735</v>
      </c>
      <c r="D45" s="3">
        <v>700</v>
      </c>
      <c r="E45" s="17">
        <f>D70+G70</f>
        <v>531470.49698811071</v>
      </c>
    </row>
    <row r="46" spans="1:7" x14ac:dyDescent="0.35">
      <c r="A46" s="3" t="s">
        <v>9</v>
      </c>
      <c r="B46" s="17">
        <f>B43/B45</f>
        <v>9.1867030965391616E-2</v>
      </c>
      <c r="C46" s="3">
        <f>C43/C45</f>
        <v>170</v>
      </c>
      <c r="D46" s="3">
        <f>D43/D45</f>
        <v>153.30000000000001</v>
      </c>
      <c r="E46" s="18">
        <f>E43/E45</f>
        <v>0.20106271299268469</v>
      </c>
    </row>
    <row r="49" spans="1:7" x14ac:dyDescent="0.35">
      <c r="A49" s="3" t="s">
        <v>27</v>
      </c>
      <c r="B49" s="3"/>
      <c r="C49" s="3" t="s">
        <v>39</v>
      </c>
      <c r="D49" s="3"/>
      <c r="E49" s="3"/>
      <c r="F49" s="3"/>
      <c r="G49" s="3"/>
    </row>
    <row r="50" spans="1:7" x14ac:dyDescent="0.35">
      <c r="A50" s="3"/>
      <c r="B50" s="3"/>
      <c r="C50" s="3" t="s">
        <v>28</v>
      </c>
      <c r="D50" s="3"/>
      <c r="E50" s="3"/>
      <c r="F50" s="3" t="s">
        <v>29</v>
      </c>
      <c r="G50" s="3"/>
    </row>
    <row r="51" spans="1:7" x14ac:dyDescent="0.35">
      <c r="A51" s="3"/>
      <c r="B51" s="3" t="s">
        <v>32</v>
      </c>
      <c r="C51" s="3" t="s">
        <v>33</v>
      </c>
      <c r="D51" s="3" t="s">
        <v>34</v>
      </c>
      <c r="E51" s="3" t="s">
        <v>32</v>
      </c>
      <c r="F51" s="3" t="s">
        <v>33</v>
      </c>
      <c r="G51" s="3" t="s">
        <v>34</v>
      </c>
    </row>
    <row r="52" spans="1:7" ht="29" x14ac:dyDescent="0.35">
      <c r="A52" s="12" t="s">
        <v>31</v>
      </c>
      <c r="B52" s="3">
        <v>2680</v>
      </c>
      <c r="C52" s="3">
        <f>D52/B52</f>
        <v>54</v>
      </c>
      <c r="D52" s="3">
        <v>144720</v>
      </c>
      <c r="E52" s="3">
        <v>400</v>
      </c>
      <c r="F52" s="3"/>
      <c r="G52" s="3">
        <v>118800</v>
      </c>
    </row>
    <row r="53" spans="1:7" ht="29" x14ac:dyDescent="0.35">
      <c r="A53" s="12" t="s">
        <v>30</v>
      </c>
      <c r="B53" s="3">
        <f>K5</f>
        <v>144720</v>
      </c>
      <c r="C53" s="18">
        <f>B46</f>
        <v>9.1867030965391616E-2</v>
      </c>
      <c r="D53" s="17">
        <f>B53*C53</f>
        <v>13294.996721311474</v>
      </c>
      <c r="E53" s="3">
        <f>K6</f>
        <v>118800</v>
      </c>
      <c r="F53" s="18">
        <f>B46</f>
        <v>9.1867030965391616E-2</v>
      </c>
      <c r="G53" s="17">
        <f>E53*F53</f>
        <v>10913.803278688523</v>
      </c>
    </row>
    <row r="54" spans="1:7" x14ac:dyDescent="0.35">
      <c r="A54" s="14" t="s">
        <v>35</v>
      </c>
      <c r="B54" s="3">
        <v>2680</v>
      </c>
      <c r="C54" s="17">
        <f>D54/B54</f>
        <v>58.960819672131144</v>
      </c>
      <c r="D54" s="20">
        <f>D52+D53</f>
        <v>158014.99672131147</v>
      </c>
      <c r="E54" s="3">
        <v>400</v>
      </c>
      <c r="F54" s="17">
        <f>G54/E54</f>
        <v>324.28450819672128</v>
      </c>
      <c r="G54" s="20">
        <f>G52+G53</f>
        <v>129713.80327868852</v>
      </c>
    </row>
    <row r="55" spans="1:7" x14ac:dyDescent="0.35">
      <c r="A55" s="3" t="s">
        <v>41</v>
      </c>
      <c r="B55" s="3"/>
      <c r="C55" s="3"/>
      <c r="D55" s="3"/>
      <c r="E55" s="3"/>
      <c r="F55" s="3"/>
      <c r="G55" s="3"/>
    </row>
    <row r="56" spans="1:7" x14ac:dyDescent="0.35">
      <c r="A56" s="3" t="s">
        <v>36</v>
      </c>
      <c r="B56" s="3">
        <f>J9</f>
        <v>350</v>
      </c>
      <c r="C56" s="3"/>
      <c r="D56" s="3">
        <f>K9</f>
        <v>21378.3</v>
      </c>
      <c r="E56" s="3">
        <f>J10</f>
        <v>80</v>
      </c>
      <c r="F56" s="3"/>
      <c r="G56" s="3">
        <f>K10</f>
        <v>24264</v>
      </c>
    </row>
    <row r="57" spans="1:7" ht="29" x14ac:dyDescent="0.35">
      <c r="A57" s="12" t="s">
        <v>38</v>
      </c>
      <c r="B57" s="3">
        <v>2680</v>
      </c>
      <c r="C57" s="17">
        <f>C54</f>
        <v>58.960819672131144</v>
      </c>
      <c r="D57" s="17">
        <f>B57*C57</f>
        <v>158014.99672131147</v>
      </c>
      <c r="E57" s="3">
        <f>E54</f>
        <v>400</v>
      </c>
      <c r="F57" s="17">
        <f>G57/E57</f>
        <v>324.28450819672128</v>
      </c>
      <c r="G57" s="17">
        <f>G54</f>
        <v>129713.80327868852</v>
      </c>
    </row>
    <row r="58" spans="1:7" x14ac:dyDescent="0.35">
      <c r="A58" s="14" t="s">
        <v>37</v>
      </c>
      <c r="B58" s="3">
        <f>B57+B56</f>
        <v>3030</v>
      </c>
      <c r="C58" s="19">
        <f>D58/B58</f>
        <v>59.205708488881669</v>
      </c>
      <c r="D58" s="20">
        <f>D56+D57</f>
        <v>179393.29672131146</v>
      </c>
      <c r="E58" s="3">
        <f>E56+E57</f>
        <v>480</v>
      </c>
      <c r="F58" s="19">
        <f>G58/E58</f>
        <v>320.78709016393441</v>
      </c>
      <c r="G58" s="20">
        <f>G56+G57</f>
        <v>153977.80327868852</v>
      </c>
    </row>
    <row r="61" spans="1:7" x14ac:dyDescent="0.35">
      <c r="A61" t="s">
        <v>58</v>
      </c>
    </row>
    <row r="64" spans="1:7" x14ac:dyDescent="0.35">
      <c r="A64" s="21" t="s">
        <v>62</v>
      </c>
    </row>
    <row r="65" spans="1:7" x14ac:dyDescent="0.35">
      <c r="A65" s="3" t="s">
        <v>44</v>
      </c>
      <c r="B65" s="3">
        <f>J18</f>
        <v>2700</v>
      </c>
      <c r="C65" s="17">
        <f>C58</f>
        <v>59.205708488881669</v>
      </c>
      <c r="D65" s="17">
        <f>B65*C65</f>
        <v>159855.4129199805</v>
      </c>
      <c r="E65" s="3">
        <f>K18</f>
        <v>390</v>
      </c>
      <c r="F65" s="17">
        <f>F58</f>
        <v>320.78709016393441</v>
      </c>
      <c r="G65" s="17">
        <f>E65*F65</f>
        <v>125106.96516393442</v>
      </c>
    </row>
    <row r="66" spans="1:7" x14ac:dyDescent="0.35">
      <c r="A66" s="3" t="s">
        <v>21</v>
      </c>
      <c r="B66" s="3">
        <f>D65</f>
        <v>159855.4129199805</v>
      </c>
      <c r="C66" s="13">
        <f>J19</f>
        <v>0.05</v>
      </c>
      <c r="D66" s="17">
        <f>B66*C66</f>
        <v>7992.7706459990259</v>
      </c>
      <c r="E66" s="17">
        <f>G65</f>
        <v>125106.96516393442</v>
      </c>
      <c r="F66" s="13">
        <f>K19</f>
        <v>0.05</v>
      </c>
      <c r="G66" s="17">
        <f>E66*F66</f>
        <v>6255.3482581967219</v>
      </c>
    </row>
    <row r="67" spans="1:7" x14ac:dyDescent="0.35">
      <c r="A67" s="23" t="s">
        <v>61</v>
      </c>
      <c r="B67" s="3"/>
      <c r="C67" s="3"/>
      <c r="D67" s="3"/>
      <c r="E67" s="3"/>
      <c r="F67" s="3"/>
      <c r="G67" s="3"/>
    </row>
    <row r="68" spans="1:7" x14ac:dyDescent="0.35">
      <c r="A68" s="3" t="s">
        <v>54</v>
      </c>
      <c r="B68" s="3">
        <f>J20</f>
        <v>540</v>
      </c>
      <c r="C68" s="3">
        <f>C46</f>
        <v>170</v>
      </c>
      <c r="D68" s="3">
        <f>B68*C68</f>
        <v>91800</v>
      </c>
      <c r="E68" s="3">
        <f>K20</f>
        <v>195</v>
      </c>
      <c r="F68" s="3">
        <f>C46</f>
        <v>170</v>
      </c>
      <c r="G68" s="3">
        <f>E68*F68</f>
        <v>33150</v>
      </c>
    </row>
    <row r="69" spans="1:7" x14ac:dyDescent="0.35">
      <c r="A69" s="3" t="s">
        <v>60</v>
      </c>
      <c r="B69" s="3">
        <f>J27</f>
        <v>185</v>
      </c>
      <c r="C69" s="3">
        <f>D46</f>
        <v>153.30000000000001</v>
      </c>
      <c r="D69" s="3">
        <f>B69*C69</f>
        <v>28360.500000000004</v>
      </c>
      <c r="E69" s="3">
        <f>J28</f>
        <v>515</v>
      </c>
      <c r="F69" s="3">
        <f>D46</f>
        <v>153.30000000000001</v>
      </c>
      <c r="G69" s="3">
        <f>E69*F69</f>
        <v>78949.5</v>
      </c>
    </row>
    <row r="70" spans="1:7" x14ac:dyDescent="0.35">
      <c r="A70" s="14" t="s">
        <v>45</v>
      </c>
      <c r="B70" s="3">
        <f>J13</f>
        <v>1200</v>
      </c>
      <c r="C70" s="17">
        <f>D70/B70</f>
        <v>240.00723630498294</v>
      </c>
      <c r="D70" s="17">
        <f>SUM(D65:D69)</f>
        <v>288008.68356597953</v>
      </c>
      <c r="E70" s="3">
        <f>J14</f>
        <v>1300</v>
      </c>
      <c r="F70" s="17">
        <f>G70/E70</f>
        <v>187.27831801702396</v>
      </c>
      <c r="G70" s="17">
        <f>SUM(G65:G69)</f>
        <v>243461.81342213115</v>
      </c>
    </row>
    <row r="71" spans="1:7" x14ac:dyDescent="0.35">
      <c r="A71" s="3" t="s">
        <v>47</v>
      </c>
      <c r="B71" s="17">
        <f>D70</f>
        <v>288008.68356597953</v>
      </c>
      <c r="C71" s="22">
        <f>E46</f>
        <v>0.20106271299268469</v>
      </c>
      <c r="D71" s="17">
        <f>B71*C71</f>
        <v>57907.807283227485</v>
      </c>
      <c r="E71" s="17">
        <f>G70</f>
        <v>243461.81342213115</v>
      </c>
      <c r="F71" s="22">
        <f>E46</f>
        <v>0.20106271299268469</v>
      </c>
      <c r="G71" s="17">
        <f>E71*F71</f>
        <v>48951.092716772502</v>
      </c>
    </row>
    <row r="72" spans="1:7" x14ac:dyDescent="0.35">
      <c r="A72" s="14" t="s">
        <v>48</v>
      </c>
      <c r="B72" s="3">
        <f>J13</f>
        <v>1200</v>
      </c>
      <c r="C72" s="17">
        <f>D72/B72</f>
        <v>288.26374237433919</v>
      </c>
      <c r="D72" s="17">
        <f>D70+D71</f>
        <v>345916.49084920704</v>
      </c>
      <c r="E72" s="3">
        <f>J14</f>
        <v>1300</v>
      </c>
      <c r="F72" s="17">
        <f>G72/E72</f>
        <v>224.93300472223356</v>
      </c>
      <c r="G72" s="17">
        <f>G70+G71</f>
        <v>292412.90613890364</v>
      </c>
    </row>
    <row r="73" spans="1:7" x14ac:dyDescent="0.35">
      <c r="A73" s="3" t="s">
        <v>49</v>
      </c>
      <c r="B73" s="3">
        <f>J13</f>
        <v>1200</v>
      </c>
      <c r="C73" s="3">
        <f>J23</f>
        <v>325</v>
      </c>
      <c r="D73" s="3">
        <f>B73*C73</f>
        <v>390000</v>
      </c>
      <c r="E73" s="3">
        <f>J14</f>
        <v>1300</v>
      </c>
      <c r="F73" s="3">
        <f>J24</f>
        <v>217</v>
      </c>
      <c r="G73" s="3">
        <f>E73*F73</f>
        <v>282100</v>
      </c>
    </row>
    <row r="74" spans="1:7" x14ac:dyDescent="0.35">
      <c r="A74" s="3" t="s">
        <v>50</v>
      </c>
      <c r="B74" s="3">
        <f>J13</f>
        <v>1200</v>
      </c>
      <c r="C74" s="17">
        <f>D74/B74</f>
        <v>36.736257625660798</v>
      </c>
      <c r="D74" s="17">
        <f>D73-D72</f>
        <v>44083.509150792961</v>
      </c>
      <c r="E74" s="3">
        <f>J14</f>
        <v>1300</v>
      </c>
      <c r="F74" s="17">
        <f>G74/E74</f>
        <v>-7.9330047222335658</v>
      </c>
      <c r="G74" s="17">
        <f>G73-G72</f>
        <v>-10312.906138903636</v>
      </c>
    </row>
    <row r="76" spans="1:7" x14ac:dyDescent="0.35">
      <c r="A76" s="1"/>
    </row>
    <row r="78" spans="1:7" ht="164.5" customHeight="1" x14ac:dyDescent="0.35">
      <c r="A78" s="1" t="s">
        <v>63</v>
      </c>
    </row>
    <row r="81" spans="1:5" x14ac:dyDescent="0.35">
      <c r="A81" t="s">
        <v>86</v>
      </c>
    </row>
    <row r="83" spans="1:5" x14ac:dyDescent="0.35">
      <c r="A83" s="3" t="s">
        <v>100</v>
      </c>
      <c r="B83" s="3" t="s">
        <v>64</v>
      </c>
      <c r="C83" s="3" t="s">
        <v>65</v>
      </c>
      <c r="D83" s="3" t="s">
        <v>66</v>
      </c>
      <c r="E83" s="3"/>
    </row>
    <row r="84" spans="1:5" x14ac:dyDescent="0.35">
      <c r="A84" s="3" t="s">
        <v>0</v>
      </c>
      <c r="B84" s="3" t="s">
        <v>67</v>
      </c>
      <c r="C84" s="3">
        <v>6200</v>
      </c>
      <c r="D84" s="3" t="s">
        <v>68</v>
      </c>
      <c r="E84" s="3"/>
    </row>
    <row r="85" spans="1:5" x14ac:dyDescent="0.35">
      <c r="A85" s="3"/>
      <c r="B85" s="3" t="s">
        <v>69</v>
      </c>
      <c r="C85" s="3">
        <v>15648.8</v>
      </c>
      <c r="D85" s="3" t="s">
        <v>70</v>
      </c>
      <c r="E85" s="3"/>
    </row>
    <row r="86" spans="1:5" x14ac:dyDescent="0.35">
      <c r="A86" s="3"/>
      <c r="B86" s="3" t="s">
        <v>71</v>
      </c>
      <c r="C86" s="3">
        <v>2360</v>
      </c>
      <c r="D86" s="3" t="s">
        <v>72</v>
      </c>
      <c r="E86" s="3"/>
    </row>
    <row r="87" spans="1:5" x14ac:dyDescent="0.35">
      <c r="A87" s="3" t="s">
        <v>54</v>
      </c>
      <c r="B87" s="3" t="s">
        <v>73</v>
      </c>
      <c r="C87" s="3">
        <v>34125</v>
      </c>
      <c r="D87" s="3" t="s">
        <v>72</v>
      </c>
      <c r="E87" s="3"/>
    </row>
    <row r="88" spans="1:5" x14ac:dyDescent="0.35">
      <c r="A88" s="3"/>
      <c r="B88" s="3" t="s">
        <v>74</v>
      </c>
      <c r="C88" s="3">
        <v>76020</v>
      </c>
      <c r="D88" s="3" t="s">
        <v>6</v>
      </c>
      <c r="E88" s="3"/>
    </row>
    <row r="89" spans="1:5" x14ac:dyDescent="0.35">
      <c r="A89" s="3"/>
      <c r="B89" s="3" t="s">
        <v>75</v>
      </c>
      <c r="C89" s="3">
        <v>14805</v>
      </c>
      <c r="D89" s="3" t="s">
        <v>76</v>
      </c>
      <c r="E89" s="3"/>
    </row>
    <row r="90" spans="1:5" x14ac:dyDescent="0.35">
      <c r="A90" s="3" t="s">
        <v>60</v>
      </c>
      <c r="B90" s="3" t="s">
        <v>77</v>
      </c>
      <c r="C90" s="3">
        <v>24800</v>
      </c>
      <c r="D90" s="3" t="s">
        <v>78</v>
      </c>
      <c r="E90" s="3"/>
    </row>
    <row r="91" spans="1:5" x14ac:dyDescent="0.35">
      <c r="A91" s="3"/>
      <c r="B91" s="3" t="s">
        <v>79</v>
      </c>
      <c r="C91" s="3">
        <v>66400</v>
      </c>
      <c r="D91" s="3" t="s">
        <v>80</v>
      </c>
      <c r="E91" s="3"/>
    </row>
    <row r="92" spans="1:5" x14ac:dyDescent="0.35">
      <c r="A92" s="3"/>
      <c r="B92" s="3" t="s">
        <v>81</v>
      </c>
      <c r="C92" s="3">
        <v>16110</v>
      </c>
      <c r="D92" s="3" t="s">
        <v>82</v>
      </c>
      <c r="E92" s="3"/>
    </row>
    <row r="93" spans="1:5" x14ac:dyDescent="0.35">
      <c r="A93" s="3" t="s">
        <v>85</v>
      </c>
      <c r="B93" s="3" t="s">
        <v>84</v>
      </c>
      <c r="C93" s="3">
        <v>106833.9</v>
      </c>
      <c r="D93" s="3" t="s">
        <v>45</v>
      </c>
      <c r="E93" s="3"/>
    </row>
    <row r="94" spans="1:5" x14ac:dyDescent="0.35">
      <c r="A94" s="25">
        <v>45638</v>
      </c>
    </row>
    <row r="95" spans="1:5" x14ac:dyDescent="0.35">
      <c r="A95" s="21" t="s">
        <v>89</v>
      </c>
    </row>
    <row r="97" spans="1:6" x14ac:dyDescent="0.35">
      <c r="A97" s="3" t="s">
        <v>88</v>
      </c>
      <c r="B97" s="3" t="s">
        <v>90</v>
      </c>
      <c r="C97" s="3" t="s">
        <v>91</v>
      </c>
      <c r="D97" s="3" t="s">
        <v>87</v>
      </c>
    </row>
    <row r="98" spans="1:6" x14ac:dyDescent="0.35">
      <c r="A98" s="3" t="s">
        <v>68</v>
      </c>
      <c r="B98" s="3">
        <f>C84</f>
        <v>6200</v>
      </c>
      <c r="C98" s="3">
        <f>8+4</f>
        <v>12</v>
      </c>
      <c r="D98" s="17">
        <f t="shared" ref="D98:D99" si="0">B98/C98</f>
        <v>516.66666666666663</v>
      </c>
      <c r="F98" t="s">
        <v>92</v>
      </c>
    </row>
    <row r="99" spans="1:6" x14ac:dyDescent="0.35">
      <c r="A99" s="3" t="s">
        <v>70</v>
      </c>
      <c r="B99" s="3">
        <f>C85</f>
        <v>15648.8</v>
      </c>
      <c r="C99" s="3">
        <f>D12+G12</f>
        <v>263520</v>
      </c>
      <c r="D99" s="17">
        <f t="shared" si="0"/>
        <v>5.9383727990285365E-2</v>
      </c>
    </row>
    <row r="100" spans="1:6" x14ac:dyDescent="0.35">
      <c r="A100" s="3" t="s">
        <v>72</v>
      </c>
      <c r="B100" s="3">
        <f>C86+C87</f>
        <v>36485</v>
      </c>
      <c r="C100" s="3">
        <f>J13/200+J14/100</f>
        <v>19</v>
      </c>
      <c r="D100" s="17">
        <f>B100/C100</f>
        <v>1920.2631578947369</v>
      </c>
    </row>
    <row r="101" spans="1:6" x14ac:dyDescent="0.35">
      <c r="A101" s="3" t="s">
        <v>6</v>
      </c>
      <c r="B101" s="3">
        <f>C88+C89</f>
        <v>90825</v>
      </c>
      <c r="C101" s="3">
        <f>C45</f>
        <v>735</v>
      </c>
      <c r="D101" s="17">
        <f t="shared" ref="D101:D104" si="1">B101/C101</f>
        <v>123.57142857142857</v>
      </c>
    </row>
    <row r="102" spans="1:6" x14ac:dyDescent="0.35">
      <c r="A102" s="3" t="s">
        <v>78</v>
      </c>
      <c r="B102" s="3">
        <f>C90</f>
        <v>24800</v>
      </c>
      <c r="C102" s="3">
        <f>J13+J14</f>
        <v>2500</v>
      </c>
      <c r="D102" s="3">
        <f t="shared" si="1"/>
        <v>9.92</v>
      </c>
    </row>
    <row r="103" spans="1:6" x14ac:dyDescent="0.35">
      <c r="A103" s="3" t="s">
        <v>80</v>
      </c>
      <c r="B103" s="3">
        <f>C91</f>
        <v>66400</v>
      </c>
      <c r="C103" s="3">
        <f>20*(J13/200)+J14</f>
        <v>1420</v>
      </c>
      <c r="D103" s="17">
        <f t="shared" si="1"/>
        <v>46.760563380281688</v>
      </c>
    </row>
    <row r="104" spans="1:6" x14ac:dyDescent="0.35">
      <c r="A104" s="3" t="s">
        <v>82</v>
      </c>
      <c r="B104" s="3">
        <f>C92</f>
        <v>16110</v>
      </c>
      <c r="C104" s="3">
        <f>J13/200+J14/100</f>
        <v>19</v>
      </c>
      <c r="D104" s="17">
        <f t="shared" si="1"/>
        <v>847.89473684210532</v>
      </c>
    </row>
    <row r="105" spans="1:6" x14ac:dyDescent="0.35">
      <c r="A105" s="3" t="s">
        <v>83</v>
      </c>
      <c r="B105" s="3">
        <f>C93</f>
        <v>106833.9</v>
      </c>
      <c r="C105" s="17">
        <f>B147</f>
        <v>515660.28030250769</v>
      </c>
      <c r="D105" s="16">
        <f>B105/C105</f>
        <v>0.20717884250717702</v>
      </c>
    </row>
    <row r="109" spans="1:6" x14ac:dyDescent="0.35">
      <c r="A109" s="21" t="s">
        <v>93</v>
      </c>
    </row>
    <row r="111" spans="1:6" x14ac:dyDescent="0.35">
      <c r="A111" s="21" t="s">
        <v>94</v>
      </c>
    </row>
    <row r="113" spans="1:7" x14ac:dyDescent="0.35">
      <c r="A113" s="3"/>
      <c r="B113" s="3" t="s">
        <v>24</v>
      </c>
      <c r="C113" s="3"/>
      <c r="D113" s="3"/>
      <c r="E113" s="3" t="s">
        <v>25</v>
      </c>
      <c r="F113" s="3"/>
      <c r="G113" s="3"/>
    </row>
    <row r="114" spans="1:7" x14ac:dyDescent="0.35">
      <c r="A114" s="3"/>
      <c r="B114" s="3" t="s">
        <v>32</v>
      </c>
      <c r="C114" s="3" t="s">
        <v>33</v>
      </c>
      <c r="D114" s="3" t="s">
        <v>34</v>
      </c>
      <c r="E114" s="3" t="s">
        <v>32</v>
      </c>
      <c r="F114" s="3" t="s">
        <v>33</v>
      </c>
      <c r="G114" s="3" t="s">
        <v>34</v>
      </c>
    </row>
    <row r="115" spans="1:7" x14ac:dyDescent="0.35">
      <c r="A115" s="3" t="s">
        <v>95</v>
      </c>
      <c r="B115" s="3">
        <v>2680</v>
      </c>
      <c r="C115" s="3"/>
      <c r="D115" s="3">
        <v>144720</v>
      </c>
      <c r="E115" s="3">
        <f>J6</f>
        <v>400</v>
      </c>
      <c r="F115" s="3"/>
      <c r="G115" s="3">
        <f>G12</f>
        <v>118800</v>
      </c>
    </row>
    <row r="116" spans="1:7" x14ac:dyDescent="0.35">
      <c r="A116" s="3" t="s">
        <v>96</v>
      </c>
      <c r="B116" s="3">
        <v>8</v>
      </c>
      <c r="C116" s="17">
        <f>D98</f>
        <v>516.66666666666663</v>
      </c>
      <c r="D116" s="17">
        <f>B116*C116</f>
        <v>4133.333333333333</v>
      </c>
      <c r="E116" s="3">
        <v>4</v>
      </c>
      <c r="F116" s="17">
        <f>D98</f>
        <v>516.66666666666663</v>
      </c>
      <c r="G116" s="17">
        <f>E116*F116</f>
        <v>2066.6666666666665</v>
      </c>
    </row>
    <row r="117" spans="1:7" x14ac:dyDescent="0.35">
      <c r="A117" s="3" t="s">
        <v>69</v>
      </c>
      <c r="B117" s="3">
        <f>D115</f>
        <v>144720</v>
      </c>
      <c r="C117" s="17">
        <f>D99</f>
        <v>5.9383727990285365E-2</v>
      </c>
      <c r="D117" s="17">
        <f>B117*C117</f>
        <v>8594.0131147540978</v>
      </c>
      <c r="E117" s="3">
        <f>G115</f>
        <v>118800</v>
      </c>
      <c r="F117" s="17">
        <f>D99</f>
        <v>5.9383727990285365E-2</v>
      </c>
      <c r="G117" s="17">
        <f>E117*F117</f>
        <v>7054.7868852459014</v>
      </c>
    </row>
    <row r="118" spans="1:7" x14ac:dyDescent="0.35">
      <c r="A118" s="3" t="s">
        <v>35</v>
      </c>
      <c r="B118" s="3">
        <v>2680</v>
      </c>
      <c r="C118" s="17">
        <f>D118/B118</f>
        <v>58.749009868689349</v>
      </c>
      <c r="D118" s="17">
        <f>SUM(D115:D117)</f>
        <v>157447.34644808745</v>
      </c>
      <c r="E118" s="3">
        <f>E115</f>
        <v>400</v>
      </c>
      <c r="F118" s="17">
        <f>G118/E118</f>
        <v>319.80363387978144</v>
      </c>
      <c r="G118" s="17">
        <f>SUM(G115:G117)</f>
        <v>127921.45355191258</v>
      </c>
    </row>
    <row r="121" spans="1:7" x14ac:dyDescent="0.35">
      <c r="A121" t="s">
        <v>97</v>
      </c>
    </row>
    <row r="123" spans="1:7" x14ac:dyDescent="0.35">
      <c r="A123" s="3"/>
      <c r="B123" s="3" t="s">
        <v>24</v>
      </c>
      <c r="C123" s="3"/>
      <c r="D123" s="3"/>
      <c r="E123" s="3" t="s">
        <v>25</v>
      </c>
      <c r="F123" s="3"/>
      <c r="G123" s="3"/>
    </row>
    <row r="124" spans="1:7" x14ac:dyDescent="0.35">
      <c r="A124" s="3"/>
      <c r="B124" s="3" t="s">
        <v>32</v>
      </c>
      <c r="C124" s="3" t="s">
        <v>33</v>
      </c>
      <c r="D124" s="3" t="s">
        <v>34</v>
      </c>
      <c r="E124" s="3" t="s">
        <v>32</v>
      </c>
      <c r="F124" s="3" t="s">
        <v>33</v>
      </c>
      <c r="G124" s="3" t="s">
        <v>34</v>
      </c>
    </row>
    <row r="125" spans="1:7" x14ac:dyDescent="0.35">
      <c r="A125" s="3" t="s">
        <v>36</v>
      </c>
      <c r="B125" s="3">
        <f>J9</f>
        <v>350</v>
      </c>
      <c r="C125" s="3"/>
      <c r="D125" s="3">
        <f>K9</f>
        <v>21378.3</v>
      </c>
      <c r="E125" s="3">
        <f>J10</f>
        <v>80</v>
      </c>
      <c r="F125" s="3"/>
      <c r="G125" s="3">
        <f>K10</f>
        <v>24264</v>
      </c>
    </row>
    <row r="126" spans="1:7" x14ac:dyDescent="0.35">
      <c r="A126" s="3" t="s">
        <v>98</v>
      </c>
      <c r="B126" s="3">
        <f>B118</f>
        <v>2680</v>
      </c>
      <c r="C126" s="17">
        <f>D126/B126</f>
        <v>58.749009868689349</v>
      </c>
      <c r="D126" s="17">
        <f>D118</f>
        <v>157447.34644808745</v>
      </c>
      <c r="E126" s="3">
        <f>E118</f>
        <v>400</v>
      </c>
      <c r="F126" s="17">
        <f>G126/E126</f>
        <v>319.80363387978144</v>
      </c>
      <c r="G126" s="17">
        <f>G118</f>
        <v>127921.45355191258</v>
      </c>
    </row>
    <row r="127" spans="1:7" x14ac:dyDescent="0.35">
      <c r="A127" s="3" t="s">
        <v>37</v>
      </c>
      <c r="B127" s="3">
        <f>SUM(B125:B126)</f>
        <v>3030</v>
      </c>
      <c r="C127" s="17">
        <f>D127/B127</f>
        <v>59.018365164385294</v>
      </c>
      <c r="D127" s="17">
        <f>SUM(D125:D126)</f>
        <v>178825.64644808744</v>
      </c>
      <c r="E127" s="3">
        <f>SUM(E125:E126)</f>
        <v>480</v>
      </c>
      <c r="F127" s="17">
        <f>G127/E127</f>
        <v>317.05302823315117</v>
      </c>
      <c r="G127" s="17">
        <f>SUM(G125:G126)</f>
        <v>152185.45355191256</v>
      </c>
    </row>
    <row r="130" spans="1:7" x14ac:dyDescent="0.35">
      <c r="A130" s="21" t="s">
        <v>99</v>
      </c>
    </row>
    <row r="133" spans="1:7" x14ac:dyDescent="0.35">
      <c r="A133" s="3" t="str">
        <f t="shared" ref="A133" si="2">A28</f>
        <v>Matières X et Y consommées</v>
      </c>
      <c r="B133" s="3">
        <f>J18</f>
        <v>2700</v>
      </c>
      <c r="C133" s="17">
        <f>C127</f>
        <v>59.018365164385294</v>
      </c>
      <c r="D133" s="17">
        <f>B133*C133</f>
        <v>159349.5859438403</v>
      </c>
      <c r="E133" s="3">
        <f>K18</f>
        <v>390</v>
      </c>
      <c r="F133" s="17">
        <f>F127</f>
        <v>317.05302823315117</v>
      </c>
      <c r="G133" s="17">
        <f>E133*F133</f>
        <v>123650.68101092895</v>
      </c>
    </row>
    <row r="134" spans="1:7" x14ac:dyDescent="0.35">
      <c r="A134" s="3" t="s">
        <v>101</v>
      </c>
      <c r="B134" s="17">
        <f>D133</f>
        <v>159349.5859438403</v>
      </c>
      <c r="C134" s="13">
        <f>J19</f>
        <v>0.05</v>
      </c>
      <c r="D134" s="17">
        <f>B134*C134</f>
        <v>7967.4792971920151</v>
      </c>
      <c r="E134" s="17">
        <f>G133</f>
        <v>123650.68101092895</v>
      </c>
      <c r="F134" s="13">
        <f>K19</f>
        <v>0.05</v>
      </c>
      <c r="G134" s="17">
        <f t="shared" ref="G134:G137" si="3">E134*F134</f>
        <v>6182.5340505464483</v>
      </c>
    </row>
    <row r="135" spans="1:7" x14ac:dyDescent="0.35">
      <c r="A135" s="23" t="s">
        <v>61</v>
      </c>
      <c r="B135" s="3"/>
      <c r="C135" s="3"/>
      <c r="D135" s="3"/>
      <c r="E135" s="3"/>
      <c r="F135" s="3"/>
      <c r="G135" s="3"/>
    </row>
    <row r="136" spans="1:7" x14ac:dyDescent="0.35">
      <c r="A136" s="3" t="s">
        <v>102</v>
      </c>
      <c r="B136" s="3">
        <f>J13/200</f>
        <v>6</v>
      </c>
      <c r="C136" s="17">
        <f>D100</f>
        <v>1920.2631578947369</v>
      </c>
      <c r="D136" s="17">
        <f>C136*B136</f>
        <v>11521.578947368422</v>
      </c>
      <c r="E136" s="3">
        <f>J14/100</f>
        <v>13</v>
      </c>
      <c r="F136" s="17">
        <f>D100</f>
        <v>1920.2631578947369</v>
      </c>
      <c r="G136" s="17">
        <f t="shared" si="3"/>
        <v>24963.42105263158</v>
      </c>
    </row>
    <row r="137" spans="1:7" x14ac:dyDescent="0.35">
      <c r="A137" s="3" t="s">
        <v>103</v>
      </c>
      <c r="B137" s="3">
        <f>J20</f>
        <v>540</v>
      </c>
      <c r="C137" s="17">
        <f>D101</f>
        <v>123.57142857142857</v>
      </c>
      <c r="D137" s="17">
        <f t="shared" ref="D137" si="4">C137*B137</f>
        <v>66728.57142857142</v>
      </c>
      <c r="E137" s="3">
        <f>K20</f>
        <v>195</v>
      </c>
      <c r="F137" s="17">
        <f>D101</f>
        <v>123.57142857142857</v>
      </c>
      <c r="G137" s="17">
        <f t="shared" si="3"/>
        <v>24096.428571428572</v>
      </c>
    </row>
    <row r="138" spans="1:7" x14ac:dyDescent="0.35">
      <c r="A138" s="3" t="s">
        <v>77</v>
      </c>
      <c r="B138" s="3">
        <f>J13</f>
        <v>1200</v>
      </c>
      <c r="C138" s="3">
        <f>D102</f>
        <v>9.92</v>
      </c>
      <c r="D138" s="3">
        <f>C138*B138</f>
        <v>11904</v>
      </c>
      <c r="E138" s="3">
        <f>J14</f>
        <v>1300</v>
      </c>
      <c r="F138" s="3">
        <f>D102</f>
        <v>9.92</v>
      </c>
      <c r="G138" s="3">
        <f>E138*F138</f>
        <v>12896</v>
      </c>
    </row>
    <row r="139" spans="1:7" x14ac:dyDescent="0.35">
      <c r="A139" s="3" t="s">
        <v>79</v>
      </c>
      <c r="B139" s="3">
        <f>20*(J13/200)</f>
        <v>120</v>
      </c>
      <c r="C139" s="17">
        <f>D103</f>
        <v>46.760563380281688</v>
      </c>
      <c r="D139" s="17">
        <f>C139*B139</f>
        <v>5611.2676056338023</v>
      </c>
      <c r="E139" s="3">
        <f>J14</f>
        <v>1300</v>
      </c>
      <c r="F139" s="17">
        <f>D103</f>
        <v>46.760563380281688</v>
      </c>
      <c r="G139" s="17">
        <f>E139*F139</f>
        <v>60788.732394366198</v>
      </c>
    </row>
    <row r="140" spans="1:7" x14ac:dyDescent="0.35">
      <c r="A140" s="3" t="s">
        <v>45</v>
      </c>
      <c r="B140" s="3">
        <f>J13</f>
        <v>1200</v>
      </c>
      <c r="C140" s="17">
        <f>D140/B140</f>
        <v>219.23540268550497</v>
      </c>
      <c r="D140" s="17">
        <f>SUM(D133:D139)</f>
        <v>263082.48322260595</v>
      </c>
      <c r="E140" s="3">
        <f>J14</f>
        <v>1300</v>
      </c>
      <c r="F140" s="17">
        <f>G140/E140</f>
        <v>194.29061313838596</v>
      </c>
      <c r="G140" s="17">
        <f>SUM(G133:G139)</f>
        <v>252577.79707990176</v>
      </c>
    </row>
    <row r="141" spans="1:7" x14ac:dyDescent="0.35">
      <c r="A141" s="3" t="s">
        <v>105</v>
      </c>
      <c r="B141" s="17">
        <f>D140</f>
        <v>263082.48322260595</v>
      </c>
      <c r="C141" s="16">
        <f>D105</f>
        <v>0.20717884250717702</v>
      </c>
      <c r="D141" s="17">
        <f>B141*C141</f>
        <v>54505.12435797332</v>
      </c>
      <c r="E141" s="17">
        <f>G140</f>
        <v>252577.79707990176</v>
      </c>
      <c r="F141" s="16">
        <f>D105</f>
        <v>0.20717884250717702</v>
      </c>
      <c r="G141" s="17">
        <f>E141*F141</f>
        <v>52328.775642026681</v>
      </c>
    </row>
    <row r="142" spans="1:7" x14ac:dyDescent="0.35">
      <c r="A142" s="3" t="s">
        <v>106</v>
      </c>
      <c r="B142" s="3">
        <f>J13/200</f>
        <v>6</v>
      </c>
      <c r="C142" s="17">
        <f>D104</f>
        <v>847.89473684210532</v>
      </c>
      <c r="D142" s="17">
        <f>B142*C142</f>
        <v>5087.3684210526317</v>
      </c>
      <c r="E142" s="3">
        <f>J14/100</f>
        <v>13</v>
      </c>
      <c r="F142" s="17">
        <f>D104</f>
        <v>847.89473684210532</v>
      </c>
      <c r="G142" s="17">
        <f>E142*F142</f>
        <v>11022.631578947368</v>
      </c>
    </row>
    <row r="143" spans="1:7" x14ac:dyDescent="0.35">
      <c r="A143" s="14" t="s">
        <v>48</v>
      </c>
      <c r="B143" s="3">
        <f>J13</f>
        <v>1200</v>
      </c>
      <c r="C143" s="17">
        <f>D143/B143</f>
        <v>268.89581333469329</v>
      </c>
      <c r="D143" s="17">
        <f>SUM(D140:D142)</f>
        <v>322674.97600163193</v>
      </c>
      <c r="E143" s="3">
        <f>J14</f>
        <v>1300</v>
      </c>
      <c r="F143" s="17">
        <f>G143/E143</f>
        <v>243.02246484682757</v>
      </c>
      <c r="G143" s="17">
        <f>SUM(G140:G142)</f>
        <v>315929.20430087583</v>
      </c>
    </row>
    <row r="144" spans="1:7" x14ac:dyDescent="0.35">
      <c r="A144" s="3" t="s">
        <v>104</v>
      </c>
      <c r="B144" s="3">
        <f>J13</f>
        <v>1200</v>
      </c>
      <c r="C144" s="3">
        <f>J23</f>
        <v>325</v>
      </c>
      <c r="D144" s="3">
        <f>B144*C144</f>
        <v>390000</v>
      </c>
      <c r="E144" s="3">
        <f>J14</f>
        <v>1300</v>
      </c>
      <c r="F144" s="3">
        <f>J24</f>
        <v>217</v>
      </c>
      <c r="G144" s="3">
        <f>F144*E144</f>
        <v>282100</v>
      </c>
    </row>
    <row r="145" spans="1:7" x14ac:dyDescent="0.35">
      <c r="A145" s="23" t="s">
        <v>50</v>
      </c>
      <c r="B145" s="3">
        <f>J13</f>
        <v>1200</v>
      </c>
      <c r="C145" s="17">
        <f>D145/B145</f>
        <v>56.10418666530672</v>
      </c>
      <c r="D145" s="17">
        <f>D144-D143</f>
        <v>67325.023998368066</v>
      </c>
      <c r="E145" s="3">
        <f>J14</f>
        <v>1300</v>
      </c>
      <c r="F145" s="17">
        <f>G145/E145</f>
        <v>-26.022464846827564</v>
      </c>
      <c r="G145" s="17">
        <f>G144-G143</f>
        <v>-33829.204300875834</v>
      </c>
    </row>
    <row r="147" spans="1:7" x14ac:dyDescent="0.35">
      <c r="A147" t="s">
        <v>107</v>
      </c>
      <c r="B147" s="24">
        <f>D140+G140</f>
        <v>515660.28030250769</v>
      </c>
    </row>
    <row r="151" spans="1:7" x14ac:dyDescent="0.35">
      <c r="A151"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Matthieu Ramond</dc:creator>
  <cp:lastModifiedBy>Matthieu Ramond</cp:lastModifiedBy>
  <dcterms:created xsi:type="dcterms:W3CDTF">2024-12-06T12:39:09Z</dcterms:created>
  <dcterms:modified xsi:type="dcterms:W3CDTF">2024-12-12T10:14:06Z</dcterms:modified>
</cp:coreProperties>
</file>