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Controle de gestion\M1---Controle-de-gestion\"/>
    </mc:Choice>
  </mc:AlternateContent>
  <xr:revisionPtr revIDLastSave="0" documentId="13_ncr:1_{D91AB967-23CF-44B3-B45D-354CE37707E0}" xr6:coauthVersionLast="47" xr6:coauthVersionMax="47" xr10:uidLastSave="{00000000-0000-0000-0000-000000000000}"/>
  <bookViews>
    <workbookView xWindow="-110" yWindow="-110" windowWidth="19420" windowHeight="11020" xr2:uid="{E93606DE-3904-4879-9FF7-DAF90B90E3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1" l="1"/>
  <c r="P104" i="1"/>
  <c r="Q104" i="1"/>
  <c r="R104" i="1"/>
  <c r="S104" i="1"/>
  <c r="T104" i="1"/>
  <c r="U104" i="1"/>
  <c r="V99" i="1"/>
  <c r="V100" i="1"/>
  <c r="V101" i="1"/>
  <c r="V102" i="1"/>
  <c r="V103" i="1"/>
  <c r="U100" i="1"/>
  <c r="U101" i="1"/>
  <c r="U102" i="1"/>
  <c r="U103" i="1"/>
  <c r="U99" i="1"/>
  <c r="T100" i="1"/>
  <c r="T101" i="1"/>
  <c r="T102" i="1"/>
  <c r="T103" i="1"/>
  <c r="T99" i="1"/>
  <c r="S100" i="1"/>
  <c r="S101" i="1"/>
  <c r="S102" i="1"/>
  <c r="S103" i="1"/>
  <c r="S99" i="1"/>
  <c r="R100" i="1"/>
  <c r="R101" i="1"/>
  <c r="R102" i="1"/>
  <c r="R103" i="1"/>
  <c r="R99" i="1"/>
  <c r="Q100" i="1"/>
  <c r="Q101" i="1"/>
  <c r="Q102" i="1"/>
  <c r="Q103" i="1"/>
  <c r="Q99" i="1"/>
  <c r="P100" i="1"/>
  <c r="P101" i="1"/>
  <c r="P102" i="1"/>
  <c r="P103" i="1"/>
  <c r="P99" i="1"/>
  <c r="O100" i="1"/>
  <c r="O101" i="1"/>
  <c r="O102" i="1"/>
  <c r="O103" i="1"/>
  <c r="O99" i="1"/>
  <c r="N105" i="1"/>
  <c r="M105" i="1"/>
  <c r="N104" i="1"/>
  <c r="M104" i="1"/>
  <c r="J101" i="1"/>
  <c r="J100" i="1"/>
  <c r="J99" i="1"/>
  <c r="G105" i="1"/>
  <c r="G100" i="1"/>
  <c r="G101" i="1"/>
  <c r="G102" i="1"/>
  <c r="G103" i="1"/>
  <c r="G104" i="1"/>
  <c r="F105" i="1"/>
  <c r="F101" i="1"/>
  <c r="F102" i="1"/>
  <c r="F103" i="1"/>
  <c r="F104" i="1"/>
  <c r="F100" i="1"/>
  <c r="C105" i="1"/>
  <c r="D105" i="1"/>
  <c r="E105" i="1"/>
  <c r="E101" i="1"/>
  <c r="E102" i="1"/>
  <c r="E103" i="1"/>
  <c r="E104" i="1"/>
  <c r="E100" i="1"/>
  <c r="D101" i="1"/>
  <c r="D102" i="1"/>
  <c r="D103" i="1"/>
  <c r="D104" i="1"/>
  <c r="D100" i="1"/>
  <c r="B106" i="1"/>
  <c r="A106" i="1"/>
  <c r="C101" i="1" s="1"/>
  <c r="B105" i="1"/>
  <c r="A105" i="1"/>
  <c r="I80" i="1"/>
  <c r="I81" i="1"/>
  <c r="I78" i="1"/>
  <c r="I79" i="1"/>
  <c r="H81" i="1"/>
  <c r="H80" i="1"/>
  <c r="H79" i="1"/>
  <c r="H78" i="1"/>
  <c r="H74" i="1"/>
  <c r="H71" i="1"/>
  <c r="H72" i="1"/>
  <c r="H73" i="1"/>
  <c r="H70" i="1"/>
  <c r="D70" i="1"/>
  <c r="D71" i="1"/>
  <c r="D72" i="1"/>
  <c r="D73" i="1"/>
  <c r="D74" i="1"/>
  <c r="E74" i="1" s="1"/>
  <c r="D75" i="1"/>
  <c r="E75" i="1" s="1"/>
  <c r="D76" i="1"/>
  <c r="E76" i="1" s="1"/>
  <c r="D77" i="1"/>
  <c r="E77" i="1" s="1"/>
  <c r="D78" i="1"/>
  <c r="D79" i="1"/>
  <c r="D80" i="1"/>
  <c r="D81" i="1"/>
  <c r="D82" i="1"/>
  <c r="E82" i="1" s="1"/>
  <c r="D83" i="1"/>
  <c r="E83" i="1" s="1"/>
  <c r="D84" i="1"/>
  <c r="E84" i="1" s="1"/>
  <c r="D85" i="1"/>
  <c r="E85" i="1" s="1"/>
  <c r="D86" i="1"/>
  <c r="D87" i="1"/>
  <c r="D88" i="1"/>
  <c r="D69" i="1"/>
  <c r="E69" i="1" s="1"/>
  <c r="E70" i="1"/>
  <c r="E71" i="1"/>
  <c r="E72" i="1"/>
  <c r="E73" i="1"/>
  <c r="E78" i="1"/>
  <c r="E79" i="1"/>
  <c r="E80" i="1"/>
  <c r="E81" i="1"/>
  <c r="E86" i="1"/>
  <c r="E87" i="1"/>
  <c r="E88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I57" i="1"/>
  <c r="I55" i="1"/>
  <c r="I54" i="1"/>
  <c r="D61" i="1"/>
  <c r="I53" i="1"/>
  <c r="I47" i="1"/>
  <c r="I46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5" i="1"/>
  <c r="C61" i="1" s="1"/>
  <c r="A61" i="1"/>
  <c r="A62" i="1" s="1"/>
  <c r="B61" i="1"/>
  <c r="B62" i="1" s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5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8" i="1"/>
  <c r="C100" i="1" l="1"/>
  <c r="C104" i="1"/>
  <c r="C103" i="1"/>
  <c r="C102" i="1"/>
</calcChain>
</file>

<file path=xl/sharedStrings.xml><?xml version="1.0" encoding="utf-8"?>
<sst xmlns="http://schemas.openxmlformats.org/spreadsheetml/2006/main" count="90" uniqueCount="73">
  <si>
    <t>Exercice 1</t>
  </si>
  <si>
    <t>Trimestre
Année</t>
  </si>
  <si>
    <t>N</t>
  </si>
  <si>
    <t>N+1</t>
  </si>
  <si>
    <t>N+2</t>
  </si>
  <si>
    <t>N+3</t>
  </si>
  <si>
    <t>N+4</t>
  </si>
  <si>
    <t>Annexe</t>
  </si>
  <si>
    <t>On remarque des effets de saisonalité, avec les revenus qui vaissent au 3ième trimestre et repartent au 4ième. La tendance d'une année à l'autre est croissante.</t>
  </si>
  <si>
    <t>1. (faire un graphe avec les trimestre en abscisse et les revenus en ordonnée)</t>
  </si>
  <si>
    <t xml:space="preserve">2. </t>
  </si>
  <si>
    <t>Rang (xi)</t>
  </si>
  <si>
    <t>Ventes (yi)</t>
  </si>
  <si>
    <t>M Mobiles (MMI)</t>
  </si>
  <si>
    <t>Tendance (y'i)</t>
  </si>
  <si>
    <t>Coef saisonnier
(CS = yi/y'i)</t>
  </si>
  <si>
    <t>4.</t>
  </si>
  <si>
    <t>xi</t>
  </si>
  <si>
    <t>n = le nombre d'observations = 16</t>
  </si>
  <si>
    <t>x = temps</t>
  </si>
  <si>
    <t>y = CA</t>
  </si>
  <si>
    <t>yi</t>
  </si>
  <si>
    <t>Xi * Yi</t>
  </si>
  <si>
    <t>(J'écris "x barre" "x_" pour faciliter la notation)</t>
  </si>
  <si>
    <t>xi²</t>
  </si>
  <si>
    <t>n =</t>
  </si>
  <si>
    <t>nx_y_ =</t>
  </si>
  <si>
    <t>On prend la seconde équation pour calculer a</t>
  </si>
  <si>
    <t>Ligne haut</t>
  </si>
  <si>
    <t>Ligne bas</t>
  </si>
  <si>
    <t>a</t>
  </si>
  <si>
    <t>(nx_)^2 =</t>
  </si>
  <si>
    <t>b</t>
  </si>
  <si>
    <t>donc y = 2,432x + 101,839</t>
  </si>
  <si>
    <t>5.</t>
  </si>
  <si>
    <t>On reprend le tableau de la question 2 et on rempli la tendance grâce à notre droite d'ajustement précédemment calculée</t>
  </si>
  <si>
    <t>Coef saisonnier moyen</t>
  </si>
  <si>
    <t>1ier trimestre</t>
  </si>
  <si>
    <t>2nd trimestre</t>
  </si>
  <si>
    <t>4e trimestre</t>
  </si>
  <si>
    <t>Total</t>
  </si>
  <si>
    <t>3e trimestre</t>
  </si>
  <si>
    <t>Prévisions N+5</t>
  </si>
  <si>
    <t>Droite de la tendance : y' = 2,432x + 101,839</t>
  </si>
  <si>
    <t>Rang 1 : y'1 = 2,432 * 1) + 101,839 = 104,272</t>
  </si>
  <si>
    <t>Rang 2 : y'2 = 2,432 * 2) + 101,839 = 106,704</t>
  </si>
  <si>
    <t>6.</t>
  </si>
  <si>
    <t>Exercice 2</t>
  </si>
  <si>
    <t>Exercice N-i</t>
  </si>
  <si>
    <t>Ventes (CA en k€)</t>
  </si>
  <si>
    <t>Nb commerc.</t>
  </si>
  <si>
    <t>1.</t>
  </si>
  <si>
    <t>xi-x_</t>
  </si>
  <si>
    <t>Xi est la variable indépendante et yi la variable dépendante.</t>
  </si>
  <si>
    <t>yi-y_</t>
  </si>
  <si>
    <t>Xi*Yi</t>
  </si>
  <si>
    <t>(xi-x_)^2</t>
  </si>
  <si>
    <t>(yi-y_)^2</t>
  </si>
  <si>
    <t>On prend l'équation de r</t>
  </si>
  <si>
    <t>partie haute</t>
  </si>
  <si>
    <t>partie basse</t>
  </si>
  <si>
    <t>r</t>
  </si>
  <si>
    <t>xi yi</t>
  </si>
  <si>
    <t>yi²</t>
  </si>
  <si>
    <t>XiYi</t>
  </si>
  <si>
    <t>Xi2</t>
  </si>
  <si>
    <t>Yi2</t>
  </si>
  <si>
    <t>Xi</t>
  </si>
  <si>
    <t>Yi</t>
  </si>
  <si>
    <t>?</t>
  </si>
  <si>
    <t>5. Pas pour un nouveau produit, à moins qu'il soit très similaire au produit étudié.</t>
  </si>
  <si>
    <t>Chiffres faux, voir photos</t>
  </si>
  <si>
    <t>Je n'ai pas réussi à prendre la fin de la correction. Je corrigerai ça plus tard.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</si>
</sst>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0" fontId="0" fillId="2" borderId="2" xfId="0" applyFill="1" applyBorder="1"/>
    <xf numFmtId="164" fontId="0" fillId="0" borderId="9" xfId="0" applyNumberFormat="1" applyBorder="1"/>
    <xf numFmtId="0" fontId="0" fillId="0" borderId="2" xfId="0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Valeurs</a:t>
            </a:r>
            <a:r>
              <a:rPr lang="fr-FR" baseline="0"/>
              <a:t> trimestrielles</a:t>
            </a:r>
            <a:r>
              <a:rPr lang="fr-FR"/>
              <a:t> (q1)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Feuil1!$B$16:$B$35</c:f>
              <c:numCache>
                <c:formatCode>General</c:formatCode>
                <c:ptCount val="20"/>
                <c:pt idx="0">
                  <c:v>110</c:v>
                </c:pt>
                <c:pt idx="1">
                  <c:v>90</c:v>
                </c:pt>
                <c:pt idx="2">
                  <c:v>75</c:v>
                </c:pt>
                <c:pt idx="3">
                  <c:v>150</c:v>
                </c:pt>
                <c:pt idx="4">
                  <c:v>130</c:v>
                </c:pt>
                <c:pt idx="5">
                  <c:v>100</c:v>
                </c:pt>
                <c:pt idx="6">
                  <c:v>70</c:v>
                </c:pt>
                <c:pt idx="7">
                  <c:v>180</c:v>
                </c:pt>
                <c:pt idx="8">
                  <c:v>133</c:v>
                </c:pt>
                <c:pt idx="9">
                  <c:v>104</c:v>
                </c:pt>
                <c:pt idx="10">
                  <c:v>90</c:v>
                </c:pt>
                <c:pt idx="11">
                  <c:v>171</c:v>
                </c:pt>
                <c:pt idx="12">
                  <c:v>150</c:v>
                </c:pt>
                <c:pt idx="13">
                  <c:v>115</c:v>
                </c:pt>
                <c:pt idx="14">
                  <c:v>100</c:v>
                </c:pt>
                <c:pt idx="15">
                  <c:v>200</c:v>
                </c:pt>
                <c:pt idx="16">
                  <c:v>145</c:v>
                </c:pt>
                <c:pt idx="17">
                  <c:v>120</c:v>
                </c:pt>
                <c:pt idx="18">
                  <c:v>105</c:v>
                </c:pt>
                <c:pt idx="1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1-4247-86F8-A147AEB3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326464"/>
        <c:axId val="409851536"/>
      </c:lineChart>
      <c:catAx>
        <c:axId val="2323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851536"/>
        <c:crosses val="autoZero"/>
        <c:auto val="1"/>
        <c:lblAlgn val="ctr"/>
        <c:lblOffset val="100"/>
        <c:noMultiLvlLbl val="0"/>
      </c:catAx>
      <c:valAx>
        <c:axId val="4098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3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Ventes (q3)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Feuil1!$B$16:$B$35</c:f>
              <c:numCache>
                <c:formatCode>General</c:formatCode>
                <c:ptCount val="20"/>
                <c:pt idx="0">
                  <c:v>110</c:v>
                </c:pt>
                <c:pt idx="1">
                  <c:v>90</c:v>
                </c:pt>
                <c:pt idx="2">
                  <c:v>75</c:v>
                </c:pt>
                <c:pt idx="3">
                  <c:v>150</c:v>
                </c:pt>
                <c:pt idx="4">
                  <c:v>130</c:v>
                </c:pt>
                <c:pt idx="5">
                  <c:v>100</c:v>
                </c:pt>
                <c:pt idx="6">
                  <c:v>70</c:v>
                </c:pt>
                <c:pt idx="7">
                  <c:v>180</c:v>
                </c:pt>
                <c:pt idx="8">
                  <c:v>133</c:v>
                </c:pt>
                <c:pt idx="9">
                  <c:v>104</c:v>
                </c:pt>
                <c:pt idx="10">
                  <c:v>90</c:v>
                </c:pt>
                <c:pt idx="11">
                  <c:v>171</c:v>
                </c:pt>
                <c:pt idx="12">
                  <c:v>150</c:v>
                </c:pt>
                <c:pt idx="13">
                  <c:v>115</c:v>
                </c:pt>
                <c:pt idx="14">
                  <c:v>100</c:v>
                </c:pt>
                <c:pt idx="15">
                  <c:v>200</c:v>
                </c:pt>
                <c:pt idx="16">
                  <c:v>145</c:v>
                </c:pt>
                <c:pt idx="17">
                  <c:v>120</c:v>
                </c:pt>
                <c:pt idx="18">
                  <c:v>105</c:v>
                </c:pt>
                <c:pt idx="1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1-477B-93DE-A83272CD2E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Feuil1!$C$16:$C$35</c:f>
              <c:numCache>
                <c:formatCode>General</c:formatCode>
                <c:ptCount val="20"/>
                <c:pt idx="2">
                  <c:v>108.75</c:v>
                </c:pt>
                <c:pt idx="3">
                  <c:v>112.5</c:v>
                </c:pt>
                <c:pt idx="4">
                  <c:v>113.125</c:v>
                </c:pt>
                <c:pt idx="5">
                  <c:v>116.25</c:v>
                </c:pt>
                <c:pt idx="6">
                  <c:v>120.375</c:v>
                </c:pt>
                <c:pt idx="7">
                  <c:v>121.25</c:v>
                </c:pt>
                <c:pt idx="8">
                  <c:v>124.25</c:v>
                </c:pt>
                <c:pt idx="9">
                  <c:v>125.625</c:v>
                </c:pt>
                <c:pt idx="10">
                  <c:v>126.625</c:v>
                </c:pt>
                <c:pt idx="11">
                  <c:v>130.125</c:v>
                </c:pt>
                <c:pt idx="12">
                  <c:v>132.75</c:v>
                </c:pt>
                <c:pt idx="13">
                  <c:v>137.625</c:v>
                </c:pt>
                <c:pt idx="14">
                  <c:v>140.625</c:v>
                </c:pt>
                <c:pt idx="15">
                  <c:v>140.625</c:v>
                </c:pt>
                <c:pt idx="16">
                  <c:v>141.875</c:v>
                </c:pt>
                <c:pt idx="17">
                  <c:v>145.625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1-477B-93DE-A83272CD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551632"/>
        <c:axId val="261169616"/>
      </c:lineChart>
      <c:catAx>
        <c:axId val="4075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169616"/>
        <c:crosses val="autoZero"/>
        <c:auto val="1"/>
        <c:lblAlgn val="ctr"/>
        <c:lblOffset val="100"/>
        <c:noMultiLvlLbl val="0"/>
      </c:catAx>
      <c:valAx>
        <c:axId val="2611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5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10</xdr:row>
      <xdr:rowOff>79375</xdr:rowOff>
    </xdr:from>
    <xdr:to>
      <xdr:col>12</xdr:col>
      <xdr:colOff>352425</xdr:colOff>
      <xdr:row>23</xdr:row>
      <xdr:rowOff>60325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1FEC02-E373-4A40-9FE5-C2EEC7CB7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339725</xdr:colOff>
      <xdr:row>23</xdr:row>
      <xdr:rowOff>123825</xdr:rowOff>
    </xdr:from>
    <xdr:to>
      <xdr:col>12</xdr:col>
      <xdr:colOff>339725</xdr:colOff>
      <xdr:row>38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CBAFD02-0F0D-77C9-AFA2-A7F0540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ACBE-41B4-4F0D-BDDD-8C9E237DAFD9}">
  <dimension ref="A1:V114"/>
  <sheetViews>
    <sheetView tabSelected="1" topLeftCell="A93" workbookViewId="0">
      <selection activeCell="A112" sqref="A112"/>
    </sheetView>
  </sheetViews>
  <sheetFormatPr baseColWidth="10" defaultRowHeight="14.5" x14ac:dyDescent="0.35"/>
  <cols>
    <col min="3" max="3" width="13.90625" bestFit="1" customWidth="1"/>
    <col min="4" max="4" width="12" bestFit="1" customWidth="1"/>
    <col min="7" max="7" width="12.81640625" customWidth="1"/>
    <col min="9" max="9" width="14.36328125" bestFit="1" customWidth="1"/>
  </cols>
  <sheetData>
    <row r="1" spans="1:5" x14ac:dyDescent="0.35">
      <c r="A1" s="3" t="s">
        <v>0</v>
      </c>
    </row>
    <row r="2" spans="1:5" x14ac:dyDescent="0.35">
      <c r="A2" s="9" t="s">
        <v>7</v>
      </c>
      <c r="B2" s="9"/>
      <c r="C2" s="9"/>
      <c r="D2" s="9"/>
      <c r="E2" s="9"/>
    </row>
    <row r="3" spans="1:5" ht="29" x14ac:dyDescent="0.35">
      <c r="A3" s="1" t="s">
        <v>1</v>
      </c>
      <c r="B3" s="2">
        <v>1</v>
      </c>
      <c r="C3" s="2">
        <v>2</v>
      </c>
      <c r="D3" s="2">
        <v>3</v>
      </c>
      <c r="E3" s="2">
        <v>4</v>
      </c>
    </row>
    <row r="4" spans="1:5" x14ac:dyDescent="0.35">
      <c r="A4" s="2" t="s">
        <v>2</v>
      </c>
      <c r="B4" s="2">
        <v>110</v>
      </c>
      <c r="C4" s="2">
        <v>90</v>
      </c>
      <c r="D4" s="2">
        <v>75</v>
      </c>
      <c r="E4" s="2">
        <v>150</v>
      </c>
    </row>
    <row r="5" spans="1:5" x14ac:dyDescent="0.35">
      <c r="A5" s="2" t="s">
        <v>3</v>
      </c>
      <c r="B5" s="2">
        <v>130</v>
      </c>
      <c r="C5" s="2">
        <v>100</v>
      </c>
      <c r="D5" s="2">
        <v>70</v>
      </c>
      <c r="E5" s="2">
        <v>180</v>
      </c>
    </row>
    <row r="6" spans="1:5" x14ac:dyDescent="0.35">
      <c r="A6" s="2" t="s">
        <v>4</v>
      </c>
      <c r="B6" s="2">
        <v>133</v>
      </c>
      <c r="C6" s="2">
        <v>104</v>
      </c>
      <c r="D6" s="2">
        <v>90</v>
      </c>
      <c r="E6" s="2">
        <v>171</v>
      </c>
    </row>
    <row r="7" spans="1:5" x14ac:dyDescent="0.35">
      <c r="A7" s="2" t="s">
        <v>5</v>
      </c>
      <c r="B7" s="2">
        <v>150</v>
      </c>
      <c r="C7" s="2">
        <v>115</v>
      </c>
      <c r="D7" s="2">
        <v>100</v>
      </c>
      <c r="E7" s="2">
        <v>200</v>
      </c>
    </row>
    <row r="8" spans="1:5" x14ac:dyDescent="0.35">
      <c r="A8" s="2" t="s">
        <v>6</v>
      </c>
      <c r="B8" s="2">
        <v>145</v>
      </c>
      <c r="C8" s="2">
        <v>120</v>
      </c>
      <c r="D8" s="2">
        <v>105</v>
      </c>
      <c r="E8" s="2">
        <v>225</v>
      </c>
    </row>
    <row r="10" spans="1:5" x14ac:dyDescent="0.35">
      <c r="A10" t="s">
        <v>8</v>
      </c>
    </row>
    <row r="12" spans="1:5" x14ac:dyDescent="0.35">
      <c r="A12" t="s">
        <v>9</v>
      </c>
    </row>
    <row r="14" spans="1:5" x14ac:dyDescent="0.35">
      <c r="A14" t="s">
        <v>10</v>
      </c>
    </row>
    <row r="15" spans="1:5" ht="43.5" x14ac:dyDescent="0.35">
      <c r="A15" s="4" t="s">
        <v>11</v>
      </c>
      <c r="B15" s="4" t="s">
        <v>12</v>
      </c>
      <c r="C15" s="4" t="s">
        <v>13</v>
      </c>
      <c r="D15" s="4" t="s">
        <v>14</v>
      </c>
      <c r="E15" s="5" t="s">
        <v>15</v>
      </c>
    </row>
    <row r="16" spans="1:5" x14ac:dyDescent="0.35">
      <c r="A16">
        <v>1</v>
      </c>
      <c r="B16">
        <v>110</v>
      </c>
      <c r="C16" s="6"/>
    </row>
    <row r="17" spans="1:3" x14ac:dyDescent="0.35">
      <c r="A17">
        <v>2</v>
      </c>
      <c r="B17">
        <v>90</v>
      </c>
      <c r="C17" s="6"/>
    </row>
    <row r="18" spans="1:3" x14ac:dyDescent="0.35">
      <c r="A18">
        <v>3</v>
      </c>
      <c r="B18">
        <v>75</v>
      </c>
      <c r="C18">
        <f>1/4*(1/2*B16+B17+B18+B19+1/2*B20)</f>
        <v>108.75</v>
      </c>
    </row>
    <row r="19" spans="1:3" x14ac:dyDescent="0.35">
      <c r="A19">
        <v>4</v>
      </c>
      <c r="B19">
        <v>150</v>
      </c>
      <c r="C19">
        <f t="shared" ref="C19:C33" si="0">1/4*(1/2*B17+B18+B19+B20+1/2*B21)</f>
        <v>112.5</v>
      </c>
    </row>
    <row r="20" spans="1:3" x14ac:dyDescent="0.35">
      <c r="A20">
        <v>5</v>
      </c>
      <c r="B20">
        <v>130</v>
      </c>
      <c r="C20">
        <f t="shared" si="0"/>
        <v>113.125</v>
      </c>
    </row>
    <row r="21" spans="1:3" x14ac:dyDescent="0.35">
      <c r="A21">
        <v>6</v>
      </c>
      <c r="B21">
        <v>100</v>
      </c>
      <c r="C21">
        <f t="shared" si="0"/>
        <v>116.25</v>
      </c>
    </row>
    <row r="22" spans="1:3" x14ac:dyDescent="0.35">
      <c r="A22">
        <v>7</v>
      </c>
      <c r="B22">
        <v>70</v>
      </c>
      <c r="C22">
        <f t="shared" si="0"/>
        <v>120.375</v>
      </c>
    </row>
    <row r="23" spans="1:3" x14ac:dyDescent="0.35">
      <c r="A23">
        <v>8</v>
      </c>
      <c r="B23">
        <v>180</v>
      </c>
      <c r="C23">
        <f t="shared" si="0"/>
        <v>121.25</v>
      </c>
    </row>
    <row r="24" spans="1:3" x14ac:dyDescent="0.35">
      <c r="A24">
        <v>9</v>
      </c>
      <c r="B24">
        <v>133</v>
      </c>
      <c r="C24">
        <f t="shared" si="0"/>
        <v>124.25</v>
      </c>
    </row>
    <row r="25" spans="1:3" x14ac:dyDescent="0.35">
      <c r="A25">
        <v>10</v>
      </c>
      <c r="B25">
        <v>104</v>
      </c>
      <c r="C25">
        <f t="shared" si="0"/>
        <v>125.625</v>
      </c>
    </row>
    <row r="26" spans="1:3" x14ac:dyDescent="0.35">
      <c r="A26">
        <v>11</v>
      </c>
      <c r="B26">
        <v>90</v>
      </c>
      <c r="C26">
        <f t="shared" si="0"/>
        <v>126.625</v>
      </c>
    </row>
    <row r="27" spans="1:3" x14ac:dyDescent="0.35">
      <c r="A27">
        <v>12</v>
      </c>
      <c r="B27">
        <v>171</v>
      </c>
      <c r="C27">
        <f t="shared" si="0"/>
        <v>130.125</v>
      </c>
    </row>
    <row r="28" spans="1:3" x14ac:dyDescent="0.35">
      <c r="A28">
        <v>13</v>
      </c>
      <c r="B28">
        <v>150</v>
      </c>
      <c r="C28">
        <f t="shared" si="0"/>
        <v>132.75</v>
      </c>
    </row>
    <row r="29" spans="1:3" x14ac:dyDescent="0.35">
      <c r="A29">
        <v>14</v>
      </c>
      <c r="B29">
        <v>115</v>
      </c>
      <c r="C29">
        <f t="shared" si="0"/>
        <v>137.625</v>
      </c>
    </row>
    <row r="30" spans="1:3" x14ac:dyDescent="0.35">
      <c r="A30">
        <v>15</v>
      </c>
      <c r="B30">
        <v>100</v>
      </c>
      <c r="C30">
        <f t="shared" si="0"/>
        <v>140.625</v>
      </c>
    </row>
    <row r="31" spans="1:3" x14ac:dyDescent="0.35">
      <c r="A31">
        <v>16</v>
      </c>
      <c r="B31">
        <v>200</v>
      </c>
      <c r="C31">
        <f t="shared" si="0"/>
        <v>140.625</v>
      </c>
    </row>
    <row r="32" spans="1:3" x14ac:dyDescent="0.35">
      <c r="A32">
        <v>17</v>
      </c>
      <c r="B32">
        <v>145</v>
      </c>
      <c r="C32">
        <f t="shared" si="0"/>
        <v>141.875</v>
      </c>
    </row>
    <row r="33" spans="1:9" x14ac:dyDescent="0.35">
      <c r="A33">
        <v>18</v>
      </c>
      <c r="B33">
        <v>120</v>
      </c>
      <c r="C33">
        <f t="shared" si="0"/>
        <v>145.625</v>
      </c>
    </row>
    <row r="34" spans="1:9" x14ac:dyDescent="0.35">
      <c r="A34">
        <v>19</v>
      </c>
      <c r="B34">
        <v>105</v>
      </c>
      <c r="C34" s="6"/>
    </row>
    <row r="35" spans="1:9" x14ac:dyDescent="0.35">
      <c r="A35">
        <v>20</v>
      </c>
      <c r="B35">
        <v>225</v>
      </c>
      <c r="C35" s="6"/>
    </row>
    <row r="40" spans="1:9" x14ac:dyDescent="0.35">
      <c r="A40" t="s">
        <v>16</v>
      </c>
      <c r="B40" t="s">
        <v>18</v>
      </c>
    </row>
    <row r="41" spans="1:9" x14ac:dyDescent="0.35">
      <c r="B41" t="s">
        <v>19</v>
      </c>
      <c r="F41" t="s">
        <v>23</v>
      </c>
    </row>
    <row r="42" spans="1:9" x14ac:dyDescent="0.35">
      <c r="B42" t="s">
        <v>20</v>
      </c>
    </row>
    <row r="44" spans="1:9" x14ac:dyDescent="0.35">
      <c r="A44" t="s">
        <v>17</v>
      </c>
      <c r="B44" t="s">
        <v>21</v>
      </c>
      <c r="C44" t="s">
        <v>22</v>
      </c>
      <c r="D44" t="s">
        <v>24</v>
      </c>
    </row>
    <row r="45" spans="1:9" x14ac:dyDescent="0.35">
      <c r="A45">
        <v>3</v>
      </c>
      <c r="B45">
        <f t="shared" ref="B45:B60" si="1">C18</f>
        <v>108.75</v>
      </c>
      <c r="C45">
        <f t="shared" ref="C45:C60" si="2">A45*B45</f>
        <v>326.25</v>
      </c>
      <c r="D45">
        <f>A45^2</f>
        <v>9</v>
      </c>
      <c r="H45" t="s">
        <v>25</v>
      </c>
      <c r="I45">
        <v>16</v>
      </c>
    </row>
    <row r="46" spans="1:9" x14ac:dyDescent="0.35">
      <c r="A46">
        <v>4</v>
      </c>
      <c r="B46">
        <f t="shared" si="1"/>
        <v>112.5</v>
      </c>
      <c r="C46">
        <f t="shared" si="2"/>
        <v>450</v>
      </c>
      <c r="D46">
        <f t="shared" ref="D46:D60" si="3">A46^2</f>
        <v>16</v>
      </c>
      <c r="H46" t="s">
        <v>26</v>
      </c>
      <c r="I46">
        <f>I45*A62*B62</f>
        <v>21399</v>
      </c>
    </row>
    <row r="47" spans="1:9" x14ac:dyDescent="0.35">
      <c r="A47">
        <v>5</v>
      </c>
      <c r="B47">
        <f t="shared" si="1"/>
        <v>113.125</v>
      </c>
      <c r="C47">
        <f t="shared" si="2"/>
        <v>565.625</v>
      </c>
      <c r="D47">
        <f t="shared" si="3"/>
        <v>25</v>
      </c>
      <c r="H47" t="s">
        <v>31</v>
      </c>
      <c r="I47">
        <f>I45*A62^2</f>
        <v>1764</v>
      </c>
    </row>
    <row r="48" spans="1:9" x14ac:dyDescent="0.35">
      <c r="A48">
        <v>6</v>
      </c>
      <c r="B48">
        <f t="shared" si="1"/>
        <v>116.25</v>
      </c>
      <c r="C48">
        <f t="shared" si="2"/>
        <v>697.5</v>
      </c>
      <c r="D48">
        <f t="shared" si="3"/>
        <v>36</v>
      </c>
    </row>
    <row r="49" spans="1:9" x14ac:dyDescent="0.35">
      <c r="A49">
        <v>7</v>
      </c>
      <c r="B49">
        <f t="shared" si="1"/>
        <v>120.375</v>
      </c>
      <c r="C49">
        <f t="shared" si="2"/>
        <v>842.625</v>
      </c>
      <c r="D49">
        <f t="shared" si="3"/>
        <v>49</v>
      </c>
    </row>
    <row r="50" spans="1:9" x14ac:dyDescent="0.35">
      <c r="A50">
        <v>8</v>
      </c>
      <c r="B50">
        <f t="shared" si="1"/>
        <v>121.25</v>
      </c>
      <c r="C50">
        <f t="shared" si="2"/>
        <v>970</v>
      </c>
      <c r="D50">
        <f t="shared" si="3"/>
        <v>64</v>
      </c>
    </row>
    <row r="51" spans="1:9" x14ac:dyDescent="0.35">
      <c r="A51">
        <v>9</v>
      </c>
      <c r="B51">
        <f t="shared" si="1"/>
        <v>124.25</v>
      </c>
      <c r="C51">
        <f t="shared" si="2"/>
        <v>1118.25</v>
      </c>
      <c r="D51">
        <f t="shared" si="3"/>
        <v>81</v>
      </c>
      <c r="H51" t="s">
        <v>27</v>
      </c>
    </row>
    <row r="52" spans="1:9" x14ac:dyDescent="0.35">
      <c r="A52">
        <v>10</v>
      </c>
      <c r="B52">
        <f t="shared" si="1"/>
        <v>125.625</v>
      </c>
      <c r="C52">
        <f t="shared" si="2"/>
        <v>1256.25</v>
      </c>
      <c r="D52">
        <f t="shared" si="3"/>
        <v>100</v>
      </c>
    </row>
    <row r="53" spans="1:9" x14ac:dyDescent="0.35">
      <c r="A53">
        <v>11</v>
      </c>
      <c r="B53">
        <f t="shared" si="1"/>
        <v>126.625</v>
      </c>
      <c r="C53">
        <f t="shared" si="2"/>
        <v>1392.875</v>
      </c>
      <c r="D53">
        <f t="shared" si="3"/>
        <v>121</v>
      </c>
      <c r="H53" t="s">
        <v>28</v>
      </c>
      <c r="I53">
        <f>C61-I46</f>
        <v>826.875</v>
      </c>
    </row>
    <row r="54" spans="1:9" x14ac:dyDescent="0.35">
      <c r="A54">
        <v>12</v>
      </c>
      <c r="B54">
        <f t="shared" si="1"/>
        <v>130.125</v>
      </c>
      <c r="C54">
        <f t="shared" si="2"/>
        <v>1561.5</v>
      </c>
      <c r="D54">
        <f t="shared" si="3"/>
        <v>144</v>
      </c>
      <c r="H54" t="s">
        <v>29</v>
      </c>
      <c r="I54">
        <f>D61-I47</f>
        <v>340</v>
      </c>
    </row>
    <row r="55" spans="1:9" x14ac:dyDescent="0.35">
      <c r="A55">
        <v>13</v>
      </c>
      <c r="B55">
        <f t="shared" si="1"/>
        <v>132.75</v>
      </c>
      <c r="C55">
        <f t="shared" si="2"/>
        <v>1725.75</v>
      </c>
      <c r="D55">
        <f t="shared" si="3"/>
        <v>169</v>
      </c>
      <c r="H55" t="s">
        <v>30</v>
      </c>
      <c r="I55" s="8">
        <f>I53/I54</f>
        <v>2.4319852941176472</v>
      </c>
    </row>
    <row r="56" spans="1:9" x14ac:dyDescent="0.35">
      <c r="A56">
        <v>14</v>
      </c>
      <c r="B56">
        <f t="shared" si="1"/>
        <v>137.625</v>
      </c>
      <c r="C56">
        <f t="shared" si="2"/>
        <v>1926.75</v>
      </c>
      <c r="D56">
        <f t="shared" si="3"/>
        <v>196</v>
      </c>
    </row>
    <row r="57" spans="1:9" x14ac:dyDescent="0.35">
      <c r="A57">
        <v>15</v>
      </c>
      <c r="B57">
        <f t="shared" si="1"/>
        <v>140.625</v>
      </c>
      <c r="C57">
        <f t="shared" si="2"/>
        <v>2109.375</v>
      </c>
      <c r="D57">
        <f t="shared" si="3"/>
        <v>225</v>
      </c>
      <c r="H57" t="s">
        <v>32</v>
      </c>
      <c r="I57" s="8">
        <f>B62-I55*A62</f>
        <v>101.8391544117647</v>
      </c>
    </row>
    <row r="58" spans="1:9" x14ac:dyDescent="0.35">
      <c r="A58">
        <v>16</v>
      </c>
      <c r="B58">
        <f t="shared" si="1"/>
        <v>140.625</v>
      </c>
      <c r="C58">
        <f t="shared" si="2"/>
        <v>2250</v>
      </c>
      <c r="D58">
        <f t="shared" si="3"/>
        <v>256</v>
      </c>
    </row>
    <row r="59" spans="1:9" x14ac:dyDescent="0.35">
      <c r="A59">
        <v>17</v>
      </c>
      <c r="B59">
        <f t="shared" si="1"/>
        <v>141.875</v>
      </c>
      <c r="C59">
        <f t="shared" si="2"/>
        <v>2411.875</v>
      </c>
      <c r="D59">
        <f t="shared" si="3"/>
        <v>289</v>
      </c>
      <c r="H59" t="s">
        <v>33</v>
      </c>
    </row>
    <row r="60" spans="1:9" x14ac:dyDescent="0.35">
      <c r="A60">
        <v>18</v>
      </c>
      <c r="B60">
        <f t="shared" si="1"/>
        <v>145.625</v>
      </c>
      <c r="C60">
        <f t="shared" si="2"/>
        <v>2621.25</v>
      </c>
      <c r="D60">
        <f t="shared" si="3"/>
        <v>324</v>
      </c>
    </row>
    <row r="61" spans="1:9" x14ac:dyDescent="0.35">
      <c r="A61" s="7">
        <f>SUM(A45:A60)</f>
        <v>168</v>
      </c>
      <c r="B61" s="7">
        <f>SUM(B45:B60)</f>
        <v>2038</v>
      </c>
      <c r="C61" s="7">
        <f>SUM(C45:C60)</f>
        <v>22225.875</v>
      </c>
      <c r="D61" s="7">
        <f>SUM(D45:D60)</f>
        <v>2104</v>
      </c>
    </row>
    <row r="62" spans="1:9" x14ac:dyDescent="0.35">
      <c r="A62">
        <f>A61/16</f>
        <v>10.5</v>
      </c>
      <c r="B62">
        <f>B61/16</f>
        <v>127.375</v>
      </c>
    </row>
    <row r="66" spans="1:11" x14ac:dyDescent="0.35">
      <c r="A66" t="s">
        <v>34</v>
      </c>
    </row>
    <row r="67" spans="1:11" x14ac:dyDescent="0.35">
      <c r="A67" t="s">
        <v>35</v>
      </c>
    </row>
    <row r="68" spans="1:11" ht="43.5" x14ac:dyDescent="0.35">
      <c r="A68" s="10" t="s">
        <v>11</v>
      </c>
      <c r="B68" s="11" t="s">
        <v>12</v>
      </c>
      <c r="C68" s="11" t="s">
        <v>13</v>
      </c>
      <c r="D68" s="11" t="s">
        <v>14</v>
      </c>
      <c r="E68" s="12" t="s">
        <v>15</v>
      </c>
    </row>
    <row r="69" spans="1:11" x14ac:dyDescent="0.35">
      <c r="A69" s="13">
        <v>1</v>
      </c>
      <c r="B69" s="14">
        <v>110</v>
      </c>
      <c r="C69" s="15"/>
      <c r="D69" s="16">
        <f>$I$55*A69+$I$57</f>
        <v>104.27113970588235</v>
      </c>
      <c r="E69" s="17">
        <f>B69/D69</f>
        <v>1.0549419552742691</v>
      </c>
      <c r="G69" s="22" t="s">
        <v>36</v>
      </c>
      <c r="H69" s="22"/>
    </row>
    <row r="70" spans="1:11" x14ac:dyDescent="0.35">
      <c r="A70" s="13">
        <v>2</v>
      </c>
      <c r="B70" s="14">
        <v>90</v>
      </c>
      <c r="C70" s="15"/>
      <c r="D70" s="16">
        <f t="shared" ref="D70:D88" si="4">$I$55*A70+$I$57</f>
        <v>106.70312499999999</v>
      </c>
      <c r="E70" s="17">
        <f t="shared" ref="E70:E88" si="5">B70/D70</f>
        <v>0.84346170742422033</v>
      </c>
      <c r="G70" s="2" t="s">
        <v>37</v>
      </c>
      <c r="H70" s="2">
        <f>(E69+E73+E77+E81+E85)/5</f>
        <v>1.0813829021798678</v>
      </c>
    </row>
    <row r="71" spans="1:11" x14ac:dyDescent="0.35">
      <c r="A71" s="13">
        <v>3</v>
      </c>
      <c r="B71" s="14">
        <v>75</v>
      </c>
      <c r="C71" s="14">
        <f>1/4*(1/2*B69+B70+B71+B72+1/2*B73)</f>
        <v>108.75</v>
      </c>
      <c r="D71" s="16">
        <f t="shared" si="4"/>
        <v>109.13511029411764</v>
      </c>
      <c r="E71" s="17">
        <f t="shared" si="5"/>
        <v>0.68722155315439748</v>
      </c>
      <c r="G71" s="2" t="s">
        <v>38</v>
      </c>
      <c r="H71" s="2">
        <f t="shared" ref="H71:H73" si="6">(E70+E74+E78+E82+E86)/5</f>
        <v>0.8394157601501222</v>
      </c>
    </row>
    <row r="72" spans="1:11" x14ac:dyDescent="0.35">
      <c r="A72" s="13">
        <v>4</v>
      </c>
      <c r="B72" s="14">
        <v>150</v>
      </c>
      <c r="C72" s="14">
        <f t="shared" ref="C72:C86" si="7">1/4*(1/2*B70+B71+B72+B73+1/2*B74)</f>
        <v>112.5</v>
      </c>
      <c r="D72" s="16">
        <f t="shared" si="4"/>
        <v>111.56709558823529</v>
      </c>
      <c r="E72" s="17">
        <f t="shared" si="5"/>
        <v>1.3444824319314579</v>
      </c>
      <c r="G72" s="2" t="s">
        <v>41</v>
      </c>
      <c r="H72" s="2">
        <f t="shared" si="6"/>
        <v>0.68164594719610572</v>
      </c>
    </row>
    <row r="73" spans="1:11" x14ac:dyDescent="0.35">
      <c r="A73" s="13">
        <v>5</v>
      </c>
      <c r="B73" s="14">
        <v>130</v>
      </c>
      <c r="C73" s="14">
        <f t="shared" si="7"/>
        <v>113.125</v>
      </c>
      <c r="D73" s="16">
        <f t="shared" si="4"/>
        <v>113.99908088235293</v>
      </c>
      <c r="E73" s="17">
        <f t="shared" si="5"/>
        <v>1.1403600712725046</v>
      </c>
      <c r="G73" s="2" t="s">
        <v>39</v>
      </c>
      <c r="H73" s="2">
        <f t="shared" si="6"/>
        <v>1.4099516800205023</v>
      </c>
    </row>
    <row r="74" spans="1:11" x14ac:dyDescent="0.35">
      <c r="A74" s="13">
        <v>6</v>
      </c>
      <c r="B74" s="14">
        <v>100</v>
      </c>
      <c r="C74" s="14">
        <f t="shared" si="7"/>
        <v>116.25</v>
      </c>
      <c r="D74" s="16">
        <f t="shared" si="4"/>
        <v>116.43106617647058</v>
      </c>
      <c r="E74" s="17">
        <f t="shared" si="5"/>
        <v>0.85887730211482749</v>
      </c>
      <c r="G74" s="2" t="s">
        <v>40</v>
      </c>
      <c r="H74" s="2">
        <f>SUM(H70:H73)</f>
        <v>4.0123962895465981</v>
      </c>
    </row>
    <row r="75" spans="1:11" x14ac:dyDescent="0.35">
      <c r="A75" s="13">
        <v>7</v>
      </c>
      <c r="B75" s="14">
        <v>70</v>
      </c>
      <c r="C75" s="14">
        <f t="shared" si="7"/>
        <v>120.375</v>
      </c>
      <c r="D75" s="16">
        <f t="shared" si="4"/>
        <v>118.86305147058823</v>
      </c>
      <c r="E75" s="17">
        <f t="shared" si="5"/>
        <v>0.5889130317112965</v>
      </c>
      <c r="K75" t="s">
        <v>43</v>
      </c>
    </row>
    <row r="76" spans="1:11" x14ac:dyDescent="0.35">
      <c r="A76" s="13">
        <v>8</v>
      </c>
      <c r="B76" s="14">
        <v>180</v>
      </c>
      <c r="C76" s="14">
        <f t="shared" si="7"/>
        <v>121.25</v>
      </c>
      <c r="D76" s="16">
        <f t="shared" si="4"/>
        <v>121.29503676470587</v>
      </c>
      <c r="E76" s="17">
        <f t="shared" si="5"/>
        <v>1.4839848752358511</v>
      </c>
      <c r="G76" t="s">
        <v>46</v>
      </c>
      <c r="K76" t="s">
        <v>44</v>
      </c>
    </row>
    <row r="77" spans="1:11" x14ac:dyDescent="0.35">
      <c r="A77" s="13">
        <v>9</v>
      </c>
      <c r="B77" s="14">
        <v>133</v>
      </c>
      <c r="C77" s="14">
        <f t="shared" si="7"/>
        <v>124.25</v>
      </c>
      <c r="D77" s="16">
        <f t="shared" si="4"/>
        <v>123.72702205882352</v>
      </c>
      <c r="E77" s="17">
        <f t="shared" si="5"/>
        <v>1.0749470712773466</v>
      </c>
      <c r="G77" s="22" t="s">
        <v>42</v>
      </c>
      <c r="H77" s="22"/>
      <c r="I77" s="22"/>
      <c r="K77" t="s">
        <v>45</v>
      </c>
    </row>
    <row r="78" spans="1:11" x14ac:dyDescent="0.35">
      <c r="A78" s="13">
        <v>10</v>
      </c>
      <c r="B78" s="14">
        <v>104</v>
      </c>
      <c r="C78" s="14">
        <f t="shared" si="7"/>
        <v>125.625</v>
      </c>
      <c r="D78" s="16">
        <f t="shared" si="4"/>
        <v>126.15900735294116</v>
      </c>
      <c r="E78" s="17">
        <f t="shared" si="5"/>
        <v>0.82435651787470599</v>
      </c>
      <c r="G78" s="2" t="s">
        <v>37</v>
      </c>
      <c r="H78" s="2">
        <f>A88+1</f>
        <v>21</v>
      </c>
      <c r="I78" s="2">
        <f>($I$55*H78+$I$57)*H70</f>
        <v>165.35517397698354</v>
      </c>
    </row>
    <row r="79" spans="1:11" x14ac:dyDescent="0.35">
      <c r="A79" s="13">
        <v>11</v>
      </c>
      <c r="B79" s="14">
        <v>90</v>
      </c>
      <c r="C79" s="14">
        <f t="shared" si="7"/>
        <v>126.625</v>
      </c>
      <c r="D79" s="16">
        <f t="shared" si="4"/>
        <v>128.59099264705881</v>
      </c>
      <c r="E79" s="17">
        <f t="shared" si="5"/>
        <v>0.69989350068259637</v>
      </c>
      <c r="G79" s="2" t="s">
        <v>38</v>
      </c>
      <c r="H79" s="2">
        <f>A88+2</f>
        <v>22</v>
      </c>
      <c r="I79" s="2">
        <f>($I$55*H79+$I$57)*H71</f>
        <v>130.39722046898217</v>
      </c>
    </row>
    <row r="80" spans="1:11" x14ac:dyDescent="0.35">
      <c r="A80" s="13">
        <v>12</v>
      </c>
      <c r="B80" s="14">
        <v>171</v>
      </c>
      <c r="C80" s="14">
        <f t="shared" si="7"/>
        <v>130.125</v>
      </c>
      <c r="D80" s="16">
        <f t="shared" si="4"/>
        <v>131.02297794117646</v>
      </c>
      <c r="E80" s="17">
        <f t="shared" si="5"/>
        <v>1.3051145889598956</v>
      </c>
      <c r="G80" s="2" t="s">
        <v>41</v>
      </c>
      <c r="H80" s="2">
        <f>A88+3</f>
        <v>23</v>
      </c>
      <c r="I80" s="2">
        <f>($I$55*H80+$I$57)*H72</f>
        <v>107.54656401630174</v>
      </c>
    </row>
    <row r="81" spans="1:9" x14ac:dyDescent="0.35">
      <c r="A81" s="13">
        <v>13</v>
      </c>
      <c r="B81" s="14">
        <v>150</v>
      </c>
      <c r="C81" s="14">
        <f t="shared" si="7"/>
        <v>132.75</v>
      </c>
      <c r="D81" s="16">
        <f t="shared" si="4"/>
        <v>133.45496323529412</v>
      </c>
      <c r="E81" s="17">
        <f t="shared" si="5"/>
        <v>1.1239746830212329</v>
      </c>
      <c r="G81" s="2" t="s">
        <v>39</v>
      </c>
      <c r="H81" s="2">
        <f>A88+4</f>
        <v>24</v>
      </c>
      <c r="I81" s="2">
        <f>($I$55*H81+$I$57)*H73</f>
        <v>225.88384888416695</v>
      </c>
    </row>
    <row r="82" spans="1:9" x14ac:dyDescent="0.35">
      <c r="A82" s="13">
        <v>14</v>
      </c>
      <c r="B82" s="14">
        <v>115</v>
      </c>
      <c r="C82" s="14">
        <f t="shared" si="7"/>
        <v>137.625</v>
      </c>
      <c r="D82" s="16">
        <f t="shared" si="4"/>
        <v>135.88694852941177</v>
      </c>
      <c r="E82" s="17">
        <f t="shared" si="5"/>
        <v>0.84629172444113765</v>
      </c>
    </row>
    <row r="83" spans="1:9" x14ac:dyDescent="0.35">
      <c r="A83" s="13">
        <v>15</v>
      </c>
      <c r="B83" s="14">
        <v>100</v>
      </c>
      <c r="C83" s="14">
        <f t="shared" si="7"/>
        <v>140.625</v>
      </c>
      <c r="D83" s="16">
        <f t="shared" si="4"/>
        <v>138.31893382352939</v>
      </c>
      <c r="E83" s="17">
        <f t="shared" si="5"/>
        <v>0.72296682193619566</v>
      </c>
    </row>
    <row r="84" spans="1:9" x14ac:dyDescent="0.35">
      <c r="A84" s="13">
        <v>16</v>
      </c>
      <c r="B84" s="14">
        <v>200</v>
      </c>
      <c r="C84" s="14">
        <f t="shared" si="7"/>
        <v>140.625</v>
      </c>
      <c r="D84" s="16">
        <f t="shared" si="4"/>
        <v>140.75091911764704</v>
      </c>
      <c r="E84" s="17">
        <f t="shared" si="5"/>
        <v>1.4209498684184751</v>
      </c>
    </row>
    <row r="85" spans="1:9" x14ac:dyDescent="0.35">
      <c r="A85" s="13">
        <v>17</v>
      </c>
      <c r="B85" s="14">
        <v>145</v>
      </c>
      <c r="C85" s="14">
        <f t="shared" si="7"/>
        <v>141.875</v>
      </c>
      <c r="D85" s="16">
        <f t="shared" si="4"/>
        <v>143.1829044117647</v>
      </c>
      <c r="E85" s="17">
        <f t="shared" si="5"/>
        <v>1.0126907300539854</v>
      </c>
    </row>
    <row r="86" spans="1:9" x14ac:dyDescent="0.35">
      <c r="A86" s="13">
        <v>18</v>
      </c>
      <c r="B86" s="14">
        <v>120</v>
      </c>
      <c r="C86" s="14">
        <f t="shared" si="7"/>
        <v>145.625</v>
      </c>
      <c r="D86" s="16">
        <f t="shared" si="4"/>
        <v>145.61488970588235</v>
      </c>
      <c r="E86" s="17">
        <f t="shared" si="5"/>
        <v>0.82409154889571989</v>
      </c>
    </row>
    <row r="87" spans="1:9" x14ac:dyDescent="0.35">
      <c r="A87" s="13">
        <v>19</v>
      </c>
      <c r="B87" s="14">
        <v>105</v>
      </c>
      <c r="C87" s="15"/>
      <c r="D87" s="16">
        <f t="shared" si="4"/>
        <v>148.046875</v>
      </c>
      <c r="E87" s="17">
        <f t="shared" si="5"/>
        <v>0.70923482849604225</v>
      </c>
    </row>
    <row r="88" spans="1:9" x14ac:dyDescent="0.35">
      <c r="A88" s="18">
        <v>20</v>
      </c>
      <c r="B88" s="19">
        <v>225</v>
      </c>
      <c r="C88" s="20"/>
      <c r="D88" s="16">
        <f t="shared" si="4"/>
        <v>150.47886029411762</v>
      </c>
      <c r="E88" s="21">
        <f t="shared" si="5"/>
        <v>1.4952266355568318</v>
      </c>
    </row>
    <row r="91" spans="1:9" x14ac:dyDescent="0.35">
      <c r="A91" s="3" t="s">
        <v>47</v>
      </c>
    </row>
    <row r="93" spans="1:9" x14ac:dyDescent="0.35">
      <c r="A93" t="s">
        <v>48</v>
      </c>
      <c r="B93">
        <v>5</v>
      </c>
      <c r="C93">
        <v>4</v>
      </c>
      <c r="D93">
        <v>3</v>
      </c>
      <c r="E93">
        <v>2</v>
      </c>
      <c r="F93">
        <v>1</v>
      </c>
    </row>
    <row r="94" spans="1:9" x14ac:dyDescent="0.35">
      <c r="A94" t="s">
        <v>49</v>
      </c>
      <c r="B94">
        <v>1320</v>
      </c>
      <c r="C94">
        <v>1560</v>
      </c>
      <c r="D94">
        <v>1597</v>
      </c>
      <c r="E94">
        <v>1990</v>
      </c>
      <c r="F94">
        <v>2010</v>
      </c>
    </row>
    <row r="95" spans="1:9" x14ac:dyDescent="0.35">
      <c r="A95" t="s">
        <v>50</v>
      </c>
      <c r="B95">
        <v>12</v>
      </c>
      <c r="C95">
        <v>14</v>
      </c>
      <c r="D95">
        <v>15</v>
      </c>
      <c r="E95">
        <v>20</v>
      </c>
      <c r="F95">
        <v>22</v>
      </c>
    </row>
    <row r="97" spans="1:22" x14ac:dyDescent="0.35">
      <c r="A97" t="s">
        <v>51</v>
      </c>
      <c r="B97" t="s">
        <v>53</v>
      </c>
      <c r="V97" t="s">
        <v>69</v>
      </c>
    </row>
    <row r="98" spans="1:22" x14ac:dyDescent="0.35">
      <c r="I98" t="s">
        <v>58</v>
      </c>
      <c r="M98" t="s">
        <v>17</v>
      </c>
      <c r="N98" t="s">
        <v>21</v>
      </c>
      <c r="O98" t="s">
        <v>62</v>
      </c>
      <c r="P98" t="s">
        <v>24</v>
      </c>
      <c r="Q98" t="s">
        <v>63</v>
      </c>
      <c r="R98" t="s">
        <v>67</v>
      </c>
      <c r="S98" t="s">
        <v>68</v>
      </c>
      <c r="T98" t="s">
        <v>64</v>
      </c>
      <c r="U98" t="s">
        <v>65</v>
      </c>
      <c r="V98" t="s">
        <v>66</v>
      </c>
    </row>
    <row r="99" spans="1:22" x14ac:dyDescent="0.35">
      <c r="A99" t="s">
        <v>17</v>
      </c>
      <c r="B99" t="s">
        <v>21</v>
      </c>
      <c r="C99" t="s">
        <v>52</v>
      </c>
      <c r="D99" t="s">
        <v>54</v>
      </c>
      <c r="E99" t="s">
        <v>55</v>
      </c>
      <c r="F99" t="s">
        <v>56</v>
      </c>
      <c r="G99" t="s">
        <v>57</v>
      </c>
      <c r="I99" t="s">
        <v>59</v>
      </c>
      <c r="J99">
        <f>E105</f>
        <v>4996.2</v>
      </c>
      <c r="M99">
        <v>12</v>
      </c>
      <c r="N99">
        <v>1320</v>
      </c>
      <c r="O99">
        <f>M99*N99</f>
        <v>15840</v>
      </c>
      <c r="P99">
        <f>M99^2</f>
        <v>144</v>
      </c>
      <c r="Q99">
        <f>N99^2</f>
        <v>1742400</v>
      </c>
      <c r="R99">
        <f>M99-$M$105</f>
        <v>-4.6000000000000014</v>
      </c>
      <c r="S99">
        <f>N99-$N$105</f>
        <v>-377.59999999999991</v>
      </c>
      <c r="T99">
        <f>R99*S99</f>
        <v>1736.96</v>
      </c>
      <c r="U99">
        <f>R99^2</f>
        <v>21.160000000000014</v>
      </c>
      <c r="V99">
        <f>S99^2</f>
        <v>142581.75999999992</v>
      </c>
    </row>
    <row r="100" spans="1:22" x14ac:dyDescent="0.35">
      <c r="A100">
        <v>12</v>
      </c>
      <c r="B100">
        <v>1320</v>
      </c>
      <c r="C100">
        <f>A100-$A$106</f>
        <v>-4.6000000000000014</v>
      </c>
      <c r="D100">
        <f>B100-$B$106</f>
        <v>-377.59999999999991</v>
      </c>
      <c r="E100">
        <f>C100*D100</f>
        <v>1736.96</v>
      </c>
      <c r="F100">
        <f>(A100-$A$106)^2</f>
        <v>21.160000000000014</v>
      </c>
      <c r="G100">
        <f>(B100-$B$106)^2</f>
        <v>142581.75999999992</v>
      </c>
      <c r="I100" t="s">
        <v>60</v>
      </c>
      <c r="J100">
        <f>SQRT(F105*G105)</f>
        <v>5074.8940323912184</v>
      </c>
      <c r="M100">
        <v>14</v>
      </c>
      <c r="N100">
        <v>1560</v>
      </c>
      <c r="O100">
        <f t="shared" ref="O100:O103" si="8">M100*N100</f>
        <v>21840</v>
      </c>
      <c r="P100">
        <f t="shared" ref="P100:P103" si="9">M100^2</f>
        <v>196</v>
      </c>
      <c r="Q100">
        <f t="shared" ref="Q100:Q103" si="10">N100^2</f>
        <v>2433600</v>
      </c>
      <c r="R100">
        <f t="shared" ref="R100:R103" si="11">M100-$M$105</f>
        <v>-2.6000000000000014</v>
      </c>
      <c r="S100">
        <f t="shared" ref="S100:S103" si="12">N100-$N$105</f>
        <v>-137.59999999999991</v>
      </c>
      <c r="T100">
        <f t="shared" ref="T100:T103" si="13">R100*S100</f>
        <v>357.75999999999993</v>
      </c>
      <c r="U100">
        <f t="shared" ref="U100:U103" si="14">R100^2</f>
        <v>6.7600000000000078</v>
      </c>
      <c r="V100">
        <f t="shared" ref="V100:V103" si="15">S100^2</f>
        <v>18933.759999999977</v>
      </c>
    </row>
    <row r="101" spans="1:22" x14ac:dyDescent="0.35">
      <c r="A101">
        <v>14</v>
      </c>
      <c r="B101">
        <v>1560</v>
      </c>
      <c r="C101">
        <f t="shared" ref="C101:C104" si="16">A101-$A$106</f>
        <v>-2.6000000000000014</v>
      </c>
      <c r="D101">
        <f t="shared" ref="D101:D104" si="17">B101-$B$106</f>
        <v>-137.59999999999991</v>
      </c>
      <c r="E101">
        <f t="shared" ref="E101:E104" si="18">C101*D101</f>
        <v>357.75999999999993</v>
      </c>
      <c r="F101">
        <f t="shared" ref="F101:F104" si="19">(A101-$A$106)^2</f>
        <v>6.7600000000000078</v>
      </c>
      <c r="G101">
        <f t="shared" ref="G101:G104" si="20">(B101-$B$106)^2</f>
        <v>18933.759999999977</v>
      </c>
      <c r="I101" t="s">
        <v>61</v>
      </c>
      <c r="J101">
        <f>J99/J100</f>
        <v>0.98449346293953277</v>
      </c>
      <c r="M101">
        <v>15</v>
      </c>
      <c r="N101">
        <v>1597</v>
      </c>
      <c r="O101">
        <f t="shared" si="8"/>
        <v>23955</v>
      </c>
      <c r="P101">
        <f t="shared" si="9"/>
        <v>225</v>
      </c>
      <c r="Q101">
        <f t="shared" si="10"/>
        <v>2550409</v>
      </c>
      <c r="R101">
        <f t="shared" si="11"/>
        <v>-1.6000000000000014</v>
      </c>
      <c r="S101">
        <f t="shared" si="12"/>
        <v>-100.59999999999991</v>
      </c>
      <c r="T101">
        <f t="shared" si="13"/>
        <v>160.96</v>
      </c>
      <c r="U101">
        <f t="shared" si="14"/>
        <v>2.5600000000000045</v>
      </c>
      <c r="V101">
        <f t="shared" si="15"/>
        <v>10120.359999999982</v>
      </c>
    </row>
    <row r="102" spans="1:22" x14ac:dyDescent="0.35">
      <c r="A102">
        <v>15</v>
      </c>
      <c r="B102">
        <v>1597</v>
      </c>
      <c r="C102">
        <f t="shared" si="16"/>
        <v>-1.6000000000000014</v>
      </c>
      <c r="D102">
        <f t="shared" si="17"/>
        <v>-100.59999999999991</v>
      </c>
      <c r="E102">
        <f t="shared" si="18"/>
        <v>160.96</v>
      </c>
      <c r="F102">
        <f t="shared" si="19"/>
        <v>2.5600000000000045</v>
      </c>
      <c r="G102">
        <f t="shared" si="20"/>
        <v>10120.359999999982</v>
      </c>
      <c r="M102">
        <v>20</v>
      </c>
      <c r="N102">
        <v>1990</v>
      </c>
      <c r="O102">
        <f t="shared" si="8"/>
        <v>39800</v>
      </c>
      <c r="P102">
        <f t="shared" si="9"/>
        <v>400</v>
      </c>
      <c r="Q102">
        <f t="shared" si="10"/>
        <v>3960100</v>
      </c>
      <c r="R102">
        <f t="shared" si="11"/>
        <v>3.3999999999999986</v>
      </c>
      <c r="S102">
        <f t="shared" si="12"/>
        <v>292.40000000000009</v>
      </c>
      <c r="T102">
        <f t="shared" si="13"/>
        <v>994.15999999999985</v>
      </c>
      <c r="U102">
        <f t="shared" si="14"/>
        <v>11.55999999999999</v>
      </c>
      <c r="V102">
        <f t="shared" si="15"/>
        <v>85497.760000000053</v>
      </c>
    </row>
    <row r="103" spans="1:22" x14ac:dyDescent="0.35">
      <c r="A103">
        <v>20</v>
      </c>
      <c r="B103">
        <v>1990</v>
      </c>
      <c r="C103">
        <f t="shared" si="16"/>
        <v>3.3999999999999986</v>
      </c>
      <c r="D103">
        <f t="shared" si="17"/>
        <v>292.40000000000009</v>
      </c>
      <c r="E103">
        <f t="shared" si="18"/>
        <v>994.15999999999985</v>
      </c>
      <c r="F103">
        <f t="shared" si="19"/>
        <v>11.55999999999999</v>
      </c>
      <c r="G103">
        <f t="shared" si="20"/>
        <v>85497.760000000053</v>
      </c>
      <c r="M103">
        <v>22</v>
      </c>
      <c r="N103">
        <v>2021</v>
      </c>
      <c r="O103">
        <f t="shared" si="8"/>
        <v>44462</v>
      </c>
      <c r="P103">
        <f t="shared" si="9"/>
        <v>484</v>
      </c>
      <c r="Q103">
        <f t="shared" si="10"/>
        <v>4084441</v>
      </c>
      <c r="R103">
        <f t="shared" si="11"/>
        <v>5.3999999999999986</v>
      </c>
      <c r="S103">
        <f t="shared" si="12"/>
        <v>323.40000000000009</v>
      </c>
      <c r="T103">
        <f t="shared" si="13"/>
        <v>1746.3600000000001</v>
      </c>
      <c r="U103">
        <f t="shared" si="14"/>
        <v>29.159999999999986</v>
      </c>
      <c r="V103">
        <f t="shared" si="15"/>
        <v>104587.56000000006</v>
      </c>
    </row>
    <row r="104" spans="1:22" x14ac:dyDescent="0.35">
      <c r="A104">
        <v>22</v>
      </c>
      <c r="B104">
        <v>2021</v>
      </c>
      <c r="C104">
        <f t="shared" si="16"/>
        <v>5.3999999999999986</v>
      </c>
      <c r="D104">
        <f t="shared" si="17"/>
        <v>323.40000000000009</v>
      </c>
      <c r="E104">
        <f t="shared" si="18"/>
        <v>1746.3600000000001</v>
      </c>
      <c r="F104">
        <f t="shared" si="19"/>
        <v>29.159999999999986</v>
      </c>
      <c r="G104">
        <f t="shared" si="20"/>
        <v>104587.56000000006</v>
      </c>
      <c r="M104" s="7">
        <f>SUM(M99:M103)</f>
        <v>83</v>
      </c>
      <c r="N104" s="7">
        <f>SUM(N99:N103)</f>
        <v>8488</v>
      </c>
      <c r="O104" s="7">
        <f t="shared" ref="O104:U104" si="21">SUM(O99:O103)</f>
        <v>145897</v>
      </c>
      <c r="P104" s="7">
        <f t="shared" si="21"/>
        <v>1449</v>
      </c>
      <c r="Q104" s="7">
        <f t="shared" si="21"/>
        <v>14770950</v>
      </c>
      <c r="R104" s="7">
        <f t="shared" si="21"/>
        <v>-7.1054273576010019E-15</v>
      </c>
      <c r="S104" s="7">
        <f t="shared" si="21"/>
        <v>4.5474735088646412E-13</v>
      </c>
      <c r="T104" s="7">
        <f t="shared" si="21"/>
        <v>4996.2</v>
      </c>
      <c r="U104" s="7">
        <f t="shared" si="21"/>
        <v>71.2</v>
      </c>
      <c r="V104" t="s">
        <v>71</v>
      </c>
    </row>
    <row r="105" spans="1:22" x14ac:dyDescent="0.35">
      <c r="A105" s="7">
        <f>SUM(A100:A104)</f>
        <v>83</v>
      </c>
      <c r="B105" s="7">
        <f>SUM(B100:B104)</f>
        <v>8488</v>
      </c>
      <c r="C105" s="23">
        <f t="shared" ref="C105:G105" si="22">SUM(C100:C104)</f>
        <v>-7.1054273576010019E-15</v>
      </c>
      <c r="D105" s="23">
        <f t="shared" si="22"/>
        <v>4.5474735088646412E-13</v>
      </c>
      <c r="E105" s="7">
        <f t="shared" si="22"/>
        <v>4996.2</v>
      </c>
      <c r="F105" s="7">
        <f t="shared" si="22"/>
        <v>71.2</v>
      </c>
      <c r="G105" s="7">
        <f t="shared" si="22"/>
        <v>361721.2</v>
      </c>
      <c r="M105">
        <f>AVERAGE(M99:M103)</f>
        <v>16.600000000000001</v>
      </c>
      <c r="N105">
        <f>AVERAGE(N99:N103)</f>
        <v>1697.6</v>
      </c>
    </row>
    <row r="106" spans="1:22" x14ac:dyDescent="0.35">
      <c r="A106">
        <f>AVERAGE(A100:A104)</f>
        <v>16.600000000000001</v>
      </c>
      <c r="B106">
        <f>AVERAGE(B100:B104)</f>
        <v>1697.6</v>
      </c>
    </row>
    <row r="108" spans="1:22" x14ac:dyDescent="0.35">
      <c r="B108" t="s">
        <v>59</v>
      </c>
    </row>
    <row r="109" spans="1:22" x14ac:dyDescent="0.35">
      <c r="B109" t="s">
        <v>60</v>
      </c>
    </row>
    <row r="110" spans="1:22" x14ac:dyDescent="0.35">
      <c r="B110" t="s">
        <v>30</v>
      </c>
    </row>
    <row r="112" spans="1:22" x14ac:dyDescent="0.35">
      <c r="A112" t="s">
        <v>72</v>
      </c>
    </row>
    <row r="114" spans="1:1" x14ac:dyDescent="0.35">
      <c r="A114" t="s">
        <v>70</v>
      </c>
    </row>
  </sheetData>
  <mergeCells count="3">
    <mergeCell ref="A2:E2"/>
    <mergeCell ref="G69:H69"/>
    <mergeCell ref="G77:I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2025-01-23T08:59:53Z</dcterms:created>
  <dcterms:modified xsi:type="dcterms:W3CDTF">2025-01-23T11:05:24Z</dcterms:modified>
</cp:coreProperties>
</file>