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Finance\M1_Finance\"/>
    </mc:Choice>
  </mc:AlternateContent>
  <xr:revisionPtr revIDLastSave="0" documentId="13_ncr:1_{6AD02B5E-D4E1-4D71-AF96-B6DF9AFB7949}" xr6:coauthVersionLast="47" xr6:coauthVersionMax="47" xr10:uidLastSave="{00000000-0000-0000-0000-000000000000}"/>
  <bookViews>
    <workbookView xWindow="-108" yWindow="-108" windowWidth="23256" windowHeight="13176" activeTab="1" xr2:uid="{CEAE8C27-10B7-480F-8270-3D6E34E88447}"/>
  </bookViews>
  <sheets>
    <sheet name="Feuil1" sheetId="1" r:id="rId1"/>
    <sheet name="Exo synthèse" sheetId="2" r:id="rId2"/>
    <sheet name="Exo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" l="1"/>
  <c r="F41" i="2"/>
  <c r="G22" i="2"/>
  <c r="G20" i="2"/>
  <c r="F19" i="2"/>
  <c r="F18" i="2"/>
  <c r="F20" i="2"/>
  <c r="I19" i="2"/>
  <c r="D39" i="2"/>
  <c r="E39" i="2"/>
  <c r="F39" i="2"/>
  <c r="G39" i="2"/>
  <c r="H39" i="2"/>
  <c r="I39" i="2"/>
  <c r="J39" i="2"/>
  <c r="K39" i="2"/>
  <c r="L39" i="2"/>
  <c r="C39" i="2"/>
  <c r="D28" i="2"/>
  <c r="B30" i="2"/>
  <c r="B33" i="2" s="1"/>
  <c r="B31" i="2"/>
  <c r="D37" i="2"/>
  <c r="E37" i="2" s="1"/>
  <c r="F37" i="2" s="1"/>
  <c r="G37" i="2" s="1"/>
  <c r="H37" i="2" s="1"/>
  <c r="I37" i="2" s="1"/>
  <c r="J37" i="2" s="1"/>
  <c r="K37" i="2" s="1"/>
  <c r="L37" i="2" s="1"/>
  <c r="B29" i="2"/>
  <c r="B28" i="2"/>
  <c r="B15" i="2"/>
  <c r="G60" i="2" s="1"/>
  <c r="G7" i="3"/>
  <c r="C7" i="3"/>
  <c r="D7" i="3" s="1"/>
  <c r="E7" i="3" s="1"/>
  <c r="F7" i="3" s="1"/>
  <c r="H5" i="3"/>
  <c r="H4" i="3"/>
  <c r="G5" i="3"/>
  <c r="G4" i="3"/>
  <c r="D38" i="2" l="1"/>
  <c r="L38" i="2"/>
  <c r="E38" i="2"/>
  <c r="C38" i="2"/>
  <c r="F38" i="2"/>
  <c r="G38" i="2"/>
  <c r="H38" i="2"/>
  <c r="I38" i="2"/>
  <c r="J38" i="2"/>
  <c r="K38" i="2"/>
  <c r="H15" i="2"/>
  <c r="H16" i="2" s="1"/>
  <c r="I15" i="2"/>
  <c r="I16" i="2" s="1"/>
  <c r="J15" i="2"/>
  <c r="J16" i="2" s="1"/>
  <c r="K15" i="2"/>
  <c r="K16" i="2" s="1"/>
  <c r="D14" i="2"/>
  <c r="E14" i="2" s="1"/>
  <c r="F14" i="2" s="1"/>
  <c r="G14" i="2" s="1"/>
  <c r="H14" i="2" s="1"/>
  <c r="I14" i="2" s="1"/>
  <c r="J14" i="2" s="1"/>
  <c r="K14" i="2" s="1"/>
  <c r="L14" i="2" s="1"/>
  <c r="B7" i="2"/>
  <c r="B9" i="2" s="1"/>
  <c r="D15" i="2" s="1"/>
  <c r="D16" i="2" s="1"/>
  <c r="E21" i="1"/>
  <c r="F21" i="1"/>
  <c r="G21" i="1"/>
  <c r="D21" i="1"/>
  <c r="G22" i="1"/>
  <c r="C21" i="1"/>
  <c r="E22" i="1"/>
  <c r="C22" i="1"/>
  <c r="D22" i="1" s="1"/>
  <c r="F22" i="1"/>
  <c r="D20" i="1"/>
  <c r="E20" i="1"/>
  <c r="F20" i="1"/>
  <c r="G20" i="1"/>
  <c r="C20" i="1"/>
  <c r="B20" i="1"/>
  <c r="D1" i="1"/>
  <c r="E1" i="1" s="1"/>
  <c r="F1" i="1" s="1"/>
  <c r="G1" i="1" s="1"/>
  <c r="H1" i="1" s="1"/>
  <c r="I1" i="1" s="1"/>
  <c r="J1" i="1" s="1"/>
  <c r="K1" i="1" s="1"/>
  <c r="C1" i="1"/>
  <c r="C9" i="1"/>
  <c r="C6" i="1"/>
  <c r="C8" i="1" s="1"/>
  <c r="B6" i="1"/>
  <c r="B8" i="1" s="1"/>
  <c r="B9" i="1" s="1"/>
  <c r="D4" i="1"/>
  <c r="E4" i="1" s="1"/>
  <c r="F4" i="1" s="1"/>
  <c r="G4" i="1" s="1"/>
  <c r="H4" i="1" s="1"/>
  <c r="I4" i="1" s="1"/>
  <c r="J4" i="1" s="1"/>
  <c r="K4" i="1" s="1"/>
  <c r="K6" i="1" s="1"/>
  <c r="K8" i="1" s="1"/>
  <c r="C4" i="1"/>
  <c r="C2" i="1"/>
  <c r="D2" i="1" s="1"/>
  <c r="E2" i="1" s="1"/>
  <c r="F2" i="1" s="1"/>
  <c r="G2" i="1" s="1"/>
  <c r="H2" i="1" s="1"/>
  <c r="I2" i="1" s="1"/>
  <c r="J2" i="1" s="1"/>
  <c r="K2" i="1" s="1"/>
  <c r="H40" i="2" l="1"/>
  <c r="I40" i="2"/>
  <c r="J40" i="2"/>
  <c r="C40" i="2"/>
  <c r="K40" i="2"/>
  <c r="D40" i="2"/>
  <c r="L40" i="2"/>
  <c r="E40" i="2"/>
  <c r="B45" i="2"/>
  <c r="F40" i="2"/>
  <c r="B44" i="2"/>
  <c r="F60" i="2"/>
  <c r="B63" i="2" s="1"/>
  <c r="G40" i="2"/>
  <c r="F43" i="2" s="1"/>
  <c r="G43" i="2" s="1"/>
  <c r="C57" i="2" s="1"/>
  <c r="G15" i="2"/>
  <c r="G16" i="2" s="1"/>
  <c r="F15" i="2"/>
  <c r="F16" i="2" s="1"/>
  <c r="C15" i="2"/>
  <c r="E15" i="2"/>
  <c r="E16" i="2" s="1"/>
  <c r="L15" i="2"/>
  <c r="L16" i="2" s="1"/>
  <c r="C15" i="1"/>
  <c r="J6" i="1"/>
  <c r="J8" i="1" s="1"/>
  <c r="I6" i="1"/>
  <c r="I8" i="1" s="1"/>
  <c r="H6" i="1"/>
  <c r="H8" i="1" s="1"/>
  <c r="E6" i="1"/>
  <c r="E8" i="1" s="1"/>
  <c r="G6" i="1"/>
  <c r="G8" i="1" s="1"/>
  <c r="D6" i="1"/>
  <c r="D8" i="1" s="1"/>
  <c r="D9" i="1" s="1"/>
  <c r="F6" i="1"/>
  <c r="F8" i="1" s="1"/>
  <c r="C56" i="2" l="1"/>
  <c r="C55" i="2"/>
  <c r="B19" i="2"/>
  <c r="B55" i="2" s="1"/>
  <c r="C16" i="2"/>
  <c r="B20" i="2"/>
  <c r="B56" i="2" s="1"/>
  <c r="C17" i="2" l="1"/>
  <c r="D17" i="2"/>
  <c r="E17" i="2"/>
  <c r="F17" i="2"/>
  <c r="G17" i="2"/>
  <c r="H17" i="2"/>
  <c r="K17" i="2"/>
  <c r="I17" i="2"/>
  <c r="L17" i="2"/>
  <c r="J17" i="2"/>
  <c r="E55" i="2"/>
  <c r="B49" i="2"/>
  <c r="B50" i="2"/>
  <c r="B57" i="2" l="1"/>
  <c r="G23" i="2"/>
</calcChain>
</file>

<file path=xl/sharedStrings.xml><?xml version="1.0" encoding="utf-8"?>
<sst xmlns="http://schemas.openxmlformats.org/spreadsheetml/2006/main" count="80" uniqueCount="62">
  <si>
    <t>RES EXPL ordinaire hors DAP</t>
  </si>
  <si>
    <t>IS</t>
  </si>
  <si>
    <t>Variation du BFR</t>
  </si>
  <si>
    <t>Cash flow d'exploitation</t>
  </si>
  <si>
    <t>Cash flow d'investissement</t>
  </si>
  <si>
    <t>Free cash flow</t>
  </si>
  <si>
    <t>Free cash flow actualisé</t>
  </si>
  <si>
    <t>En millions d'euros</t>
  </si>
  <si>
    <t>Taux d'actualisation</t>
  </si>
  <si>
    <t>Cash flows actualisés</t>
  </si>
  <si>
    <t>Cash flows cummulés</t>
  </si>
  <si>
    <t>Cash flows k€</t>
  </si>
  <si>
    <t>Délai de récupération du capital investi ) quand les cash flows cumulés sont égaux au montant initial</t>
  </si>
  <si>
    <t>d= 2 ans + (valeur créée entre 0 et 2 ans)/(valeur créée dans l'année 3)</t>
  </si>
  <si>
    <t>d= 2 ans + (100 - 75,85)/(109,68-75,9)</t>
  </si>
  <si>
    <t>Délai de récupération = D-2/(3-2)</t>
  </si>
  <si>
    <t>0,7 mois sur 1 ans = 8 mois et 0,4 jour</t>
  </si>
  <si>
    <t>0,4 jour sur 1 mois de 30 jour = 12 jours</t>
  </si>
  <si>
    <t>2 ans, 8 mois et 12 jours</t>
  </si>
  <si>
    <t>Chiffres faux</t>
  </si>
  <si>
    <t>ça par contre c'est juste</t>
  </si>
  <si>
    <t>Exercice de synthèse</t>
  </si>
  <si>
    <t>Projet A</t>
  </si>
  <si>
    <t>Produits vendus/an</t>
  </si>
  <si>
    <t>PU</t>
  </si>
  <si>
    <t>CU</t>
  </si>
  <si>
    <t>Cash flows/an</t>
  </si>
  <si>
    <t>Taux actualisation</t>
  </si>
  <si>
    <t>Investissement</t>
  </si>
  <si>
    <t>Cash flows</t>
  </si>
  <si>
    <t>VAN</t>
  </si>
  <si>
    <t>Exercice 5</t>
  </si>
  <si>
    <t>Années</t>
  </si>
  <si>
    <t>Projet B</t>
  </si>
  <si>
    <t>TRI</t>
  </si>
  <si>
    <t>Placement</t>
  </si>
  <si>
    <t>TRR</t>
  </si>
  <si>
    <t>PU ter nat</t>
  </si>
  <si>
    <t>PU export</t>
  </si>
  <si>
    <t>Prod vendue ter nat</t>
  </si>
  <si>
    <t>Prod ventue export</t>
  </si>
  <si>
    <t>CU export</t>
  </si>
  <si>
    <t>CU ter nat</t>
  </si>
  <si>
    <t>5ième année 119ième jour</t>
  </si>
  <si>
    <t>VANG</t>
  </si>
  <si>
    <t>TRIG</t>
  </si>
  <si>
    <t>Correction</t>
  </si>
  <si>
    <t>Dans ce genre de cas, la solution dépend de ce que veulent les associés, la direction.</t>
  </si>
  <si>
    <t>Les deux projets rapportent plus de 6% (norme marchés financiers) avec des revenus réguliers là où les marchés financiers ne rapportent les 6% qu'au bout de 5 ans.</t>
  </si>
  <si>
    <t>DRCI</t>
  </si>
  <si>
    <t>B</t>
  </si>
  <si>
    <t>Actualisés cummulés</t>
  </si>
  <si>
    <t>Vrai TRR</t>
  </si>
  <si>
    <t>Ensuite il faut trouver quelque chose dans l'ordre de 25% avec un calcul que je n'ai pas encore compris.</t>
  </si>
  <si>
    <t>Le TRR est le taux de rendement du capital investi. Le taux qui annule le capital investi supplémentaire.</t>
  </si>
  <si>
    <t>Ici, nos 470 millions supplémentaires rapportent 25% de plus à eux seuls.</t>
  </si>
  <si>
    <t>6ième année 129ième jour</t>
  </si>
  <si>
    <t>Mai</t>
  </si>
  <si>
    <t>9 Mai N+6</t>
  </si>
  <si>
    <t>Actualisés</t>
  </si>
  <si>
    <t>Le B est meilleur, cependant, il serait avisé de s'enquérir du taux d'endettement.</t>
  </si>
  <si>
    <t>On finance les investissements avec des capitaux propres.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</si>
</sst>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8" fontId="0" fillId="0" borderId="0" xfId="0" applyNumberFormat="1"/>
    <xf numFmtId="43" fontId="0" fillId="0" borderId="0" xfId="1" applyFont="1"/>
    <xf numFmtId="10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9" fontId="0" fillId="0" borderId="0" xfId="2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2E0B-221D-4A52-84ED-F558D93E416D}">
  <dimension ref="A1:K31"/>
  <sheetViews>
    <sheetView topLeftCell="A18" workbookViewId="0">
      <selection activeCell="I29" sqref="I29"/>
    </sheetView>
  </sheetViews>
  <sheetFormatPr baseColWidth="10" defaultRowHeight="14.4" x14ac:dyDescent="0.3"/>
  <cols>
    <col min="1" max="1" width="23.88671875" bestFit="1" customWidth="1"/>
  </cols>
  <sheetData>
    <row r="1" spans="1:11" x14ac:dyDescent="0.3">
      <c r="B1">
        <v>0</v>
      </c>
      <c r="C1">
        <f>1+B1</f>
        <v>1</v>
      </c>
      <c r="D1">
        <f t="shared" ref="D1:K1" si="0">1+C1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</row>
    <row r="2" spans="1:11" x14ac:dyDescent="0.3">
      <c r="A2" t="s">
        <v>7</v>
      </c>
      <c r="B2">
        <v>2011</v>
      </c>
      <c r="C2">
        <f>B2+1</f>
        <v>2012</v>
      </c>
      <c r="D2">
        <f t="shared" ref="D2:K2" si="1">C2+1</f>
        <v>2013</v>
      </c>
      <c r="E2">
        <f t="shared" si="1"/>
        <v>2014</v>
      </c>
      <c r="F2">
        <f t="shared" si="1"/>
        <v>2015</v>
      </c>
      <c r="G2">
        <f t="shared" si="1"/>
        <v>2016</v>
      </c>
      <c r="H2">
        <f t="shared" si="1"/>
        <v>2017</v>
      </c>
      <c r="I2">
        <f>H2+1</f>
        <v>2018</v>
      </c>
      <c r="J2">
        <f t="shared" si="1"/>
        <v>2019</v>
      </c>
      <c r="K2">
        <f t="shared" si="1"/>
        <v>2020</v>
      </c>
    </row>
    <row r="3" spans="1:11" x14ac:dyDescent="0.3">
      <c r="A3" t="s">
        <v>0</v>
      </c>
      <c r="B3">
        <v>500</v>
      </c>
      <c r="C3">
        <v>510</v>
      </c>
      <c r="D3">
        <v>520</v>
      </c>
      <c r="E3">
        <v>531</v>
      </c>
      <c r="F3">
        <v>541</v>
      </c>
      <c r="G3">
        <v>552</v>
      </c>
      <c r="H3">
        <v>563</v>
      </c>
      <c r="I3">
        <v>574</v>
      </c>
      <c r="J3">
        <v>586</v>
      </c>
      <c r="K3">
        <v>598</v>
      </c>
    </row>
    <row r="4" spans="1:11" x14ac:dyDescent="0.3">
      <c r="A4" t="s">
        <v>1</v>
      </c>
      <c r="B4">
        <v>50</v>
      </c>
      <c r="C4">
        <f>B4+1</f>
        <v>51</v>
      </c>
      <c r="D4">
        <f t="shared" ref="D4:K4" si="2">C4+1</f>
        <v>52</v>
      </c>
      <c r="E4">
        <f t="shared" si="2"/>
        <v>53</v>
      </c>
      <c r="F4">
        <f t="shared" si="2"/>
        <v>54</v>
      </c>
      <c r="G4">
        <f t="shared" si="2"/>
        <v>55</v>
      </c>
      <c r="H4">
        <f t="shared" si="2"/>
        <v>56</v>
      </c>
      <c r="I4">
        <f t="shared" si="2"/>
        <v>57</v>
      </c>
      <c r="J4">
        <f t="shared" si="2"/>
        <v>58</v>
      </c>
      <c r="K4">
        <f t="shared" si="2"/>
        <v>59</v>
      </c>
    </row>
    <row r="5" spans="1:11" x14ac:dyDescent="0.3">
      <c r="A5" t="s">
        <v>2</v>
      </c>
      <c r="B5">
        <v>6</v>
      </c>
      <c r="C5">
        <v>-50</v>
      </c>
      <c r="D5">
        <v>-20</v>
      </c>
    </row>
    <row r="6" spans="1:11" x14ac:dyDescent="0.3">
      <c r="A6" t="s">
        <v>3</v>
      </c>
      <c r="B6">
        <f>B3-B4-B5</f>
        <v>444</v>
      </c>
      <c r="C6">
        <f t="shared" ref="C6:K6" si="3">C3-C4-C5</f>
        <v>509</v>
      </c>
      <c r="D6">
        <f t="shared" si="3"/>
        <v>488</v>
      </c>
      <c r="E6">
        <f t="shared" si="3"/>
        <v>478</v>
      </c>
      <c r="F6">
        <f t="shared" si="3"/>
        <v>487</v>
      </c>
      <c r="G6">
        <f t="shared" si="3"/>
        <v>497</v>
      </c>
      <c r="H6">
        <f t="shared" si="3"/>
        <v>507</v>
      </c>
      <c r="I6">
        <f t="shared" si="3"/>
        <v>517</v>
      </c>
      <c r="J6">
        <f t="shared" si="3"/>
        <v>528</v>
      </c>
      <c r="K6">
        <f t="shared" si="3"/>
        <v>539</v>
      </c>
    </row>
    <row r="7" spans="1:11" x14ac:dyDescent="0.3">
      <c r="A7" t="s">
        <v>4</v>
      </c>
      <c r="B7">
        <v>-732</v>
      </c>
      <c r="C7">
        <v>-637</v>
      </c>
      <c r="D7">
        <v>-100</v>
      </c>
    </row>
    <row r="8" spans="1:11" x14ac:dyDescent="0.3">
      <c r="A8" t="s">
        <v>5</v>
      </c>
      <c r="B8">
        <f>B6+B7</f>
        <v>-288</v>
      </c>
      <c r="C8">
        <f t="shared" ref="C8:K8" si="4">C6+C7</f>
        <v>-128</v>
      </c>
      <c r="D8">
        <f t="shared" si="4"/>
        <v>388</v>
      </c>
      <c r="E8">
        <f t="shared" si="4"/>
        <v>478</v>
      </c>
      <c r="F8">
        <f t="shared" si="4"/>
        <v>487</v>
      </c>
      <c r="G8">
        <f t="shared" si="4"/>
        <v>497</v>
      </c>
      <c r="H8">
        <f t="shared" si="4"/>
        <v>507</v>
      </c>
      <c r="I8">
        <f t="shared" si="4"/>
        <v>517</v>
      </c>
      <c r="J8">
        <f t="shared" si="4"/>
        <v>528</v>
      </c>
      <c r="K8">
        <f t="shared" si="4"/>
        <v>539</v>
      </c>
    </row>
    <row r="9" spans="1:11" x14ac:dyDescent="0.3">
      <c r="A9" t="s">
        <v>6</v>
      </c>
      <c r="B9">
        <f>B8</f>
        <v>-288</v>
      </c>
      <c r="C9">
        <f>C8/((1+B10)^1)</f>
        <v>-120.86874409820587</v>
      </c>
      <c r="D9">
        <f>D8/((1+C10)^2)</f>
        <v>388</v>
      </c>
    </row>
    <row r="10" spans="1:11" x14ac:dyDescent="0.3">
      <c r="A10" t="s">
        <v>8</v>
      </c>
      <c r="B10">
        <v>5.8999999999999997E-2</v>
      </c>
    </row>
    <row r="15" spans="1:11" x14ac:dyDescent="0.3">
      <c r="C15">
        <f>C9</f>
        <v>-120.86874409820587</v>
      </c>
      <c r="D15" t="b">
        <v>0</v>
      </c>
    </row>
    <row r="19" spans="1:9" x14ac:dyDescent="0.3">
      <c r="C19">
        <v>38</v>
      </c>
      <c r="D19">
        <v>50</v>
      </c>
      <c r="E19">
        <v>45</v>
      </c>
      <c r="F19">
        <v>40</v>
      </c>
      <c r="G19">
        <v>20</v>
      </c>
    </row>
    <row r="20" spans="1:9" x14ac:dyDescent="0.3">
      <c r="A20" t="s">
        <v>11</v>
      </c>
      <c r="B20">
        <f>0.1</f>
        <v>0.1</v>
      </c>
      <c r="C20">
        <f>C19/((1+$B$20)^1)</f>
        <v>34.54545454545454</v>
      </c>
      <c r="D20">
        <f t="shared" ref="D20:G20" si="5">D19/((1+$B$20)^1)</f>
        <v>45.454545454545453</v>
      </c>
      <c r="E20">
        <f t="shared" si="5"/>
        <v>40.909090909090907</v>
      </c>
      <c r="F20">
        <f t="shared" si="5"/>
        <v>36.36363636363636</v>
      </c>
      <c r="G20">
        <f t="shared" si="5"/>
        <v>18.18181818181818</v>
      </c>
    </row>
    <row r="21" spans="1:9" x14ac:dyDescent="0.3">
      <c r="A21" t="s">
        <v>9</v>
      </c>
      <c r="C21" s="1">
        <f>C20/((1+B23)^C1)</f>
        <v>31.404958677685944</v>
      </c>
      <c r="D21" s="1">
        <f>D20/((1+$B23)^D1)</f>
        <v>37.565740045078883</v>
      </c>
      <c r="E21" s="1">
        <f t="shared" ref="E21:G21" si="6">E20/((1+$B23)^E1)</f>
        <v>30.735605491428171</v>
      </c>
      <c r="F21" s="1">
        <f t="shared" si="6"/>
        <v>24.836852922366198</v>
      </c>
      <c r="G21" s="1">
        <f t="shared" si="6"/>
        <v>11.289478601075544</v>
      </c>
      <c r="I21" t="s">
        <v>19</v>
      </c>
    </row>
    <row r="22" spans="1:9" x14ac:dyDescent="0.3">
      <c r="A22" t="s">
        <v>10</v>
      </c>
      <c r="B22">
        <v>100</v>
      </c>
      <c r="C22">
        <f>C21</f>
        <v>31.404958677685944</v>
      </c>
      <c r="D22">
        <f>C22+D21</f>
        <v>68.970698722764823</v>
      </c>
      <c r="E22">
        <f t="shared" ref="E22:G22" si="7">$B$22-E21</f>
        <v>69.264394508571826</v>
      </c>
      <c r="F22">
        <f t="shared" si="7"/>
        <v>75.163147077633795</v>
      </c>
      <c r="G22">
        <f t="shared" si="7"/>
        <v>88.710521398924456</v>
      </c>
    </row>
    <row r="23" spans="1:9" x14ac:dyDescent="0.3">
      <c r="B23" s="2">
        <v>0.1</v>
      </c>
    </row>
    <row r="24" spans="1:9" x14ac:dyDescent="0.3">
      <c r="B24" t="s">
        <v>12</v>
      </c>
    </row>
    <row r="25" spans="1:9" x14ac:dyDescent="0.3">
      <c r="B25" t="s">
        <v>13</v>
      </c>
    </row>
    <row r="26" spans="1:9" x14ac:dyDescent="0.3">
      <c r="B26" t="s">
        <v>14</v>
      </c>
      <c r="E26" t="s">
        <v>15</v>
      </c>
    </row>
    <row r="28" spans="1:9" x14ac:dyDescent="0.3">
      <c r="B28">
        <v>2.7</v>
      </c>
      <c r="I28" t="s">
        <v>20</v>
      </c>
    </row>
    <row r="29" spans="1:9" x14ac:dyDescent="0.3">
      <c r="B29" t="s">
        <v>16</v>
      </c>
    </row>
    <row r="30" spans="1:9" x14ac:dyDescent="0.3">
      <c r="B30" t="s">
        <v>17</v>
      </c>
    </row>
    <row r="31" spans="1:9" x14ac:dyDescent="0.3">
      <c r="B3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F8A4-2CCC-48AC-93C1-E83ED2E3724D}">
  <dimension ref="A1:L71"/>
  <sheetViews>
    <sheetView tabSelected="1" topLeftCell="A47" workbookViewId="0">
      <selection activeCell="B71" sqref="B71"/>
    </sheetView>
  </sheetViews>
  <sheetFormatPr baseColWidth="10" defaultRowHeight="14.4" x14ac:dyDescent="0.3"/>
  <cols>
    <col min="1" max="1" width="17.77734375" bestFit="1" customWidth="1"/>
    <col min="2" max="2" width="16.6640625" bestFit="1" customWidth="1"/>
    <col min="3" max="4" width="14.5546875" bestFit="1" customWidth="1"/>
    <col min="5" max="6" width="15.88671875" bestFit="1" customWidth="1"/>
    <col min="7" max="7" width="16.6640625" bestFit="1" customWidth="1"/>
    <col min="8" max="12" width="15.88671875" bestFit="1" customWidth="1"/>
  </cols>
  <sheetData>
    <row r="1" spans="1:12" x14ac:dyDescent="0.3">
      <c r="A1" t="s">
        <v>21</v>
      </c>
    </row>
    <row r="3" spans="1:12" x14ac:dyDescent="0.3">
      <c r="A3" t="s">
        <v>22</v>
      </c>
      <c r="B3" t="s">
        <v>27</v>
      </c>
      <c r="C3" s="2">
        <v>7.0000000000000007E-2</v>
      </c>
    </row>
    <row r="5" spans="1:12" x14ac:dyDescent="0.3">
      <c r="A5" t="s">
        <v>23</v>
      </c>
      <c r="B5">
        <v>300000</v>
      </c>
    </row>
    <row r="6" spans="1:12" x14ac:dyDescent="0.3">
      <c r="A6" t="s">
        <v>24</v>
      </c>
      <c r="B6">
        <v>1100</v>
      </c>
    </row>
    <row r="7" spans="1:12" x14ac:dyDescent="0.3">
      <c r="A7" t="s">
        <v>25</v>
      </c>
      <c r="B7">
        <f>420</f>
        <v>420</v>
      </c>
    </row>
    <row r="9" spans="1:12" x14ac:dyDescent="0.3">
      <c r="A9" t="s">
        <v>26</v>
      </c>
      <c r="B9" s="3">
        <f>(B6-B7)*B5</f>
        <v>204000000</v>
      </c>
    </row>
    <row r="11" spans="1:12" x14ac:dyDescent="0.3">
      <c r="A11" t="s">
        <v>28</v>
      </c>
    </row>
    <row r="14" spans="1:12" x14ac:dyDescent="0.3">
      <c r="B14">
        <v>0</v>
      </c>
      <c r="C14">
        <v>1</v>
      </c>
      <c r="D14">
        <f>C14+1</f>
        <v>2</v>
      </c>
      <c r="E14">
        <f t="shared" ref="E14:L14" si="0">D14+1</f>
        <v>3</v>
      </c>
      <c r="F14">
        <f t="shared" si="0"/>
        <v>4</v>
      </c>
      <c r="G14">
        <f t="shared" si="0"/>
        <v>5</v>
      </c>
      <c r="H14">
        <f t="shared" si="0"/>
        <v>6</v>
      </c>
      <c r="I14">
        <f t="shared" si="0"/>
        <v>7</v>
      </c>
      <c r="J14">
        <f t="shared" si="0"/>
        <v>8</v>
      </c>
      <c r="K14">
        <f t="shared" si="0"/>
        <v>9</v>
      </c>
      <c r="L14">
        <f t="shared" si="0"/>
        <v>10</v>
      </c>
    </row>
    <row r="15" spans="1:12" x14ac:dyDescent="0.3">
      <c r="A15" t="s">
        <v>29</v>
      </c>
      <c r="B15" s="3">
        <f>-1000000000</f>
        <v>-1000000000</v>
      </c>
      <c r="C15" s="3">
        <f>$B$9</f>
        <v>204000000</v>
      </c>
      <c r="D15" s="3">
        <f t="shared" ref="D15:L15" si="1">$B$9</f>
        <v>204000000</v>
      </c>
      <c r="E15" s="3">
        <f t="shared" si="1"/>
        <v>204000000</v>
      </c>
      <c r="F15" s="3">
        <f t="shared" si="1"/>
        <v>204000000</v>
      </c>
      <c r="G15" s="3">
        <f t="shared" si="1"/>
        <v>204000000</v>
      </c>
      <c r="H15" s="3">
        <f t="shared" si="1"/>
        <v>204000000</v>
      </c>
      <c r="I15" s="3">
        <f t="shared" si="1"/>
        <v>204000000</v>
      </c>
      <c r="J15" s="3">
        <f t="shared" si="1"/>
        <v>204000000</v>
      </c>
      <c r="K15" s="3">
        <f t="shared" si="1"/>
        <v>204000000</v>
      </c>
      <c r="L15" s="3">
        <f t="shared" si="1"/>
        <v>204000000</v>
      </c>
    </row>
    <row r="16" spans="1:12" x14ac:dyDescent="0.3">
      <c r="A16" t="s">
        <v>9</v>
      </c>
      <c r="C16" s="3">
        <f>C15*(0.93^C14)</f>
        <v>189720000</v>
      </c>
      <c r="D16" s="3">
        <f>D15*(0.93^D14)</f>
        <v>176439600.00000003</v>
      </c>
      <c r="E16" s="3">
        <f t="shared" ref="E16:L16" si="2">E15*(0.93^E14)</f>
        <v>164088828.00000003</v>
      </c>
      <c r="F16" s="3">
        <f t="shared" si="2"/>
        <v>152602610.04000005</v>
      </c>
      <c r="G16" s="3">
        <f t="shared" si="2"/>
        <v>141920427.33720005</v>
      </c>
      <c r="H16" s="3">
        <f t="shared" si="2"/>
        <v>131985997.42359605</v>
      </c>
      <c r="I16" s="3">
        <f t="shared" si="2"/>
        <v>122746977.60394433</v>
      </c>
      <c r="J16" s="3">
        <f t="shared" si="2"/>
        <v>114154689.17166825</v>
      </c>
      <c r="K16" s="3">
        <f t="shared" si="2"/>
        <v>106163860.92965147</v>
      </c>
      <c r="L16" s="3">
        <f t="shared" si="2"/>
        <v>98732390.664575875</v>
      </c>
    </row>
    <row r="17" spans="1:12" x14ac:dyDescent="0.3">
      <c r="A17" t="s">
        <v>51</v>
      </c>
      <c r="C17" s="8">
        <f>SUM($C$16:C16)</f>
        <v>189720000</v>
      </c>
      <c r="D17" s="8">
        <f>SUM($C$16:D16)</f>
        <v>366159600</v>
      </c>
      <c r="E17" s="8">
        <f>SUM($C$16:E16)</f>
        <v>530248428</v>
      </c>
      <c r="F17" s="8">
        <f>SUM($C$16:F16)</f>
        <v>682851038.04000008</v>
      </c>
      <c r="G17" s="8">
        <f>SUM($C$16:G16)</f>
        <v>824771465.37720013</v>
      </c>
      <c r="H17" s="8">
        <f>SUM($C$16:H16)</f>
        <v>956757462.80079615</v>
      </c>
      <c r="I17" s="8">
        <f>SUM($C$16:I16)</f>
        <v>1079504440.4047406</v>
      </c>
      <c r="J17" s="8">
        <f>SUM($C$16:J16)</f>
        <v>1193659129.5764089</v>
      </c>
      <c r="K17" s="8">
        <f>SUM($C$16:K16)</f>
        <v>1299822990.5060604</v>
      </c>
      <c r="L17" s="8">
        <f>SUM($C$16:L16)</f>
        <v>1398555381.1706362</v>
      </c>
    </row>
    <row r="18" spans="1:12" x14ac:dyDescent="0.3">
      <c r="F18" s="3">
        <f>-B15-H17</f>
        <v>43242537.199203849</v>
      </c>
    </row>
    <row r="19" spans="1:12" x14ac:dyDescent="0.3">
      <c r="A19" t="s">
        <v>30</v>
      </c>
      <c r="B19" s="4">
        <f>NPV(C3,C15:L15)+B15</f>
        <v>432810634.35025048</v>
      </c>
      <c r="F19" s="3">
        <f>I17-H17</f>
        <v>122746977.60394442</v>
      </c>
      <c r="G19" s="3"/>
      <c r="I19" s="3">
        <f>-B15-H17</f>
        <v>43242537.199203849</v>
      </c>
    </row>
    <row r="20" spans="1:12" x14ac:dyDescent="0.3">
      <c r="A20" t="s">
        <v>34</v>
      </c>
      <c r="B20" s="6">
        <f>IRR(B15:L15)</f>
        <v>0.15622389078164378</v>
      </c>
      <c r="F20" s="9">
        <f>F18/F19</f>
        <v>0.35229003632765837</v>
      </c>
      <c r="G20">
        <f>F20*365</f>
        <v>128.5858632595953</v>
      </c>
    </row>
    <row r="21" spans="1:12" x14ac:dyDescent="0.3">
      <c r="G21" t="s">
        <v>56</v>
      </c>
    </row>
    <row r="22" spans="1:12" x14ac:dyDescent="0.3">
      <c r="G22">
        <f>G20/30</f>
        <v>4.2861954419865098</v>
      </c>
      <c r="H22" t="s">
        <v>57</v>
      </c>
    </row>
    <row r="23" spans="1:12" x14ac:dyDescent="0.3">
      <c r="A23" t="s">
        <v>33</v>
      </c>
      <c r="G23">
        <f>(G22-4)*30</f>
        <v>8.5858632595952944</v>
      </c>
      <c r="H23">
        <v>9</v>
      </c>
    </row>
    <row r="25" spans="1:12" x14ac:dyDescent="0.3">
      <c r="A25" t="s">
        <v>23</v>
      </c>
      <c r="B25">
        <v>500000</v>
      </c>
      <c r="D25">
        <v>500000</v>
      </c>
      <c r="H25" t="s">
        <v>58</v>
      </c>
    </row>
    <row r="26" spans="1:12" x14ac:dyDescent="0.3">
      <c r="A26" t="s">
        <v>39</v>
      </c>
      <c r="B26">
        <v>300000</v>
      </c>
      <c r="D26">
        <v>1100</v>
      </c>
    </row>
    <row r="27" spans="1:12" x14ac:dyDescent="0.3">
      <c r="A27" t="s">
        <v>40</v>
      </c>
      <c r="B27">
        <v>200000</v>
      </c>
      <c r="D27">
        <v>420</v>
      </c>
    </row>
    <row r="28" spans="1:12" x14ac:dyDescent="0.3">
      <c r="A28" t="s">
        <v>37</v>
      </c>
      <c r="B28">
        <f>1100</f>
        <v>1100</v>
      </c>
      <c r="D28">
        <f>D25*(D26-D27)</f>
        <v>340000000</v>
      </c>
    </row>
    <row r="29" spans="1:12" x14ac:dyDescent="0.3">
      <c r="A29" t="s">
        <v>38</v>
      </c>
      <c r="B29">
        <f>B28+800</f>
        <v>1900</v>
      </c>
    </row>
    <row r="30" spans="1:12" x14ac:dyDescent="0.3">
      <c r="A30" t="s">
        <v>42</v>
      </c>
      <c r="B30">
        <f>420</f>
        <v>420</v>
      </c>
    </row>
    <row r="31" spans="1:12" x14ac:dyDescent="0.3">
      <c r="A31" t="s">
        <v>41</v>
      </c>
      <c r="B31">
        <f>B30+800</f>
        <v>1220</v>
      </c>
    </row>
    <row r="33" spans="1:12" x14ac:dyDescent="0.3">
      <c r="A33" t="s">
        <v>26</v>
      </c>
      <c r="B33" s="3">
        <f>B26*(B28-B30)+B27*(B29-B31)</f>
        <v>340000000</v>
      </c>
    </row>
    <row r="37" spans="1:12" x14ac:dyDescent="0.3">
      <c r="B37">
        <v>0</v>
      </c>
      <c r="C37">
        <v>1</v>
      </c>
      <c r="D37">
        <f>C37+1</f>
        <v>2</v>
      </c>
      <c r="E37">
        <f t="shared" ref="E37" si="3">D37+1</f>
        <v>3</v>
      </c>
      <c r="F37">
        <f t="shared" ref="F37" si="4">E37+1</f>
        <v>4</v>
      </c>
      <c r="G37">
        <f t="shared" ref="G37" si="5">F37+1</f>
        <v>5</v>
      </c>
      <c r="H37">
        <f t="shared" ref="H37" si="6">G37+1</f>
        <v>6</v>
      </c>
      <c r="I37">
        <f t="shared" ref="I37" si="7">H37+1</f>
        <v>7</v>
      </c>
      <c r="J37">
        <f t="shared" ref="J37" si="8">I37+1</f>
        <v>8</v>
      </c>
      <c r="K37">
        <f t="shared" ref="K37" si="9">J37+1</f>
        <v>9</v>
      </c>
      <c r="L37">
        <f t="shared" ref="L37" si="10">K37+1</f>
        <v>10</v>
      </c>
    </row>
    <row r="38" spans="1:12" x14ac:dyDescent="0.3">
      <c r="A38" t="s">
        <v>29</v>
      </c>
      <c r="B38">
        <v>-1470000000</v>
      </c>
      <c r="C38" s="3">
        <f>$B$33</f>
        <v>340000000</v>
      </c>
      <c r="D38" s="3">
        <f t="shared" ref="D38:L38" si="11">$B$33</f>
        <v>340000000</v>
      </c>
      <c r="E38" s="3">
        <f t="shared" si="11"/>
        <v>340000000</v>
      </c>
      <c r="F38" s="3">
        <f t="shared" si="11"/>
        <v>340000000</v>
      </c>
      <c r="G38" s="3">
        <f t="shared" si="11"/>
        <v>340000000</v>
      </c>
      <c r="H38" s="3">
        <f t="shared" si="11"/>
        <v>340000000</v>
      </c>
      <c r="I38" s="3">
        <f t="shared" si="11"/>
        <v>340000000</v>
      </c>
      <c r="J38" s="3">
        <f t="shared" si="11"/>
        <v>340000000</v>
      </c>
      <c r="K38" s="3">
        <f t="shared" si="11"/>
        <v>340000000</v>
      </c>
      <c r="L38" s="3">
        <f t="shared" si="11"/>
        <v>340000000</v>
      </c>
    </row>
    <row r="39" spans="1:12" x14ac:dyDescent="0.3">
      <c r="A39" t="s">
        <v>59</v>
      </c>
      <c r="C39" s="3">
        <f>C38*(0.93^C37)</f>
        <v>316200000</v>
      </c>
      <c r="D39" s="3">
        <f t="shared" ref="D39:L39" si="12">D38*(0.93^D37)</f>
        <v>294066000.00000006</v>
      </c>
      <c r="E39" s="3">
        <f t="shared" si="12"/>
        <v>273481380.00000006</v>
      </c>
      <c r="F39" s="3">
        <f t="shared" si="12"/>
        <v>254337683.40000007</v>
      </c>
      <c r="G39" s="3">
        <f t="shared" si="12"/>
        <v>236534045.56200007</v>
      </c>
      <c r="H39" s="3">
        <f t="shared" si="12"/>
        <v>219976662.3726601</v>
      </c>
      <c r="I39" s="3">
        <f t="shared" si="12"/>
        <v>204578296.00657389</v>
      </c>
      <c r="J39" s="3">
        <f t="shared" si="12"/>
        <v>190257815.28611377</v>
      </c>
      <c r="K39" s="3">
        <f t="shared" si="12"/>
        <v>176939768.21608579</v>
      </c>
      <c r="L39" s="3">
        <f t="shared" si="12"/>
        <v>164553984.44095981</v>
      </c>
    </row>
    <row r="40" spans="1:12" x14ac:dyDescent="0.3">
      <c r="A40" t="s">
        <v>10</v>
      </c>
      <c r="C40" s="8">
        <f>SUM($C$38:C38)</f>
        <v>340000000</v>
      </c>
      <c r="D40" s="8">
        <f>SUM($C$38:D38)</f>
        <v>680000000</v>
      </c>
      <c r="E40" s="8">
        <f>SUM($C$38:E38)</f>
        <v>1020000000</v>
      </c>
      <c r="F40" s="8">
        <f>SUM($C$38:F38)</f>
        <v>1360000000</v>
      </c>
      <c r="G40" s="8">
        <f>SUM($C$38:G38)</f>
        <v>1700000000</v>
      </c>
      <c r="H40" s="8">
        <f>SUM($C$38:H38)</f>
        <v>2040000000</v>
      </c>
      <c r="I40" s="8">
        <f>SUM($C$38:I38)</f>
        <v>2380000000</v>
      </c>
      <c r="J40" s="8">
        <f>SUM($C$38:J38)</f>
        <v>2720000000</v>
      </c>
      <c r="K40" s="8">
        <f>SUM($C$38:K38)</f>
        <v>3060000000</v>
      </c>
      <c r="L40" s="8">
        <f>SUM($C$38:L38)</f>
        <v>3400000000</v>
      </c>
    </row>
    <row r="41" spans="1:12" x14ac:dyDescent="0.3">
      <c r="F41" s="3">
        <f>-B38-F40</f>
        <v>110000000</v>
      </c>
    </row>
    <row r="42" spans="1:12" x14ac:dyDescent="0.3">
      <c r="F42" s="3">
        <f>G40-F40</f>
        <v>340000000</v>
      </c>
    </row>
    <row r="43" spans="1:12" x14ac:dyDescent="0.3">
      <c r="F43">
        <f>F41/F42</f>
        <v>0.3235294117647059</v>
      </c>
      <c r="G43" s="7">
        <f>F43*365</f>
        <v>118.08823529411765</v>
      </c>
    </row>
    <row r="44" spans="1:12" x14ac:dyDescent="0.3">
      <c r="A44" t="s">
        <v>30</v>
      </c>
      <c r="B44" s="4">
        <f>NPV(C3,C38:L38)+B38</f>
        <v>918017723.91708374</v>
      </c>
      <c r="G44" t="s">
        <v>43</v>
      </c>
    </row>
    <row r="45" spans="1:12" x14ac:dyDescent="0.3">
      <c r="A45" t="s">
        <v>34</v>
      </c>
      <c r="B45" s="6">
        <f>IRR(B38:L38)</f>
        <v>0.1910252863313302</v>
      </c>
    </row>
    <row r="49" spans="1:7" x14ac:dyDescent="0.3">
      <c r="A49" t="s">
        <v>36</v>
      </c>
      <c r="B49" s="4">
        <f>B44-B19</f>
        <v>485207089.56683326</v>
      </c>
    </row>
    <row r="50" spans="1:7" x14ac:dyDescent="0.3">
      <c r="B50" s="6">
        <f>B45-B20</f>
        <v>3.480139554968642E-2</v>
      </c>
    </row>
    <row r="54" spans="1:7" x14ac:dyDescent="0.3">
      <c r="B54" t="s">
        <v>22</v>
      </c>
      <c r="C54" t="s">
        <v>33</v>
      </c>
    </row>
    <row r="55" spans="1:7" x14ac:dyDescent="0.3">
      <c r="A55" t="s">
        <v>30</v>
      </c>
      <c r="B55" s="4">
        <f>B19</f>
        <v>432810634.35025048</v>
      </c>
      <c r="C55" s="4">
        <f>B44</f>
        <v>918017723.91708374</v>
      </c>
      <c r="D55" t="s">
        <v>50</v>
      </c>
      <c r="E55" s="4">
        <f>C55-B55</f>
        <v>485207089.56683326</v>
      </c>
    </row>
    <row r="56" spans="1:7" x14ac:dyDescent="0.3">
      <c r="A56" t="s">
        <v>34</v>
      </c>
      <c r="B56" s="6">
        <f>B20</f>
        <v>0.15622389078164378</v>
      </c>
      <c r="C56" s="6">
        <f>B45</f>
        <v>0.1910252863313302</v>
      </c>
      <c r="D56" t="s">
        <v>50</v>
      </c>
    </row>
    <row r="57" spans="1:7" x14ac:dyDescent="0.3">
      <c r="A57" t="s">
        <v>49</v>
      </c>
      <c r="B57">
        <f>G20</f>
        <v>128.5858632595953</v>
      </c>
      <c r="C57" s="7">
        <f>G43</f>
        <v>118.08823529411765</v>
      </c>
      <c r="D57" t="s">
        <v>50</v>
      </c>
    </row>
    <row r="58" spans="1:7" x14ac:dyDescent="0.3">
      <c r="B58" s="9"/>
      <c r="C58" s="9"/>
    </row>
    <row r="60" spans="1:7" x14ac:dyDescent="0.3">
      <c r="F60" s="3">
        <f>C38-C15</f>
        <v>136000000</v>
      </c>
      <c r="G60" s="3">
        <f>B15-B38</f>
        <v>470000000</v>
      </c>
    </row>
    <row r="63" spans="1:7" x14ac:dyDescent="0.3">
      <c r="A63" t="s">
        <v>52</v>
      </c>
      <c r="B63">
        <f>G60/F60</f>
        <v>3.4558823529411766</v>
      </c>
    </row>
    <row r="64" spans="1:7" x14ac:dyDescent="0.3">
      <c r="B64" t="s">
        <v>53</v>
      </c>
    </row>
    <row r="65" spans="2:2" x14ac:dyDescent="0.3">
      <c r="B65" t="s">
        <v>54</v>
      </c>
    </row>
    <row r="66" spans="2:2" x14ac:dyDescent="0.3">
      <c r="B66" t="s">
        <v>55</v>
      </c>
    </row>
    <row r="69" spans="2:2" x14ac:dyDescent="0.3">
      <c r="B69" t="s">
        <v>60</v>
      </c>
    </row>
    <row r="71" spans="2:2" x14ac:dyDescent="0.3">
      <c r="B7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3A76-E188-42B7-9BAE-8F499DEFB9AE}">
  <dimension ref="A1:J11"/>
  <sheetViews>
    <sheetView workbookViewId="0">
      <selection activeCell="A12" sqref="A12"/>
    </sheetView>
  </sheetViews>
  <sheetFormatPr baseColWidth="10" defaultRowHeight="14.4" x14ac:dyDescent="0.3"/>
  <cols>
    <col min="1" max="1" width="16.77734375" bestFit="1" customWidth="1"/>
  </cols>
  <sheetData>
    <row r="1" spans="1:10" x14ac:dyDescent="0.3">
      <c r="A1" t="s">
        <v>31</v>
      </c>
    </row>
    <row r="2" spans="1:10" x14ac:dyDescent="0.3">
      <c r="A2" t="s">
        <v>8</v>
      </c>
      <c r="B2" s="2">
        <v>0.05</v>
      </c>
      <c r="I2" t="s">
        <v>46</v>
      </c>
    </row>
    <row r="3" spans="1:10" x14ac:dyDescent="0.3">
      <c r="A3" t="s">
        <v>32</v>
      </c>
      <c r="B3">
        <v>0</v>
      </c>
      <c r="C3">
        <v>1</v>
      </c>
      <c r="D3">
        <v>2</v>
      </c>
      <c r="E3">
        <v>3</v>
      </c>
      <c r="F3">
        <v>4</v>
      </c>
      <c r="G3" t="s">
        <v>30</v>
      </c>
      <c r="H3" t="s">
        <v>34</v>
      </c>
      <c r="I3" t="s">
        <v>44</v>
      </c>
      <c r="J3" t="s">
        <v>45</v>
      </c>
    </row>
    <row r="4" spans="1:10" x14ac:dyDescent="0.3">
      <c r="A4" t="s">
        <v>22</v>
      </c>
      <c r="B4">
        <v>-100</v>
      </c>
      <c r="C4">
        <v>10</v>
      </c>
      <c r="D4">
        <v>20</v>
      </c>
      <c r="E4">
        <v>40</v>
      </c>
      <c r="F4">
        <v>55</v>
      </c>
      <c r="G4" s="5">
        <f>NPV(B2,C4:F4)+B4</f>
        <v>7.4665391477830667</v>
      </c>
      <c r="H4" s="6">
        <f>IRR(B4:F4)</f>
        <v>7.4969819653015524E-2</v>
      </c>
      <c r="I4">
        <v>8.42</v>
      </c>
      <c r="J4" s="6">
        <v>7.1400000000000005E-2</v>
      </c>
    </row>
    <row r="5" spans="1:10" x14ac:dyDescent="0.3">
      <c r="A5" t="s">
        <v>33</v>
      </c>
      <c r="B5">
        <v>-100</v>
      </c>
      <c r="C5">
        <v>60</v>
      </c>
      <c r="D5">
        <v>40</v>
      </c>
      <c r="E5">
        <v>10</v>
      </c>
      <c r="F5">
        <v>5</v>
      </c>
      <c r="G5" s="5">
        <f>NPV(B2,C5:F5)+B5</f>
        <v>6.175924640453303</v>
      </c>
      <c r="H5" s="6">
        <f>IRR(B5:F5)</f>
        <v>8.9843285136826712E-2</v>
      </c>
      <c r="I5">
        <v>8.6</v>
      </c>
      <c r="J5" s="6">
        <v>7.1800000000000003E-2</v>
      </c>
    </row>
    <row r="7" spans="1:10" x14ac:dyDescent="0.3">
      <c r="A7" t="s">
        <v>35</v>
      </c>
      <c r="B7">
        <v>-100</v>
      </c>
      <c r="C7">
        <f>-B7*106%</f>
        <v>106</v>
      </c>
      <c r="D7">
        <f t="shared" ref="D7:F7" si="0">C7*106%</f>
        <v>112.36</v>
      </c>
      <c r="E7">
        <f t="shared" si="0"/>
        <v>119.1016</v>
      </c>
      <c r="F7">
        <f t="shared" si="0"/>
        <v>126.247696</v>
      </c>
      <c r="G7" s="7">
        <f>F7+B7</f>
        <v>26.247696000000005</v>
      </c>
    </row>
    <row r="8" spans="1:10" x14ac:dyDescent="0.3">
      <c r="B8" s="2">
        <v>0.06</v>
      </c>
    </row>
    <row r="10" spans="1:10" x14ac:dyDescent="0.3">
      <c r="A10" t="s">
        <v>47</v>
      </c>
    </row>
    <row r="11" spans="1:10" x14ac:dyDescent="0.3">
      <c r="A1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Exo synthèse</vt:lpstr>
      <vt:lpstr>Exo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2025-03-11T10:23:53Z</dcterms:created>
  <dcterms:modified xsi:type="dcterms:W3CDTF">2025-03-19T10:57:54Z</dcterms:modified>
</cp:coreProperties>
</file>