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amtti\Documents\Université\Finance\M1_Finance\"/>
    </mc:Choice>
  </mc:AlternateContent>
  <xr:revisionPtr revIDLastSave="0" documentId="13_ncr:1_{91DBB9D7-38D1-4CA4-8DD4-738C0044704F}" xr6:coauthVersionLast="47" xr6:coauthVersionMax="47" xr10:uidLastSave="{00000000-0000-0000-0000-000000000000}"/>
  <bookViews>
    <workbookView xWindow="-108" yWindow="-108" windowWidth="23256" windowHeight="13176" xr2:uid="{90B8E510-168B-4EF9-B3DB-94250E9C4314}"/>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8" i="1" l="1"/>
  <c r="B84" i="1"/>
  <c r="B87" i="1"/>
  <c r="B81" i="1"/>
  <c r="B89" i="1"/>
  <c r="B85" i="1"/>
  <c r="B83" i="1"/>
  <c r="B82" i="1"/>
  <c r="B79" i="1"/>
  <c r="B77" i="1"/>
  <c r="B76" i="1"/>
  <c r="B75" i="1"/>
  <c r="J39" i="1"/>
  <c r="J40" i="1"/>
  <c r="J41" i="1"/>
  <c r="J33" i="1"/>
  <c r="J32" i="1"/>
  <c r="C54" i="1"/>
  <c r="B88" i="1" l="1"/>
  <c r="B90" i="1" s="1"/>
  <c r="D21" i="1"/>
  <c r="D23" i="1"/>
  <c r="D24" i="1"/>
  <c r="D25" i="1"/>
  <c r="D27" i="1"/>
  <c r="D32" i="1"/>
  <c r="D33" i="1"/>
  <c r="D34" i="1"/>
  <c r="D36" i="1"/>
  <c r="D37" i="1"/>
  <c r="D38" i="1"/>
  <c r="D39" i="1"/>
  <c r="D41" i="1"/>
  <c r="D20" i="1"/>
  <c r="B7" i="1"/>
  <c r="F7" i="1" s="1"/>
  <c r="B10" i="1"/>
  <c r="B12" i="1" s="1"/>
  <c r="F3" i="1"/>
  <c r="F5" i="1"/>
  <c r="F6" i="1"/>
  <c r="F8" i="1"/>
  <c r="F9" i="1"/>
  <c r="F11" i="1"/>
  <c r="F13" i="1"/>
  <c r="F15" i="1"/>
  <c r="F4" i="1"/>
  <c r="I42" i="1"/>
  <c r="H42" i="1"/>
  <c r="J42" i="1" s="1"/>
  <c r="I34" i="1"/>
  <c r="H34" i="1"/>
  <c r="J34" i="1" s="1"/>
  <c r="B14" i="1" l="1"/>
  <c r="F14" i="1" s="1"/>
  <c r="B54" i="1"/>
  <c r="F10" i="1"/>
  <c r="F12" i="1"/>
  <c r="D54" i="1" l="1"/>
  <c r="B16" i="1"/>
  <c r="F16" i="1" s="1"/>
  <c r="I20" i="1"/>
  <c r="H20" i="1"/>
  <c r="J20" i="1" s="1"/>
  <c r="B28" i="1"/>
  <c r="C28" i="1"/>
  <c r="B26" i="1"/>
  <c r="H22" i="1" s="1"/>
  <c r="C26" i="1"/>
  <c r="B22" i="1"/>
  <c r="C22" i="1"/>
  <c r="B42" i="1"/>
  <c r="C42" i="1"/>
  <c r="B40" i="1"/>
  <c r="C40" i="1"/>
  <c r="B35" i="1"/>
  <c r="C35" i="1"/>
  <c r="D10" i="1"/>
  <c r="E10" i="1"/>
  <c r="D12" i="1"/>
  <c r="E12" i="1"/>
  <c r="D14" i="1"/>
  <c r="E14" i="1"/>
  <c r="D16" i="1"/>
  <c r="H21" i="1" s="1"/>
  <c r="E16" i="1"/>
  <c r="I21" i="1" s="1"/>
  <c r="E7" i="1"/>
  <c r="D7" i="1"/>
  <c r="D3" i="1"/>
  <c r="D42" i="1" l="1"/>
  <c r="C29" i="1"/>
  <c r="B29" i="1"/>
  <c r="D22" i="1"/>
  <c r="D35" i="1"/>
  <c r="D28" i="1"/>
  <c r="J21" i="1"/>
  <c r="D26" i="1"/>
  <c r="D40" i="1"/>
  <c r="I23" i="1"/>
  <c r="H23" i="1"/>
  <c r="I22" i="1"/>
  <c r="I35" i="1" s="1"/>
  <c r="I36" i="1" s="1"/>
  <c r="C55" i="1" s="1"/>
  <c r="C56" i="1" s="1"/>
  <c r="I25" i="1"/>
  <c r="H25" i="1"/>
  <c r="J25" i="1" s="1"/>
  <c r="B43" i="1"/>
  <c r="C43" i="1"/>
  <c r="D29" i="1" l="1"/>
  <c r="D43" i="1"/>
  <c r="H35" i="1"/>
  <c r="J22" i="1"/>
  <c r="J23" i="1"/>
  <c r="I24" i="1"/>
  <c r="I26" i="1" s="1"/>
  <c r="I43" i="1" s="1"/>
  <c r="I44" i="1" s="1"/>
  <c r="C53" i="1" s="1"/>
  <c r="H24" i="1"/>
  <c r="J24" i="1" s="1"/>
  <c r="H36" i="1" l="1"/>
  <c r="J35" i="1"/>
  <c r="H26" i="1"/>
  <c r="B55" i="1" l="1"/>
  <c r="J36" i="1"/>
  <c r="H43" i="1"/>
  <c r="J26" i="1"/>
  <c r="H44" i="1" l="1"/>
  <c r="J43" i="1"/>
  <c r="D55" i="1"/>
  <c r="B56" i="1"/>
  <c r="D56" i="1" s="1"/>
  <c r="J44" i="1" l="1"/>
  <c r="B53" i="1"/>
  <c r="D53" i="1" s="1"/>
</calcChain>
</file>

<file path=xl/sharedStrings.xml><?xml version="1.0" encoding="utf-8"?>
<sst xmlns="http://schemas.openxmlformats.org/spreadsheetml/2006/main" count="117" uniqueCount="93">
  <si>
    <t>Soldes intermédiaires de gestion BLEUE en K€</t>
  </si>
  <si>
    <t>Chiffre d'affaires</t>
  </si>
  <si>
    <t>Achats de matières première</t>
  </si>
  <si>
    <t>Variation des tocks de matières premières</t>
  </si>
  <si>
    <t>Autres achats et charges externes</t>
  </si>
  <si>
    <t>Valeur ajoutée</t>
  </si>
  <si>
    <t>Impôts et taxes</t>
  </si>
  <si>
    <t>Frais de personnel</t>
  </si>
  <si>
    <t>Excédent brut d'exploitation</t>
  </si>
  <si>
    <t>Dotation aux amortissements</t>
  </si>
  <si>
    <t>Résultat d'exploitation</t>
  </si>
  <si>
    <t>Charges financières</t>
  </si>
  <si>
    <t>Résultat courant</t>
  </si>
  <si>
    <t>Impôt sur les bénéfices</t>
  </si>
  <si>
    <t>Résultat net</t>
  </si>
  <si>
    <t>N</t>
  </si>
  <si>
    <t>N-1</t>
  </si>
  <si>
    <t>N%</t>
  </si>
  <si>
    <t>N-1%</t>
  </si>
  <si>
    <t>Bilans en grandes masses BLEUE en K€</t>
  </si>
  <si>
    <t>ACTIF</t>
  </si>
  <si>
    <t>Immobilisations incorporelles</t>
  </si>
  <si>
    <t>Immobilisations corporelles</t>
  </si>
  <si>
    <t>Actif immobilisé</t>
  </si>
  <si>
    <t>Stocks</t>
  </si>
  <si>
    <t>Créances clients</t>
  </si>
  <si>
    <t>Autres créances</t>
  </si>
  <si>
    <t>Actif circulant lié à l'exploitation</t>
  </si>
  <si>
    <t>Disponibilités</t>
  </si>
  <si>
    <t>Trésorerie disponible</t>
  </si>
  <si>
    <t>Total actif</t>
  </si>
  <si>
    <t>Passif</t>
  </si>
  <si>
    <t>Capital social</t>
  </si>
  <si>
    <t>Réserves</t>
  </si>
  <si>
    <t>Résultat de l'exercice</t>
  </si>
  <si>
    <t>Capitaux propres</t>
  </si>
  <si>
    <t>Emprunts à long et moyen terme</t>
  </si>
  <si>
    <t>Dettes fournisseurs</t>
  </si>
  <si>
    <t>Dettes fiscales et sociales</t>
  </si>
  <si>
    <t>Autres dettes</t>
  </si>
  <si>
    <t>Dettes liées à l'exploitation</t>
  </si>
  <si>
    <t>Concours bancaires courants</t>
  </si>
  <si>
    <t>Dettes de trésorerie</t>
  </si>
  <si>
    <t>Total passif</t>
  </si>
  <si>
    <t>CAF</t>
  </si>
  <si>
    <t>BFR</t>
  </si>
  <si>
    <t>Endettement net</t>
  </si>
  <si>
    <t>CAF a augmenté</t>
  </si>
  <si>
    <t>Marge nette</t>
  </si>
  <si>
    <t>FR</t>
  </si>
  <si>
    <t>Trésorerie TA-TP</t>
  </si>
  <si>
    <t>Trésorerie FRBFR</t>
  </si>
  <si>
    <t>Baisse de la marge nette de ~-0,2</t>
  </si>
  <si>
    <t>Delta N-1 -&gt; N</t>
  </si>
  <si>
    <t>Bilan économique</t>
  </si>
  <si>
    <t>Delta</t>
  </si>
  <si>
    <t>Le CA augmente de 30% et le résultat d'exploitation augmente aussi de 30%. L'entreprise est donc bien parvenue à augmenter sa productivité. Cependant, le résultat net tombe à 15% d'augmentation à cause de la partie financière (charges financières, impôts, etc)</t>
  </si>
  <si>
    <t>1. Le CA augmente de 30% et le résultat d'exploitation augmente aussi de 30%. L'entreprise est donc bien parvenue à augmenter sa productivité. Cependant, le résultat net tombe à 15% d'augmentation à cause de la partie financière (charges financières, impôts, etc)</t>
  </si>
  <si>
    <t>Analyse de la rentabilité</t>
  </si>
  <si>
    <t>ROCE</t>
  </si>
  <si>
    <t>Marge d'exploitation</t>
  </si>
  <si>
    <t>Rotation de l'actif</t>
  </si>
  <si>
    <t>ROCE recalculé</t>
  </si>
  <si>
    <t xml:space="preserve">2. Marge d'exploitation : Elle mesure la rentabilité de l’entreprise en fonction de son chiffre d’affaires. Plus elle est élevée, plus l’entreprise génère de bénéfices avant impôts et intérêts pour chaque euro de vente. Une faible marge signifie que les coûts d’exploitation sont élevés par rapport aux revenus. </t>
  </si>
  <si>
    <t>Rotation de l'actif : Ce ratio indique l’efficacité avec laquelle l’entreprise utilise ses actifs pour générer du chiffre d’affaires. Plus il est élevé, plus l’entreprise est capable de convertir ses investissements en revenus. Un ratio bas peut signifier une sous-utilisation des actifs ou une structure de capital trop lourde.</t>
  </si>
  <si>
    <t>3. La rentabilité diminue de 7,06%. Bien que la marge d'exploitation augmente de 2,79% en N, la rotation de l'actif diminue de 9,59%, révélant que l'entreprise perd en efficacité d'utilisation de ses actifs</t>
  </si>
  <si>
    <t>4. Le BFR augmente de 200% à cause d'une augmentation de 90% des créances clients. Nous pouvons justifier cette augmentation des créances clients par une augmentation importante de la clientèle (comme le démontre l'augmentation de 59% des achats de matière première)</t>
  </si>
  <si>
    <t>5. L'entreprise vend beaucoup plus (+29%), cependant cette augmentation soudaine l'a poussée à investir de façon importante et trop rapide.</t>
  </si>
  <si>
    <t>Le ROCE représente ce que l'argent investi dans les immo (long terme) et le BFR (cycle d'exploitation - moyen terme) rapportera au niveau de l'exploitation (résultat d'exploitation). Et le bilan économique représente la source de ces investissements.</t>
  </si>
  <si>
    <t>Marge très faible</t>
  </si>
  <si>
    <t>Quelle est la différence entre le ROCE et la marge d'exploitation ? : La ROCE est au bilan, la ME est au compte de résultat</t>
  </si>
  <si>
    <t>Combien est ce que 1€ d'actif génère de CA</t>
  </si>
  <si>
    <t>A augmenté de 43%, c'est énorme. Certes le CA n'a augmenté que de 29%, il lui faut un temps d'adaptation pour suivre.</t>
  </si>
  <si>
    <t>Compte tenu de l'investissement massif que l'entreprise a effectué, la rentabilité de l'entreprise reste assez stable (-7%). Compte tenu des investissements (+45% d'augmentation des actifs), il faut laisser le temps au CA de suivre et faire attention à ce que la marge d'exploitation suive.</t>
  </si>
  <si>
    <t>PARTIE C</t>
  </si>
  <si>
    <t>CASHFLOW</t>
  </si>
  <si>
    <t>Capacité d'autofinancement</t>
  </si>
  <si>
    <t>Variation du BFR</t>
  </si>
  <si>
    <t>Flux de trésorerie sur activité d'exploitation (A)</t>
  </si>
  <si>
    <t>Cession d'immobilisations</t>
  </si>
  <si>
    <t>Investissements</t>
  </si>
  <si>
    <t>Flux de trésorerie sur activité d'investissement (B)</t>
  </si>
  <si>
    <t>Augmentation de capital</t>
  </si>
  <si>
    <t>Dividendes versées</t>
  </si>
  <si>
    <t>Emprunt souscrits  à LMT</t>
  </si>
  <si>
    <t>Remboursements d'emprunts à LMT</t>
  </si>
  <si>
    <t>Flux de trésorerie sur activité de financement (C)</t>
  </si>
  <si>
    <t>Flux de trésorerie de l'exercice (A+B+C)</t>
  </si>
  <si>
    <t>Trésorerie de l'exercice précédent</t>
  </si>
  <si>
    <t>Trésorerie de l'exercice</t>
  </si>
  <si>
    <t>On ne le calcule pas car on n'a pas d'info dans l'énoncé quant aux remboursements de l'emprunt</t>
  </si>
  <si>
    <t>On remarque une grande augmentation du BFR ce qui peut indiquer une augmentation de la clientèle</t>
  </si>
  <si>
    <t>On remarque également une grande augmentation des investissements. Ce qui indique que l'entreprise est en bonne santé. Elle est cependant en manque de liquidités.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</si>
</sst>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
  </numFmts>
  <fonts count="3" x14ac:knownFonts="1">
    <font>
      <sz val="11"/>
      <color theme="1"/>
      <name val="Aptos Narrow"/>
      <family val="2"/>
      <scheme val="minor"/>
    </font>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9" fontId="1" fillId="0" borderId="0" applyFont="0" applyFill="0" applyBorder="0" applyAlignment="0" applyProtection="0"/>
    <xf numFmtId="43" fontId="1" fillId="0" borderId="0" applyFont="0" applyFill="0" applyBorder="0" applyAlignment="0" applyProtection="0"/>
  </cellStyleXfs>
  <cellXfs count="15">
    <xf numFmtId="0" fontId="0" fillId="0" borderId="0" xfId="0"/>
    <xf numFmtId="0" fontId="0" fillId="0" borderId="1" xfId="0" applyBorder="1"/>
    <xf numFmtId="0" fontId="2" fillId="0" borderId="1" xfId="0" applyFont="1" applyBorder="1"/>
    <xf numFmtId="164" fontId="2" fillId="0" borderId="1" xfId="1" applyNumberFormat="1" applyFont="1" applyBorder="1"/>
    <xf numFmtId="164" fontId="0" fillId="0" borderId="1" xfId="1" applyNumberFormat="1" applyFont="1" applyBorder="1"/>
    <xf numFmtId="0" fontId="2" fillId="0" borderId="0" xfId="0" applyFont="1"/>
    <xf numFmtId="0" fontId="2" fillId="0" borderId="1" xfId="0" applyFont="1" applyBorder="1" applyAlignment="1">
      <alignment horizontal="center"/>
    </xf>
    <xf numFmtId="164" fontId="0" fillId="0" borderId="1" xfId="0" applyNumberFormat="1" applyBorder="1"/>
    <xf numFmtId="164" fontId="0" fillId="0" borderId="0" xfId="1" applyNumberFormat="1" applyFont="1"/>
    <xf numFmtId="10" fontId="0" fillId="0" borderId="0" xfId="1" applyNumberFormat="1" applyFont="1"/>
    <xf numFmtId="0" fontId="0" fillId="0" borderId="2" xfId="0" applyBorder="1"/>
    <xf numFmtId="10" fontId="2" fillId="0" borderId="0" xfId="1" applyNumberFormat="1" applyFont="1"/>
    <xf numFmtId="0" fontId="0" fillId="0" borderId="0" xfId="0" applyAlignment="1">
      <alignment wrapText="1"/>
    </xf>
    <xf numFmtId="10" fontId="0" fillId="0" borderId="0" xfId="0" applyNumberFormat="1"/>
    <xf numFmtId="43" fontId="0" fillId="0" borderId="0" xfId="2" applyFont="1"/>
  </cellXfs>
  <cellStyles count="3">
    <cellStyle name="Milliers" xfId="2" builtinId="3"/>
    <cellStyle name="Normal" xfId="0" builtinId="0"/>
    <cellStyle name="Pourcentag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7DB8E-C74C-4A98-91D1-FA64200BF846}">
  <dimension ref="A1:L94"/>
  <sheetViews>
    <sheetView tabSelected="1" topLeftCell="A65" workbookViewId="0">
      <selection activeCell="A94" sqref="A94"/>
    </sheetView>
  </sheetViews>
  <sheetFormatPr baseColWidth="10" defaultRowHeight="14.4" x14ac:dyDescent="0.3"/>
  <cols>
    <col min="1" max="1" width="44.109375" customWidth="1"/>
    <col min="7" max="7" width="28.109375" bestFit="1" customWidth="1"/>
    <col min="10" max="10" width="12.109375" bestFit="1" customWidth="1"/>
  </cols>
  <sheetData>
    <row r="1" spans="1:8" x14ac:dyDescent="0.3">
      <c r="A1" t="s">
        <v>0</v>
      </c>
    </row>
    <row r="2" spans="1:8" x14ac:dyDescent="0.3">
      <c r="A2" s="1"/>
      <c r="B2" s="1" t="s">
        <v>15</v>
      </c>
      <c r="C2" s="1" t="s">
        <v>16</v>
      </c>
      <c r="D2" s="1" t="s">
        <v>17</v>
      </c>
      <c r="E2" s="1" t="s">
        <v>18</v>
      </c>
      <c r="F2" s="10" t="s">
        <v>55</v>
      </c>
    </row>
    <row r="3" spans="1:8" x14ac:dyDescent="0.3">
      <c r="A3" s="2" t="s">
        <v>1</v>
      </c>
      <c r="B3" s="2">
        <v>45400</v>
      </c>
      <c r="C3" s="2">
        <v>35000</v>
      </c>
      <c r="D3" s="3">
        <f>B3/B3</f>
        <v>1</v>
      </c>
      <c r="E3" s="3"/>
      <c r="F3" s="11">
        <f t="shared" ref="F3:F16" si="0">B3/C3-1</f>
        <v>0.29714285714285715</v>
      </c>
      <c r="H3" t="s">
        <v>56</v>
      </c>
    </row>
    <row r="4" spans="1:8" x14ac:dyDescent="0.3">
      <c r="A4" s="1" t="s">
        <v>2</v>
      </c>
      <c r="B4" s="1">
        <v>13400</v>
      </c>
      <c r="C4" s="1">
        <v>8400</v>
      </c>
      <c r="D4" s="4"/>
      <c r="E4" s="4"/>
      <c r="F4" s="9">
        <f t="shared" si="0"/>
        <v>0.59523809523809534</v>
      </c>
    </row>
    <row r="5" spans="1:8" x14ac:dyDescent="0.3">
      <c r="A5" s="1" t="s">
        <v>3</v>
      </c>
      <c r="B5" s="1">
        <v>-600</v>
      </c>
      <c r="C5" s="1">
        <v>300</v>
      </c>
      <c r="D5" s="4"/>
      <c r="E5" s="4"/>
      <c r="F5" s="9">
        <f t="shared" si="0"/>
        <v>-3</v>
      </c>
    </row>
    <row r="6" spans="1:8" x14ac:dyDescent="0.3">
      <c r="A6" s="1" t="s">
        <v>4</v>
      </c>
      <c r="B6" s="1">
        <v>12600</v>
      </c>
      <c r="C6" s="1">
        <v>9450</v>
      </c>
      <c r="D6" s="4"/>
      <c r="E6" s="4"/>
      <c r="F6" s="9">
        <f t="shared" si="0"/>
        <v>0.33333333333333326</v>
      </c>
    </row>
    <row r="7" spans="1:8" x14ac:dyDescent="0.3">
      <c r="A7" s="2" t="s">
        <v>5</v>
      </c>
      <c r="B7" s="2">
        <f>B3-B4-B5-B6</f>
        <v>20000</v>
      </c>
      <c r="C7" s="2">
        <v>16850</v>
      </c>
      <c r="D7" s="3">
        <f>B7/B$3</f>
        <v>0.44052863436123346</v>
      </c>
      <c r="E7" s="3">
        <f>C7/C$3</f>
        <v>0.48142857142857143</v>
      </c>
      <c r="F7" s="9">
        <f t="shared" si="0"/>
        <v>0.18694362017804145</v>
      </c>
    </row>
    <row r="8" spans="1:8" x14ac:dyDescent="0.3">
      <c r="A8" s="1" t="s">
        <v>6</v>
      </c>
      <c r="B8" s="1">
        <v>400</v>
      </c>
      <c r="C8" s="1">
        <v>300</v>
      </c>
      <c r="D8" s="3"/>
      <c r="E8" s="3"/>
      <c r="F8" s="9">
        <f t="shared" si="0"/>
        <v>0.33333333333333326</v>
      </c>
    </row>
    <row r="9" spans="1:8" x14ac:dyDescent="0.3">
      <c r="A9" s="1" t="s">
        <v>7</v>
      </c>
      <c r="B9" s="1">
        <v>15600</v>
      </c>
      <c r="C9" s="1">
        <v>13200</v>
      </c>
      <c r="D9" s="3"/>
      <c r="E9" s="3"/>
      <c r="F9" s="9">
        <f t="shared" si="0"/>
        <v>0.18181818181818188</v>
      </c>
    </row>
    <row r="10" spans="1:8" x14ac:dyDescent="0.3">
      <c r="A10" s="2" t="s">
        <v>8</v>
      </c>
      <c r="B10" s="2">
        <f>B7-B8-B9</f>
        <v>4000</v>
      </c>
      <c r="C10" s="2">
        <v>3350</v>
      </c>
      <c r="D10" s="3">
        <f t="shared" ref="D10:D16" si="1">B10/B$3</f>
        <v>8.8105726872246701E-2</v>
      </c>
      <c r="E10" s="3">
        <f t="shared" ref="E10:E16" si="2">C10/C$3</f>
        <v>9.571428571428571E-2</v>
      </c>
      <c r="F10" s="9">
        <f t="shared" si="0"/>
        <v>0.19402985074626855</v>
      </c>
    </row>
    <row r="11" spans="1:8" x14ac:dyDescent="0.3">
      <c r="A11" s="1" t="s">
        <v>9</v>
      </c>
      <c r="B11" s="1">
        <v>1800</v>
      </c>
      <c r="C11" s="1">
        <v>1700</v>
      </c>
      <c r="D11" s="3"/>
      <c r="E11" s="3"/>
      <c r="F11" s="9">
        <f t="shared" si="0"/>
        <v>5.8823529411764719E-2</v>
      </c>
    </row>
    <row r="12" spans="1:8" x14ac:dyDescent="0.3">
      <c r="A12" s="2" t="s">
        <v>10</v>
      </c>
      <c r="B12" s="2">
        <f>B10-B11</f>
        <v>2200</v>
      </c>
      <c r="C12" s="2">
        <v>1650</v>
      </c>
      <c r="D12" s="3">
        <f t="shared" si="1"/>
        <v>4.8458149779735685E-2</v>
      </c>
      <c r="E12" s="3">
        <f t="shared" si="2"/>
        <v>4.7142857142857146E-2</v>
      </c>
      <c r="F12" s="11">
        <f t="shared" si="0"/>
        <v>0.33333333333333326</v>
      </c>
    </row>
    <row r="13" spans="1:8" x14ac:dyDescent="0.3">
      <c r="A13" s="1" t="s">
        <v>11</v>
      </c>
      <c r="B13" s="1">
        <v>950</v>
      </c>
      <c r="C13" s="1">
        <v>580</v>
      </c>
      <c r="D13" s="3"/>
      <c r="E13" s="3"/>
      <c r="F13" s="9">
        <f t="shared" si="0"/>
        <v>0.63793103448275867</v>
      </c>
    </row>
    <row r="14" spans="1:8" x14ac:dyDescent="0.3">
      <c r="A14" s="2" t="s">
        <v>12</v>
      </c>
      <c r="B14" s="2">
        <f>B12-B13</f>
        <v>1250</v>
      </c>
      <c r="C14" s="2">
        <v>1070</v>
      </c>
      <c r="D14" s="3">
        <f t="shared" si="1"/>
        <v>2.7533039647577091E-2</v>
      </c>
      <c r="E14" s="3">
        <f t="shared" si="2"/>
        <v>3.0571428571428572E-2</v>
      </c>
      <c r="F14" s="9">
        <f t="shared" si="0"/>
        <v>0.16822429906542058</v>
      </c>
    </row>
    <row r="15" spans="1:8" x14ac:dyDescent="0.3">
      <c r="A15" s="1" t="s">
        <v>13</v>
      </c>
      <c r="B15" s="1">
        <v>420</v>
      </c>
      <c r="C15" s="1">
        <v>350</v>
      </c>
      <c r="D15" s="3"/>
      <c r="E15" s="3"/>
      <c r="F15" s="9">
        <f t="shared" si="0"/>
        <v>0.19999999999999996</v>
      </c>
    </row>
    <row r="16" spans="1:8" x14ac:dyDescent="0.3">
      <c r="A16" s="2" t="s">
        <v>14</v>
      </c>
      <c r="B16" s="2">
        <f>B14-B15</f>
        <v>830</v>
      </c>
      <c r="C16" s="2">
        <v>720</v>
      </c>
      <c r="D16" s="3">
        <f t="shared" si="1"/>
        <v>1.828193832599119E-2</v>
      </c>
      <c r="E16" s="3">
        <f t="shared" si="2"/>
        <v>2.057142857142857E-2</v>
      </c>
      <c r="F16" s="9">
        <f t="shared" si="0"/>
        <v>0.15277777777777768</v>
      </c>
    </row>
    <row r="18" spans="1:11" x14ac:dyDescent="0.3">
      <c r="A18" s="5" t="s">
        <v>19</v>
      </c>
    </row>
    <row r="19" spans="1:11" x14ac:dyDescent="0.3">
      <c r="A19" s="6" t="s">
        <v>20</v>
      </c>
      <c r="B19" s="1" t="s">
        <v>15</v>
      </c>
      <c r="C19" s="1" t="s">
        <v>16</v>
      </c>
      <c r="D19" t="s">
        <v>55</v>
      </c>
      <c r="G19" s="1"/>
      <c r="H19" s="1" t="s">
        <v>15</v>
      </c>
      <c r="I19" s="1" t="s">
        <v>16</v>
      </c>
      <c r="J19" s="1" t="s">
        <v>53</v>
      </c>
    </row>
    <row r="20" spans="1:11" x14ac:dyDescent="0.3">
      <c r="A20" s="1" t="s">
        <v>21</v>
      </c>
      <c r="B20" s="1">
        <v>600</v>
      </c>
      <c r="C20" s="1">
        <v>450</v>
      </c>
      <c r="D20" s="8">
        <f>B20/C20-1</f>
        <v>0.33333333333333326</v>
      </c>
      <c r="G20" s="1" t="s">
        <v>44</v>
      </c>
      <c r="H20" s="1">
        <f>B16+B11</f>
        <v>2630</v>
      </c>
      <c r="I20" s="1">
        <f>C16+C11</f>
        <v>2420</v>
      </c>
      <c r="J20" s="4">
        <f>H20/I20-1</f>
        <v>8.6776859504132275E-2</v>
      </c>
      <c r="K20" t="s">
        <v>47</v>
      </c>
    </row>
    <row r="21" spans="1:11" x14ac:dyDescent="0.3">
      <c r="A21" s="1" t="s">
        <v>22</v>
      </c>
      <c r="B21" s="1">
        <v>6200</v>
      </c>
      <c r="C21" s="1">
        <v>6300</v>
      </c>
      <c r="D21" s="8">
        <f t="shared" ref="D21:D43" si="3">B21/C21-1</f>
        <v>-1.5873015873015928E-2</v>
      </c>
      <c r="G21" s="1" t="s">
        <v>48</v>
      </c>
      <c r="H21" s="7">
        <f>D16</f>
        <v>1.828193832599119E-2</v>
      </c>
      <c r="I21" s="7">
        <f>E16</f>
        <v>2.057142857142857E-2</v>
      </c>
      <c r="J21" s="4">
        <f t="shared" ref="J21:J26" si="4">H21/I21-1</f>
        <v>-0.11129466470876159</v>
      </c>
      <c r="K21" t="s">
        <v>52</v>
      </c>
    </row>
    <row r="22" spans="1:11" x14ac:dyDescent="0.3">
      <c r="A22" s="6" t="s">
        <v>23</v>
      </c>
      <c r="B22" s="2">
        <f>SUM(B20:B21)</f>
        <v>6800</v>
      </c>
      <c r="C22" s="2">
        <f>SUM(C20:C21)</f>
        <v>6750</v>
      </c>
      <c r="D22" s="8">
        <f t="shared" si="3"/>
        <v>7.4074074074073071E-3</v>
      </c>
      <c r="G22" s="1" t="s">
        <v>45</v>
      </c>
      <c r="H22" s="1">
        <f>B26-B40</f>
        <v>5280</v>
      </c>
      <c r="I22" s="1">
        <f>C26-C40</f>
        <v>1670</v>
      </c>
      <c r="J22" s="4">
        <f t="shared" si="4"/>
        <v>2.1616766467065869</v>
      </c>
    </row>
    <row r="23" spans="1:11" x14ac:dyDescent="0.3">
      <c r="A23" s="1" t="s">
        <v>24</v>
      </c>
      <c r="B23" s="1">
        <v>1800</v>
      </c>
      <c r="C23" s="1">
        <v>1200</v>
      </c>
      <c r="D23" s="8">
        <f t="shared" si="3"/>
        <v>0.5</v>
      </c>
      <c r="G23" s="1" t="s">
        <v>49</v>
      </c>
      <c r="H23" s="1">
        <f>(B35+B36)-B22</f>
        <v>3480</v>
      </c>
      <c r="I23" s="1">
        <f>(C35+C36)-C22</f>
        <v>3020</v>
      </c>
      <c r="J23" s="4">
        <f t="shared" si="4"/>
        <v>0.15231788079470188</v>
      </c>
    </row>
    <row r="24" spans="1:11" x14ac:dyDescent="0.3">
      <c r="A24" s="1" t="s">
        <v>25</v>
      </c>
      <c r="B24" s="1">
        <v>6840</v>
      </c>
      <c r="C24" s="1">
        <v>3600</v>
      </c>
      <c r="D24" s="8">
        <f t="shared" si="3"/>
        <v>0.89999999999999991</v>
      </c>
      <c r="G24" s="1" t="s">
        <v>51</v>
      </c>
      <c r="H24" s="1">
        <f>H23-H22</f>
        <v>-1800</v>
      </c>
      <c r="I24" s="1">
        <f>I23-I22</f>
        <v>1350</v>
      </c>
      <c r="J24" s="4">
        <f t="shared" si="4"/>
        <v>-2.333333333333333</v>
      </c>
    </row>
    <row r="25" spans="1:11" x14ac:dyDescent="0.3">
      <c r="A25" s="1" t="s">
        <v>26</v>
      </c>
      <c r="B25" s="1">
        <v>660</v>
      </c>
      <c r="C25" s="1">
        <v>600</v>
      </c>
      <c r="D25" s="8">
        <f t="shared" si="3"/>
        <v>0.10000000000000009</v>
      </c>
      <c r="G25" s="1" t="s">
        <v>50</v>
      </c>
      <c r="H25" s="1">
        <f>B28-B42</f>
        <v>-1800</v>
      </c>
      <c r="I25" s="1">
        <f>C28-C42</f>
        <v>1350</v>
      </c>
      <c r="J25" s="4">
        <f t="shared" si="4"/>
        <v>-2.333333333333333</v>
      </c>
    </row>
    <row r="26" spans="1:11" x14ac:dyDescent="0.3">
      <c r="A26" s="6" t="s">
        <v>27</v>
      </c>
      <c r="B26" s="2">
        <f>SUM(B23:B25)</f>
        <v>9300</v>
      </c>
      <c r="C26" s="2">
        <f>SUM(C23:C25)</f>
        <v>5400</v>
      </c>
      <c r="D26" s="8">
        <f t="shared" si="3"/>
        <v>0.72222222222222232</v>
      </c>
      <c r="G26" s="1" t="s">
        <v>46</v>
      </c>
      <c r="H26" s="1">
        <f>B36-H24</f>
        <v>5760</v>
      </c>
      <c r="I26" s="1">
        <f>C36-I24</f>
        <v>2600</v>
      </c>
      <c r="J26" s="4">
        <f t="shared" si="4"/>
        <v>1.2153846153846155</v>
      </c>
    </row>
    <row r="27" spans="1:11" x14ac:dyDescent="0.3">
      <c r="A27" s="1" t="s">
        <v>28</v>
      </c>
      <c r="B27" s="1">
        <v>100</v>
      </c>
      <c r="C27" s="1">
        <v>1450</v>
      </c>
      <c r="D27" s="8">
        <f t="shared" si="3"/>
        <v>-0.93103448275862066</v>
      </c>
    </row>
    <row r="28" spans="1:11" x14ac:dyDescent="0.3">
      <c r="A28" s="6" t="s">
        <v>29</v>
      </c>
      <c r="B28" s="2">
        <f>SUM(B27)</f>
        <v>100</v>
      </c>
      <c r="C28" s="2">
        <f>SUM(C27)</f>
        <v>1450</v>
      </c>
      <c r="D28" s="8">
        <f t="shared" si="3"/>
        <v>-0.93103448275862066</v>
      </c>
    </row>
    <row r="29" spans="1:11" x14ac:dyDescent="0.3">
      <c r="A29" s="6" t="s">
        <v>30</v>
      </c>
      <c r="B29" s="1">
        <f>B22+B26+B28</f>
        <v>16200</v>
      </c>
      <c r="C29" s="1">
        <f>C22+C26+C28</f>
        <v>13600</v>
      </c>
      <c r="D29" s="8">
        <f t="shared" si="3"/>
        <v>0.19117647058823528</v>
      </c>
    </row>
    <row r="30" spans="1:11" x14ac:dyDescent="0.3">
      <c r="D30" s="8"/>
      <c r="G30" t="s">
        <v>54</v>
      </c>
    </row>
    <row r="31" spans="1:11" x14ac:dyDescent="0.3">
      <c r="A31" s="6" t="s">
        <v>31</v>
      </c>
      <c r="B31" s="1"/>
      <c r="C31" s="1"/>
      <c r="D31" s="8"/>
      <c r="G31" s="6" t="s">
        <v>20</v>
      </c>
      <c r="H31" s="1" t="s">
        <v>15</v>
      </c>
      <c r="I31" s="1" t="s">
        <v>16</v>
      </c>
    </row>
    <row r="32" spans="1:11" x14ac:dyDescent="0.3">
      <c r="A32" s="1" t="s">
        <v>32</v>
      </c>
      <c r="B32" s="1">
        <v>3000</v>
      </c>
      <c r="C32" s="1">
        <v>3000</v>
      </c>
      <c r="D32" s="8">
        <f t="shared" si="3"/>
        <v>0</v>
      </c>
      <c r="G32" s="1" t="s">
        <v>21</v>
      </c>
      <c r="H32" s="1">
        <v>600</v>
      </c>
      <c r="I32" s="1">
        <v>450</v>
      </c>
      <c r="J32" s="9">
        <f>H32/I32-1</f>
        <v>0.33333333333333326</v>
      </c>
    </row>
    <row r="33" spans="1:12" x14ac:dyDescent="0.3">
      <c r="A33" s="1" t="s">
        <v>33</v>
      </c>
      <c r="B33" s="1">
        <v>2490</v>
      </c>
      <c r="C33" s="1">
        <v>2100</v>
      </c>
      <c r="D33" s="8">
        <f t="shared" si="3"/>
        <v>0.18571428571428572</v>
      </c>
      <c r="G33" s="1" t="s">
        <v>22</v>
      </c>
      <c r="H33" s="1">
        <v>6200</v>
      </c>
      <c r="I33" s="1">
        <v>6300</v>
      </c>
      <c r="J33" s="9">
        <f t="shared" ref="J33:J44" si="5">H33/I33-1</f>
        <v>-1.5873015873015928E-2</v>
      </c>
    </row>
    <row r="34" spans="1:12" x14ac:dyDescent="0.3">
      <c r="A34" s="1" t="s">
        <v>34</v>
      </c>
      <c r="B34" s="1">
        <v>830</v>
      </c>
      <c r="C34" s="1">
        <v>720</v>
      </c>
      <c r="D34" s="8">
        <f t="shared" si="3"/>
        <v>0.15277777777777768</v>
      </c>
      <c r="G34" s="6" t="s">
        <v>23</v>
      </c>
      <c r="H34" s="2">
        <f>SUM(H32:H33)</f>
        <v>6800</v>
      </c>
      <c r="I34" s="2">
        <f>SUM(I32:I33)</f>
        <v>6750</v>
      </c>
      <c r="J34" s="9">
        <f t="shared" si="5"/>
        <v>7.4074074074073071E-3</v>
      </c>
    </row>
    <row r="35" spans="1:12" x14ac:dyDescent="0.3">
      <c r="A35" s="6" t="s">
        <v>35</v>
      </c>
      <c r="B35" s="2">
        <f>SUM(B32:B34)</f>
        <v>6320</v>
      </c>
      <c r="C35" s="2">
        <f>SUM(C32:C34)</f>
        <v>5820</v>
      </c>
      <c r="D35" s="8">
        <f t="shared" si="3"/>
        <v>8.5910652920962116E-2</v>
      </c>
      <c r="G35" s="6" t="s">
        <v>45</v>
      </c>
      <c r="H35" s="2">
        <f>H22</f>
        <v>5280</v>
      </c>
      <c r="I35" s="2">
        <f>I22</f>
        <v>1670</v>
      </c>
      <c r="J35" s="9">
        <f t="shared" si="5"/>
        <v>2.1616766467065869</v>
      </c>
    </row>
    <row r="36" spans="1:12" x14ac:dyDescent="0.3">
      <c r="A36" s="6" t="s">
        <v>36</v>
      </c>
      <c r="B36" s="2">
        <v>3960</v>
      </c>
      <c r="C36" s="2">
        <v>3950</v>
      </c>
      <c r="D36" s="8">
        <f t="shared" si="3"/>
        <v>2.5316455696202667E-3</v>
      </c>
      <c r="G36" s="6" t="s">
        <v>30</v>
      </c>
      <c r="H36" s="2">
        <f>H34+H35</f>
        <v>12080</v>
      </c>
      <c r="I36" s="2">
        <f>I34+I35</f>
        <v>8420</v>
      </c>
      <c r="J36" s="9">
        <f t="shared" si="5"/>
        <v>0.4346793349168645</v>
      </c>
      <c r="L36" t="s">
        <v>72</v>
      </c>
    </row>
    <row r="37" spans="1:12" x14ac:dyDescent="0.3">
      <c r="A37" s="1" t="s">
        <v>37</v>
      </c>
      <c r="B37" s="1">
        <v>2300</v>
      </c>
      <c r="C37" s="1">
        <v>2130</v>
      </c>
      <c r="D37" s="8">
        <f t="shared" si="3"/>
        <v>7.9812206572769995E-2</v>
      </c>
      <c r="J37" s="9"/>
    </row>
    <row r="38" spans="1:12" x14ac:dyDescent="0.3">
      <c r="A38" s="1" t="s">
        <v>38</v>
      </c>
      <c r="B38" s="1">
        <v>1410</v>
      </c>
      <c r="C38" s="1">
        <v>1330</v>
      </c>
      <c r="D38" s="8">
        <f t="shared" si="3"/>
        <v>6.0150375939849621E-2</v>
      </c>
      <c r="G38" s="6" t="s">
        <v>31</v>
      </c>
      <c r="H38" s="1"/>
      <c r="I38" s="2"/>
      <c r="J38" s="9"/>
    </row>
    <row r="39" spans="1:12" x14ac:dyDescent="0.3">
      <c r="A39" s="1" t="s">
        <v>39</v>
      </c>
      <c r="B39" s="1">
        <v>310</v>
      </c>
      <c r="C39" s="1">
        <v>270</v>
      </c>
      <c r="D39" s="8">
        <f t="shared" si="3"/>
        <v>0.14814814814814814</v>
      </c>
      <c r="G39" s="1" t="s">
        <v>32</v>
      </c>
      <c r="H39" s="1">
        <v>3000</v>
      </c>
      <c r="I39" s="1">
        <v>3000</v>
      </c>
      <c r="J39" s="9">
        <f t="shared" si="5"/>
        <v>0</v>
      </c>
    </row>
    <row r="40" spans="1:12" x14ac:dyDescent="0.3">
      <c r="A40" s="6" t="s">
        <v>40</v>
      </c>
      <c r="B40" s="2">
        <f>SUM(B37:B39)</f>
        <v>4020</v>
      </c>
      <c r="C40" s="2">
        <f>SUM(C37:C39)</f>
        <v>3730</v>
      </c>
      <c r="D40" s="8">
        <f t="shared" si="3"/>
        <v>7.7747989276139462E-2</v>
      </c>
      <c r="G40" s="1" t="s">
        <v>33</v>
      </c>
      <c r="H40" s="1">
        <v>2490</v>
      </c>
      <c r="I40" s="1">
        <v>2100</v>
      </c>
      <c r="J40" s="9">
        <f t="shared" si="5"/>
        <v>0.18571428571428572</v>
      </c>
    </row>
    <row r="41" spans="1:12" x14ac:dyDescent="0.3">
      <c r="A41" s="1" t="s">
        <v>41</v>
      </c>
      <c r="B41" s="1">
        <v>1900</v>
      </c>
      <c r="C41" s="1">
        <v>100</v>
      </c>
      <c r="D41" s="8">
        <f t="shared" si="3"/>
        <v>18</v>
      </c>
      <c r="G41" s="1" t="s">
        <v>34</v>
      </c>
      <c r="H41" s="1">
        <v>830</v>
      </c>
      <c r="I41" s="1">
        <v>720</v>
      </c>
      <c r="J41" s="9">
        <f t="shared" si="5"/>
        <v>0.15277777777777768</v>
      </c>
    </row>
    <row r="42" spans="1:12" x14ac:dyDescent="0.3">
      <c r="A42" s="6" t="s">
        <v>42</v>
      </c>
      <c r="B42" s="2">
        <f>SUM(B41)</f>
        <v>1900</v>
      </c>
      <c r="C42" s="2">
        <f>SUM(C41)</f>
        <v>100</v>
      </c>
      <c r="D42" s="8">
        <f t="shared" si="3"/>
        <v>18</v>
      </c>
      <c r="G42" s="6" t="s">
        <v>35</v>
      </c>
      <c r="H42" s="2">
        <f>SUM(H39:H41)</f>
        <v>6320</v>
      </c>
      <c r="I42" s="2">
        <f>SUM(I39:I41)</f>
        <v>5820</v>
      </c>
      <c r="J42" s="9">
        <f t="shared" si="5"/>
        <v>8.5910652920962116E-2</v>
      </c>
    </row>
    <row r="43" spans="1:12" x14ac:dyDescent="0.3">
      <c r="A43" s="6" t="s">
        <v>43</v>
      </c>
      <c r="B43" s="1">
        <f>B35+B36+B40+B42</f>
        <v>16200</v>
      </c>
      <c r="C43" s="1">
        <f>C35+C36+C40+C42</f>
        <v>13600</v>
      </c>
      <c r="D43" s="8">
        <f t="shared" si="3"/>
        <v>0.19117647058823528</v>
      </c>
      <c r="G43" s="6" t="s">
        <v>46</v>
      </c>
      <c r="H43" s="2">
        <f>H26</f>
        <v>5760</v>
      </c>
      <c r="I43" s="2">
        <f>I26</f>
        <v>2600</v>
      </c>
      <c r="J43" s="9">
        <f t="shared" si="5"/>
        <v>1.2153846153846155</v>
      </c>
    </row>
    <row r="44" spans="1:12" x14ac:dyDescent="0.3">
      <c r="G44" s="6" t="s">
        <v>43</v>
      </c>
      <c r="H44" s="2">
        <f>H42+H43</f>
        <v>12080</v>
      </c>
      <c r="I44" s="2">
        <f>I42+I43</f>
        <v>8420</v>
      </c>
      <c r="J44" s="9">
        <f t="shared" si="5"/>
        <v>0.4346793349168645</v>
      </c>
    </row>
    <row r="47" spans="1:12" x14ac:dyDescent="0.3">
      <c r="A47" t="s">
        <v>57</v>
      </c>
    </row>
    <row r="48" spans="1:12" x14ac:dyDescent="0.3">
      <c r="A48" t="s">
        <v>66</v>
      </c>
    </row>
    <row r="49" spans="1:6" x14ac:dyDescent="0.3">
      <c r="A49" t="s">
        <v>67</v>
      </c>
    </row>
    <row r="51" spans="1:6" x14ac:dyDescent="0.3">
      <c r="A51" t="s">
        <v>58</v>
      </c>
    </row>
    <row r="52" spans="1:6" x14ac:dyDescent="0.3">
      <c r="B52" t="s">
        <v>15</v>
      </c>
      <c r="C52" t="s">
        <v>16</v>
      </c>
    </row>
    <row r="53" spans="1:6" x14ac:dyDescent="0.3">
      <c r="A53" t="s">
        <v>59</v>
      </c>
      <c r="B53" s="9">
        <f>B12/H44</f>
        <v>0.18211920529801323</v>
      </c>
      <c r="C53" s="9">
        <f>C12/I44</f>
        <v>0.19596199524940616</v>
      </c>
      <c r="D53" s="13">
        <f>B53/C53-1</f>
        <v>-7.0640176600441529E-2</v>
      </c>
      <c r="F53" t="s">
        <v>68</v>
      </c>
    </row>
    <row r="54" spans="1:6" x14ac:dyDescent="0.3">
      <c r="A54" t="s">
        <v>60</v>
      </c>
      <c r="B54" s="9">
        <f>B12/B3</f>
        <v>4.8458149779735685E-2</v>
      </c>
      <c r="C54" s="9">
        <f>C12/C3</f>
        <v>4.7142857142857146E-2</v>
      </c>
      <c r="D54" s="13">
        <f t="shared" ref="D54:D56" si="6">B54/C54-1</f>
        <v>2.7900146842878115E-2</v>
      </c>
      <c r="F54" t="s">
        <v>69</v>
      </c>
    </row>
    <row r="55" spans="1:6" x14ac:dyDescent="0.3">
      <c r="A55" t="s">
        <v>61</v>
      </c>
      <c r="B55" s="14">
        <f>B3/(H36)</f>
        <v>3.7582781456953644</v>
      </c>
      <c r="C55" s="14">
        <f>C3/(I36)</f>
        <v>4.156769596199525</v>
      </c>
      <c r="D55" s="13">
        <f t="shared" si="6"/>
        <v>-9.5865657521286618E-2</v>
      </c>
    </row>
    <row r="56" spans="1:6" x14ac:dyDescent="0.3">
      <c r="A56" t="s">
        <v>62</v>
      </c>
      <c r="B56" s="9">
        <f>B54*B55</f>
        <v>0.18211920529801326</v>
      </c>
      <c r="C56" s="9">
        <f>C54*C55</f>
        <v>0.19596199524940619</v>
      </c>
      <c r="D56" s="13">
        <f t="shared" si="6"/>
        <v>-7.0640176600441529E-2</v>
      </c>
    </row>
    <row r="60" spans="1:6" ht="86.4" x14ac:dyDescent="0.3">
      <c r="A60" s="12" t="s">
        <v>63</v>
      </c>
      <c r="D60" t="s">
        <v>70</v>
      </c>
    </row>
    <row r="61" spans="1:6" ht="115.2" customHeight="1" x14ac:dyDescent="0.3">
      <c r="A61" s="12" t="s">
        <v>64</v>
      </c>
      <c r="D61" t="s">
        <v>71</v>
      </c>
    </row>
    <row r="64" spans="1:6" x14ac:dyDescent="0.3">
      <c r="A64" t="s">
        <v>65</v>
      </c>
    </row>
    <row r="68" spans="1:2" x14ac:dyDescent="0.3">
      <c r="A68" t="s">
        <v>73</v>
      </c>
    </row>
    <row r="72" spans="1:2" x14ac:dyDescent="0.3">
      <c r="A72" t="s">
        <v>74</v>
      </c>
    </row>
    <row r="74" spans="1:2" x14ac:dyDescent="0.3">
      <c r="A74" s="2" t="s">
        <v>75</v>
      </c>
      <c r="B74" s="1"/>
    </row>
    <row r="75" spans="1:2" x14ac:dyDescent="0.3">
      <c r="A75" s="1" t="s">
        <v>14</v>
      </c>
      <c r="B75" s="1">
        <f>B16</f>
        <v>830</v>
      </c>
    </row>
    <row r="76" spans="1:2" x14ac:dyDescent="0.3">
      <c r="A76" s="1" t="s">
        <v>9</v>
      </c>
      <c r="B76" s="1">
        <f>B11</f>
        <v>1800</v>
      </c>
    </row>
    <row r="77" spans="1:2" x14ac:dyDescent="0.3">
      <c r="A77" s="2" t="s">
        <v>76</v>
      </c>
      <c r="B77" s="1">
        <f>SUM(B75:B76)</f>
        <v>2630</v>
      </c>
    </row>
    <row r="78" spans="1:2" x14ac:dyDescent="0.3">
      <c r="A78" s="1" t="s">
        <v>77</v>
      </c>
      <c r="B78" s="1">
        <f>(I22-H22)</f>
        <v>-3610</v>
      </c>
    </row>
    <row r="79" spans="1:2" x14ac:dyDescent="0.3">
      <c r="A79" s="2" t="s">
        <v>78</v>
      </c>
      <c r="B79" s="1">
        <f>B77+B78</f>
        <v>-980</v>
      </c>
    </row>
    <row r="80" spans="1:2" x14ac:dyDescent="0.3">
      <c r="A80" s="1" t="s">
        <v>79</v>
      </c>
      <c r="B80" s="1">
        <v>0</v>
      </c>
    </row>
    <row r="81" spans="1:3" x14ac:dyDescent="0.3">
      <c r="A81" s="1" t="s">
        <v>80</v>
      </c>
      <c r="B81" s="1">
        <f>((C22-B22)-B11)</f>
        <v>-1850</v>
      </c>
    </row>
    <row r="82" spans="1:3" x14ac:dyDescent="0.3">
      <c r="A82" s="2" t="s">
        <v>81</v>
      </c>
      <c r="B82" s="1">
        <f>SUM(B80:B81)</f>
        <v>-1850</v>
      </c>
    </row>
    <row r="83" spans="1:3" x14ac:dyDescent="0.3">
      <c r="A83" s="1" t="s">
        <v>82</v>
      </c>
      <c r="B83" s="1">
        <f>C32-B32</f>
        <v>0</v>
      </c>
    </row>
    <row r="84" spans="1:3" x14ac:dyDescent="0.3">
      <c r="A84" s="1" t="s">
        <v>83</v>
      </c>
      <c r="B84" s="1">
        <f>-(C33+C34-B33)</f>
        <v>-330</v>
      </c>
    </row>
    <row r="85" spans="1:3" x14ac:dyDescent="0.3">
      <c r="A85" s="1" t="s">
        <v>84</v>
      </c>
      <c r="B85" s="1">
        <f>-(C36-B36)</f>
        <v>10</v>
      </c>
    </row>
    <row r="86" spans="1:3" x14ac:dyDescent="0.3">
      <c r="A86" s="1" t="s">
        <v>85</v>
      </c>
      <c r="B86" s="1">
        <v>0</v>
      </c>
      <c r="C86" t="s">
        <v>90</v>
      </c>
    </row>
    <row r="87" spans="1:3" x14ac:dyDescent="0.3">
      <c r="A87" s="2" t="s">
        <v>86</v>
      </c>
      <c r="B87" s="1">
        <f>SUM(B83:B86)</f>
        <v>-320</v>
      </c>
    </row>
    <row r="88" spans="1:3" x14ac:dyDescent="0.3">
      <c r="A88" s="2" t="s">
        <v>87</v>
      </c>
      <c r="B88" s="1">
        <f>B79+B82+B87</f>
        <v>-3150</v>
      </c>
    </row>
    <row r="89" spans="1:3" x14ac:dyDescent="0.3">
      <c r="A89" s="1" t="s">
        <v>88</v>
      </c>
      <c r="B89" s="1">
        <f>I24</f>
        <v>1350</v>
      </c>
    </row>
    <row r="90" spans="1:3" x14ac:dyDescent="0.3">
      <c r="A90" s="1" t="s">
        <v>89</v>
      </c>
      <c r="B90" s="1">
        <f>B89+B88</f>
        <v>-1800</v>
      </c>
    </row>
    <row r="93" spans="1:3" x14ac:dyDescent="0.3">
      <c r="A93" t="s">
        <v>91</v>
      </c>
    </row>
    <row r="94" spans="1:3" x14ac:dyDescent="0.3">
      <c r="A94"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Matthieu Ramond</dc:creator>
  <cp:lastModifiedBy>Matthieu Ramond</cp:lastModifiedBy>
  <dcterms:created xsi:type="dcterms:W3CDTF">2025-03-04T08:55:04Z</dcterms:created>
  <dcterms:modified xsi:type="dcterms:W3CDTF">2025-03-19T10:47:40Z</dcterms:modified>
</cp:coreProperties>
</file>