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62B43E40-3970-44E1-83AF-E81FE0A9686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Notes" sheetId="1" r:id="rId1"/>
    <sheet name="Financial Model" sheetId="2" r:id="rId2"/>
    <sheet name="Financial Model- Amazon Busin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4" i="4"/>
  <c r="D27" i="4"/>
  <c r="E27" i="4"/>
  <c r="F27" i="4"/>
  <c r="G27" i="4"/>
  <c r="H27" i="4"/>
  <c r="I27" i="4"/>
  <c r="I30" i="4" s="1"/>
  <c r="J27" i="4"/>
  <c r="K27" i="4"/>
  <c r="L27" i="4"/>
  <c r="L30" i="4" s="1"/>
  <c r="M27" i="4"/>
  <c r="N27" i="4"/>
  <c r="O27" i="4"/>
  <c r="P27" i="4"/>
  <c r="Q27" i="4"/>
  <c r="R27" i="4"/>
  <c r="C27" i="4"/>
  <c r="D22" i="4"/>
  <c r="D30" i="4" s="1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J30" i="4"/>
  <c r="J32" i="4" s="1"/>
  <c r="K30" i="4"/>
  <c r="K32" i="4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5" i="4"/>
  <c r="C30" i="4"/>
  <c r="C32" i="4" s="1"/>
  <c r="C22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44" i="4"/>
  <c r="D59" i="4"/>
  <c r="E59" i="4"/>
  <c r="F59" i="4"/>
  <c r="G59" i="4"/>
  <c r="H59" i="4"/>
  <c r="I59" i="4"/>
  <c r="J59" i="4" s="1"/>
  <c r="K59" i="4" s="1"/>
  <c r="L59" i="4" s="1"/>
  <c r="M59" i="4" s="1"/>
  <c r="N59" i="4" s="1"/>
  <c r="O59" i="4" s="1"/>
  <c r="P59" i="4" s="1"/>
  <c r="Q59" i="4" s="1"/>
  <c r="R59" i="4" s="1"/>
  <c r="C59" i="4"/>
  <c r="H58" i="4"/>
  <c r="I58" i="4"/>
  <c r="J58" i="4"/>
  <c r="K58" i="4"/>
  <c r="L58" i="4"/>
  <c r="M58" i="4"/>
  <c r="N58" i="4"/>
  <c r="O58" i="4"/>
  <c r="P58" i="4"/>
  <c r="Q58" i="4"/>
  <c r="R58" i="4"/>
  <c r="G58" i="4"/>
  <c r="B59" i="4"/>
  <c r="B44" i="4"/>
  <c r="H49" i="4"/>
  <c r="I49" i="4" s="1"/>
  <c r="H50" i="4"/>
  <c r="I50" i="4"/>
  <c r="J50" i="4"/>
  <c r="K50" i="4"/>
  <c r="L50" i="4"/>
  <c r="M50" i="4"/>
  <c r="N50" i="4"/>
  <c r="O50" i="4"/>
  <c r="P50" i="4"/>
  <c r="Q50" i="4"/>
  <c r="R50" i="4"/>
  <c r="H53" i="4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D55" i="4"/>
  <c r="E55" i="4"/>
  <c r="F55" i="4"/>
  <c r="G55" i="4"/>
  <c r="C55" i="4"/>
  <c r="G54" i="4"/>
  <c r="F54" i="4"/>
  <c r="E54" i="4"/>
  <c r="D54" i="4"/>
  <c r="C54" i="4"/>
  <c r="G53" i="4"/>
  <c r="F53" i="4"/>
  <c r="E53" i="4"/>
  <c r="D50" i="4"/>
  <c r="D51" i="4" s="1"/>
  <c r="E50" i="4"/>
  <c r="E51" i="4" s="1"/>
  <c r="F50" i="4"/>
  <c r="F51" i="4" s="1"/>
  <c r="G50" i="4"/>
  <c r="G51" i="4" s="1"/>
  <c r="C50" i="4"/>
  <c r="C51" i="4"/>
  <c r="F49" i="4"/>
  <c r="G49" i="4" s="1"/>
  <c r="E49" i="4"/>
  <c r="A47" i="4"/>
  <c r="B19" i="4"/>
  <c r="B17" i="4"/>
  <c r="B13" i="4"/>
  <c r="B11" i="4"/>
  <c r="B6" i="4"/>
  <c r="B5" i="4"/>
  <c r="P30" i="4" l="1"/>
  <c r="H30" i="4"/>
  <c r="H32" i="4" s="1"/>
  <c r="H37" i="4" s="1"/>
  <c r="H38" i="4" s="1"/>
  <c r="G30" i="4"/>
  <c r="G32" i="4" s="1"/>
  <c r="G37" i="4" s="1"/>
  <c r="G38" i="4" s="1"/>
  <c r="I32" i="4"/>
  <c r="I33" i="4" s="1"/>
  <c r="P32" i="4"/>
  <c r="P37" i="4" s="1"/>
  <c r="P38" i="4" s="1"/>
  <c r="D32" i="4"/>
  <c r="D37" i="4" s="1"/>
  <c r="D38" i="4" s="1"/>
  <c r="R30" i="4"/>
  <c r="C37" i="4"/>
  <c r="C33" i="4"/>
  <c r="L32" i="4"/>
  <c r="K33" i="4"/>
  <c r="K37" i="4"/>
  <c r="K38" i="4" s="1"/>
  <c r="J33" i="4"/>
  <c r="J37" i="4"/>
  <c r="J38" i="4" s="1"/>
  <c r="F30" i="4"/>
  <c r="F32" i="4" s="1"/>
  <c r="Q30" i="4"/>
  <c r="Q32" i="4" s="1"/>
  <c r="O30" i="4"/>
  <c r="O32" i="4" s="1"/>
  <c r="E30" i="4"/>
  <c r="E32" i="4" s="1"/>
  <c r="N30" i="4"/>
  <c r="N32" i="4" s="1"/>
  <c r="M30" i="4"/>
  <c r="M32" i="4" s="1"/>
  <c r="J49" i="4"/>
  <c r="I51" i="4"/>
  <c r="H51" i="4"/>
  <c r="D314" i="2"/>
  <c r="D289" i="2"/>
  <c r="D290" i="2"/>
  <c r="G248" i="2"/>
  <c r="H248" i="2"/>
  <c r="I248" i="2"/>
  <c r="J248" i="2"/>
  <c r="K248" i="2"/>
  <c r="F248" i="2"/>
  <c r="E248" i="2"/>
  <c r="E249" i="2" s="1"/>
  <c r="J208" i="2"/>
  <c r="K208" i="2"/>
  <c r="J209" i="2"/>
  <c r="K209" i="2"/>
  <c r="I209" i="2"/>
  <c r="I208" i="2"/>
  <c r="I210" i="2" s="1"/>
  <c r="H209" i="2"/>
  <c r="H208" i="2"/>
  <c r="G209" i="2"/>
  <c r="G208" i="2"/>
  <c r="F209" i="2"/>
  <c r="F208" i="2"/>
  <c r="F210" i="2" s="1"/>
  <c r="K235" i="2"/>
  <c r="K236" i="2" s="1"/>
  <c r="J234" i="2"/>
  <c r="J236" i="2" s="1"/>
  <c r="I233" i="2"/>
  <c r="I236" i="2" s="1"/>
  <c r="H232" i="2"/>
  <c r="H236" i="2" s="1"/>
  <c r="G231" i="2"/>
  <c r="G236" i="2" s="1"/>
  <c r="F230" i="2"/>
  <c r="F236" i="2" s="1"/>
  <c r="E229" i="2"/>
  <c r="E236" i="2" s="1"/>
  <c r="G220" i="2"/>
  <c r="K225" i="2"/>
  <c r="K226" i="2" s="1"/>
  <c r="J224" i="2"/>
  <c r="J226" i="2" s="1"/>
  <c r="I223" i="2"/>
  <c r="I226" i="2" s="1"/>
  <c r="H222" i="2"/>
  <c r="H226" i="2" s="1"/>
  <c r="G221" i="2"/>
  <c r="F220" i="2"/>
  <c r="F226" i="2" s="1"/>
  <c r="E219" i="2"/>
  <c r="E226" i="2" s="1"/>
  <c r="E209" i="2"/>
  <c r="E214" i="2" s="1"/>
  <c r="E208" i="2"/>
  <c r="E213" i="2" s="1"/>
  <c r="E205" i="2"/>
  <c r="G210" i="2" l="1"/>
  <c r="C38" i="4"/>
  <c r="C42" i="4"/>
  <c r="D42" i="4" s="1"/>
  <c r="E42" i="4" s="1"/>
  <c r="H33" i="4"/>
  <c r="D33" i="4"/>
  <c r="P33" i="4"/>
  <c r="I37" i="4"/>
  <c r="I38" i="4" s="1"/>
  <c r="R32" i="4"/>
  <c r="R37" i="4" s="1"/>
  <c r="R38" i="4" s="1"/>
  <c r="G33" i="4"/>
  <c r="N33" i="4"/>
  <c r="N37" i="4"/>
  <c r="N38" i="4" s="1"/>
  <c r="M33" i="4"/>
  <c r="M37" i="4"/>
  <c r="M38" i="4" s="1"/>
  <c r="E37" i="4"/>
  <c r="E38" i="4" s="1"/>
  <c r="E33" i="4"/>
  <c r="O33" i="4"/>
  <c r="O37" i="4"/>
  <c r="O38" i="4" s="1"/>
  <c r="Q37" i="4"/>
  <c r="Q38" i="4" s="1"/>
  <c r="Q33" i="4"/>
  <c r="L33" i="4"/>
  <c r="L37" i="4"/>
  <c r="L38" i="4" s="1"/>
  <c r="F37" i="4"/>
  <c r="F38" i="4" s="1"/>
  <c r="F33" i="4"/>
  <c r="J51" i="4"/>
  <c r="K49" i="4"/>
  <c r="H54" i="4"/>
  <c r="H55" i="4" s="1"/>
  <c r="I54" i="4"/>
  <c r="I55" i="4"/>
  <c r="E238" i="2"/>
  <c r="E284" i="2" s="1"/>
  <c r="G226" i="2"/>
  <c r="G238" i="2" s="1"/>
  <c r="G284" i="2" s="1"/>
  <c r="F203" i="2"/>
  <c r="F213" i="2" s="1"/>
  <c r="F241" i="2" s="1"/>
  <c r="F150" i="2" s="1"/>
  <c r="F238" i="2"/>
  <c r="F284" i="2" s="1"/>
  <c r="E242" i="2"/>
  <c r="E151" i="2" s="1"/>
  <c r="F204" i="2"/>
  <c r="F214" i="2" s="1"/>
  <c r="H238" i="2"/>
  <c r="H284" i="2" s="1"/>
  <c r="I238" i="2"/>
  <c r="I284" i="2" s="1"/>
  <c r="J238" i="2"/>
  <c r="J284" i="2" s="1"/>
  <c r="E210" i="2"/>
  <c r="K210" i="2"/>
  <c r="J210" i="2"/>
  <c r="F247" i="2"/>
  <c r="F249" i="2" s="1"/>
  <c r="E251" i="2"/>
  <c r="E280" i="2" s="1"/>
  <c r="E159" i="2"/>
  <c r="K238" i="2"/>
  <c r="E241" i="2"/>
  <c r="E215" i="2"/>
  <c r="H210" i="2"/>
  <c r="K187" i="2"/>
  <c r="J187" i="2"/>
  <c r="I187" i="2"/>
  <c r="H187" i="2"/>
  <c r="G187" i="2"/>
  <c r="F187" i="2"/>
  <c r="K186" i="2"/>
  <c r="J186" i="2"/>
  <c r="I186" i="2"/>
  <c r="H186" i="2"/>
  <c r="G186" i="2"/>
  <c r="F186" i="2"/>
  <c r="E187" i="2"/>
  <c r="E186" i="2"/>
  <c r="K182" i="2"/>
  <c r="J182" i="2"/>
  <c r="I182" i="2"/>
  <c r="H182" i="2"/>
  <c r="G182" i="2"/>
  <c r="F182" i="2"/>
  <c r="E182" i="2"/>
  <c r="K181" i="2"/>
  <c r="J181" i="2"/>
  <c r="I181" i="2"/>
  <c r="H181" i="2"/>
  <c r="G181" i="2"/>
  <c r="F181" i="2"/>
  <c r="E181" i="2"/>
  <c r="I132" i="2" l="1"/>
  <c r="J132" i="2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R33" i="4"/>
  <c r="K51" i="4"/>
  <c r="L49" i="4"/>
  <c r="J54" i="4"/>
  <c r="J55" i="4" s="1"/>
  <c r="K183" i="2"/>
  <c r="K283" i="2" s="1"/>
  <c r="J183" i="2"/>
  <c r="J283" i="2" s="1"/>
  <c r="E132" i="2"/>
  <c r="E173" i="2" s="1"/>
  <c r="F132" i="2"/>
  <c r="G203" i="2"/>
  <c r="G213" i="2" s="1"/>
  <c r="F215" i="2"/>
  <c r="F205" i="2"/>
  <c r="E183" i="2"/>
  <c r="E283" i="2" s="1"/>
  <c r="H132" i="2"/>
  <c r="G132" i="2"/>
  <c r="F183" i="2"/>
  <c r="F283" i="2" s="1"/>
  <c r="G183" i="2"/>
  <c r="G283" i="2" s="1"/>
  <c r="H183" i="2"/>
  <c r="H283" i="2" s="1"/>
  <c r="I183" i="2"/>
  <c r="I283" i="2" s="1"/>
  <c r="E243" i="2"/>
  <c r="E150" i="2"/>
  <c r="K284" i="2"/>
  <c r="K132" i="2"/>
  <c r="G204" i="2"/>
  <c r="G214" i="2" s="1"/>
  <c r="F242" i="2"/>
  <c r="F251" i="2"/>
  <c r="F280" i="2" s="1"/>
  <c r="F159" i="2"/>
  <c r="G247" i="2"/>
  <c r="G249" i="2" s="1"/>
  <c r="F162" i="2"/>
  <c r="G162" i="2"/>
  <c r="H162" i="2"/>
  <c r="I162" i="2"/>
  <c r="J162" i="2"/>
  <c r="K162" i="2"/>
  <c r="E162" i="2"/>
  <c r="F139" i="2"/>
  <c r="F188" i="2" s="1"/>
  <c r="F189" i="2" s="1"/>
  <c r="G139" i="2"/>
  <c r="G188" i="2" s="1"/>
  <c r="G189" i="2" s="1"/>
  <c r="H139" i="2"/>
  <c r="H188" i="2" s="1"/>
  <c r="H189" i="2" s="1"/>
  <c r="I139" i="2"/>
  <c r="I188" i="2" s="1"/>
  <c r="I189" i="2" s="1"/>
  <c r="J139" i="2"/>
  <c r="J188" i="2" s="1"/>
  <c r="J189" i="2" s="1"/>
  <c r="K139" i="2"/>
  <c r="K188" i="2" s="1"/>
  <c r="K189" i="2" s="1"/>
  <c r="E139" i="2"/>
  <c r="E188" i="2" s="1"/>
  <c r="E189" i="2" s="1"/>
  <c r="F126" i="2"/>
  <c r="G126" i="2"/>
  <c r="H126" i="2"/>
  <c r="I126" i="2"/>
  <c r="J126" i="2"/>
  <c r="K126" i="2"/>
  <c r="E126" i="2"/>
  <c r="E105" i="2"/>
  <c r="F105" i="2" s="1"/>
  <c r="G105" i="2" s="1"/>
  <c r="H105" i="2" s="1"/>
  <c r="I105" i="2" s="1"/>
  <c r="J105" i="2" s="1"/>
  <c r="K105" i="2" s="1"/>
  <c r="F83" i="2"/>
  <c r="G83" i="2"/>
  <c r="H83" i="2"/>
  <c r="I83" i="2"/>
  <c r="J83" i="2"/>
  <c r="K83" i="2"/>
  <c r="E83" i="2"/>
  <c r="K77" i="2"/>
  <c r="K127" i="2" s="1"/>
  <c r="J77" i="2"/>
  <c r="J127" i="2" s="1"/>
  <c r="J128" i="2" s="1"/>
  <c r="I77" i="2"/>
  <c r="I127" i="2" s="1"/>
  <c r="H77" i="2"/>
  <c r="H127" i="2" s="1"/>
  <c r="G77" i="2"/>
  <c r="G127" i="2" s="1"/>
  <c r="F77" i="2"/>
  <c r="F127" i="2" s="1"/>
  <c r="E77" i="2"/>
  <c r="E127" i="2" s="1"/>
  <c r="K66" i="2"/>
  <c r="J66" i="2"/>
  <c r="I66" i="2"/>
  <c r="H66" i="2"/>
  <c r="G66" i="2"/>
  <c r="F66" i="2"/>
  <c r="E66" i="2"/>
  <c r="F43" i="2"/>
  <c r="F44" i="2" s="1"/>
  <c r="G43" i="2"/>
  <c r="G44" i="2" s="1"/>
  <c r="H43" i="2"/>
  <c r="H44" i="2" s="1"/>
  <c r="I43" i="2"/>
  <c r="I44" i="2" s="1"/>
  <c r="J43" i="2"/>
  <c r="J44" i="2" s="1"/>
  <c r="K43" i="2"/>
  <c r="K44" i="2" s="1"/>
  <c r="E43" i="2"/>
  <c r="E44" i="2" s="1"/>
  <c r="K19" i="2"/>
  <c r="K33" i="2" s="1"/>
  <c r="J19" i="2"/>
  <c r="J33" i="2" s="1"/>
  <c r="I19" i="2"/>
  <c r="I33" i="2" s="1"/>
  <c r="H19" i="2"/>
  <c r="H33" i="2" s="1"/>
  <c r="G19" i="2"/>
  <c r="G33" i="2" s="1"/>
  <c r="F19" i="2"/>
  <c r="F33" i="2" s="1"/>
  <c r="E19" i="2"/>
  <c r="K18" i="2"/>
  <c r="K32" i="2" s="1"/>
  <c r="J18" i="2"/>
  <c r="J32" i="2" s="1"/>
  <c r="I18" i="2"/>
  <c r="I32" i="2" s="1"/>
  <c r="H18" i="2"/>
  <c r="H32" i="2" s="1"/>
  <c r="G18" i="2"/>
  <c r="G32" i="2" s="1"/>
  <c r="F18" i="2"/>
  <c r="F32" i="2" s="1"/>
  <c r="E18" i="2"/>
  <c r="E32" i="2" s="1"/>
  <c r="K17" i="2"/>
  <c r="K31" i="2" s="1"/>
  <c r="J17" i="2"/>
  <c r="J31" i="2" s="1"/>
  <c r="I17" i="2"/>
  <c r="I31" i="2" s="1"/>
  <c r="H17" i="2"/>
  <c r="H31" i="2" s="1"/>
  <c r="G17" i="2"/>
  <c r="G31" i="2" s="1"/>
  <c r="F17" i="2"/>
  <c r="F31" i="2" s="1"/>
  <c r="E17" i="2"/>
  <c r="E31" i="2" s="1"/>
  <c r="K16" i="2"/>
  <c r="J16" i="2"/>
  <c r="I16" i="2"/>
  <c r="H16" i="2"/>
  <c r="G16" i="2"/>
  <c r="F16" i="2"/>
  <c r="F30" i="2" s="1"/>
  <c r="E16" i="2"/>
  <c r="E30" i="2" s="1"/>
  <c r="K12" i="2"/>
  <c r="J12" i="2"/>
  <c r="I12" i="2"/>
  <c r="H12" i="2"/>
  <c r="G12" i="2"/>
  <c r="F12" i="2"/>
  <c r="E12" i="2"/>
  <c r="C30" i="1"/>
  <c r="K54" i="4" l="1"/>
  <c r="K55" i="4" s="1"/>
  <c r="L51" i="4"/>
  <c r="M49" i="4"/>
  <c r="G205" i="2"/>
  <c r="H204" i="2"/>
  <c r="H214" i="2" s="1"/>
  <c r="G242" i="2"/>
  <c r="G151" i="2" s="1"/>
  <c r="G159" i="2"/>
  <c r="H247" i="2"/>
  <c r="H249" i="2" s="1"/>
  <c r="G251" i="2"/>
  <c r="G280" i="2" s="1"/>
  <c r="F151" i="2"/>
  <c r="F243" i="2"/>
  <c r="H203" i="2"/>
  <c r="G215" i="2"/>
  <c r="G241" i="2"/>
  <c r="F173" i="2"/>
  <c r="E119" i="2"/>
  <c r="G119" i="2"/>
  <c r="G256" i="2" s="1"/>
  <c r="E128" i="2"/>
  <c r="I49" i="2"/>
  <c r="I119" i="2"/>
  <c r="I256" i="2" s="1"/>
  <c r="G128" i="2"/>
  <c r="J20" i="2"/>
  <c r="K128" i="2"/>
  <c r="I128" i="2"/>
  <c r="H128" i="2"/>
  <c r="F128" i="2"/>
  <c r="E33" i="2"/>
  <c r="E49" i="2" s="1"/>
  <c r="E50" i="2" s="1"/>
  <c r="F119" i="2"/>
  <c r="F256" i="2" s="1"/>
  <c r="K119" i="2"/>
  <c r="K256" i="2" s="1"/>
  <c r="K49" i="2"/>
  <c r="J30" i="2"/>
  <c r="J34" i="2" s="1"/>
  <c r="J110" i="2" s="1"/>
  <c r="J119" i="2"/>
  <c r="J256" i="2" s="1"/>
  <c r="G30" i="2"/>
  <c r="G34" i="2" s="1"/>
  <c r="H20" i="2"/>
  <c r="H119" i="2"/>
  <c r="H256" i="2" s="1"/>
  <c r="I20" i="2"/>
  <c r="J49" i="2"/>
  <c r="F49" i="2"/>
  <c r="G49" i="2"/>
  <c r="H49" i="2"/>
  <c r="H30" i="2"/>
  <c r="H34" i="2" s="1"/>
  <c r="K20" i="2"/>
  <c r="F34" i="2"/>
  <c r="E20" i="2"/>
  <c r="I30" i="2"/>
  <c r="I34" i="2" s="1"/>
  <c r="I110" i="2" s="1"/>
  <c r="F20" i="2"/>
  <c r="G20" i="2"/>
  <c r="K30" i="2"/>
  <c r="K34" i="2" s="1"/>
  <c r="M51" i="4" l="1"/>
  <c r="N49" i="4"/>
  <c r="L54" i="4"/>
  <c r="L55" i="4" s="1"/>
  <c r="J309" i="2"/>
  <c r="J305" i="2"/>
  <c r="I309" i="2"/>
  <c r="I305" i="2"/>
  <c r="H159" i="2"/>
  <c r="H251" i="2"/>
  <c r="H280" i="2" s="1"/>
  <c r="I247" i="2"/>
  <c r="I249" i="2" s="1"/>
  <c r="K305" i="2"/>
  <c r="K309" i="2"/>
  <c r="G309" i="2"/>
  <c r="G305" i="2"/>
  <c r="F309" i="2"/>
  <c r="F305" i="2"/>
  <c r="E256" i="2"/>
  <c r="P120" i="2"/>
  <c r="I204" i="2"/>
  <c r="I214" i="2" s="1"/>
  <c r="H242" i="2"/>
  <c r="H151" i="2" s="1"/>
  <c r="G243" i="2"/>
  <c r="G150" i="2"/>
  <c r="H309" i="2"/>
  <c r="H305" i="2"/>
  <c r="H205" i="2"/>
  <c r="H213" i="2"/>
  <c r="G173" i="2"/>
  <c r="E34" i="2"/>
  <c r="E120" i="2" s="1"/>
  <c r="E121" i="2" s="1"/>
  <c r="I120" i="2"/>
  <c r="I121" i="2" s="1"/>
  <c r="J114" i="2"/>
  <c r="J111" i="2"/>
  <c r="J112" i="2" s="1"/>
  <c r="J301" i="2" s="1"/>
  <c r="K120" i="2"/>
  <c r="K121" i="2" s="1"/>
  <c r="K110" i="2"/>
  <c r="J120" i="2"/>
  <c r="J121" i="2" s="1"/>
  <c r="E51" i="2"/>
  <c r="E52" i="2" s="1"/>
  <c r="F48" i="2" s="1"/>
  <c r="F50" i="2" s="1"/>
  <c r="F51" i="2" s="1"/>
  <c r="F52" i="2" s="1"/>
  <c r="G48" i="2" s="1"/>
  <c r="G50" i="2" s="1"/>
  <c r="I114" i="2"/>
  <c r="I111" i="2"/>
  <c r="I112" i="2" s="1"/>
  <c r="I301" i="2" s="1"/>
  <c r="F120" i="2"/>
  <c r="F121" i="2" s="1"/>
  <c r="F110" i="2"/>
  <c r="G120" i="2"/>
  <c r="G121" i="2" s="1"/>
  <c r="G110" i="2"/>
  <c r="H120" i="2"/>
  <c r="H121" i="2" s="1"/>
  <c r="H110" i="2"/>
  <c r="N51" i="4" l="1"/>
  <c r="O49" i="4"/>
  <c r="M54" i="4"/>
  <c r="M55" i="4" s="1"/>
  <c r="I203" i="2"/>
  <c r="H215" i="2"/>
  <c r="H241" i="2"/>
  <c r="J204" i="2"/>
  <c r="J214" i="2" s="1"/>
  <c r="I242" i="2"/>
  <c r="I151" i="2" s="1"/>
  <c r="I159" i="2"/>
  <c r="I251" i="2"/>
  <c r="I280" i="2" s="1"/>
  <c r="J247" i="2"/>
  <c r="J249" i="2" s="1"/>
  <c r="E305" i="2"/>
  <c r="E309" i="2"/>
  <c r="H173" i="2"/>
  <c r="I148" i="2"/>
  <c r="I157" i="2"/>
  <c r="J148" i="2"/>
  <c r="J157" i="2"/>
  <c r="E110" i="2"/>
  <c r="E111" i="2" s="1"/>
  <c r="E112" i="2" s="1"/>
  <c r="E301" i="2" s="1"/>
  <c r="G111" i="2"/>
  <c r="G112" i="2" s="1"/>
  <c r="G301" i="2" s="1"/>
  <c r="G114" i="2"/>
  <c r="F114" i="2"/>
  <c r="F111" i="2"/>
  <c r="F112" i="2" s="1"/>
  <c r="F301" i="2" s="1"/>
  <c r="J147" i="2"/>
  <c r="J115" i="2"/>
  <c r="J116" i="2" s="1"/>
  <c r="J302" i="2" s="1"/>
  <c r="I147" i="2"/>
  <c r="I115" i="2"/>
  <c r="H111" i="2"/>
  <c r="H112" i="2" s="1"/>
  <c r="H301" i="2" s="1"/>
  <c r="H114" i="2"/>
  <c r="K114" i="2"/>
  <c r="K111" i="2"/>
  <c r="K112" i="2" s="1"/>
  <c r="K301" i="2" s="1"/>
  <c r="G51" i="2"/>
  <c r="G52" i="2" s="1"/>
  <c r="H48" i="2" s="1"/>
  <c r="H50" i="2" s="1"/>
  <c r="H51" i="2" s="1"/>
  <c r="H52" i="2" s="1"/>
  <c r="I48" i="2" s="1"/>
  <c r="I50" i="2" s="1"/>
  <c r="J176" i="2" l="1"/>
  <c r="N54" i="4"/>
  <c r="N55" i="4" s="1"/>
  <c r="P49" i="4"/>
  <c r="O51" i="4"/>
  <c r="J175" i="2"/>
  <c r="I205" i="2"/>
  <c r="I213" i="2"/>
  <c r="J158" i="2"/>
  <c r="J177" i="2"/>
  <c r="K204" i="2"/>
  <c r="K214" i="2" s="1"/>
  <c r="K242" i="2" s="1"/>
  <c r="J242" i="2"/>
  <c r="H243" i="2"/>
  <c r="H150" i="2"/>
  <c r="I158" i="2"/>
  <c r="I160" i="2" s="1"/>
  <c r="J159" i="2"/>
  <c r="K247" i="2"/>
  <c r="K249" i="2" s="1"/>
  <c r="J251" i="2"/>
  <c r="J280" i="2" s="1"/>
  <c r="I173" i="2"/>
  <c r="H148" i="2"/>
  <c r="H157" i="2"/>
  <c r="I177" i="2" s="1"/>
  <c r="F148" i="2"/>
  <c r="F157" i="2"/>
  <c r="G148" i="2"/>
  <c r="G157" i="2"/>
  <c r="K148" i="2"/>
  <c r="K176" i="2" s="1"/>
  <c r="K157" i="2"/>
  <c r="E114" i="2"/>
  <c r="H147" i="2"/>
  <c r="H115" i="2"/>
  <c r="K147" i="2"/>
  <c r="K175" i="2" s="1"/>
  <c r="K115" i="2"/>
  <c r="G147" i="2"/>
  <c r="G115" i="2"/>
  <c r="F147" i="2"/>
  <c r="F115" i="2"/>
  <c r="E147" i="2"/>
  <c r="E175" i="2" s="1"/>
  <c r="J122" i="2"/>
  <c r="J258" i="2" s="1"/>
  <c r="I116" i="2"/>
  <c r="I302" i="2" s="1"/>
  <c r="I122" i="2"/>
  <c r="I258" i="2" s="1"/>
  <c r="I51" i="2"/>
  <c r="I52" i="2" s="1"/>
  <c r="J48" i="2" s="1"/>
  <c r="J50" i="2" s="1"/>
  <c r="O54" i="4" l="1"/>
  <c r="O55" i="4" s="1"/>
  <c r="P51" i="4"/>
  <c r="Q49" i="4"/>
  <c r="G176" i="2"/>
  <c r="H176" i="2"/>
  <c r="J160" i="2"/>
  <c r="H175" i="2"/>
  <c r="J285" i="2"/>
  <c r="K151" i="2"/>
  <c r="K251" i="2"/>
  <c r="K280" i="2" s="1"/>
  <c r="K159" i="2"/>
  <c r="I175" i="2"/>
  <c r="I310" i="2"/>
  <c r="I260" i="2"/>
  <c r="I264" i="2"/>
  <c r="I311" i="2" s="1"/>
  <c r="J203" i="2"/>
  <c r="I215" i="2"/>
  <c r="I241" i="2"/>
  <c r="K158" i="2"/>
  <c r="K177" i="2"/>
  <c r="K285" i="2" s="1"/>
  <c r="J310" i="2"/>
  <c r="J260" i="2"/>
  <c r="J264" i="2"/>
  <c r="J311" i="2" s="1"/>
  <c r="I176" i="2"/>
  <c r="G158" i="2"/>
  <c r="G160" i="2" s="1"/>
  <c r="G177" i="2"/>
  <c r="F175" i="2"/>
  <c r="F158" i="2"/>
  <c r="F160" i="2" s="1"/>
  <c r="G175" i="2"/>
  <c r="H158" i="2"/>
  <c r="H160" i="2" s="1"/>
  <c r="H177" i="2"/>
  <c r="J151" i="2"/>
  <c r="K173" i="2"/>
  <c r="J173" i="2"/>
  <c r="E157" i="2"/>
  <c r="F177" i="2" s="1"/>
  <c r="N128" i="2"/>
  <c r="E148" i="2"/>
  <c r="E176" i="2" s="1"/>
  <c r="E115" i="2"/>
  <c r="E122" i="2" s="1"/>
  <c r="E258" i="2" s="1"/>
  <c r="K122" i="2"/>
  <c r="K258" i="2" s="1"/>
  <c r="K116" i="2"/>
  <c r="K302" i="2" s="1"/>
  <c r="H122" i="2"/>
  <c r="H258" i="2" s="1"/>
  <c r="H116" i="2"/>
  <c r="H302" i="2" s="1"/>
  <c r="I123" i="2"/>
  <c r="I129" i="2"/>
  <c r="J123" i="2"/>
  <c r="J129" i="2"/>
  <c r="F116" i="2"/>
  <c r="F302" i="2" s="1"/>
  <c r="F122" i="2"/>
  <c r="F258" i="2" s="1"/>
  <c r="G116" i="2"/>
  <c r="G302" i="2" s="1"/>
  <c r="G122" i="2"/>
  <c r="G258" i="2" s="1"/>
  <c r="J51" i="2"/>
  <c r="J52" i="2" s="1"/>
  <c r="K48" i="2" s="1"/>
  <c r="K50" i="2" s="1"/>
  <c r="H285" i="2" l="1"/>
  <c r="Q51" i="4"/>
  <c r="R49" i="4"/>
  <c r="R51" i="4" s="1"/>
  <c r="P54" i="4"/>
  <c r="P55" i="4" s="1"/>
  <c r="F176" i="2"/>
  <c r="F285" i="2" s="1"/>
  <c r="I285" i="2"/>
  <c r="G285" i="2"/>
  <c r="J262" i="2"/>
  <c r="J308" i="2" s="1"/>
  <c r="J306" i="2"/>
  <c r="H310" i="2"/>
  <c r="H260" i="2"/>
  <c r="H264" i="2"/>
  <c r="H311" i="2" s="1"/>
  <c r="K310" i="2"/>
  <c r="K260" i="2"/>
  <c r="K264" i="2"/>
  <c r="K311" i="2" s="1"/>
  <c r="K160" i="2"/>
  <c r="G310" i="2"/>
  <c r="G260" i="2"/>
  <c r="G264" i="2"/>
  <c r="G311" i="2" s="1"/>
  <c r="E260" i="2"/>
  <c r="E310" i="2"/>
  <c r="E264" i="2"/>
  <c r="E311" i="2" s="1"/>
  <c r="I243" i="2"/>
  <c r="I150" i="2"/>
  <c r="F310" i="2"/>
  <c r="F260" i="2"/>
  <c r="F264" i="2"/>
  <c r="F311" i="2" s="1"/>
  <c r="J205" i="2"/>
  <c r="J213" i="2"/>
  <c r="E158" i="2"/>
  <c r="E160" i="2" s="1"/>
  <c r="E177" i="2"/>
  <c r="E285" i="2" s="1"/>
  <c r="I306" i="2"/>
  <c r="I262" i="2"/>
  <c r="I308" i="2" s="1"/>
  <c r="E116" i="2"/>
  <c r="E302" i="2" s="1"/>
  <c r="G123" i="2"/>
  <c r="G129" i="2"/>
  <c r="F123" i="2"/>
  <c r="F129" i="2"/>
  <c r="H123" i="2"/>
  <c r="H129" i="2"/>
  <c r="K123" i="2"/>
  <c r="K129" i="2"/>
  <c r="E290" i="2" s="1"/>
  <c r="E291" i="2" s="1"/>
  <c r="E129" i="2"/>
  <c r="E123" i="2"/>
  <c r="J130" i="2"/>
  <c r="J303" i="2" s="1"/>
  <c r="J134" i="2"/>
  <c r="J269" i="2" s="1"/>
  <c r="I130" i="2"/>
  <c r="I303" i="2" s="1"/>
  <c r="I134" i="2"/>
  <c r="I269" i="2" s="1"/>
  <c r="K51" i="2"/>
  <c r="K52" i="2" s="1"/>
  <c r="R54" i="4" l="1"/>
  <c r="R55" i="4" s="1"/>
  <c r="Q54" i="4"/>
  <c r="Q55" i="4" s="1"/>
  <c r="J241" i="2"/>
  <c r="K203" i="2"/>
  <c r="J215" i="2"/>
  <c r="G306" i="2"/>
  <c r="G262" i="2"/>
  <c r="G308" i="2" s="1"/>
  <c r="F306" i="2"/>
  <c r="F262" i="2"/>
  <c r="F308" i="2" s="1"/>
  <c r="K306" i="2"/>
  <c r="K262" i="2"/>
  <c r="K308" i="2" s="1"/>
  <c r="J273" i="2"/>
  <c r="J279" i="2"/>
  <c r="J281" i="2" s="1"/>
  <c r="H306" i="2"/>
  <c r="H262" i="2"/>
  <c r="H308" i="2" s="1"/>
  <c r="I279" i="2"/>
  <c r="I281" i="2" s="1"/>
  <c r="I273" i="2"/>
  <c r="E306" i="2"/>
  <c r="E262" i="2"/>
  <c r="E308" i="2" s="1"/>
  <c r="F130" i="2"/>
  <c r="F303" i="2" s="1"/>
  <c r="F134" i="2"/>
  <c r="F269" i="2" s="1"/>
  <c r="I136" i="2"/>
  <c r="G130" i="2"/>
  <c r="G303" i="2" s="1"/>
  <c r="G134" i="2"/>
  <c r="G269" i="2" s="1"/>
  <c r="J136" i="2"/>
  <c r="E130" i="2"/>
  <c r="E303" i="2" s="1"/>
  <c r="E134" i="2"/>
  <c r="E269" i="2" s="1"/>
  <c r="K130" i="2"/>
  <c r="K303" i="2" s="1"/>
  <c r="K134" i="2"/>
  <c r="K269" i="2" s="1"/>
  <c r="H130" i="2"/>
  <c r="H303" i="2" s="1"/>
  <c r="H134" i="2"/>
  <c r="H269" i="2" s="1"/>
  <c r="K273" i="2" l="1"/>
  <c r="K279" i="2"/>
  <c r="K281" i="2" s="1"/>
  <c r="J150" i="2"/>
  <c r="J243" i="2"/>
  <c r="J137" i="2"/>
  <c r="J172" i="2" s="1"/>
  <c r="J178" i="2" s="1"/>
  <c r="J191" i="2" s="1"/>
  <c r="J194" i="2" s="1"/>
  <c r="J282" i="2"/>
  <c r="J286" i="2" s="1"/>
  <c r="G275" i="2"/>
  <c r="G273" i="2"/>
  <c r="G279" i="2"/>
  <c r="G281" i="2" s="1"/>
  <c r="G286" i="2" s="1"/>
  <c r="I137" i="2"/>
  <c r="I172" i="2" s="1"/>
  <c r="I178" i="2" s="1"/>
  <c r="I191" i="2" s="1"/>
  <c r="I194" i="2" s="1"/>
  <c r="I282" i="2"/>
  <c r="I286" i="2" s="1"/>
  <c r="F279" i="2"/>
  <c r="F281" i="2" s="1"/>
  <c r="F275" i="2"/>
  <c r="F273" i="2"/>
  <c r="K213" i="2"/>
  <c r="K205" i="2"/>
  <c r="H273" i="2"/>
  <c r="H279" i="2"/>
  <c r="H281" i="2" s="1"/>
  <c r="H286" i="2" s="1"/>
  <c r="H275" i="2"/>
  <c r="E279" i="2"/>
  <c r="E281" i="2" s="1"/>
  <c r="E275" i="2"/>
  <c r="E273" i="2"/>
  <c r="E274" i="2" s="1"/>
  <c r="H136" i="2"/>
  <c r="H137" i="2" s="1"/>
  <c r="H172" i="2" s="1"/>
  <c r="H178" i="2" s="1"/>
  <c r="H191" i="2" s="1"/>
  <c r="H194" i="2" s="1"/>
  <c r="K136" i="2"/>
  <c r="F136" i="2"/>
  <c r="E163" i="2"/>
  <c r="E136" i="2"/>
  <c r="G136" i="2"/>
  <c r="G137" i="2" s="1"/>
  <c r="G172" i="2" s="1"/>
  <c r="G178" i="2" s="1"/>
  <c r="G191" i="2" s="1"/>
  <c r="G194" i="2" s="1"/>
  <c r="E137" i="2" l="1"/>
  <c r="E172" i="2" s="1"/>
  <c r="E178" i="2" s="1"/>
  <c r="E191" i="2" s="1"/>
  <c r="E194" i="2" s="1"/>
  <c r="E195" i="2" s="1"/>
  <c r="E314" i="2" s="1"/>
  <c r="E313" i="2" s="1"/>
  <c r="E282" i="2"/>
  <c r="E286" i="2" s="1"/>
  <c r="K241" i="2"/>
  <c r="K215" i="2"/>
  <c r="F137" i="2"/>
  <c r="F172" i="2" s="1"/>
  <c r="F178" i="2" s="1"/>
  <c r="F191" i="2" s="1"/>
  <c r="F194" i="2" s="1"/>
  <c r="F282" i="2"/>
  <c r="F286" i="2" s="1"/>
  <c r="K137" i="2"/>
  <c r="K172" i="2" s="1"/>
  <c r="K178" i="2" s="1"/>
  <c r="K191" i="2" s="1"/>
  <c r="K194" i="2" s="1"/>
  <c r="K282" i="2"/>
  <c r="K286" i="2"/>
  <c r="E276" i="2"/>
  <c r="F272" i="2" s="1"/>
  <c r="F274" i="2" s="1"/>
  <c r="F276" i="2" s="1"/>
  <c r="G272" i="2" s="1"/>
  <c r="G274" i="2" s="1"/>
  <c r="E164" i="2"/>
  <c r="E165" i="2" s="1"/>
  <c r="F163" i="2" l="1"/>
  <c r="G163" i="2" s="1"/>
  <c r="F193" i="2"/>
  <c r="F195" i="2" s="1"/>
  <c r="F314" i="2" s="1"/>
  <c r="F313" i="2" s="1"/>
  <c r="E146" i="2"/>
  <c r="E149" i="2" s="1"/>
  <c r="E152" i="2" s="1"/>
  <c r="E167" i="2" s="1"/>
  <c r="E289" i="2"/>
  <c r="E292" i="2" s="1"/>
  <c r="G276" i="2"/>
  <c r="H272" i="2" s="1"/>
  <c r="H274" i="2" s="1"/>
  <c r="K150" i="2"/>
  <c r="K243" i="2"/>
  <c r="F164" i="2" l="1"/>
  <c r="F165" i="2" s="1"/>
  <c r="H276" i="2"/>
  <c r="I272" i="2" s="1"/>
  <c r="I274" i="2" s="1"/>
  <c r="I276" i="2" s="1"/>
  <c r="E296" i="2"/>
  <c r="E294" i="2"/>
  <c r="G193" i="2"/>
  <c r="G195" i="2" s="1"/>
  <c r="G314" i="2" s="1"/>
  <c r="G313" i="2" s="1"/>
  <c r="F146" i="2"/>
  <c r="F149" i="2" s="1"/>
  <c r="F152" i="2" s="1"/>
  <c r="H163" i="2"/>
  <c r="G164" i="2"/>
  <c r="G165" i="2" s="1"/>
  <c r="F167" i="2" l="1"/>
  <c r="H193" i="2"/>
  <c r="H195" i="2" s="1"/>
  <c r="H314" i="2" s="1"/>
  <c r="H313" i="2" s="1"/>
  <c r="G146" i="2"/>
  <c r="G149" i="2" s="1"/>
  <c r="G152" i="2" s="1"/>
  <c r="G167" i="2" s="1"/>
  <c r="I193" i="2"/>
  <c r="I195" i="2" s="1"/>
  <c r="I314" i="2" s="1"/>
  <c r="I313" i="2" s="1"/>
  <c r="I163" i="2"/>
  <c r="H164" i="2"/>
  <c r="H165" i="2" s="1"/>
  <c r="H146" i="2" l="1"/>
  <c r="H149" i="2" s="1"/>
  <c r="H152" i="2" s="1"/>
  <c r="H167" i="2"/>
  <c r="J193" i="2"/>
  <c r="J195" i="2" s="1"/>
  <c r="J314" i="2" s="1"/>
  <c r="J313" i="2" s="1"/>
  <c r="I146" i="2"/>
  <c r="I149" i="2" s="1"/>
  <c r="I152" i="2" s="1"/>
  <c r="J163" i="2"/>
  <c r="I164" i="2"/>
  <c r="I165" i="2" s="1"/>
  <c r="I167" i="2" l="1"/>
  <c r="K193" i="2"/>
  <c r="K195" i="2" s="1"/>
  <c r="J146" i="2"/>
  <c r="J149" i="2" s="1"/>
  <c r="J152" i="2" s="1"/>
  <c r="K163" i="2"/>
  <c r="K164" i="2" s="1"/>
  <c r="K165" i="2" s="1"/>
  <c r="J164" i="2"/>
  <c r="J165" i="2" s="1"/>
  <c r="K146" i="2" l="1"/>
  <c r="K149" i="2" s="1"/>
  <c r="K152" i="2" s="1"/>
  <c r="K167" i="2" s="1"/>
  <c r="K314" i="2"/>
  <c r="K313" i="2" s="1"/>
  <c r="J167" i="2"/>
</calcChain>
</file>

<file path=xl/sharedStrings.xml><?xml version="1.0" encoding="utf-8"?>
<sst xmlns="http://schemas.openxmlformats.org/spreadsheetml/2006/main" count="413" uniqueCount="311">
  <si>
    <t>Customer</t>
  </si>
  <si>
    <t>Active Customer</t>
  </si>
  <si>
    <t>Churn</t>
  </si>
  <si>
    <t>Average Order Value (AOV)</t>
  </si>
  <si>
    <t>Life Time Value (LTV)</t>
  </si>
  <si>
    <t>Customer Acquisition Cost (CAC)</t>
  </si>
  <si>
    <t>Average Revenue per User (ARPU)</t>
  </si>
  <si>
    <t>Net Promoter Score (NPS)</t>
  </si>
  <si>
    <t>Financials</t>
  </si>
  <si>
    <t>Gross Merchandise Value</t>
  </si>
  <si>
    <t>Gross Profit / Margin</t>
  </si>
  <si>
    <t>Sell-Through Rate</t>
  </si>
  <si>
    <t>EV/Active Customers</t>
  </si>
  <si>
    <t>EV/Revenue</t>
  </si>
  <si>
    <t>EV/Gross Profit</t>
  </si>
  <si>
    <t>EV/EBITDA</t>
  </si>
  <si>
    <t>LTV/CAC</t>
  </si>
  <si>
    <t xml:space="preserve"> Number of customer of who order in last 12 months</t>
  </si>
  <si>
    <t>% Number of Customer of who are not order in last 12 month</t>
  </si>
  <si>
    <t># of item per order times price item</t>
  </si>
  <si>
    <t>Net present value of contribution margin per customer</t>
  </si>
  <si>
    <t>Cost to acquire new customers</t>
  </si>
  <si>
    <t>Annual value of all goods/ services in market</t>
  </si>
  <si>
    <t>Total revenue divided by # of users</t>
  </si>
  <si>
    <t>Survey of how likely customer are refere to some one. How happy your customer.</t>
  </si>
  <si>
    <t>The valeu of all goods sold on a site. i.e. amazon</t>
  </si>
  <si>
    <t>Shipping/ fulfilment can be above or below gross profit</t>
  </si>
  <si>
    <t>Percent of inventory sold over a period of time. ( i.e Quarter, Year )</t>
  </si>
  <si>
    <t>Equity + Net Debt / # of active customers</t>
  </si>
  <si>
    <t>Equity + Net Debt / Revenue</t>
  </si>
  <si>
    <t xml:space="preserve"> (0.5 to 0.4)</t>
  </si>
  <si>
    <t>Equity + Net Debt / Gross Profit</t>
  </si>
  <si>
    <t>Equity + Net Debt / Earning before interest tax Depriciation Amortization</t>
  </si>
  <si>
    <t xml:space="preserve">Contribution per customer * Avg. Customer live / Customer Acquisition : &gt;1 is good </t>
  </si>
  <si>
    <t>LTV/ CAC Example</t>
  </si>
  <si>
    <t>Product sold for $1000 Anualy</t>
  </si>
  <si>
    <t>70% contribution margin</t>
  </si>
  <si>
    <t>Customer churn 20% annualy (5-year average life)</t>
  </si>
  <si>
    <t>Cost $500 to acquire customer</t>
  </si>
  <si>
    <t>Email</t>
  </si>
  <si>
    <t>Organic Search</t>
  </si>
  <si>
    <t>Paid Serach</t>
  </si>
  <si>
    <t>Affiliates Market</t>
  </si>
  <si>
    <t># of orders per 100 visits</t>
  </si>
  <si>
    <t>Order Build Up Channels</t>
  </si>
  <si>
    <t xml:space="preserve">Conversion Rate of Each Channels </t>
  </si>
  <si>
    <t># of Orders placed by each channels</t>
  </si>
  <si>
    <t># of items per order</t>
  </si>
  <si>
    <t>Items value (full retails)</t>
  </si>
  <si>
    <t>Markdown % on sales items</t>
  </si>
  <si>
    <t>Discounts % on sale items</t>
  </si>
  <si>
    <t xml:space="preserve">Product Margin % </t>
  </si>
  <si>
    <t>Assumptions</t>
  </si>
  <si>
    <t>Customers</t>
  </si>
  <si>
    <t>add</t>
  </si>
  <si>
    <t>new customer</t>
  </si>
  <si>
    <t xml:space="preserve">less </t>
  </si>
  <si>
    <t>cutomer churn</t>
  </si>
  <si>
    <t xml:space="preserve">Opening balance at start of Year </t>
  </si>
  <si>
    <t>Closing balance of Customers at end of Year</t>
  </si>
  <si>
    <t>Varriable and Fixed Cost</t>
  </si>
  <si>
    <t>Varriable Cost</t>
  </si>
  <si>
    <t>Marketing</t>
  </si>
  <si>
    <t>Unit Cost</t>
  </si>
  <si>
    <t>Cost per click</t>
  </si>
  <si>
    <t>Cost per click by each channel</t>
  </si>
  <si>
    <t>Fulfilment</t>
  </si>
  <si>
    <t>Shipping per order</t>
  </si>
  <si>
    <t>Laboure / Handling per order</t>
  </si>
  <si>
    <t>Fixed Cost</t>
  </si>
  <si>
    <t>Fulfilment Cost</t>
  </si>
  <si>
    <t>Warehouse</t>
  </si>
  <si>
    <t>General and Administration Cost</t>
  </si>
  <si>
    <t>Rent</t>
  </si>
  <si>
    <t>Salaries</t>
  </si>
  <si>
    <t>Technology</t>
  </si>
  <si>
    <t>Others</t>
  </si>
  <si>
    <t xml:space="preserve">Working Captial </t>
  </si>
  <si>
    <t>AR Days</t>
  </si>
  <si>
    <t>AP Days</t>
  </si>
  <si>
    <t>Inventory days /turns</t>
  </si>
  <si>
    <t>Capex</t>
  </si>
  <si>
    <t>Equipment</t>
  </si>
  <si>
    <t>Capital Assets</t>
  </si>
  <si>
    <t>Depriciation</t>
  </si>
  <si>
    <t>Financing</t>
  </si>
  <si>
    <t>Line of Credit</t>
  </si>
  <si>
    <t>Equity</t>
  </si>
  <si>
    <t>Dividends</t>
  </si>
  <si>
    <t>Balance Sheet Check</t>
  </si>
  <si>
    <t>Terminal year</t>
  </si>
  <si>
    <t>Site Traffic (Avg monthly Visits)</t>
  </si>
  <si>
    <t>Paid Search</t>
  </si>
  <si>
    <t>Affiliates</t>
  </si>
  <si>
    <t>Total Monthly Visits</t>
  </si>
  <si>
    <t>Growth Rate</t>
  </si>
  <si>
    <t>Site Trafic ( Annual)</t>
  </si>
  <si>
    <t>Total Annual Visits</t>
  </si>
  <si>
    <t>Conversion Rates</t>
  </si>
  <si>
    <t>Order Placed</t>
  </si>
  <si>
    <t>Total Order Placed</t>
  </si>
  <si>
    <t>Startup Years</t>
  </si>
  <si>
    <t>Order Details</t>
  </si>
  <si>
    <t>Average Item value ( gross)</t>
  </si>
  <si>
    <t>Average markdown</t>
  </si>
  <si>
    <t>Average promotion/discount</t>
  </si>
  <si>
    <t>Cost of Goods Sold (Gross Product Margin)</t>
  </si>
  <si>
    <t>Average Gross order value</t>
  </si>
  <si>
    <t>Average Net order value</t>
  </si>
  <si>
    <t>Churn Rate</t>
  </si>
  <si>
    <t>Opening active Customer base</t>
  </si>
  <si>
    <t>Plus new customers</t>
  </si>
  <si>
    <t>Subtotal</t>
  </si>
  <si>
    <t>Less Churned Customers</t>
  </si>
  <si>
    <t>Closing Customer base</t>
  </si>
  <si>
    <t>Marketig Expenses</t>
  </si>
  <si>
    <t>Variable</t>
  </si>
  <si>
    <t>Email (Cost per click)</t>
  </si>
  <si>
    <t>Paid Search (Cost per click)</t>
  </si>
  <si>
    <t>Organic Search (Cost per click)</t>
  </si>
  <si>
    <t>Affiliates ( Cost per click)</t>
  </si>
  <si>
    <t>Average</t>
  </si>
  <si>
    <t>Order Fulfilment</t>
  </si>
  <si>
    <t>Frieght/Shipping per order</t>
  </si>
  <si>
    <t>Laboure/handling per order</t>
  </si>
  <si>
    <t>Total</t>
  </si>
  <si>
    <t>Fixed</t>
  </si>
  <si>
    <t>Warehouse rent</t>
  </si>
  <si>
    <t>General &amp; Administrative</t>
  </si>
  <si>
    <t>Office Rent</t>
  </si>
  <si>
    <t>Salries, Wages &amp; Benefits</t>
  </si>
  <si>
    <t>Professional fees</t>
  </si>
  <si>
    <t>Balance Sheet Items</t>
  </si>
  <si>
    <t>Current Assets</t>
  </si>
  <si>
    <t>Accounts Receivable Days</t>
  </si>
  <si>
    <t>Inventory Days</t>
  </si>
  <si>
    <t>Inventory Turns</t>
  </si>
  <si>
    <t>Current Liablities</t>
  </si>
  <si>
    <t>Accounts Payable Days</t>
  </si>
  <si>
    <t>Capital Expenditures</t>
  </si>
  <si>
    <t>Technology Development</t>
  </si>
  <si>
    <t>Office Equipment</t>
  </si>
  <si>
    <t>Acquisitions</t>
  </si>
  <si>
    <t>Technology- Straight Line Years</t>
  </si>
  <si>
    <t>Office Equipment- Straight Line Years</t>
  </si>
  <si>
    <t>Interest Rate</t>
  </si>
  <si>
    <t>Debt Issued (Repaid)</t>
  </si>
  <si>
    <t>Equity Raised (Repurchased)</t>
  </si>
  <si>
    <t>Dividends Pais</t>
  </si>
  <si>
    <t>Valuation</t>
  </si>
  <si>
    <t>Tax Rate</t>
  </si>
  <si>
    <t>Cost of Capital / Discount Rate</t>
  </si>
  <si>
    <t>Terminal Value Exit Multiple</t>
  </si>
  <si>
    <t>8.0x</t>
  </si>
  <si>
    <t>Income Statement</t>
  </si>
  <si>
    <t>Gross Revenue</t>
  </si>
  <si>
    <t>Discount, Promotions, Markdown</t>
  </si>
  <si>
    <t>Net Revenue</t>
  </si>
  <si>
    <t>Cost of Goods Sold</t>
  </si>
  <si>
    <t>Gross Profit</t>
  </si>
  <si>
    <t>Gross Margin</t>
  </si>
  <si>
    <t>Variable Operating Expenses</t>
  </si>
  <si>
    <t>Total Variable Cost</t>
  </si>
  <si>
    <t>Contribution Margin</t>
  </si>
  <si>
    <t>Margin</t>
  </si>
  <si>
    <t>Fixed Operating Expense</t>
  </si>
  <si>
    <t>General &amp; Administration</t>
  </si>
  <si>
    <t>EBITDA</t>
  </si>
  <si>
    <t>Interest</t>
  </si>
  <si>
    <t>Earnings Before tax</t>
  </si>
  <si>
    <t>Taxes</t>
  </si>
  <si>
    <t>Net Income</t>
  </si>
  <si>
    <t>Dividend Paid</t>
  </si>
  <si>
    <t>Balance Sheet</t>
  </si>
  <si>
    <t>ASSETS</t>
  </si>
  <si>
    <t>Cash</t>
  </si>
  <si>
    <t>Account Receiveable</t>
  </si>
  <si>
    <t>Inventory</t>
  </si>
  <si>
    <t>Property &amp; Equipment</t>
  </si>
  <si>
    <t>Total Asstes</t>
  </si>
  <si>
    <t>LIABLITIES &amp; SHAREHOLDER EQUITY</t>
  </si>
  <si>
    <t>Liablities</t>
  </si>
  <si>
    <t>Current</t>
  </si>
  <si>
    <t>Revolver</t>
  </si>
  <si>
    <t>Account Paybale</t>
  </si>
  <si>
    <t>Debt</t>
  </si>
  <si>
    <t>Total Liablities</t>
  </si>
  <si>
    <t>Shareholder Equity</t>
  </si>
  <si>
    <t>Share Capital</t>
  </si>
  <si>
    <t>Retained Earnings</t>
  </si>
  <si>
    <t>Total Shareholder Equity</t>
  </si>
  <si>
    <t>Total Liblities &amp; Shareholder Equity</t>
  </si>
  <si>
    <t>A/R = (Revenue*AR Days)/365</t>
  </si>
  <si>
    <t>Inven = (COGS*Inventory Days)/365</t>
  </si>
  <si>
    <t>A/P = (COGS*AP Days)/365</t>
  </si>
  <si>
    <t>Total Addressable Market (TAM)</t>
  </si>
  <si>
    <t>Corkscrew Calculation</t>
  </si>
  <si>
    <t>Check</t>
  </si>
  <si>
    <t>Cash Flow Statement</t>
  </si>
  <si>
    <t>Cash from Operations</t>
  </si>
  <si>
    <t>Depreciation</t>
  </si>
  <si>
    <t>Account Receivable</t>
  </si>
  <si>
    <t>Account Payable</t>
  </si>
  <si>
    <t>Change in non cash working capital</t>
  </si>
  <si>
    <t>Cash Invested</t>
  </si>
  <si>
    <t>Acquisition</t>
  </si>
  <si>
    <t>Cash from Financing</t>
  </si>
  <si>
    <t>Increase ( decrease) in debt</t>
  </si>
  <si>
    <t>Equity Issued (repurchased)</t>
  </si>
  <si>
    <t>Dividends Paid</t>
  </si>
  <si>
    <t>Total Cash</t>
  </si>
  <si>
    <t>Opening Balance</t>
  </si>
  <si>
    <t>Increase (Decrease)</t>
  </si>
  <si>
    <t>Closing Balance</t>
  </si>
  <si>
    <t>Supporting Schedules</t>
  </si>
  <si>
    <t>Openning Balance</t>
  </si>
  <si>
    <t>Additions</t>
  </si>
  <si>
    <t>Debt Schedule</t>
  </si>
  <si>
    <t>Interest on Debt</t>
  </si>
  <si>
    <t>Customer Matrics</t>
  </si>
  <si>
    <t>Contribution Margin per order</t>
  </si>
  <si>
    <t>Customer Liftime Value (LTV)</t>
  </si>
  <si>
    <t>LTV/CAC Ratio</t>
  </si>
  <si>
    <t>Payback (#of orders)</t>
  </si>
  <si>
    <t>EBT</t>
  </si>
  <si>
    <t>Net Operating Loss</t>
  </si>
  <si>
    <t>Current Loss</t>
  </si>
  <si>
    <t>Sub Total</t>
  </si>
  <si>
    <t>Loss Used</t>
  </si>
  <si>
    <t>Free Cash Flow</t>
  </si>
  <si>
    <t>Earning Before Tax</t>
  </si>
  <si>
    <t>EBIT</t>
  </si>
  <si>
    <t>Less Taxes</t>
  </si>
  <si>
    <t>Less Capex</t>
  </si>
  <si>
    <t>Plus Depriciation</t>
  </si>
  <si>
    <t>Less Changes in Net working capital</t>
  </si>
  <si>
    <t>Unlevered Free Cash Flow</t>
  </si>
  <si>
    <t>DCF Valuation</t>
  </si>
  <si>
    <t>NPV of Forecast</t>
  </si>
  <si>
    <t>Terminal Value ( EBITDA Multiple)</t>
  </si>
  <si>
    <t>NPV of Terminal Value</t>
  </si>
  <si>
    <t>Total Enterprise Value</t>
  </si>
  <si>
    <t>EV/Revenue (2017E)</t>
  </si>
  <si>
    <t>% of Business Retained after raise</t>
  </si>
  <si>
    <t>Charts &amp; Graph</t>
  </si>
  <si>
    <t>Revenue</t>
  </si>
  <si>
    <t>EBITDA Margin</t>
  </si>
  <si>
    <t>Customer Acquisition Cost</t>
  </si>
  <si>
    <t>Life Time Value</t>
  </si>
  <si>
    <t>Payback (# of orders)</t>
  </si>
  <si>
    <t>Burn Rate</t>
  </si>
  <si>
    <t>Cash Balance</t>
  </si>
  <si>
    <t>Unit Economics - One Client</t>
  </si>
  <si>
    <t>Break Down</t>
  </si>
  <si>
    <t>Price</t>
  </si>
  <si>
    <t>Amazon Fees ( FBA)</t>
  </si>
  <si>
    <t xml:space="preserve">Product Cost </t>
  </si>
  <si>
    <t>GP %</t>
  </si>
  <si>
    <t>Paid Acquisition Cost</t>
  </si>
  <si>
    <t>Cost per Click</t>
  </si>
  <si>
    <t>Conversion Rate</t>
  </si>
  <si>
    <t>Cost per Acquisition</t>
  </si>
  <si>
    <t>*for Paid Traffic</t>
  </si>
  <si>
    <t>*CVR, 10% sitewide, although with huge range per product / campaign</t>
  </si>
  <si>
    <t>Posy Marketing profit (1st Order)</t>
  </si>
  <si>
    <t>Customer Lifetime Value</t>
  </si>
  <si>
    <t>Est Lifetime Orders / Customer</t>
  </si>
  <si>
    <t>Lifetime Value</t>
  </si>
  <si>
    <t>LVT/CAC</t>
  </si>
  <si>
    <t>*They have calculators based on size &amp; weight</t>
  </si>
  <si>
    <t>M10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</si>
  <si>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</si>
  <si>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</si>
  <si>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</si>
  <si>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</si>
  <si>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</si>
  <si>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</si>
  <si>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</si>
  <si>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</si>
  <si>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</si>
  <si>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M11</t>
  </si>
  <si>
    <t>M12</t>
  </si>
  <si>
    <t>M13</t>
  </si>
  <si>
    <t>M14</t>
  </si>
  <si>
    <t>M15</t>
  </si>
  <si>
    <t>M16</t>
  </si>
  <si>
    <t>Total Orders</t>
  </si>
  <si>
    <t>COGS</t>
  </si>
  <si>
    <t>Amazon Fulfuilment</t>
  </si>
  <si>
    <t>Clearco Payback</t>
  </si>
  <si>
    <t>Product</t>
  </si>
  <si>
    <t>Total COGS</t>
  </si>
  <si>
    <t>GP%</t>
  </si>
  <si>
    <t>Advertising</t>
  </si>
  <si>
    <t>Post- Marketing Profit</t>
  </si>
  <si>
    <t>Profit %</t>
  </si>
  <si>
    <t xml:space="preserve"> </t>
  </si>
  <si>
    <t>Cash Management</t>
  </si>
  <si>
    <t>Starting</t>
  </si>
  <si>
    <t>Marketing Budget</t>
  </si>
  <si>
    <t>CAC</t>
  </si>
  <si>
    <t>Paid Orders</t>
  </si>
  <si>
    <t>Paid: Organic Ratio</t>
  </si>
  <si>
    <t>Organic Orders</t>
  </si>
  <si>
    <t>Inventory Purchase</t>
  </si>
  <si>
    <t>Inventory Arrival</t>
  </si>
  <si>
    <t>Total Inventory</t>
  </si>
  <si>
    <t>$</t>
  </si>
  <si>
    <t>No</t>
  </si>
  <si>
    <t>%</t>
  </si>
  <si>
    <t>Inventory Investment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</si>
</sst>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#,##0.0"/>
    <numFmt numFmtId="167" formatCode="_-* #,##0.0_-;\-* #,##0.0_-;_-* &quot;-&quot;?_-;_-@_-"/>
    <numFmt numFmtId="168" formatCode="#,##0;\(#,##0\)"/>
    <numFmt numFmtId="169" formatCode="0.000"/>
    <numFmt numFmtId="170" formatCode="0.0"/>
    <numFmt numFmtId="171" formatCode="\$0.00,,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8"/>
      <color theme="0"/>
      <name val="Arial"/>
      <family val="2"/>
    </font>
    <font>
      <b/>
      <sz val="11"/>
      <color theme="0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8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9" fontId="0" fillId="0" borderId="2" xfId="2" applyFont="1" applyBorder="1"/>
    <xf numFmtId="0" fontId="0" fillId="0" borderId="2" xfId="0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4" fillId="0" borderId="0" xfId="0" applyFont="1"/>
    <xf numFmtId="0" fontId="6" fillId="3" borderId="0" xfId="0" applyFont="1" applyFill="1"/>
    <xf numFmtId="0" fontId="8" fillId="0" borderId="0" xfId="0" applyFont="1"/>
    <xf numFmtId="0" fontId="9" fillId="0" borderId="0" xfId="0" applyFont="1"/>
    <xf numFmtId="0" fontId="9" fillId="4" borderId="0" xfId="0" applyFont="1" applyFill="1"/>
    <xf numFmtId="0" fontId="9" fillId="0" borderId="1" xfId="0" applyFont="1" applyBorder="1"/>
    <xf numFmtId="0" fontId="10" fillId="0" borderId="0" xfId="0" applyFont="1"/>
    <xf numFmtId="3" fontId="9" fillId="0" borderId="1" xfId="0" applyNumberFormat="1" applyFont="1" applyBorder="1"/>
    <xf numFmtId="0" fontId="8" fillId="4" borderId="0" xfId="0" applyFont="1" applyFill="1"/>
    <xf numFmtId="0" fontId="8" fillId="0" borderId="1" xfId="0" applyFont="1" applyBorder="1"/>
    <xf numFmtId="3" fontId="8" fillId="0" borderId="0" xfId="0" applyNumberFormat="1" applyFont="1"/>
    <xf numFmtId="3" fontId="11" fillId="0" borderId="0" xfId="0" applyNumberFormat="1" applyFont="1"/>
    <xf numFmtId="164" fontId="9" fillId="0" borderId="1" xfId="0" applyNumberFormat="1" applyFont="1" applyBorder="1"/>
    <xf numFmtId="164" fontId="11" fillId="0" borderId="0" xfId="0" applyNumberFormat="1" applyFont="1"/>
    <xf numFmtId="9" fontId="8" fillId="0" borderId="0" xfId="0" applyNumberFormat="1" applyFont="1"/>
    <xf numFmtId="0" fontId="11" fillId="0" borderId="0" xfId="0" applyFont="1"/>
    <xf numFmtId="9" fontId="11" fillId="0" borderId="0" xfId="0" applyNumberFormat="1" applyFont="1"/>
    <xf numFmtId="1" fontId="8" fillId="0" borderId="0" xfId="0" applyNumberFormat="1" applyFont="1"/>
    <xf numFmtId="165" fontId="8" fillId="0" borderId="1" xfId="1" applyNumberFormat="1" applyFont="1" applyBorder="1"/>
    <xf numFmtId="165" fontId="9" fillId="0" borderId="1" xfId="0" applyNumberFormat="1" applyFont="1" applyBorder="1"/>
    <xf numFmtId="165" fontId="8" fillId="0" borderId="0" xfId="1" applyNumberFormat="1" applyFont="1"/>
    <xf numFmtId="38" fontId="8" fillId="0" borderId="0" xfId="1" applyNumberFormat="1" applyFont="1"/>
    <xf numFmtId="165" fontId="8" fillId="0" borderId="0" xfId="0" applyNumberFormat="1" applyFont="1"/>
    <xf numFmtId="43" fontId="8" fillId="0" borderId="0" xfId="0" applyNumberFormat="1" applyFont="1"/>
    <xf numFmtId="2" fontId="11" fillId="0" borderId="0" xfId="0" applyNumberFormat="1" applyFont="1"/>
    <xf numFmtId="2" fontId="9" fillId="0" borderId="1" xfId="0" applyNumberFormat="1" applyFont="1" applyBorder="1"/>
    <xf numFmtId="0" fontId="11" fillId="0" borderId="3" xfId="0" applyFont="1" applyBorder="1"/>
    <xf numFmtId="166" fontId="8" fillId="0" borderId="0" xfId="0" applyNumberFormat="1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4" fillId="0" borderId="0" xfId="1" applyNumberFormat="1" applyFont="1"/>
    <xf numFmtId="3" fontId="8" fillId="0" borderId="1" xfId="0" applyNumberFormat="1" applyFont="1" applyBorder="1"/>
    <xf numFmtId="164" fontId="10" fillId="0" borderId="0" xfId="2" applyNumberFormat="1" applyFont="1"/>
    <xf numFmtId="0" fontId="8" fillId="0" borderId="4" xfId="0" applyFont="1" applyBorder="1"/>
    <xf numFmtId="165" fontId="8" fillId="0" borderId="4" xfId="0" applyNumberFormat="1" applyFont="1" applyBorder="1"/>
    <xf numFmtId="167" fontId="8" fillId="0" borderId="0" xfId="0" applyNumberFormat="1" applyFont="1"/>
    <xf numFmtId="3" fontId="8" fillId="0" borderId="4" xfId="0" applyNumberFormat="1" applyFont="1" applyBorder="1"/>
    <xf numFmtId="0" fontId="9" fillId="0" borderId="5" xfId="0" applyFont="1" applyBorder="1"/>
    <xf numFmtId="168" fontId="9" fillId="0" borderId="0" xfId="0" applyNumberFormat="1" applyFont="1"/>
    <xf numFmtId="168" fontId="8" fillId="0" borderId="0" xfId="0" applyNumberFormat="1" applyFont="1"/>
    <xf numFmtId="168" fontId="8" fillId="0" borderId="1" xfId="0" applyNumberFormat="1" applyFont="1" applyBorder="1"/>
    <xf numFmtId="168" fontId="9" fillId="0" borderId="5" xfId="0" applyNumberFormat="1" applyFont="1" applyBorder="1"/>
    <xf numFmtId="165" fontId="9" fillId="0" borderId="1" xfId="1" applyNumberFormat="1" applyFont="1" applyBorder="1"/>
    <xf numFmtId="165" fontId="0" fillId="0" borderId="0" xfId="0" applyNumberFormat="1"/>
    <xf numFmtId="168" fontId="8" fillId="0" borderId="0" xfId="1" applyNumberFormat="1" applyFont="1"/>
    <xf numFmtId="165" fontId="9" fillId="0" borderId="5" xfId="0" applyNumberFormat="1" applyFont="1" applyBorder="1"/>
    <xf numFmtId="165" fontId="9" fillId="0" borderId="5" xfId="1" applyNumberFormat="1" applyFont="1" applyBorder="1"/>
    <xf numFmtId="165" fontId="8" fillId="0" borderId="0" xfId="1" applyNumberFormat="1" applyFont="1" applyFill="1"/>
    <xf numFmtId="43" fontId="0" fillId="0" borderId="0" xfId="0" applyNumberFormat="1"/>
    <xf numFmtId="170" fontId="8" fillId="0" borderId="0" xfId="0" applyNumberFormat="1" applyFont="1"/>
    <xf numFmtId="169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12" fillId="5" borderId="0" xfId="0" applyNumberFormat="1" applyFont="1" applyFill="1"/>
    <xf numFmtId="168" fontId="9" fillId="0" borderId="1" xfId="0" applyNumberFormat="1" applyFont="1" applyBorder="1"/>
    <xf numFmtId="0" fontId="9" fillId="0" borderId="0" xfId="0" applyFont="1" applyAlignment="1">
      <alignment horizontal="right"/>
    </xf>
    <xf numFmtId="9" fontId="8" fillId="0" borderId="0" xfId="2" applyFont="1"/>
    <xf numFmtId="9" fontId="9" fillId="0" borderId="0" xfId="2" applyFont="1"/>
    <xf numFmtId="164" fontId="8" fillId="0" borderId="0" xfId="0" applyNumberFormat="1" applyFont="1"/>
    <xf numFmtId="171" fontId="8" fillId="0" borderId="0" xfId="0" applyNumberFormat="1" applyFont="1"/>
    <xf numFmtId="0" fontId="13" fillId="0" borderId="0" xfId="0" applyFont="1"/>
    <xf numFmtId="0" fontId="14" fillId="0" borderId="0" xfId="0" applyFont="1"/>
    <xf numFmtId="9" fontId="0" fillId="0" borderId="0" xfId="2" applyFont="1"/>
    <xf numFmtId="0" fontId="15" fillId="0" borderId="0" xfId="0" applyFont="1"/>
    <xf numFmtId="0" fontId="15" fillId="0" borderId="2" xfId="0" applyFont="1" applyBorder="1"/>
    <xf numFmtId="10" fontId="15" fillId="0" borderId="2" xfId="0" applyNumberFormat="1" applyFont="1" applyBorder="1"/>
    <xf numFmtId="43" fontId="2" fillId="0" borderId="0" xfId="1" applyFont="1"/>
    <xf numFmtId="43" fontId="0" fillId="0" borderId="0" xfId="1" applyFont="1"/>
    <xf numFmtId="43" fontId="2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15" fillId="8" borderId="0" xfId="0" applyFont="1" applyFill="1"/>
    <xf numFmtId="0" fontId="0" fillId="0" borderId="0" xfId="0" applyAlignment="1">
      <alignment horizontal="center"/>
    </xf>
    <xf numFmtId="3" fontId="0" fillId="0" borderId="0" xfId="0" applyNumberFormat="1"/>
    <xf numFmtId="3" fontId="15" fillId="0" borderId="0" xfId="0" applyNumberFormat="1" applyFont="1"/>
    <xf numFmtId="9" fontId="15" fillId="0" borderId="0" xfId="0" applyNumberFormat="1" applyFont="1"/>
    <xf numFmtId="3" fontId="0" fillId="0" borderId="2" xfId="0" applyNumberFormat="1" applyBorder="1"/>
    <xf numFmtId="164" fontId="0" fillId="0" borderId="0" xfId="2" applyNumberFormat="1" applyFont="1"/>
    <xf numFmtId="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1572825248891"/>
          <c:y val="0.15782407407407409"/>
          <c:w val="0.768761558850090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Model'!$A$301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Model'!$E$301:$K$301</c:f>
              <c:numCache>
                <c:formatCode>#,##0</c:formatCode>
                <c:ptCount val="7"/>
                <c:pt idx="0">
                  <c:v>3834600</c:v>
                </c:pt>
                <c:pt idx="1">
                  <c:v>5546880</c:v>
                </c:pt>
                <c:pt idx="2">
                  <c:v>8833500</c:v>
                </c:pt>
                <c:pt idx="3">
                  <c:v>13824720</c:v>
                </c:pt>
                <c:pt idx="4">
                  <c:v>19152000</c:v>
                </c:pt>
                <c:pt idx="5">
                  <c:v>26843520</c:v>
                </c:pt>
                <c:pt idx="6">
                  <c:v>31866840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4-4270-B0A0-432E6529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64"/>
        <c:axId val="1034743552"/>
        <c:axId val="1024183168"/>
      </c:barChart>
      <c:lineChart>
        <c:grouping val="standard"/>
        <c:varyColors val="0"/>
        <c:ser>
          <c:idx val="1"/>
          <c:order val="1"/>
          <c:tx>
            <c:strRef>
              <c:f>'Financial Model'!$A$302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Model'!$E$302:$K$302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0.30555555555555558</c:v>
                </c:pt>
                <c:pt idx="2">
                  <c:v>0.33333333333333331</c:v>
                </c:pt>
                <c:pt idx="3">
                  <c:v>0.35897435897435898</c:v>
                </c:pt>
                <c:pt idx="4">
                  <c:v>0.375</c:v>
                </c:pt>
                <c:pt idx="5">
                  <c:v>0.3902439024390244</c:v>
                </c:pt>
                <c:pt idx="6">
                  <c:v>0.3902439024390244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270-B0A0-432E65297EE2}"/>
            </c:ext>
          </c:extLst>
        </c:ser>
        <c:ser>
          <c:idx val="2"/>
          <c:order val="2"/>
          <c:tx>
            <c:strRef>
              <c:f>'Financial Model'!$A$303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Model'!$E$303:$K$303</c:f>
              <c:numCache>
                <c:formatCode>0.0%</c:formatCode>
                <c:ptCount val="7"/>
                <c:pt idx="0">
                  <c:v>-0.64492776300005217</c:v>
                </c:pt>
                <c:pt idx="1">
                  <c:v>-0.22000115380177684</c:v>
                </c:pt>
                <c:pt idx="2">
                  <c:v>2.2317314767645893E-2</c:v>
                </c:pt>
                <c:pt idx="3">
                  <c:v>0.10732658599957177</c:v>
                </c:pt>
                <c:pt idx="4">
                  <c:v>0.16092731829573934</c:v>
                </c:pt>
                <c:pt idx="5">
                  <c:v>0.19973535512481225</c:v>
                </c:pt>
                <c:pt idx="6">
                  <c:v>0.19639725809022796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4-4270-B0A0-432E6529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23808"/>
        <c:axId val="1024173184"/>
      </c:lineChart>
      <c:catAx>
        <c:axId val="1034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4183168"/>
        <c:crosses val="autoZero"/>
        <c:auto val="1"/>
        <c:lblAlgn val="ctr"/>
        <c:lblOffset val="100"/>
        <c:noMultiLvlLbl val="0"/>
      </c:catAx>
      <c:valAx>
        <c:axId val="1024183168"/>
        <c:scaling>
          <c:orientation val="minMax"/>
          <c:min val="-1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</a:t>
                </a:r>
                <a:r>
                  <a:rPr lang="en-US" baseline="0"/>
                  <a:t> $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\$0,,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4743552"/>
        <c:crosses val="autoZero"/>
        <c:crossBetween val="between"/>
      </c:valAx>
      <c:valAx>
        <c:axId val="1024173184"/>
        <c:scaling>
          <c:orientation val="minMax"/>
          <c:max val="1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1523808"/>
        <c:crosses val="max"/>
        <c:crossBetween val="between"/>
        <c:majorUnit val="0.25"/>
      </c:valAx>
      <c:catAx>
        <c:axId val="9715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173184"/>
        <c:crossesAt val="-0.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175635099436373"/>
          <c:y val="0.14690871974336542"/>
          <c:w val="0.2319680736629232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1572825248891"/>
          <c:y val="0.15782407407407409"/>
          <c:w val="0.768761558850090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Model'!$A$313</c:f>
              <c:strCache>
                <c:ptCount val="1"/>
                <c:pt idx="0">
                  <c:v>Burn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Model'!$E$313:$K$313</c:f>
              <c:numCache>
                <c:formatCode>#,##0;\(#,##0\)</c:formatCode>
                <c:ptCount val="7"/>
                <c:pt idx="0">
                  <c:v>-3045353.9726027399</c:v>
                </c:pt>
                <c:pt idx="1">
                  <c:v>-1609853.6986301369</c:v>
                </c:pt>
                <c:pt idx="2">
                  <c:v>-351798.97260273946</c:v>
                </c:pt>
                <c:pt idx="3">
                  <c:v>-106876.43835616438</c:v>
                </c:pt>
                <c:pt idx="4">
                  <c:v>1562621.3698630133</c:v>
                </c:pt>
                <c:pt idx="5">
                  <c:v>2219576.4383561648</c:v>
                </c:pt>
                <c:pt idx="6">
                  <c:v>3656808.2191780824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2-42A7-87C6-5EFE8585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64"/>
        <c:axId val="1034743552"/>
        <c:axId val="1024183168"/>
      </c:barChart>
      <c:lineChart>
        <c:grouping val="standard"/>
        <c:varyColors val="0"/>
        <c:ser>
          <c:idx val="1"/>
          <c:order val="1"/>
          <c:tx>
            <c:strRef>
              <c:f>'Financial Model'!$A$314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Model'!$E$314:$K$314</c:f>
              <c:numCache>
                <c:formatCode>#,##0;\(#,##0\)</c:formatCode>
                <c:ptCount val="7"/>
                <c:pt idx="0">
                  <c:v>4954646.0273972601</c:v>
                </c:pt>
                <c:pt idx="1">
                  <c:v>3344792.3287671232</c:v>
                </c:pt>
                <c:pt idx="2">
                  <c:v>2992993.3561643837</c:v>
                </c:pt>
                <c:pt idx="3">
                  <c:v>2886116.9178082193</c:v>
                </c:pt>
                <c:pt idx="4">
                  <c:v>4448738.2876712326</c:v>
                </c:pt>
                <c:pt idx="5">
                  <c:v>6668314.7260273974</c:v>
                </c:pt>
                <c:pt idx="6">
                  <c:v>10325122.94520548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2-42A7-87C6-5EFE8585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43552"/>
        <c:axId val="1024183168"/>
      </c:lineChart>
      <c:catAx>
        <c:axId val="1034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4183168"/>
        <c:crosses val="autoZero"/>
        <c:auto val="1"/>
        <c:lblAlgn val="ctr"/>
        <c:lblOffset val="100"/>
        <c:noMultiLvlLbl val="0"/>
      </c:catAx>
      <c:valAx>
        <c:axId val="1024183168"/>
        <c:scaling>
          <c:orientation val="minMax"/>
          <c:min val="-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Burn (</a:t>
                </a:r>
                <a:r>
                  <a:rPr lang="en-US" baseline="0"/>
                  <a:t> $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\$0,,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47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1572825248891"/>
          <c:y val="0.15782407407407409"/>
          <c:w val="0.768761558850090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Model'!$A$309</c:f>
              <c:strCache>
                <c:ptCount val="1"/>
                <c:pt idx="0">
                  <c:v>Customer Acquisition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Model'!$E$309:$K$309</c:f>
              <c:numCache>
                <c:formatCode>0</c:formatCode>
                <c:ptCount val="7"/>
                <c:pt idx="0">
                  <c:v>130.13698630136986</c:v>
                </c:pt>
                <c:pt idx="1">
                  <c:v>136.9047619047619</c:v>
                </c:pt>
                <c:pt idx="2">
                  <c:v>136.9047619047619</c:v>
                </c:pt>
                <c:pt idx="3">
                  <c:v>142.85714285714286</c:v>
                </c:pt>
                <c:pt idx="4">
                  <c:v>142.85714285714286</c:v>
                </c:pt>
                <c:pt idx="5">
                  <c:v>148.8095238095238</c:v>
                </c:pt>
                <c:pt idx="6">
                  <c:v>154.76190476190476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3-4F99-98FD-90B79B3E794F}"/>
            </c:ext>
          </c:extLst>
        </c:ser>
        <c:ser>
          <c:idx val="1"/>
          <c:order val="1"/>
          <c:tx>
            <c:strRef>
              <c:f>'Financial Model'!$A$310</c:f>
              <c:strCache>
                <c:ptCount val="1"/>
                <c:pt idx="0">
                  <c:v>Contribution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Model'!$E$310:$K$310</c:f>
              <c:numCache>
                <c:formatCode>0</c:formatCode>
                <c:ptCount val="7"/>
                <c:pt idx="0">
                  <c:v>38</c:v>
                </c:pt>
                <c:pt idx="1">
                  <c:v>51</c:v>
                </c:pt>
                <c:pt idx="2">
                  <c:v>67.25</c:v>
                </c:pt>
                <c:pt idx="3">
                  <c:v>84</c:v>
                </c:pt>
                <c:pt idx="4">
                  <c:v>99.5</c:v>
                </c:pt>
                <c:pt idx="5">
                  <c:v>115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3-4F99-98FD-90B79B3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743552"/>
        <c:axId val="1024183168"/>
      </c:barChart>
      <c:lineChart>
        <c:grouping val="standard"/>
        <c:varyColors val="0"/>
        <c:ser>
          <c:idx val="2"/>
          <c:order val="2"/>
          <c:tx>
            <c:strRef>
              <c:f>'Financial Model'!$A$311</c:f>
              <c:strCache>
                <c:ptCount val="1"/>
                <c:pt idx="0">
                  <c:v>Payback (# of orders)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Model'!$E$311:$K$311</c:f>
              <c:numCache>
                <c:formatCode>0.0</c:formatCode>
                <c:ptCount val="7"/>
                <c:pt idx="0">
                  <c:v>3.4246575342465753</c:v>
                </c:pt>
                <c:pt idx="1">
                  <c:v>2.6844070961718018</c:v>
                </c:pt>
                <c:pt idx="2">
                  <c:v>2.0357585413347494</c:v>
                </c:pt>
                <c:pt idx="3">
                  <c:v>1.7006802721088436</c:v>
                </c:pt>
                <c:pt idx="4">
                  <c:v>1.4357501794687724</c:v>
                </c:pt>
                <c:pt idx="5">
                  <c:v>1.2939958592132503</c:v>
                </c:pt>
                <c:pt idx="6">
                  <c:v>1.2480798771121351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3-4F99-98FD-90B79B3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23808"/>
        <c:axId val="1024173184"/>
      </c:lineChart>
      <c:catAx>
        <c:axId val="1034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4183168"/>
        <c:crosses val="autoZero"/>
        <c:auto val="1"/>
        <c:lblAlgn val="ctr"/>
        <c:lblOffset val="100"/>
        <c:noMultiLvlLbl val="0"/>
      </c:catAx>
      <c:valAx>
        <c:axId val="1024183168"/>
        <c:scaling>
          <c:orientation val="minMax"/>
          <c:max val="200"/>
          <c:min val="0"/>
        </c:scaling>
        <c:delete val="0"/>
        <c:axPos val="l"/>
        <c:numFmt formatCode="\$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4743552"/>
        <c:crosses val="autoZero"/>
        <c:crossBetween val="between"/>
      </c:valAx>
      <c:valAx>
        <c:axId val="1024173184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Payback</a:t>
                </a:r>
                <a:r>
                  <a:rPr lang="en-US" baseline="0"/>
                  <a:t> (# of orders)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1523808"/>
        <c:crosses val="max"/>
        <c:crossBetween val="between"/>
        <c:majorUnit val="0.5"/>
      </c:valAx>
      <c:catAx>
        <c:axId val="9715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173184"/>
        <c:crossesAt val="-0.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175635099436373"/>
          <c:y val="5.4316127150772817E-2"/>
          <c:w val="0.34125769114926213"/>
          <c:h val="0.2019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1572825248891"/>
          <c:y val="0.15782407407407409"/>
          <c:w val="0.7687615588500902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Model'!$A$305</c:f>
              <c:strCache>
                <c:ptCount val="1"/>
                <c:pt idx="0">
                  <c:v>Customer Acquisition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Model'!$E$305:$K$305</c:f>
              <c:numCache>
                <c:formatCode>0</c:formatCode>
                <c:ptCount val="7"/>
                <c:pt idx="0">
                  <c:v>130.13698630136986</c:v>
                </c:pt>
                <c:pt idx="1">
                  <c:v>136.9047619047619</c:v>
                </c:pt>
                <c:pt idx="2">
                  <c:v>136.9047619047619</c:v>
                </c:pt>
                <c:pt idx="3">
                  <c:v>142.85714285714286</c:v>
                </c:pt>
                <c:pt idx="4">
                  <c:v>142.85714285714286</c:v>
                </c:pt>
                <c:pt idx="5">
                  <c:v>148.8095238095238</c:v>
                </c:pt>
                <c:pt idx="6">
                  <c:v>154.76190476190476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5-42A8-849B-6672BAECE238}"/>
            </c:ext>
          </c:extLst>
        </c:ser>
        <c:ser>
          <c:idx val="1"/>
          <c:order val="1"/>
          <c:tx>
            <c:strRef>
              <c:f>'Financial Model'!$A$306</c:f>
              <c:strCache>
                <c:ptCount val="1"/>
                <c:pt idx="0">
                  <c:v>Life Time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Model'!$E$306:$K$306</c:f>
              <c:numCache>
                <c:formatCode>General</c:formatCode>
                <c:ptCount val="7"/>
                <c:pt idx="0">
                  <c:v>152</c:v>
                </c:pt>
                <c:pt idx="1">
                  <c:v>204</c:v>
                </c:pt>
                <c:pt idx="2">
                  <c:v>269</c:v>
                </c:pt>
                <c:pt idx="3">
                  <c:v>336</c:v>
                </c:pt>
                <c:pt idx="4">
                  <c:v>398</c:v>
                </c:pt>
                <c:pt idx="5">
                  <c:v>460</c:v>
                </c:pt>
                <c:pt idx="6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5-42A8-849B-6672BAEC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743552"/>
        <c:axId val="1024183168"/>
      </c:barChart>
      <c:lineChart>
        <c:grouping val="standard"/>
        <c:varyColors val="0"/>
        <c:ser>
          <c:idx val="2"/>
          <c:order val="2"/>
          <c:tx>
            <c:strRef>
              <c:f>'Financial Model'!$A$307</c:f>
              <c:strCache>
                <c:ptCount val="1"/>
                <c:pt idx="0">
                  <c:v>LTV/CAC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Model'!$E$2:$K$2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'Financial Model'!$E$307:$K$307</c:f>
              <c:numCache>
                <c:formatCode>General</c:formatCode>
                <c:ptCount val="7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  <c:pt idx="5">
                  <c:v>3.1</c:v>
                </c:pt>
                <c:pt idx="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5-42A8-849B-6672BAEC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23808"/>
        <c:axId val="1024173184"/>
      </c:lineChart>
      <c:catAx>
        <c:axId val="1034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24183168"/>
        <c:crosses val="autoZero"/>
        <c:auto val="1"/>
        <c:lblAlgn val="ctr"/>
        <c:lblOffset val="100"/>
        <c:noMultiLvlLbl val="0"/>
      </c:catAx>
      <c:valAx>
        <c:axId val="1024183168"/>
        <c:scaling>
          <c:orientation val="minMax"/>
          <c:max val="600"/>
          <c:min val="0"/>
        </c:scaling>
        <c:delete val="0"/>
        <c:axPos val="l"/>
        <c:numFmt formatCode="\$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4743552"/>
        <c:crosses val="autoZero"/>
        <c:crossBetween val="between"/>
      </c:valAx>
      <c:valAx>
        <c:axId val="1024173184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LTV/CAC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&quot;x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1523808"/>
        <c:crosses val="max"/>
        <c:crossBetween val="between"/>
        <c:majorUnit val="0.5"/>
      </c:valAx>
      <c:catAx>
        <c:axId val="9715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173184"/>
        <c:crossesAt val="-0.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175635099436373"/>
          <c:y val="5.4316127150772817E-2"/>
          <c:w val="0.34125769114926213"/>
          <c:h val="0.2019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315</xdr:row>
      <xdr:rowOff>63499</xdr:rowOff>
    </xdr:from>
    <xdr:to>
      <xdr:col>6</xdr:col>
      <xdr:colOff>33867</xdr:colOff>
      <xdr:row>330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14A19-813D-49C7-9F13-0F73A4C5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169334</xdr:colOff>
      <xdr:row>315</xdr:row>
      <xdr:rowOff>59266</xdr:rowOff>
    </xdr:from>
    <xdr:to>
      <xdr:col>10</xdr:col>
      <xdr:colOff>651934</xdr:colOff>
      <xdr:row>330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9CFE2-5D3A-45E4-AB05-ED709073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84668</xdr:colOff>
      <xdr:row>330</xdr:row>
      <xdr:rowOff>152401</xdr:rowOff>
    </xdr:from>
    <xdr:to>
      <xdr:col>6</xdr:col>
      <xdr:colOff>42335</xdr:colOff>
      <xdr:row>345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41ABC-E4C7-40CE-9123-9F1389530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177801</xdr:colOff>
      <xdr:row>330</xdr:row>
      <xdr:rowOff>160867</xdr:rowOff>
    </xdr:from>
    <xdr:to>
      <xdr:col>10</xdr:col>
      <xdr:colOff>660401</xdr:colOff>
      <xdr:row>345</xdr:row>
      <xdr:rowOff>110067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9EC09-91D6-440C-9048-E06C734B2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0"/>
  <sheetViews>
    <sheetView topLeftCell="A13" workbookViewId="0">
      <selection activeCell="G33" sqref="G33"/>
    </sheetView>
  </sheetViews>
  <sheetFormatPr defaultRowHeight="14.4" x14ac:dyDescent="0.3"/>
  <cols>
    <col min="2" max="2" width="28.88671875" bestFit="1" customWidth="1"/>
    <col min="3" max="3" width="24.5546875" customWidth="1"/>
  </cols>
  <sheetData>
    <row r="3" spans="2:3" x14ac:dyDescent="0.3">
      <c r="B3" s="1" t="s">
        <v>0</v>
      </c>
    </row>
    <row r="4" spans="2:3" x14ac:dyDescent="0.3">
      <c r="B4" t="s">
        <v>1</v>
      </c>
      <c r="C4" t="s">
        <v>17</v>
      </c>
    </row>
    <row r="5" spans="2:3" x14ac:dyDescent="0.3">
      <c r="B5" t="s">
        <v>2</v>
      </c>
      <c r="C5" t="s">
        <v>18</v>
      </c>
    </row>
    <row r="6" spans="2:3" x14ac:dyDescent="0.3">
      <c r="B6" t="s">
        <v>3</v>
      </c>
      <c r="C6" t="s">
        <v>19</v>
      </c>
    </row>
    <row r="7" spans="2:3" x14ac:dyDescent="0.3">
      <c r="B7" t="s">
        <v>4</v>
      </c>
      <c r="C7" t="s">
        <v>20</v>
      </c>
    </row>
    <row r="8" spans="2:3" x14ac:dyDescent="0.3">
      <c r="B8" t="s">
        <v>5</v>
      </c>
      <c r="C8" t="s">
        <v>21</v>
      </c>
    </row>
    <row r="9" spans="2:3" x14ac:dyDescent="0.3">
      <c r="B9" t="s">
        <v>195</v>
      </c>
      <c r="C9" t="s">
        <v>22</v>
      </c>
    </row>
    <row r="10" spans="2:3" x14ac:dyDescent="0.3">
      <c r="B10" t="s">
        <v>6</v>
      </c>
      <c r="C10" t="s">
        <v>23</v>
      </c>
    </row>
    <row r="11" spans="2:3" x14ac:dyDescent="0.3">
      <c r="B11" t="s">
        <v>7</v>
      </c>
      <c r="C11" t="s">
        <v>24</v>
      </c>
    </row>
    <row r="14" spans="2:3" x14ac:dyDescent="0.3">
      <c r="B14" s="2" t="s">
        <v>8</v>
      </c>
    </row>
    <row r="15" spans="2:3" x14ac:dyDescent="0.3">
      <c r="B15" s="3" t="s">
        <v>9</v>
      </c>
      <c r="C15" t="s">
        <v>25</v>
      </c>
    </row>
    <row r="16" spans="2:3" x14ac:dyDescent="0.3">
      <c r="B16" s="3" t="s">
        <v>10</v>
      </c>
      <c r="C16" t="s">
        <v>26</v>
      </c>
    </row>
    <row r="17" spans="2:4" x14ac:dyDescent="0.3">
      <c r="B17" s="3" t="s">
        <v>11</v>
      </c>
      <c r="C17" t="s">
        <v>27</v>
      </c>
    </row>
    <row r="18" spans="2:4" x14ac:dyDescent="0.3">
      <c r="B18" s="3" t="s">
        <v>12</v>
      </c>
      <c r="C18" t="s">
        <v>28</v>
      </c>
    </row>
    <row r="19" spans="2:4" x14ac:dyDescent="0.3">
      <c r="B19" s="3" t="s">
        <v>13</v>
      </c>
      <c r="C19" t="s">
        <v>29</v>
      </c>
      <c r="D19" t="s">
        <v>30</v>
      </c>
    </row>
    <row r="20" spans="2:4" x14ac:dyDescent="0.3">
      <c r="B20" s="3" t="s">
        <v>14</v>
      </c>
      <c r="C20" t="s">
        <v>31</v>
      </c>
    </row>
    <row r="21" spans="2:4" x14ac:dyDescent="0.3">
      <c r="B21" s="3" t="s">
        <v>15</v>
      </c>
      <c r="C21" t="s">
        <v>32</v>
      </c>
    </row>
    <row r="22" spans="2:4" x14ac:dyDescent="0.3">
      <c r="B22" s="3" t="s">
        <v>16</v>
      </c>
      <c r="C22" t="s">
        <v>33</v>
      </c>
    </row>
    <row r="24" spans="2:4" x14ac:dyDescent="0.3">
      <c r="B24" t="s">
        <v>34</v>
      </c>
    </row>
    <row r="25" spans="2:4" x14ac:dyDescent="0.3">
      <c r="B25" t="s">
        <v>35</v>
      </c>
    </row>
    <row r="26" spans="2:4" x14ac:dyDescent="0.3">
      <c r="B26" t="s">
        <v>36</v>
      </c>
    </row>
    <row r="27" spans="2:4" x14ac:dyDescent="0.3">
      <c r="B27" t="s">
        <v>37</v>
      </c>
    </row>
    <row r="28" spans="2:4" x14ac:dyDescent="0.3">
      <c r="B28" t="s">
        <v>38</v>
      </c>
    </row>
    <row r="29" spans="2:4" x14ac:dyDescent="0.3">
      <c r="B29" s="5" t="s">
        <v>33</v>
      </c>
    </row>
    <row r="30" spans="2:4" x14ac:dyDescent="0.3">
      <c r="B30" t="s">
        <v>16</v>
      </c>
      <c r="C30" s="4" t="str">
        <f>700*5/500 &amp;"X"</f>
        <v>7X</v>
      </c>
    </row>
    <row r="32" spans="2:4" x14ac:dyDescent="0.3">
      <c r="B32" s="7" t="s">
        <v>52</v>
      </c>
    </row>
    <row r="33" spans="2:3" x14ac:dyDescent="0.3">
      <c r="B33" t="s">
        <v>44</v>
      </c>
    </row>
    <row r="34" spans="2:3" x14ac:dyDescent="0.3">
      <c r="C34" t="s">
        <v>39</v>
      </c>
    </row>
    <row r="35" spans="2:3" x14ac:dyDescent="0.3">
      <c r="C35" t="s">
        <v>40</v>
      </c>
    </row>
    <row r="36" spans="2:3" x14ac:dyDescent="0.3">
      <c r="C36" t="s">
        <v>41</v>
      </c>
    </row>
    <row r="37" spans="2:3" x14ac:dyDescent="0.3">
      <c r="C37" t="s">
        <v>42</v>
      </c>
    </row>
    <row r="39" spans="2:3" x14ac:dyDescent="0.3">
      <c r="B39" s="6" t="s">
        <v>45</v>
      </c>
      <c r="C39" t="s">
        <v>43</v>
      </c>
    </row>
    <row r="40" spans="2:3" x14ac:dyDescent="0.3">
      <c r="B40" s="6" t="s">
        <v>46</v>
      </c>
    </row>
    <row r="41" spans="2:3" x14ac:dyDescent="0.3">
      <c r="B41" s="6" t="s">
        <v>47</v>
      </c>
    </row>
    <row r="42" spans="2:3" x14ac:dyDescent="0.3">
      <c r="B42" s="6" t="s">
        <v>48</v>
      </c>
    </row>
    <row r="43" spans="2:3" x14ac:dyDescent="0.3">
      <c r="B43" s="6" t="s">
        <v>49</v>
      </c>
    </row>
    <row r="44" spans="2:3" x14ac:dyDescent="0.3">
      <c r="B44" s="6" t="s">
        <v>50</v>
      </c>
    </row>
    <row r="45" spans="2:3" x14ac:dyDescent="0.3">
      <c r="B45" s="6" t="s">
        <v>51</v>
      </c>
    </row>
    <row r="47" spans="2:3" x14ac:dyDescent="0.3">
      <c r="B47" s="7" t="s">
        <v>53</v>
      </c>
      <c r="C47" t="s">
        <v>196</v>
      </c>
    </row>
    <row r="48" spans="2:3" x14ac:dyDescent="0.3">
      <c r="B48" s="6" t="s">
        <v>58</v>
      </c>
    </row>
    <row r="49" spans="1:3" x14ac:dyDescent="0.3">
      <c r="A49" t="s">
        <v>54</v>
      </c>
      <c r="B49" t="s">
        <v>55</v>
      </c>
    </row>
    <row r="50" spans="1:3" x14ac:dyDescent="0.3">
      <c r="A50" t="s">
        <v>56</v>
      </c>
      <c r="B50" t="s">
        <v>57</v>
      </c>
    </row>
    <row r="51" spans="1:3" x14ac:dyDescent="0.3">
      <c r="B51" t="s">
        <v>59</v>
      </c>
    </row>
    <row r="53" spans="1:3" x14ac:dyDescent="0.3">
      <c r="B53" s="7" t="s">
        <v>60</v>
      </c>
    </row>
    <row r="54" spans="1:3" x14ac:dyDescent="0.3">
      <c r="B54" t="s">
        <v>61</v>
      </c>
    </row>
    <row r="55" spans="1:3" x14ac:dyDescent="0.3">
      <c r="C55" s="5" t="s">
        <v>62</v>
      </c>
    </row>
    <row r="56" spans="1:3" x14ac:dyDescent="0.3">
      <c r="C56" t="s">
        <v>63</v>
      </c>
    </row>
    <row r="57" spans="1:3" x14ac:dyDescent="0.3">
      <c r="C57" t="s">
        <v>64</v>
      </c>
    </row>
    <row r="58" spans="1:3" x14ac:dyDescent="0.3">
      <c r="C58" t="s">
        <v>65</v>
      </c>
    </row>
    <row r="60" spans="1:3" x14ac:dyDescent="0.3">
      <c r="C60" s="5" t="s">
        <v>66</v>
      </c>
    </row>
    <row r="61" spans="1:3" x14ac:dyDescent="0.3">
      <c r="C61" t="s">
        <v>67</v>
      </c>
    </row>
    <row r="62" spans="1:3" x14ac:dyDescent="0.3">
      <c r="C62" t="s">
        <v>68</v>
      </c>
    </row>
    <row r="64" spans="1:3" x14ac:dyDescent="0.3">
      <c r="B64" t="s">
        <v>69</v>
      </c>
    </row>
    <row r="65" spans="2:5" x14ac:dyDescent="0.3">
      <c r="C65" s="5" t="s">
        <v>70</v>
      </c>
    </row>
    <row r="66" spans="2:5" x14ac:dyDescent="0.3">
      <c r="C66" t="s">
        <v>71</v>
      </c>
    </row>
    <row r="68" spans="2:5" x14ac:dyDescent="0.3">
      <c r="C68" s="5" t="s">
        <v>72</v>
      </c>
    </row>
    <row r="69" spans="2:5" x14ac:dyDescent="0.3">
      <c r="C69" t="s">
        <v>73</v>
      </c>
    </row>
    <row r="70" spans="2:5" x14ac:dyDescent="0.3">
      <c r="C70" t="s">
        <v>74</v>
      </c>
    </row>
    <row r="71" spans="2:5" x14ac:dyDescent="0.3">
      <c r="C71" t="s">
        <v>75</v>
      </c>
    </row>
    <row r="72" spans="2:5" x14ac:dyDescent="0.3">
      <c r="C72" t="s">
        <v>76</v>
      </c>
    </row>
    <row r="74" spans="2:5" x14ac:dyDescent="0.3">
      <c r="B74" s="7" t="s">
        <v>132</v>
      </c>
    </row>
    <row r="75" spans="2:5" x14ac:dyDescent="0.3">
      <c r="B75" t="s">
        <v>77</v>
      </c>
    </row>
    <row r="76" spans="2:5" x14ac:dyDescent="0.3">
      <c r="C76" t="s">
        <v>78</v>
      </c>
      <c r="E76" t="s">
        <v>192</v>
      </c>
    </row>
    <row r="77" spans="2:5" x14ac:dyDescent="0.3">
      <c r="C77" t="s">
        <v>79</v>
      </c>
      <c r="E77" t="s">
        <v>194</v>
      </c>
    </row>
    <row r="78" spans="2:5" x14ac:dyDescent="0.3">
      <c r="C78" t="s">
        <v>80</v>
      </c>
      <c r="E78" t="s">
        <v>193</v>
      </c>
    </row>
    <row r="80" spans="2:5" x14ac:dyDescent="0.3">
      <c r="B80" t="s">
        <v>81</v>
      </c>
    </row>
    <row r="81" spans="2:3" x14ac:dyDescent="0.3">
      <c r="C81" t="s">
        <v>75</v>
      </c>
    </row>
    <row r="82" spans="2:3" x14ac:dyDescent="0.3">
      <c r="C82" t="s">
        <v>82</v>
      </c>
    </row>
    <row r="84" spans="2:3" x14ac:dyDescent="0.3">
      <c r="B84" t="s">
        <v>83</v>
      </c>
    </row>
    <row r="85" spans="2:3" x14ac:dyDescent="0.3">
      <c r="C85" t="s">
        <v>84</v>
      </c>
    </row>
    <row r="87" spans="2:3" x14ac:dyDescent="0.3">
      <c r="B87" t="s">
        <v>85</v>
      </c>
    </row>
    <row r="88" spans="2:3" x14ac:dyDescent="0.3">
      <c r="C88" t="s">
        <v>86</v>
      </c>
    </row>
    <row r="89" spans="2:3" x14ac:dyDescent="0.3">
      <c r="C89" t="s">
        <v>87</v>
      </c>
    </row>
    <row r="90" spans="2:3" x14ac:dyDescent="0.3">
      <c r="C90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BD2-FCE2-43B4-AD6C-A1AB5A3A1B07}">
  <dimension ref="A1:P559"/>
  <sheetViews>
    <sheetView showGridLines="0" tabSelected="1" zoomScale="80" zoomScaleNormal="80" zoomScaleSheetLayoutView="70" workbookViewId="0">
      <pane xSplit="3" ySplit="3" topLeftCell="D315" activePane="bottomRight" state="frozen"/>
      <selection pane="topRight" activeCell="D1" sqref="D1"/>
      <selection pane="bottomLeft" activeCell="A4" sqref="A4"/>
      <selection pane="bottomRight" activeCell="N18" sqref="N18"/>
    </sheetView>
  </sheetViews>
  <sheetFormatPr defaultRowHeight="14.4" outlineLevelRow="2" x14ac:dyDescent="0.3"/>
  <cols>
    <col min="1" max="3" width="8.88671875" style="12"/>
    <col min="4" max="4" width="9.109375" style="12" bestFit="1" customWidth="1"/>
    <col min="5" max="5" width="17.88671875" style="12" bestFit="1" customWidth="1"/>
    <col min="6" max="8" width="14.6640625" style="12" bestFit="1" customWidth="1"/>
    <col min="9" max="11" width="15.6640625" style="12" bestFit="1" customWidth="1"/>
  </cols>
  <sheetData>
    <row r="1" spans="1:11" x14ac:dyDescent="0.3">
      <c r="A1" s="8"/>
      <c r="B1" s="8"/>
      <c r="C1" s="8"/>
      <c r="D1" s="8"/>
      <c r="E1" s="9" t="s">
        <v>101</v>
      </c>
      <c r="F1" s="8"/>
      <c r="G1" s="8"/>
      <c r="H1" s="8"/>
      <c r="I1" s="8"/>
      <c r="J1" s="8"/>
      <c r="K1" s="9" t="s">
        <v>90</v>
      </c>
    </row>
    <row r="2" spans="1:11" x14ac:dyDescent="0.3">
      <c r="A2" s="8"/>
      <c r="B2" s="8"/>
      <c r="C2" s="8"/>
      <c r="D2" s="8"/>
      <c r="E2" s="10">
        <v>2016</v>
      </c>
      <c r="F2" s="10">
        <v>2017</v>
      </c>
      <c r="G2" s="10">
        <v>2018</v>
      </c>
      <c r="H2" s="10">
        <v>2019</v>
      </c>
      <c r="I2" s="10">
        <v>2020</v>
      </c>
      <c r="J2" s="10">
        <v>2021</v>
      </c>
      <c r="K2" s="10">
        <v>2022</v>
      </c>
    </row>
    <row r="3" spans="1:11" x14ac:dyDescent="0.3">
      <c r="A3" s="11" t="s">
        <v>89</v>
      </c>
    </row>
    <row r="5" spans="1:11" x14ac:dyDescent="0.3">
      <c r="A5" s="13" t="s">
        <v>52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idden="1" outlineLevel="1" x14ac:dyDescent="0.3"/>
    <row r="7" spans="1:11" hidden="1" outlineLevel="1" x14ac:dyDescent="0.3">
      <c r="A7" s="16" t="s">
        <v>91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hidden="1" outlineLevel="1" x14ac:dyDescent="0.3">
      <c r="A8" s="14" t="s">
        <v>39</v>
      </c>
      <c r="B8" s="14"/>
      <c r="C8" s="14"/>
      <c r="D8" s="14"/>
      <c r="E8" s="23">
        <v>0</v>
      </c>
      <c r="F8" s="23">
        <v>5000</v>
      </c>
      <c r="G8" s="23">
        <v>10000</v>
      </c>
      <c r="H8" s="23">
        <v>20000</v>
      </c>
      <c r="I8" s="23">
        <v>30000</v>
      </c>
      <c r="J8" s="23">
        <v>50000</v>
      </c>
      <c r="K8" s="23">
        <v>60000</v>
      </c>
    </row>
    <row r="9" spans="1:11" hidden="1" outlineLevel="1" x14ac:dyDescent="0.3">
      <c r="A9" s="14" t="s">
        <v>40</v>
      </c>
      <c r="B9" s="14"/>
      <c r="C9" s="14"/>
      <c r="D9" s="14"/>
      <c r="E9" s="23">
        <v>10000</v>
      </c>
      <c r="F9" s="23">
        <v>50000</v>
      </c>
      <c r="G9" s="23">
        <v>100000</v>
      </c>
      <c r="H9" s="23">
        <v>130000</v>
      </c>
      <c r="I9" s="23">
        <v>155000</v>
      </c>
      <c r="J9" s="23">
        <v>170000</v>
      </c>
      <c r="K9" s="23">
        <v>180000</v>
      </c>
    </row>
    <row r="10" spans="1:11" hidden="1" outlineLevel="1" x14ac:dyDescent="0.3">
      <c r="A10" s="14" t="s">
        <v>92</v>
      </c>
      <c r="B10" s="14"/>
      <c r="C10" s="14"/>
      <c r="D10" s="14"/>
      <c r="E10" s="23">
        <v>30000</v>
      </c>
      <c r="F10" s="23">
        <v>20000</v>
      </c>
      <c r="G10" s="23">
        <v>10000</v>
      </c>
      <c r="H10" s="23">
        <v>10000</v>
      </c>
      <c r="I10" s="23">
        <v>10000</v>
      </c>
      <c r="J10" s="23">
        <v>10000</v>
      </c>
      <c r="K10" s="23">
        <v>10000</v>
      </c>
    </row>
    <row r="11" spans="1:11" hidden="1" outlineLevel="1" x14ac:dyDescent="0.3">
      <c r="A11" s="14" t="s">
        <v>93</v>
      </c>
      <c r="B11" s="14"/>
      <c r="C11" s="14"/>
      <c r="D11" s="14"/>
      <c r="E11" s="23">
        <v>20000</v>
      </c>
      <c r="F11" s="23">
        <v>10000</v>
      </c>
      <c r="G11" s="23">
        <v>5000</v>
      </c>
      <c r="H11" s="23">
        <v>5000</v>
      </c>
      <c r="I11" s="23">
        <v>5000</v>
      </c>
      <c r="J11" s="23">
        <v>5000</v>
      </c>
      <c r="K11" s="23">
        <v>5000</v>
      </c>
    </row>
    <row r="12" spans="1:11" hidden="1" outlineLevel="1" x14ac:dyDescent="0.3">
      <c r="A12" s="17" t="s">
        <v>94</v>
      </c>
      <c r="B12" s="17"/>
      <c r="C12" s="17"/>
      <c r="D12" s="17"/>
      <c r="E12" s="19">
        <f>+SUM(E8:E11)</f>
        <v>60000</v>
      </c>
      <c r="F12" s="19">
        <f t="shared" ref="F12:K12" si="0">+SUM(F8:F11)</f>
        <v>85000</v>
      </c>
      <c r="G12" s="19">
        <f t="shared" si="0"/>
        <v>125000</v>
      </c>
      <c r="H12" s="19">
        <f t="shared" si="0"/>
        <v>165000</v>
      </c>
      <c r="I12" s="19">
        <f t="shared" si="0"/>
        <v>200000</v>
      </c>
      <c r="J12" s="19">
        <f t="shared" si="0"/>
        <v>235000</v>
      </c>
      <c r="K12" s="19">
        <f t="shared" si="0"/>
        <v>255000</v>
      </c>
    </row>
    <row r="13" spans="1:11" hidden="1" outlineLevel="1" x14ac:dyDescent="0.3">
      <c r="A13" s="18" t="s">
        <v>95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idden="1" outlineLevel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idden="1" outlineLevel="1" x14ac:dyDescent="0.3">
      <c r="A15" s="15" t="s">
        <v>96</v>
      </c>
      <c r="B15" s="14"/>
      <c r="C15" s="14"/>
      <c r="D15" s="38">
        <v>12</v>
      </c>
      <c r="E15" s="14"/>
      <c r="F15" s="14"/>
      <c r="G15" s="14"/>
      <c r="H15" s="14"/>
      <c r="I15" s="14"/>
      <c r="J15" s="14"/>
      <c r="K15" s="14"/>
    </row>
    <row r="16" spans="1:11" hidden="1" outlineLevel="1" x14ac:dyDescent="0.3">
      <c r="A16" s="14" t="s">
        <v>39</v>
      </c>
      <c r="B16" s="14"/>
      <c r="C16" s="14"/>
      <c r="E16" s="22">
        <f>+$D$15*E8</f>
        <v>0</v>
      </c>
      <c r="F16" s="22">
        <f t="shared" ref="F16:K16" si="1">+$D$15*F8</f>
        <v>60000</v>
      </c>
      <c r="G16" s="22">
        <f t="shared" si="1"/>
        <v>120000</v>
      </c>
      <c r="H16" s="22">
        <f t="shared" si="1"/>
        <v>240000</v>
      </c>
      <c r="I16" s="22">
        <f t="shared" si="1"/>
        <v>360000</v>
      </c>
      <c r="J16" s="22">
        <f t="shared" si="1"/>
        <v>600000</v>
      </c>
      <c r="K16" s="22">
        <f t="shared" si="1"/>
        <v>720000</v>
      </c>
    </row>
    <row r="17" spans="1:11" hidden="1" outlineLevel="1" x14ac:dyDescent="0.3">
      <c r="A17" s="14" t="s">
        <v>40</v>
      </c>
      <c r="B17" s="14"/>
      <c r="C17" s="14"/>
      <c r="D17" s="14"/>
      <c r="E17" s="22">
        <f t="shared" ref="E17:K17" si="2">+$D$15*E9</f>
        <v>120000</v>
      </c>
      <c r="F17" s="22">
        <f t="shared" si="2"/>
        <v>600000</v>
      </c>
      <c r="G17" s="22">
        <f t="shared" si="2"/>
        <v>1200000</v>
      </c>
      <c r="H17" s="22">
        <f t="shared" si="2"/>
        <v>1560000</v>
      </c>
      <c r="I17" s="22">
        <f t="shared" si="2"/>
        <v>1860000</v>
      </c>
      <c r="J17" s="22">
        <f t="shared" si="2"/>
        <v>2040000</v>
      </c>
      <c r="K17" s="22">
        <f t="shared" si="2"/>
        <v>2160000</v>
      </c>
    </row>
    <row r="18" spans="1:11" hidden="1" outlineLevel="1" x14ac:dyDescent="0.3">
      <c r="A18" s="14" t="s">
        <v>92</v>
      </c>
      <c r="B18" s="14"/>
      <c r="C18" s="14"/>
      <c r="D18" s="14"/>
      <c r="E18" s="22">
        <f t="shared" ref="E18:K18" si="3">+$D$15*E10</f>
        <v>360000</v>
      </c>
      <c r="F18" s="22">
        <f t="shared" si="3"/>
        <v>240000</v>
      </c>
      <c r="G18" s="22">
        <f t="shared" si="3"/>
        <v>120000</v>
      </c>
      <c r="H18" s="22">
        <f t="shared" si="3"/>
        <v>120000</v>
      </c>
      <c r="I18" s="22">
        <f t="shared" si="3"/>
        <v>120000</v>
      </c>
      <c r="J18" s="22">
        <f t="shared" si="3"/>
        <v>120000</v>
      </c>
      <c r="K18" s="22">
        <f t="shared" si="3"/>
        <v>120000</v>
      </c>
    </row>
    <row r="19" spans="1:11" hidden="1" outlineLevel="1" x14ac:dyDescent="0.3">
      <c r="A19" s="14" t="s">
        <v>93</v>
      </c>
      <c r="B19" s="14"/>
      <c r="C19" s="14"/>
      <c r="D19" s="14"/>
      <c r="E19" s="22">
        <f t="shared" ref="E19:K19" si="4">+$D$15*E11</f>
        <v>240000</v>
      </c>
      <c r="F19" s="22">
        <f t="shared" si="4"/>
        <v>120000</v>
      </c>
      <c r="G19" s="22">
        <f t="shared" si="4"/>
        <v>60000</v>
      </c>
      <c r="H19" s="22">
        <f t="shared" si="4"/>
        <v>60000</v>
      </c>
      <c r="I19" s="22">
        <f t="shared" si="4"/>
        <v>60000</v>
      </c>
      <c r="J19" s="22">
        <f t="shared" si="4"/>
        <v>60000</v>
      </c>
      <c r="K19" s="22">
        <f t="shared" si="4"/>
        <v>60000</v>
      </c>
    </row>
    <row r="20" spans="1:11" hidden="1" outlineLevel="1" x14ac:dyDescent="0.3">
      <c r="A20" s="17" t="s">
        <v>97</v>
      </c>
      <c r="B20" s="17"/>
      <c r="C20" s="17"/>
      <c r="D20" s="17"/>
      <c r="E20" s="19">
        <f>+SUM(E16:E19)</f>
        <v>720000</v>
      </c>
      <c r="F20" s="19">
        <f t="shared" ref="F20" si="5">+SUM(F16:F19)</f>
        <v>1020000</v>
      </c>
      <c r="G20" s="19">
        <f t="shared" ref="G20" si="6">+SUM(G16:G19)</f>
        <v>1500000</v>
      </c>
      <c r="H20" s="19">
        <f t="shared" ref="H20" si="7">+SUM(H16:H19)</f>
        <v>1980000</v>
      </c>
      <c r="I20" s="19">
        <f t="shared" ref="I20" si="8">+SUM(I16:I19)</f>
        <v>2400000</v>
      </c>
      <c r="J20" s="19">
        <f t="shared" ref="J20" si="9">+SUM(J16:J19)</f>
        <v>2820000</v>
      </c>
      <c r="K20" s="19">
        <f t="shared" ref="K20" si="10">+SUM(K16:K19)</f>
        <v>3060000</v>
      </c>
    </row>
    <row r="21" spans="1:11" hidden="1" outlineLevel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idden="1" outlineLevel="1" x14ac:dyDescent="0.3">
      <c r="A22" s="16" t="s">
        <v>98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hidden="1" outlineLevel="1" x14ac:dyDescent="0.3">
      <c r="A23" s="14" t="s">
        <v>39</v>
      </c>
      <c r="B23" s="14"/>
      <c r="C23" s="14"/>
      <c r="D23" s="14"/>
      <c r="E23" s="25">
        <v>0.06</v>
      </c>
      <c r="F23" s="25">
        <v>0.06</v>
      </c>
      <c r="G23" s="25">
        <v>0.06</v>
      </c>
      <c r="H23" s="25">
        <v>0.06</v>
      </c>
      <c r="I23" s="25">
        <v>0.06</v>
      </c>
      <c r="J23" s="25">
        <v>0.06</v>
      </c>
      <c r="K23" s="25">
        <v>0.06</v>
      </c>
    </row>
    <row r="24" spans="1:11" hidden="1" outlineLevel="1" x14ac:dyDescent="0.3">
      <c r="A24" s="14" t="s">
        <v>40</v>
      </c>
      <c r="B24" s="14"/>
      <c r="C24" s="14"/>
      <c r="D24" s="14"/>
      <c r="E24" s="25">
        <v>0.02</v>
      </c>
      <c r="F24" s="25">
        <v>0.02</v>
      </c>
      <c r="G24" s="25">
        <v>0.02</v>
      </c>
      <c r="H24" s="25">
        <v>0.02</v>
      </c>
      <c r="I24" s="25">
        <v>0.02</v>
      </c>
      <c r="J24" s="25">
        <v>0.02</v>
      </c>
      <c r="K24" s="25">
        <v>0.02</v>
      </c>
    </row>
    <row r="25" spans="1:11" hidden="1" outlineLevel="1" x14ac:dyDescent="0.3">
      <c r="A25" s="14" t="s">
        <v>92</v>
      </c>
      <c r="B25" s="14"/>
      <c r="C25" s="14"/>
      <c r="D25" s="14"/>
      <c r="E25" s="25">
        <v>2.1999999999999999E-2</v>
      </c>
      <c r="F25" s="25">
        <v>2.1999999999999999E-2</v>
      </c>
      <c r="G25" s="25">
        <v>2.1999999999999999E-2</v>
      </c>
      <c r="H25" s="25">
        <v>2.1999999999999999E-2</v>
      </c>
      <c r="I25" s="25">
        <v>2.1999999999999999E-2</v>
      </c>
      <c r="J25" s="25">
        <v>2.1999999999999999E-2</v>
      </c>
      <c r="K25" s="25">
        <v>2.1999999999999999E-2</v>
      </c>
    </row>
    <row r="26" spans="1:11" hidden="1" outlineLevel="1" x14ac:dyDescent="0.3">
      <c r="A26" s="14" t="s">
        <v>93</v>
      </c>
      <c r="B26" s="14"/>
      <c r="C26" s="14"/>
      <c r="D26" s="14"/>
      <c r="E26" s="25">
        <v>0.04</v>
      </c>
      <c r="F26" s="25">
        <v>0.04</v>
      </c>
      <c r="G26" s="25">
        <v>0.04</v>
      </c>
      <c r="H26" s="25">
        <v>0.04</v>
      </c>
      <c r="I26" s="25">
        <v>0.04</v>
      </c>
      <c r="J26" s="25">
        <v>0.04</v>
      </c>
      <c r="K26" s="25">
        <v>0.04</v>
      </c>
    </row>
    <row r="27" spans="1:11" hidden="1" outlineLevel="1" x14ac:dyDescent="0.3">
      <c r="A27" s="17" t="s">
        <v>94</v>
      </c>
      <c r="B27" s="17"/>
      <c r="C27" s="17"/>
      <c r="D27" s="17"/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</row>
    <row r="28" spans="1:11" hidden="1" outlineLevel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idden="1" outlineLevel="1" x14ac:dyDescent="0.3">
      <c r="A29" s="16" t="s">
        <v>99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hidden="1" outlineLevel="1" x14ac:dyDescent="0.3">
      <c r="A30" s="14" t="s">
        <v>39</v>
      </c>
      <c r="B30" s="14"/>
      <c r="C30" s="14"/>
      <c r="D30" s="14"/>
      <c r="E30" s="14">
        <f>+E23*E16</f>
        <v>0</v>
      </c>
      <c r="F30" s="14">
        <f t="shared" ref="F30:K30" si="11">+F23*F16</f>
        <v>3600</v>
      </c>
      <c r="G30" s="14">
        <f t="shared" si="11"/>
        <v>7200</v>
      </c>
      <c r="H30" s="14">
        <f t="shared" si="11"/>
        <v>14400</v>
      </c>
      <c r="I30" s="14">
        <f t="shared" si="11"/>
        <v>21600</v>
      </c>
      <c r="J30" s="14">
        <f t="shared" si="11"/>
        <v>36000</v>
      </c>
      <c r="K30" s="14">
        <f t="shared" si="11"/>
        <v>43200</v>
      </c>
    </row>
    <row r="31" spans="1:11" hidden="1" outlineLevel="1" x14ac:dyDescent="0.3">
      <c r="A31" s="14" t="s">
        <v>40</v>
      </c>
      <c r="B31" s="14"/>
      <c r="C31" s="14"/>
      <c r="D31" s="14"/>
      <c r="E31" s="14">
        <f t="shared" ref="E31:K33" si="12">+E24*E17</f>
        <v>2400</v>
      </c>
      <c r="F31" s="14">
        <f t="shared" si="12"/>
        <v>12000</v>
      </c>
      <c r="G31" s="14">
        <f t="shared" si="12"/>
        <v>24000</v>
      </c>
      <c r="H31" s="14">
        <f t="shared" si="12"/>
        <v>31200</v>
      </c>
      <c r="I31" s="14">
        <f t="shared" si="12"/>
        <v>37200</v>
      </c>
      <c r="J31" s="14">
        <f t="shared" si="12"/>
        <v>40800</v>
      </c>
      <c r="K31" s="14">
        <f t="shared" si="12"/>
        <v>43200</v>
      </c>
    </row>
    <row r="32" spans="1:11" hidden="1" outlineLevel="1" x14ac:dyDescent="0.3">
      <c r="A32" s="14" t="s">
        <v>92</v>
      </c>
      <c r="B32" s="14"/>
      <c r="C32" s="14"/>
      <c r="D32" s="14"/>
      <c r="E32" s="14">
        <f t="shared" si="12"/>
        <v>7919.9999999999991</v>
      </c>
      <c r="F32" s="14">
        <f t="shared" si="12"/>
        <v>5280</v>
      </c>
      <c r="G32" s="14">
        <f t="shared" si="12"/>
        <v>2640</v>
      </c>
      <c r="H32" s="14">
        <f t="shared" si="12"/>
        <v>2640</v>
      </c>
      <c r="I32" s="14">
        <f t="shared" si="12"/>
        <v>2640</v>
      </c>
      <c r="J32" s="14">
        <f t="shared" si="12"/>
        <v>2640</v>
      </c>
      <c r="K32" s="14">
        <f t="shared" si="12"/>
        <v>2640</v>
      </c>
    </row>
    <row r="33" spans="1:11" hidden="1" outlineLevel="1" x14ac:dyDescent="0.3">
      <c r="A33" s="14" t="s">
        <v>93</v>
      </c>
      <c r="B33" s="14"/>
      <c r="C33" s="14"/>
      <c r="D33" s="14"/>
      <c r="E33" s="14">
        <f t="shared" si="12"/>
        <v>9600</v>
      </c>
      <c r="F33" s="14">
        <f t="shared" si="12"/>
        <v>4800</v>
      </c>
      <c r="G33" s="14">
        <f t="shared" si="12"/>
        <v>2400</v>
      </c>
      <c r="H33" s="14">
        <f t="shared" si="12"/>
        <v>2400</v>
      </c>
      <c r="I33" s="14">
        <f t="shared" si="12"/>
        <v>2400</v>
      </c>
      <c r="J33" s="14">
        <f t="shared" si="12"/>
        <v>2400</v>
      </c>
      <c r="K33" s="14">
        <f t="shared" si="12"/>
        <v>2400</v>
      </c>
    </row>
    <row r="34" spans="1:11" hidden="1" outlineLevel="1" x14ac:dyDescent="0.3">
      <c r="A34" s="17" t="s">
        <v>100</v>
      </c>
      <c r="B34" s="17"/>
      <c r="C34" s="17"/>
      <c r="D34" s="17"/>
      <c r="E34" s="19">
        <f>+SUM(E30:E33)</f>
        <v>19920</v>
      </c>
      <c r="F34" s="19">
        <f t="shared" ref="F34" si="13">+SUM(F30:F33)</f>
        <v>25680</v>
      </c>
      <c r="G34" s="19">
        <f t="shared" ref="G34" si="14">+SUM(G30:G33)</f>
        <v>36240</v>
      </c>
      <c r="H34" s="19">
        <f t="shared" ref="H34" si="15">+SUM(H30:H33)</f>
        <v>50640</v>
      </c>
      <c r="I34" s="19">
        <f t="shared" ref="I34" si="16">+SUM(I30:I33)</f>
        <v>63840</v>
      </c>
      <c r="J34" s="19">
        <f t="shared" ref="J34" si="17">+SUM(J30:J33)</f>
        <v>81840</v>
      </c>
      <c r="K34" s="19">
        <f t="shared" ref="K34" si="18">+SUM(K30:K33)</f>
        <v>91440</v>
      </c>
    </row>
    <row r="35" spans="1:11" hidden="1" outlineLevel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idden="1" outlineLevel="1" x14ac:dyDescent="0.3">
      <c r="A36" s="15" t="s">
        <v>102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idden="1" outlineLevel="1" x14ac:dyDescent="0.3">
      <c r="A37" s="14" t="s">
        <v>103</v>
      </c>
      <c r="B37" s="14"/>
      <c r="C37" s="14"/>
      <c r="D37" s="14"/>
      <c r="E37" s="27">
        <v>250</v>
      </c>
      <c r="F37" s="27">
        <v>250</v>
      </c>
      <c r="G37" s="27">
        <v>250</v>
      </c>
      <c r="H37" s="27">
        <v>250</v>
      </c>
      <c r="I37" s="27">
        <v>250</v>
      </c>
      <c r="J37" s="27">
        <v>250</v>
      </c>
      <c r="K37" s="27">
        <v>250</v>
      </c>
    </row>
    <row r="38" spans="1:11" hidden="1" outlineLevel="1" x14ac:dyDescent="0.3">
      <c r="A38" s="14" t="s">
        <v>47</v>
      </c>
      <c r="B38" s="14"/>
      <c r="C38" s="14"/>
      <c r="D38" s="14"/>
      <c r="E38" s="27">
        <v>1.1000000000000001</v>
      </c>
      <c r="F38" s="27">
        <v>1.2</v>
      </c>
      <c r="G38" s="27">
        <v>1.3</v>
      </c>
      <c r="H38" s="27">
        <v>1.4</v>
      </c>
      <c r="I38" s="27">
        <v>1.5</v>
      </c>
      <c r="J38" s="27">
        <v>1.6</v>
      </c>
      <c r="K38" s="27">
        <v>1.7</v>
      </c>
    </row>
    <row r="39" spans="1:11" hidden="1" outlineLevel="1" x14ac:dyDescent="0.3">
      <c r="A39" s="14" t="s">
        <v>104</v>
      </c>
      <c r="B39" s="14"/>
      <c r="C39" s="14"/>
      <c r="D39" s="14"/>
      <c r="E39" s="28">
        <v>0.1</v>
      </c>
      <c r="F39" s="28">
        <v>0.1</v>
      </c>
      <c r="G39" s="28">
        <v>0.1</v>
      </c>
      <c r="H39" s="28">
        <v>0.1</v>
      </c>
      <c r="I39" s="28">
        <v>0.1</v>
      </c>
      <c r="J39" s="28">
        <v>0.1</v>
      </c>
      <c r="K39" s="28">
        <v>0.1</v>
      </c>
    </row>
    <row r="40" spans="1:11" hidden="1" outlineLevel="1" x14ac:dyDescent="0.3">
      <c r="A40" s="14" t="s">
        <v>105</v>
      </c>
      <c r="B40" s="14"/>
      <c r="C40" s="14"/>
      <c r="D40" s="14"/>
      <c r="E40" s="28">
        <v>0.2</v>
      </c>
      <c r="F40" s="28">
        <v>0.18</v>
      </c>
      <c r="G40" s="28">
        <v>0.15</v>
      </c>
      <c r="H40" s="28">
        <v>0.12</v>
      </c>
      <c r="I40" s="28">
        <v>0.1</v>
      </c>
      <c r="J40" s="28">
        <v>0.08</v>
      </c>
      <c r="K40" s="28">
        <v>0.08</v>
      </c>
    </row>
    <row r="41" spans="1:11" hidden="1" outlineLevel="1" x14ac:dyDescent="0.3">
      <c r="A41" s="14" t="s">
        <v>106</v>
      </c>
      <c r="B41" s="14"/>
      <c r="C41" s="14"/>
      <c r="D41" s="14"/>
      <c r="E41" s="28">
        <v>0.5</v>
      </c>
      <c r="F41" s="28">
        <v>0.5</v>
      </c>
      <c r="G41" s="28">
        <v>0.5</v>
      </c>
      <c r="H41" s="28">
        <v>0.5</v>
      </c>
      <c r="I41" s="28">
        <v>0.5</v>
      </c>
      <c r="J41" s="28">
        <v>0.5</v>
      </c>
      <c r="K41" s="28">
        <v>0.5</v>
      </c>
    </row>
    <row r="42" spans="1:11" hidden="1" outlineLevel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idden="1" outlineLevel="1" x14ac:dyDescent="0.3">
      <c r="A43" s="14" t="s">
        <v>107</v>
      </c>
      <c r="B43" s="14"/>
      <c r="C43" s="14"/>
      <c r="D43" s="14"/>
      <c r="E43" s="14">
        <f>+E37*E38</f>
        <v>275</v>
      </c>
      <c r="F43" s="14">
        <f t="shared" ref="F43:K43" si="19">+F37*F38</f>
        <v>300</v>
      </c>
      <c r="G43" s="14">
        <f t="shared" si="19"/>
        <v>325</v>
      </c>
      <c r="H43" s="14">
        <f t="shared" si="19"/>
        <v>350</v>
      </c>
      <c r="I43" s="14">
        <f t="shared" si="19"/>
        <v>375</v>
      </c>
      <c r="J43" s="14">
        <f t="shared" si="19"/>
        <v>400</v>
      </c>
      <c r="K43" s="14">
        <f t="shared" si="19"/>
        <v>425</v>
      </c>
    </row>
    <row r="44" spans="1:11" hidden="1" outlineLevel="1" x14ac:dyDescent="0.3">
      <c r="A44" s="14" t="s">
        <v>108</v>
      </c>
      <c r="B44" s="14"/>
      <c r="C44" s="14"/>
      <c r="D44" s="14"/>
      <c r="E44" s="29">
        <f>+E43*(1-E39-E40)</f>
        <v>192.5</v>
      </c>
      <c r="F44" s="29">
        <f t="shared" ref="F44:K44" si="20">+F43*(1-F39-F40)</f>
        <v>216</v>
      </c>
      <c r="G44" s="29">
        <f t="shared" si="20"/>
        <v>243.75</v>
      </c>
      <c r="H44" s="29">
        <f t="shared" si="20"/>
        <v>273</v>
      </c>
      <c r="I44" s="29">
        <f t="shared" si="20"/>
        <v>300</v>
      </c>
      <c r="J44" s="29">
        <f t="shared" si="20"/>
        <v>328</v>
      </c>
      <c r="K44" s="29">
        <f t="shared" si="20"/>
        <v>348.5</v>
      </c>
    </row>
    <row r="45" spans="1:11" hidden="1" outlineLevel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idden="1" outlineLevel="1" x14ac:dyDescent="0.3">
      <c r="A46" s="16" t="s">
        <v>53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pans="1:11" hidden="1" outlineLevel="1" x14ac:dyDescent="0.3">
      <c r="A47" s="14" t="s">
        <v>109</v>
      </c>
      <c r="B47" s="14"/>
      <c r="C47" s="14"/>
      <c r="D47" s="14"/>
      <c r="E47" s="28">
        <v>0.25</v>
      </c>
      <c r="F47" s="28">
        <v>0.25</v>
      </c>
      <c r="G47" s="28">
        <v>0.25</v>
      </c>
      <c r="H47" s="28">
        <v>0.25</v>
      </c>
      <c r="I47" s="28">
        <v>0.25</v>
      </c>
      <c r="J47" s="28">
        <v>0.25</v>
      </c>
      <c r="K47" s="28">
        <v>0.25</v>
      </c>
    </row>
    <row r="48" spans="1:11" hidden="1" outlineLevel="1" x14ac:dyDescent="0.3">
      <c r="A48" s="14" t="s">
        <v>110</v>
      </c>
      <c r="B48" s="14"/>
      <c r="C48" s="14"/>
      <c r="D48" s="14"/>
      <c r="E48" s="14">
        <v>0</v>
      </c>
      <c r="F48" s="34">
        <f>+E52</f>
        <v>14940</v>
      </c>
      <c r="G48" s="34">
        <f t="shared" ref="G48:K48" si="21">+F52</f>
        <v>27765</v>
      </c>
      <c r="H48" s="34">
        <f t="shared" si="21"/>
        <v>42603.75</v>
      </c>
      <c r="I48" s="34">
        <f t="shared" si="21"/>
        <v>59132.8125</v>
      </c>
      <c r="J48" s="34">
        <f t="shared" si="21"/>
        <v>76029.609375</v>
      </c>
      <c r="K48" s="34">
        <f t="shared" si="21"/>
        <v>91402.20703125</v>
      </c>
    </row>
    <row r="49" spans="1:11" hidden="1" outlineLevel="1" x14ac:dyDescent="0.3">
      <c r="A49" s="14" t="s">
        <v>111</v>
      </c>
      <c r="B49" s="14"/>
      <c r="C49" s="14"/>
      <c r="D49" s="14"/>
      <c r="E49" s="22">
        <f t="shared" ref="E49:K49" si="22">+SUM(E31:E33)</f>
        <v>19920</v>
      </c>
      <c r="F49" s="22">
        <f t="shared" si="22"/>
        <v>22080</v>
      </c>
      <c r="G49" s="22">
        <f t="shared" si="22"/>
        <v>29040</v>
      </c>
      <c r="H49" s="22">
        <f t="shared" si="22"/>
        <v>36240</v>
      </c>
      <c r="I49" s="22">
        <f t="shared" si="22"/>
        <v>42240</v>
      </c>
      <c r="J49" s="22">
        <f t="shared" si="22"/>
        <v>45840</v>
      </c>
      <c r="K49" s="22">
        <f t="shared" si="22"/>
        <v>48240</v>
      </c>
    </row>
    <row r="50" spans="1:11" hidden="1" outlineLevel="1" x14ac:dyDescent="0.3">
      <c r="A50" s="21" t="s">
        <v>112</v>
      </c>
      <c r="B50" s="21"/>
      <c r="C50" s="21"/>
      <c r="D50" s="21"/>
      <c r="E50" s="30">
        <f>+SUM(E48:E49)</f>
        <v>19920</v>
      </c>
      <c r="F50" s="30">
        <f>+SUM(F48:F49)</f>
        <v>37020</v>
      </c>
      <c r="G50" s="30">
        <f t="shared" ref="G50:K50" si="23">+SUM(G48:G49)</f>
        <v>56805</v>
      </c>
      <c r="H50" s="30">
        <f t="shared" si="23"/>
        <v>78843.75</v>
      </c>
      <c r="I50" s="30">
        <f t="shared" si="23"/>
        <v>101372.8125</v>
      </c>
      <c r="J50" s="30">
        <f t="shared" si="23"/>
        <v>121869.609375</v>
      </c>
      <c r="K50" s="30">
        <f t="shared" si="23"/>
        <v>139642.20703125</v>
      </c>
    </row>
    <row r="51" spans="1:11" hidden="1" outlineLevel="1" x14ac:dyDescent="0.3">
      <c r="A51" s="14" t="s">
        <v>113</v>
      </c>
      <c r="B51" s="14"/>
      <c r="C51" s="14"/>
      <c r="D51" s="14"/>
      <c r="E51" s="33">
        <f>+-E47*E50</f>
        <v>-4980</v>
      </c>
      <c r="F51" s="33">
        <f>+-F47*F50</f>
        <v>-9255</v>
      </c>
      <c r="G51" s="33">
        <f t="shared" ref="G51:K51" si="24">+-G47*G50</f>
        <v>-14201.25</v>
      </c>
      <c r="H51" s="33">
        <f t="shared" si="24"/>
        <v>-19710.9375</v>
      </c>
      <c r="I51" s="33">
        <f t="shared" si="24"/>
        <v>-25343.203125</v>
      </c>
      <c r="J51" s="33">
        <f t="shared" si="24"/>
        <v>-30467.40234375</v>
      </c>
      <c r="K51" s="33">
        <f t="shared" si="24"/>
        <v>-34910.5517578125</v>
      </c>
    </row>
    <row r="52" spans="1:11" hidden="1" outlineLevel="1" x14ac:dyDescent="0.3">
      <c r="A52" s="17" t="s">
        <v>114</v>
      </c>
      <c r="B52" s="17"/>
      <c r="C52" s="17"/>
      <c r="D52" s="17"/>
      <c r="E52" s="31">
        <f>+SUM(E50:E51)</f>
        <v>14940</v>
      </c>
      <c r="F52" s="31">
        <f>+SUM(F50:F51)</f>
        <v>27765</v>
      </c>
      <c r="G52" s="31">
        <f t="shared" ref="G52:K52" si="25">+SUM(G50:G51)</f>
        <v>42603.75</v>
      </c>
      <c r="H52" s="31">
        <f t="shared" si="25"/>
        <v>59132.8125</v>
      </c>
      <c r="I52" s="31">
        <f t="shared" si="25"/>
        <v>76029.609375</v>
      </c>
      <c r="J52" s="31">
        <f t="shared" si="25"/>
        <v>91402.20703125</v>
      </c>
      <c r="K52" s="31">
        <f t="shared" si="25"/>
        <v>104731.6552734375</v>
      </c>
    </row>
    <row r="53" spans="1:11" hidden="1" outlineLevel="1" x14ac:dyDescent="0.3">
      <c r="A53" s="14"/>
      <c r="B53" s="14"/>
      <c r="C53" s="14"/>
      <c r="D53" s="14"/>
      <c r="E53" s="14"/>
      <c r="F53" s="35"/>
      <c r="G53" s="14"/>
      <c r="H53" s="14"/>
      <c r="I53" s="14"/>
      <c r="J53" s="14"/>
      <c r="K53" s="14"/>
    </row>
    <row r="54" spans="1:11" hidden="1" outlineLevel="1" x14ac:dyDescent="0.3">
      <c r="A54" s="16" t="s">
        <v>115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hidden="1" outlineLevel="1" x14ac:dyDescent="0.3">
      <c r="A55" s="15" t="s">
        <v>116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hidden="1" outlineLevel="1" x14ac:dyDescent="0.3">
      <c r="A56" s="14" t="s">
        <v>117</v>
      </c>
      <c r="B56" s="14"/>
      <c r="C56" s="14"/>
      <c r="D56" s="14"/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</row>
    <row r="57" spans="1:11" hidden="1" outlineLevel="1" x14ac:dyDescent="0.3">
      <c r="A57" s="14" t="s">
        <v>119</v>
      </c>
      <c r="B57" s="14"/>
      <c r="C57" s="14"/>
      <c r="D57" s="14"/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</row>
    <row r="58" spans="1:11" hidden="1" outlineLevel="1" x14ac:dyDescent="0.3">
      <c r="A58" s="14" t="s">
        <v>118</v>
      </c>
      <c r="B58" s="14"/>
      <c r="C58" s="14"/>
      <c r="D58" s="14"/>
      <c r="E58" s="36">
        <v>3</v>
      </c>
      <c r="F58" s="36">
        <v>3.25</v>
      </c>
      <c r="G58" s="36">
        <v>3.25</v>
      </c>
      <c r="H58" s="36">
        <v>3.5</v>
      </c>
      <c r="I58" s="36">
        <v>3.5</v>
      </c>
      <c r="J58" s="36">
        <v>3.75</v>
      </c>
      <c r="K58" s="36">
        <v>4</v>
      </c>
    </row>
    <row r="59" spans="1:11" hidden="1" outlineLevel="1" x14ac:dyDescent="0.3">
      <c r="A59" s="14" t="s">
        <v>120</v>
      </c>
      <c r="B59" s="14"/>
      <c r="C59" s="14"/>
      <c r="D59" s="14"/>
      <c r="E59" s="36">
        <v>5</v>
      </c>
      <c r="F59" s="36">
        <v>5</v>
      </c>
      <c r="G59" s="36">
        <v>5</v>
      </c>
      <c r="H59" s="36">
        <v>5</v>
      </c>
      <c r="I59" s="36">
        <v>5</v>
      </c>
      <c r="J59" s="36">
        <v>5</v>
      </c>
      <c r="K59" s="36">
        <v>5</v>
      </c>
    </row>
    <row r="60" spans="1:11" hidden="1" outlineLevel="1" x14ac:dyDescent="0.3">
      <c r="A60" s="17" t="s">
        <v>121</v>
      </c>
      <c r="B60" s="17"/>
      <c r="C60" s="17"/>
      <c r="D60" s="17"/>
      <c r="E60" s="37">
        <v>3.17</v>
      </c>
      <c r="F60" s="17"/>
      <c r="G60" s="17"/>
      <c r="H60" s="17"/>
      <c r="I60" s="17"/>
      <c r="J60" s="17"/>
      <c r="K60" s="17"/>
    </row>
    <row r="61" spans="1:11" hidden="1" outlineLevel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hidden="1" outlineLevel="1" x14ac:dyDescent="0.3">
      <c r="A62" s="16" t="s">
        <v>122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1" hidden="1" outlineLevel="1" x14ac:dyDescent="0.3">
      <c r="A63" s="15" t="s">
        <v>116</v>
      </c>
      <c r="B63" s="14"/>
      <c r="C63" s="14"/>
      <c r="D63" s="14"/>
    </row>
    <row r="64" spans="1:11" hidden="1" outlineLevel="1" x14ac:dyDescent="0.3">
      <c r="A64" s="14" t="s">
        <v>123</v>
      </c>
      <c r="B64" s="14"/>
      <c r="C64" s="14"/>
      <c r="D64" s="14"/>
      <c r="E64" s="36">
        <v>12</v>
      </c>
      <c r="F64" s="36">
        <v>10</v>
      </c>
      <c r="G64" s="36">
        <v>9</v>
      </c>
      <c r="H64" s="36">
        <v>9</v>
      </c>
      <c r="I64" s="36">
        <v>8</v>
      </c>
      <c r="J64" s="36">
        <v>8</v>
      </c>
      <c r="K64" s="36">
        <v>7</v>
      </c>
    </row>
    <row r="65" spans="1:11" hidden="1" outlineLevel="1" x14ac:dyDescent="0.3">
      <c r="A65" s="14" t="s">
        <v>124</v>
      </c>
      <c r="B65" s="14"/>
      <c r="C65" s="14"/>
      <c r="D65" s="14"/>
      <c r="E65" s="36">
        <v>5</v>
      </c>
      <c r="F65" s="36">
        <v>5</v>
      </c>
      <c r="G65" s="36">
        <v>5</v>
      </c>
      <c r="H65" s="36">
        <v>5</v>
      </c>
      <c r="I65" s="36">
        <v>5</v>
      </c>
      <c r="J65" s="36">
        <v>5</v>
      </c>
      <c r="K65" s="36">
        <v>5</v>
      </c>
    </row>
    <row r="66" spans="1:11" hidden="1" outlineLevel="1" x14ac:dyDescent="0.3">
      <c r="A66" s="17" t="s">
        <v>125</v>
      </c>
      <c r="B66" s="17"/>
      <c r="C66" s="17"/>
      <c r="D66" s="17"/>
      <c r="E66" s="37">
        <f>SUM(E64:E65)</f>
        <v>17</v>
      </c>
      <c r="F66" s="37">
        <f t="shared" ref="F66:K66" si="26">SUM(F64:F65)</f>
        <v>15</v>
      </c>
      <c r="G66" s="37">
        <f t="shared" si="26"/>
        <v>14</v>
      </c>
      <c r="H66" s="37">
        <f t="shared" si="26"/>
        <v>14</v>
      </c>
      <c r="I66" s="37">
        <f t="shared" si="26"/>
        <v>13</v>
      </c>
      <c r="J66" s="37">
        <f t="shared" si="26"/>
        <v>13</v>
      </c>
      <c r="K66" s="37">
        <f t="shared" si="26"/>
        <v>12</v>
      </c>
    </row>
    <row r="67" spans="1:11" hidden="1" outlineLevel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idden="1" outlineLevel="1" x14ac:dyDescent="0.3">
      <c r="A68" s="15" t="s">
        <v>126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idden="1" outlineLevel="1" x14ac:dyDescent="0.3">
      <c r="A69" s="14" t="s">
        <v>127</v>
      </c>
      <c r="B69" s="14"/>
      <c r="C69" s="14"/>
      <c r="D69" s="14"/>
      <c r="E69" s="23">
        <v>150000</v>
      </c>
      <c r="F69" s="23">
        <v>150000</v>
      </c>
      <c r="G69" s="23">
        <v>150000</v>
      </c>
      <c r="H69" s="23">
        <v>250000</v>
      </c>
      <c r="I69" s="23">
        <v>250000</v>
      </c>
      <c r="J69" s="23">
        <v>500000</v>
      </c>
      <c r="K69" s="23">
        <v>500000</v>
      </c>
    </row>
    <row r="70" spans="1:11" hidden="1" outlineLevel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idden="1" outlineLevel="1" x14ac:dyDescent="0.3">
      <c r="A71" s="16" t="s">
        <v>128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idden="1" outlineLevel="1" x14ac:dyDescent="0.3">
      <c r="A72" s="15" t="s">
        <v>126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hidden="1" outlineLevel="1" x14ac:dyDescent="0.3">
      <c r="A73" s="14" t="s">
        <v>129</v>
      </c>
      <c r="B73" s="14"/>
      <c r="C73" s="14"/>
      <c r="D73" s="14"/>
      <c r="E73" s="23">
        <v>100000</v>
      </c>
      <c r="F73" s="23">
        <v>100000</v>
      </c>
      <c r="G73" s="23">
        <v>100000</v>
      </c>
      <c r="H73" s="23">
        <v>200000</v>
      </c>
      <c r="I73" s="23">
        <v>200000</v>
      </c>
      <c r="J73" s="23">
        <v>200000</v>
      </c>
      <c r="K73" s="23">
        <v>200000</v>
      </c>
    </row>
    <row r="74" spans="1:11" hidden="1" outlineLevel="1" x14ac:dyDescent="0.3">
      <c r="A74" s="14" t="s">
        <v>130</v>
      </c>
      <c r="B74" s="14"/>
      <c r="C74" s="14"/>
      <c r="D74" s="14"/>
      <c r="E74" s="23">
        <v>500000</v>
      </c>
      <c r="F74" s="23">
        <v>700000</v>
      </c>
      <c r="G74" s="23">
        <v>1000000</v>
      </c>
      <c r="H74" s="23">
        <v>1200000</v>
      </c>
      <c r="I74" s="23">
        <v>1500000</v>
      </c>
      <c r="J74" s="23">
        <v>2000000</v>
      </c>
      <c r="K74" s="23">
        <v>3000000</v>
      </c>
    </row>
    <row r="75" spans="1:11" hidden="1" outlineLevel="1" x14ac:dyDescent="0.3">
      <c r="A75" s="14" t="s">
        <v>131</v>
      </c>
      <c r="B75" s="14"/>
      <c r="C75" s="14"/>
      <c r="D75" s="14"/>
      <c r="E75" s="23">
        <v>100000</v>
      </c>
      <c r="F75" s="23">
        <v>100000</v>
      </c>
      <c r="G75" s="23">
        <v>200000</v>
      </c>
      <c r="H75" s="23">
        <v>200000</v>
      </c>
      <c r="I75" s="23">
        <v>200000</v>
      </c>
      <c r="J75" s="23">
        <v>200000</v>
      </c>
      <c r="K75" s="23">
        <v>200000</v>
      </c>
    </row>
    <row r="76" spans="1:11" hidden="1" outlineLevel="1" x14ac:dyDescent="0.3">
      <c r="A76" s="14" t="s">
        <v>76</v>
      </c>
      <c r="B76" s="14"/>
      <c r="C76" s="14"/>
      <c r="D76" s="14"/>
      <c r="E76" s="23">
        <v>100000</v>
      </c>
      <c r="F76" s="23">
        <v>100000</v>
      </c>
      <c r="G76" s="23">
        <v>100000</v>
      </c>
      <c r="H76" s="23">
        <v>200000</v>
      </c>
      <c r="I76" s="23">
        <v>400000</v>
      </c>
      <c r="J76" s="23">
        <v>400000</v>
      </c>
      <c r="K76" s="23">
        <v>400000</v>
      </c>
    </row>
    <row r="77" spans="1:11" hidden="1" outlineLevel="1" x14ac:dyDescent="0.3">
      <c r="A77" s="17" t="s">
        <v>125</v>
      </c>
      <c r="B77" s="17"/>
      <c r="C77" s="17"/>
      <c r="D77" s="17"/>
      <c r="E77" s="19">
        <f>SUM(E73:E76)</f>
        <v>800000</v>
      </c>
      <c r="F77" s="19">
        <f t="shared" ref="F77:K77" si="27">SUM(F73:F76)</f>
        <v>1000000</v>
      </c>
      <c r="G77" s="19">
        <f t="shared" si="27"/>
        <v>1400000</v>
      </c>
      <c r="H77" s="19">
        <f t="shared" si="27"/>
        <v>1800000</v>
      </c>
      <c r="I77" s="19">
        <f t="shared" si="27"/>
        <v>2300000</v>
      </c>
      <c r="J77" s="19">
        <f t="shared" si="27"/>
        <v>2800000</v>
      </c>
      <c r="K77" s="19">
        <f t="shared" si="27"/>
        <v>3800000</v>
      </c>
    </row>
    <row r="78" spans="1:11" hidden="1" outlineLevel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hidden="1" outlineLevel="1" x14ac:dyDescent="0.3">
      <c r="A79" s="16" t="s">
        <v>132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 spans="1:11" hidden="1" outlineLevel="1" x14ac:dyDescent="0.3">
      <c r="A80" s="15" t="s">
        <v>133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hidden="1" outlineLevel="1" x14ac:dyDescent="0.3">
      <c r="A81" s="14" t="s">
        <v>134</v>
      </c>
      <c r="B81" s="14"/>
      <c r="C81" s="14"/>
      <c r="D81" s="14"/>
      <c r="E81" s="27">
        <v>5</v>
      </c>
      <c r="F81" s="27">
        <v>5</v>
      </c>
      <c r="G81" s="27">
        <v>5</v>
      </c>
      <c r="H81" s="27">
        <v>5</v>
      </c>
      <c r="I81" s="27">
        <v>5</v>
      </c>
      <c r="J81" s="27">
        <v>5</v>
      </c>
      <c r="K81" s="27">
        <v>5</v>
      </c>
    </row>
    <row r="82" spans="1:11" hidden="1" outlineLevel="1" x14ac:dyDescent="0.3">
      <c r="A82" s="14" t="s">
        <v>135</v>
      </c>
      <c r="B82" s="14"/>
      <c r="C82" s="14"/>
      <c r="D82" s="14"/>
      <c r="E82" s="27">
        <v>120</v>
      </c>
      <c r="F82" s="27">
        <v>100</v>
      </c>
      <c r="G82" s="27">
        <v>90</v>
      </c>
      <c r="H82" s="27">
        <v>90</v>
      </c>
      <c r="I82" s="27">
        <v>90</v>
      </c>
      <c r="J82" s="27">
        <v>90</v>
      </c>
      <c r="K82" s="27">
        <v>90</v>
      </c>
    </row>
    <row r="83" spans="1:11" hidden="1" outlineLevel="1" x14ac:dyDescent="0.3">
      <c r="A83" s="14" t="s">
        <v>136</v>
      </c>
      <c r="B83" s="14"/>
      <c r="C83" s="14"/>
      <c r="D83" s="38">
        <v>365</v>
      </c>
      <c r="E83" s="39">
        <f>+$D$83/E82</f>
        <v>3.0416666666666665</v>
      </c>
      <c r="F83" s="39">
        <f t="shared" ref="F83:K83" si="28">+$D$83/F82</f>
        <v>3.65</v>
      </c>
      <c r="G83" s="39">
        <f t="shared" si="28"/>
        <v>4.0555555555555554</v>
      </c>
      <c r="H83" s="39">
        <f t="shared" si="28"/>
        <v>4.0555555555555554</v>
      </c>
      <c r="I83" s="39">
        <f t="shared" si="28"/>
        <v>4.0555555555555554</v>
      </c>
      <c r="J83" s="39">
        <f t="shared" si="28"/>
        <v>4.0555555555555554</v>
      </c>
      <c r="K83" s="39">
        <f t="shared" si="28"/>
        <v>4.0555555555555554</v>
      </c>
    </row>
    <row r="84" spans="1:11" hidden="1" outlineLevel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hidden="1" outlineLevel="1" x14ac:dyDescent="0.3">
      <c r="A85" s="15" t="s">
        <v>137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hidden="1" outlineLevel="1" x14ac:dyDescent="0.3">
      <c r="A86" s="14" t="s">
        <v>138</v>
      </c>
      <c r="B86" s="14"/>
      <c r="C86" s="14"/>
      <c r="D86" s="14"/>
      <c r="E86" s="27">
        <v>60</v>
      </c>
      <c r="F86" s="27">
        <v>50</v>
      </c>
      <c r="G86" s="27">
        <v>40</v>
      </c>
      <c r="H86" s="27">
        <v>30</v>
      </c>
      <c r="I86" s="27">
        <v>30</v>
      </c>
      <c r="J86" s="27">
        <v>30</v>
      </c>
      <c r="K86" s="27">
        <v>30</v>
      </c>
    </row>
    <row r="87" spans="1:11" hidden="1" outlineLevel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hidden="1" outlineLevel="1" x14ac:dyDescent="0.3">
      <c r="A88" s="15" t="s">
        <v>139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hidden="1" outlineLevel="1" x14ac:dyDescent="0.3">
      <c r="A89" s="14" t="s">
        <v>140</v>
      </c>
      <c r="B89" s="14"/>
      <c r="C89" s="14"/>
      <c r="D89" s="14"/>
      <c r="E89" s="23">
        <v>300000</v>
      </c>
      <c r="F89" s="23">
        <v>50000</v>
      </c>
      <c r="G89" s="23">
        <v>50000</v>
      </c>
      <c r="H89" s="23">
        <v>500000</v>
      </c>
      <c r="I89" s="23">
        <v>50000</v>
      </c>
      <c r="J89" s="23">
        <v>1000000</v>
      </c>
      <c r="K89" s="23">
        <v>100000</v>
      </c>
    </row>
    <row r="90" spans="1:11" hidden="1" outlineLevel="1" x14ac:dyDescent="0.3">
      <c r="A90" s="14" t="s">
        <v>141</v>
      </c>
      <c r="B90" s="14"/>
      <c r="C90" s="14"/>
      <c r="D90" s="14"/>
      <c r="E90" s="23">
        <v>200000</v>
      </c>
      <c r="F90" s="23">
        <v>50000</v>
      </c>
      <c r="G90" s="23">
        <v>50000</v>
      </c>
      <c r="H90" s="23">
        <v>50000</v>
      </c>
      <c r="I90" s="23">
        <v>200000</v>
      </c>
      <c r="J90" s="23">
        <v>100000</v>
      </c>
      <c r="K90" s="23">
        <v>500000</v>
      </c>
    </row>
    <row r="91" spans="1:11" hidden="1" outlineLevel="1" x14ac:dyDescent="0.3">
      <c r="A91" s="14" t="s">
        <v>142</v>
      </c>
      <c r="B91" s="14"/>
      <c r="C91" s="14"/>
      <c r="D91" s="14"/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</row>
    <row r="92" spans="1:11" hidden="1" outlineLevel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hidden="1" outlineLevel="1" x14ac:dyDescent="0.3">
      <c r="A93" s="15" t="s">
        <v>84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hidden="1" outlineLevel="1" x14ac:dyDescent="0.3">
      <c r="A94" s="14" t="s">
        <v>143</v>
      </c>
      <c r="B94" s="14"/>
      <c r="C94" s="14"/>
      <c r="D94" s="14"/>
      <c r="E94" s="27">
        <v>5</v>
      </c>
      <c r="F94" s="27">
        <v>5</v>
      </c>
      <c r="G94" s="27">
        <v>5</v>
      </c>
      <c r="H94" s="27">
        <v>5</v>
      </c>
      <c r="I94" s="27">
        <v>5</v>
      </c>
      <c r="J94" s="27">
        <v>5</v>
      </c>
      <c r="K94" s="27">
        <v>5</v>
      </c>
    </row>
    <row r="95" spans="1:11" hidden="1" outlineLevel="1" x14ac:dyDescent="0.3">
      <c r="A95" s="14" t="s">
        <v>144</v>
      </c>
      <c r="B95" s="14"/>
      <c r="C95" s="14"/>
      <c r="D95" s="14"/>
      <c r="E95" s="27">
        <v>5</v>
      </c>
      <c r="F95" s="27">
        <v>5</v>
      </c>
      <c r="G95" s="27">
        <v>5</v>
      </c>
      <c r="H95" s="27">
        <v>5</v>
      </c>
      <c r="I95" s="27">
        <v>5</v>
      </c>
      <c r="J95" s="27">
        <v>5</v>
      </c>
      <c r="K95" s="27">
        <v>5</v>
      </c>
    </row>
    <row r="96" spans="1:11" hidden="1" outlineLevel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hidden="1" outlineLevel="1" x14ac:dyDescent="0.3">
      <c r="A97" s="15" t="s">
        <v>85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hidden="1" outlineLevel="1" x14ac:dyDescent="0.3">
      <c r="A98" s="14" t="s">
        <v>145</v>
      </c>
      <c r="B98" s="14"/>
      <c r="C98" s="14"/>
      <c r="D98" s="14"/>
      <c r="E98" s="28">
        <v>0.03</v>
      </c>
      <c r="F98" s="28">
        <v>0.03</v>
      </c>
      <c r="G98" s="28">
        <v>0.03</v>
      </c>
      <c r="H98" s="28">
        <v>0.03</v>
      </c>
      <c r="I98" s="28">
        <v>0.03</v>
      </c>
      <c r="J98" s="28">
        <v>0.03</v>
      </c>
      <c r="K98" s="28">
        <v>0.03</v>
      </c>
    </row>
    <row r="99" spans="1:11" hidden="1" outlineLevel="1" x14ac:dyDescent="0.3">
      <c r="A99" s="14" t="s">
        <v>146</v>
      </c>
      <c r="B99" s="14"/>
      <c r="C99" s="14"/>
      <c r="D99" s="14"/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</row>
    <row r="100" spans="1:11" hidden="1" outlineLevel="1" x14ac:dyDescent="0.3">
      <c r="A100" s="14" t="s">
        <v>147</v>
      </c>
      <c r="B100" s="14"/>
      <c r="C100" s="14"/>
      <c r="D100" s="14"/>
      <c r="E100" s="23">
        <v>8000000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</row>
    <row r="101" spans="1:11" hidden="1" outlineLevel="1" x14ac:dyDescent="0.3">
      <c r="A101" s="14" t="s">
        <v>148</v>
      </c>
      <c r="B101" s="14"/>
      <c r="C101" s="14"/>
      <c r="D101" s="14"/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</row>
    <row r="102" spans="1:11" hidden="1" outlineLevel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idden="1" outlineLevel="1" x14ac:dyDescent="0.3">
      <c r="A103" s="15" t="s">
        <v>149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idden="1" outlineLevel="1" x14ac:dyDescent="0.3">
      <c r="A104" s="14" t="s">
        <v>150</v>
      </c>
      <c r="B104" s="14"/>
      <c r="C104" s="14"/>
      <c r="D104" s="14"/>
      <c r="E104" s="28">
        <v>0.25</v>
      </c>
      <c r="F104" s="28">
        <v>0.25</v>
      </c>
      <c r="G104" s="28">
        <v>0.25</v>
      </c>
      <c r="H104" s="28">
        <v>0.25</v>
      </c>
      <c r="I104" s="28">
        <v>0.25</v>
      </c>
      <c r="J104" s="28">
        <v>0.25</v>
      </c>
      <c r="K104" s="28">
        <v>0.25</v>
      </c>
    </row>
    <row r="105" spans="1:11" hidden="1" outlineLevel="1" x14ac:dyDescent="0.3">
      <c r="A105" s="14" t="s">
        <v>151</v>
      </c>
      <c r="B105" s="14"/>
      <c r="C105" s="14"/>
      <c r="D105" s="40">
        <v>0.2</v>
      </c>
      <c r="E105" s="26">
        <f>+D105</f>
        <v>0.2</v>
      </c>
      <c r="F105" s="26">
        <f t="shared" ref="F105:K105" si="29">+E105</f>
        <v>0.2</v>
      </c>
      <c r="G105" s="26">
        <f t="shared" si="29"/>
        <v>0.2</v>
      </c>
      <c r="H105" s="26">
        <f t="shared" si="29"/>
        <v>0.2</v>
      </c>
      <c r="I105" s="26">
        <f t="shared" si="29"/>
        <v>0.2</v>
      </c>
      <c r="J105" s="26">
        <f t="shared" si="29"/>
        <v>0.2</v>
      </c>
      <c r="K105" s="26">
        <f t="shared" si="29"/>
        <v>0.2</v>
      </c>
    </row>
    <row r="106" spans="1:11" hidden="1" outlineLevel="1" x14ac:dyDescent="0.3">
      <c r="A106" s="14" t="s">
        <v>152</v>
      </c>
      <c r="B106" s="14"/>
      <c r="C106" s="14"/>
      <c r="D106" s="41" t="s">
        <v>153</v>
      </c>
      <c r="E106" s="14"/>
      <c r="F106" s="14"/>
      <c r="G106" s="14"/>
      <c r="H106" s="14"/>
      <c r="I106" s="14"/>
      <c r="J106" s="14"/>
      <c r="K106" s="14"/>
    </row>
    <row r="107" spans="1:11" collapsed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3">
      <c r="A108" s="13" t="s">
        <v>154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hidden="1" outlineLevel="2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idden="1" outlineLevel="2" x14ac:dyDescent="0.3">
      <c r="A110" s="14" t="s">
        <v>155</v>
      </c>
      <c r="B110" s="14"/>
      <c r="C110" s="14"/>
      <c r="D110" s="14"/>
      <c r="E110" s="22">
        <f>+E43*E34</f>
        <v>5478000</v>
      </c>
      <c r="F110" s="22">
        <f>+F43*F34</f>
        <v>7704000</v>
      </c>
      <c r="G110" s="22">
        <f t="shared" ref="G110:K110" si="30">+G43*G34</f>
        <v>11778000</v>
      </c>
      <c r="H110" s="22">
        <f t="shared" si="30"/>
        <v>17724000</v>
      </c>
      <c r="I110" s="22">
        <f t="shared" si="30"/>
        <v>23940000</v>
      </c>
      <c r="J110" s="22">
        <f t="shared" si="30"/>
        <v>32736000</v>
      </c>
      <c r="K110" s="22">
        <f t="shared" si="30"/>
        <v>38862000</v>
      </c>
    </row>
    <row r="111" spans="1:11" hidden="1" outlineLevel="2" x14ac:dyDescent="0.3">
      <c r="A111" s="12" t="s">
        <v>156</v>
      </c>
      <c r="E111" s="42">
        <f>-(E110*E40+E110*E39)</f>
        <v>-1643400</v>
      </c>
      <c r="F111" s="42">
        <f t="shared" ref="F111:K111" si="31">-(F110*F40+F110*F39)</f>
        <v>-2157120</v>
      </c>
      <c r="G111" s="42">
        <f t="shared" si="31"/>
        <v>-2944500</v>
      </c>
      <c r="H111" s="42">
        <f t="shared" si="31"/>
        <v>-3899280</v>
      </c>
      <c r="I111" s="42">
        <f t="shared" si="31"/>
        <v>-4788000</v>
      </c>
      <c r="J111" s="42">
        <f t="shared" si="31"/>
        <v>-5892480</v>
      </c>
      <c r="K111" s="42">
        <f t="shared" si="31"/>
        <v>-6995160</v>
      </c>
    </row>
    <row r="112" spans="1:11" hidden="1" outlineLevel="2" x14ac:dyDescent="0.3">
      <c r="A112" s="17" t="s">
        <v>157</v>
      </c>
      <c r="B112" s="17"/>
      <c r="C112" s="17"/>
      <c r="D112" s="17"/>
      <c r="E112" s="19">
        <f>SUM(E110:E111)</f>
        <v>3834600</v>
      </c>
      <c r="F112" s="19">
        <f t="shared" ref="F112:K112" si="32">SUM(F110:F111)</f>
        <v>5546880</v>
      </c>
      <c r="G112" s="19">
        <f t="shared" si="32"/>
        <v>8833500</v>
      </c>
      <c r="H112" s="19">
        <f t="shared" si="32"/>
        <v>13824720</v>
      </c>
      <c r="I112" s="19">
        <f t="shared" si="32"/>
        <v>19152000</v>
      </c>
      <c r="J112" s="19">
        <f t="shared" si="32"/>
        <v>26843520</v>
      </c>
      <c r="K112" s="19">
        <f t="shared" si="32"/>
        <v>31866840</v>
      </c>
    </row>
    <row r="113" spans="1:16" hidden="1" outlineLevel="2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6" hidden="1" outlineLevel="2" x14ac:dyDescent="0.3">
      <c r="A114" s="14" t="s">
        <v>158</v>
      </c>
      <c r="B114" s="14"/>
      <c r="C114" s="14"/>
      <c r="D114" s="14"/>
      <c r="E114" s="32">
        <f>+E110*E41</f>
        <v>2739000</v>
      </c>
      <c r="F114" s="32">
        <f t="shared" ref="F114:K114" si="33">+F110*F41</f>
        <v>3852000</v>
      </c>
      <c r="G114" s="32">
        <f t="shared" si="33"/>
        <v>5889000</v>
      </c>
      <c r="H114" s="32">
        <f t="shared" si="33"/>
        <v>8862000</v>
      </c>
      <c r="I114" s="32">
        <f t="shared" si="33"/>
        <v>11970000</v>
      </c>
      <c r="J114" s="32">
        <f t="shared" si="33"/>
        <v>16368000</v>
      </c>
      <c r="K114" s="32">
        <f t="shared" si="33"/>
        <v>19431000</v>
      </c>
    </row>
    <row r="115" spans="1:16" hidden="1" outlineLevel="2" x14ac:dyDescent="0.3">
      <c r="A115" s="21" t="s">
        <v>159</v>
      </c>
      <c r="B115" s="21"/>
      <c r="C115" s="21"/>
      <c r="D115" s="21"/>
      <c r="E115" s="43">
        <f>+E112-E114</f>
        <v>1095600</v>
      </c>
      <c r="F115" s="43">
        <f t="shared" ref="F115:K115" si="34">+F112-F114</f>
        <v>1694880</v>
      </c>
      <c r="G115" s="43">
        <f t="shared" si="34"/>
        <v>2944500</v>
      </c>
      <c r="H115" s="43">
        <f t="shared" si="34"/>
        <v>4962720</v>
      </c>
      <c r="I115" s="43">
        <f t="shared" si="34"/>
        <v>7182000</v>
      </c>
      <c r="J115" s="43">
        <f t="shared" si="34"/>
        <v>10475520</v>
      </c>
      <c r="K115" s="43">
        <f t="shared" si="34"/>
        <v>12435840</v>
      </c>
    </row>
    <row r="116" spans="1:16" hidden="1" outlineLevel="2" x14ac:dyDescent="0.3">
      <c r="A116" s="18" t="s">
        <v>160</v>
      </c>
      <c r="B116" s="18"/>
      <c r="C116" s="18"/>
      <c r="D116" s="18"/>
      <c r="E116" s="44">
        <f>+E115/E112</f>
        <v>0.2857142857142857</v>
      </c>
      <c r="F116" s="44">
        <f t="shared" ref="F116:K116" si="35">+F115/F112</f>
        <v>0.30555555555555558</v>
      </c>
      <c r="G116" s="44">
        <f t="shared" si="35"/>
        <v>0.33333333333333331</v>
      </c>
      <c r="H116" s="44">
        <f t="shared" si="35"/>
        <v>0.35897435897435898</v>
      </c>
      <c r="I116" s="44">
        <f t="shared" si="35"/>
        <v>0.375</v>
      </c>
      <c r="J116" s="44">
        <f t="shared" si="35"/>
        <v>0.3902439024390244</v>
      </c>
      <c r="K116" s="44">
        <f t="shared" si="35"/>
        <v>0.3902439024390244</v>
      </c>
    </row>
    <row r="117" spans="1:16" hidden="1" outlineLevel="2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6" hidden="1" outlineLevel="2" x14ac:dyDescent="0.3">
      <c r="A118" s="15" t="s">
        <v>161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6" hidden="1" outlineLevel="2" x14ac:dyDescent="0.3">
      <c r="A119" s="14" t="s">
        <v>62</v>
      </c>
      <c r="B119" s="14"/>
      <c r="C119" s="14"/>
      <c r="D119" s="14"/>
      <c r="E119" s="22">
        <f t="shared" ref="E119:K119" si="36">+E56*E16+E57*E17+E58*E18+E59*E19</f>
        <v>2280000</v>
      </c>
      <c r="F119" s="22">
        <f t="shared" si="36"/>
        <v>1380000</v>
      </c>
      <c r="G119" s="22">
        <f t="shared" si="36"/>
        <v>690000</v>
      </c>
      <c r="H119" s="22">
        <f t="shared" si="36"/>
        <v>720000</v>
      </c>
      <c r="I119" s="22">
        <f t="shared" si="36"/>
        <v>720000</v>
      </c>
      <c r="J119" s="22">
        <f t="shared" si="36"/>
        <v>750000</v>
      </c>
      <c r="K119" s="22">
        <f t="shared" si="36"/>
        <v>780000</v>
      </c>
    </row>
    <row r="120" spans="1:16" hidden="1" outlineLevel="2" x14ac:dyDescent="0.3">
      <c r="A120" s="14" t="s">
        <v>66</v>
      </c>
      <c r="B120" s="14"/>
      <c r="C120" s="14"/>
      <c r="D120" s="14"/>
      <c r="E120" s="32">
        <f>+E66*E34</f>
        <v>338640</v>
      </c>
      <c r="F120" s="32">
        <f t="shared" ref="F120:K120" si="37">+F66*F34</f>
        <v>385200</v>
      </c>
      <c r="G120" s="32">
        <f t="shared" si="37"/>
        <v>507360</v>
      </c>
      <c r="H120" s="32">
        <f t="shared" si="37"/>
        <v>708960</v>
      </c>
      <c r="I120" s="32">
        <f t="shared" si="37"/>
        <v>829920</v>
      </c>
      <c r="J120" s="32">
        <f t="shared" si="37"/>
        <v>1063920</v>
      </c>
      <c r="K120" s="32">
        <f t="shared" si="37"/>
        <v>1097280</v>
      </c>
      <c r="P120" s="60">
        <f>+E119/E50</f>
        <v>114.4578313253012</v>
      </c>
    </row>
    <row r="121" spans="1:16" hidden="1" outlineLevel="2" x14ac:dyDescent="0.3">
      <c r="A121" s="45" t="s">
        <v>162</v>
      </c>
      <c r="B121" s="45"/>
      <c r="C121" s="45"/>
      <c r="D121" s="45"/>
      <c r="E121" s="46">
        <f>+E119+E120</f>
        <v>2618640</v>
      </c>
      <c r="F121" s="46">
        <f t="shared" ref="F121:K121" si="38">+F119+F120</f>
        <v>1765200</v>
      </c>
      <c r="G121" s="46">
        <f t="shared" si="38"/>
        <v>1197360</v>
      </c>
      <c r="H121" s="46">
        <f t="shared" si="38"/>
        <v>1428960</v>
      </c>
      <c r="I121" s="46">
        <f t="shared" si="38"/>
        <v>1549920</v>
      </c>
      <c r="J121" s="46">
        <f t="shared" si="38"/>
        <v>1813920</v>
      </c>
      <c r="K121" s="46">
        <f t="shared" si="38"/>
        <v>1877280</v>
      </c>
    </row>
    <row r="122" spans="1:16" hidden="1" outlineLevel="2" x14ac:dyDescent="0.3">
      <c r="A122" s="15" t="s">
        <v>163</v>
      </c>
      <c r="B122" s="14"/>
      <c r="C122" s="14"/>
      <c r="D122" s="14"/>
      <c r="E122" s="51">
        <f>+E115-E121</f>
        <v>-1523040</v>
      </c>
      <c r="F122" s="51">
        <f t="shared" ref="F122:K122" si="39">+F115-F121</f>
        <v>-70320</v>
      </c>
      <c r="G122" s="51">
        <f t="shared" si="39"/>
        <v>1747140</v>
      </c>
      <c r="H122" s="51">
        <f t="shared" si="39"/>
        <v>3533760</v>
      </c>
      <c r="I122" s="51">
        <f t="shared" si="39"/>
        <v>5632080</v>
      </c>
      <c r="J122" s="51">
        <f t="shared" si="39"/>
        <v>8661600</v>
      </c>
      <c r="K122" s="51">
        <f t="shared" si="39"/>
        <v>10558560</v>
      </c>
    </row>
    <row r="123" spans="1:16" hidden="1" outlineLevel="2" x14ac:dyDescent="0.3">
      <c r="A123" s="18" t="s">
        <v>164</v>
      </c>
      <c r="B123" s="18"/>
      <c r="C123" s="18"/>
      <c r="D123" s="18"/>
      <c r="E123" s="44">
        <f>+E122/E112</f>
        <v>-0.39718353935221407</v>
      </c>
      <c r="F123" s="44">
        <f t="shared" ref="F123:K123" si="40">+F122/F112</f>
        <v>-1.2677397023191416E-2</v>
      </c>
      <c r="G123" s="44">
        <f t="shared" si="40"/>
        <v>0.19778570215656308</v>
      </c>
      <c r="H123" s="44">
        <f t="shared" si="40"/>
        <v>0.25561168689130775</v>
      </c>
      <c r="I123" s="44">
        <f t="shared" si="40"/>
        <v>0.29407268170426065</v>
      </c>
      <c r="J123" s="44">
        <f t="shared" si="40"/>
        <v>0.32267005221371864</v>
      </c>
      <c r="K123" s="44">
        <f t="shared" si="40"/>
        <v>0.33133376261970121</v>
      </c>
    </row>
    <row r="124" spans="1:16" hidden="1" outlineLevel="2" x14ac:dyDescent="0.3">
      <c r="A124" s="14"/>
      <c r="B124" s="14"/>
      <c r="C124" s="14"/>
      <c r="D124" s="14"/>
      <c r="E124" s="47"/>
      <c r="F124" s="14"/>
      <c r="G124" s="14"/>
      <c r="H124" s="14"/>
      <c r="I124" s="14"/>
      <c r="J124" s="14"/>
      <c r="K124" s="14"/>
    </row>
    <row r="125" spans="1:16" hidden="1" outlineLevel="2" x14ac:dyDescent="0.3">
      <c r="A125" s="15" t="s">
        <v>165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6" hidden="1" outlineLevel="2" x14ac:dyDescent="0.3">
      <c r="A126" s="14" t="s">
        <v>66</v>
      </c>
      <c r="B126" s="14"/>
      <c r="C126" s="14"/>
      <c r="D126" s="14"/>
      <c r="E126" s="22">
        <f>+E69</f>
        <v>150000</v>
      </c>
      <c r="F126" s="22">
        <f t="shared" ref="F126:K126" si="41">+F69</f>
        <v>150000</v>
      </c>
      <c r="G126" s="22">
        <f t="shared" si="41"/>
        <v>150000</v>
      </c>
      <c r="H126" s="22">
        <f t="shared" si="41"/>
        <v>250000</v>
      </c>
      <c r="I126" s="22">
        <f t="shared" si="41"/>
        <v>250000</v>
      </c>
      <c r="J126" s="22">
        <f t="shared" si="41"/>
        <v>500000</v>
      </c>
      <c r="K126" s="22">
        <f t="shared" si="41"/>
        <v>500000</v>
      </c>
    </row>
    <row r="127" spans="1:16" hidden="1" outlineLevel="2" x14ac:dyDescent="0.3">
      <c r="A127" s="14" t="s">
        <v>166</v>
      </c>
      <c r="B127" s="14"/>
      <c r="C127" s="14"/>
      <c r="D127" s="14"/>
      <c r="E127" s="22">
        <f>+E77</f>
        <v>800000</v>
      </c>
      <c r="F127" s="22">
        <f t="shared" ref="F127:K127" si="42">+F77</f>
        <v>1000000</v>
      </c>
      <c r="G127" s="22">
        <f t="shared" si="42"/>
        <v>1400000</v>
      </c>
      <c r="H127" s="22">
        <f t="shared" si="42"/>
        <v>1800000</v>
      </c>
      <c r="I127" s="22">
        <f t="shared" si="42"/>
        <v>2300000</v>
      </c>
      <c r="J127" s="22">
        <f t="shared" si="42"/>
        <v>2800000</v>
      </c>
      <c r="K127" s="22">
        <f t="shared" si="42"/>
        <v>3800000</v>
      </c>
    </row>
    <row r="128" spans="1:16" hidden="1" outlineLevel="2" x14ac:dyDescent="0.3">
      <c r="A128" s="45" t="s">
        <v>125</v>
      </c>
      <c r="B128" s="45"/>
      <c r="C128" s="45"/>
      <c r="D128" s="45"/>
      <c r="E128" s="48">
        <f>SUM(E126:E127)</f>
        <v>950000</v>
      </c>
      <c r="F128" s="48">
        <f t="shared" ref="F128:K128" si="43">SUM(F126:F127)</f>
        <v>1150000</v>
      </c>
      <c r="G128" s="48">
        <f t="shared" si="43"/>
        <v>1550000</v>
      </c>
      <c r="H128" s="48">
        <f t="shared" si="43"/>
        <v>2050000</v>
      </c>
      <c r="I128" s="48">
        <f t="shared" si="43"/>
        <v>2550000</v>
      </c>
      <c r="J128" s="48">
        <f t="shared" si="43"/>
        <v>3300000</v>
      </c>
      <c r="K128" s="48">
        <f t="shared" si="43"/>
        <v>4300000</v>
      </c>
      <c r="N128">
        <f>+(E114+E121)*60/365</f>
        <v>880707.94520547939</v>
      </c>
    </row>
    <row r="129" spans="1:11" hidden="1" outlineLevel="2" x14ac:dyDescent="0.3">
      <c r="A129" s="15" t="s">
        <v>167</v>
      </c>
      <c r="B129" s="15"/>
      <c r="C129" s="15"/>
      <c r="D129" s="15"/>
      <c r="E129" s="50">
        <f>+E122-E128</f>
        <v>-2473040</v>
      </c>
      <c r="F129" s="50">
        <f t="shared" ref="F129:K129" si="44">+F122-F128</f>
        <v>-1220320</v>
      </c>
      <c r="G129" s="50">
        <f t="shared" si="44"/>
        <v>197140</v>
      </c>
      <c r="H129" s="50">
        <f t="shared" si="44"/>
        <v>1483760</v>
      </c>
      <c r="I129" s="50">
        <f t="shared" si="44"/>
        <v>3082080</v>
      </c>
      <c r="J129" s="50">
        <f t="shared" si="44"/>
        <v>5361600</v>
      </c>
      <c r="K129" s="50">
        <f t="shared" si="44"/>
        <v>6258560</v>
      </c>
    </row>
    <row r="130" spans="1:11" hidden="1" outlineLevel="2" x14ac:dyDescent="0.3">
      <c r="A130" s="18" t="s">
        <v>164</v>
      </c>
      <c r="B130" s="18"/>
      <c r="C130" s="18"/>
      <c r="D130" s="18"/>
      <c r="E130" s="44">
        <f>+E129/E112</f>
        <v>-0.64492776300005217</v>
      </c>
      <c r="F130" s="44">
        <f t="shared" ref="F130:K130" si="45">+F129/F112</f>
        <v>-0.22000115380177684</v>
      </c>
      <c r="G130" s="44">
        <f t="shared" si="45"/>
        <v>2.2317314767645893E-2</v>
      </c>
      <c r="H130" s="44">
        <f t="shared" si="45"/>
        <v>0.10732658599957177</v>
      </c>
      <c r="I130" s="44">
        <f t="shared" si="45"/>
        <v>0.16092731829573934</v>
      </c>
      <c r="J130" s="44">
        <f t="shared" si="45"/>
        <v>0.19973535512481225</v>
      </c>
      <c r="K130" s="44">
        <f t="shared" si="45"/>
        <v>0.19639725809022796</v>
      </c>
    </row>
    <row r="131" spans="1:11" hidden="1" outlineLevel="2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idden="1" outlineLevel="2" x14ac:dyDescent="0.3">
      <c r="A132" s="14" t="s">
        <v>84</v>
      </c>
      <c r="B132" s="14"/>
      <c r="C132" s="14"/>
      <c r="D132" s="14"/>
      <c r="E132" s="59">
        <f>+E238</f>
        <v>100000</v>
      </c>
      <c r="F132" s="59">
        <f t="shared" ref="F132:K132" si="46">+F238</f>
        <v>120000</v>
      </c>
      <c r="G132" s="59">
        <f t="shared" si="46"/>
        <v>140000</v>
      </c>
      <c r="H132" s="59">
        <f t="shared" si="46"/>
        <v>250000</v>
      </c>
      <c r="I132" s="59">
        <f t="shared" si="46"/>
        <v>300000</v>
      </c>
      <c r="J132" s="59">
        <f t="shared" si="46"/>
        <v>420000</v>
      </c>
      <c r="K132" s="59">
        <f t="shared" si="46"/>
        <v>520000</v>
      </c>
    </row>
    <row r="133" spans="1:11" hidden="1" outlineLevel="2" x14ac:dyDescent="0.3">
      <c r="A133" s="14" t="s">
        <v>168</v>
      </c>
      <c r="B133" s="14"/>
      <c r="C133" s="14"/>
      <c r="D133" s="14"/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</row>
    <row r="134" spans="1:11" hidden="1" outlineLevel="2" x14ac:dyDescent="0.3">
      <c r="A134" s="21" t="s">
        <v>169</v>
      </c>
      <c r="B134" s="21"/>
      <c r="C134" s="21"/>
      <c r="D134" s="21"/>
      <c r="E134" s="52">
        <f>+E129-E132-E133</f>
        <v>-2573040</v>
      </c>
      <c r="F134" s="52">
        <f t="shared" ref="F134:K134" si="47">+F129-F132-F133</f>
        <v>-1340320</v>
      </c>
      <c r="G134" s="52">
        <f t="shared" si="47"/>
        <v>57140</v>
      </c>
      <c r="H134" s="52">
        <f t="shared" si="47"/>
        <v>1233760</v>
      </c>
      <c r="I134" s="52">
        <f t="shared" si="47"/>
        <v>2782080</v>
      </c>
      <c r="J134" s="52">
        <f t="shared" si="47"/>
        <v>4941600</v>
      </c>
      <c r="K134" s="52">
        <f t="shared" si="47"/>
        <v>5738560</v>
      </c>
    </row>
    <row r="135" spans="1:11" hidden="1" outlineLevel="2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idden="1" outlineLevel="2" x14ac:dyDescent="0.3">
      <c r="A136" s="14" t="s">
        <v>170</v>
      </c>
      <c r="B136" s="14"/>
      <c r="C136" s="14"/>
      <c r="D136" s="14"/>
      <c r="E136" s="32">
        <f>+IF(E134*E104&lt;0,0,E134*E104)</f>
        <v>0</v>
      </c>
      <c r="F136" s="32">
        <f t="shared" ref="F136:K136" si="48">+IF(F134*F104&lt;0,0,F134*F104)</f>
        <v>0</v>
      </c>
      <c r="G136" s="32">
        <f t="shared" si="48"/>
        <v>14285</v>
      </c>
      <c r="H136" s="32">
        <f t="shared" si="48"/>
        <v>308440</v>
      </c>
      <c r="I136" s="32">
        <f t="shared" si="48"/>
        <v>695520</v>
      </c>
      <c r="J136" s="32">
        <f t="shared" si="48"/>
        <v>1235400</v>
      </c>
      <c r="K136" s="32">
        <f t="shared" si="48"/>
        <v>1434640</v>
      </c>
    </row>
    <row r="137" spans="1:11" ht="15" hidden="1" outlineLevel="2" thickBot="1" x14ac:dyDescent="0.35">
      <c r="A137" s="49" t="s">
        <v>171</v>
      </c>
      <c r="B137" s="49"/>
      <c r="C137" s="49"/>
      <c r="D137" s="49"/>
      <c r="E137" s="53">
        <f>+E134-E136</f>
        <v>-2573040</v>
      </c>
      <c r="F137" s="53">
        <f t="shared" ref="F137:K137" si="49">+F134-F136</f>
        <v>-1340320</v>
      </c>
      <c r="G137" s="53">
        <f t="shared" si="49"/>
        <v>42855</v>
      </c>
      <c r="H137" s="53">
        <f t="shared" si="49"/>
        <v>925320</v>
      </c>
      <c r="I137" s="53">
        <f t="shared" si="49"/>
        <v>2086560</v>
      </c>
      <c r="J137" s="53">
        <f t="shared" si="49"/>
        <v>3706200</v>
      </c>
      <c r="K137" s="53">
        <f t="shared" si="49"/>
        <v>4303920</v>
      </c>
    </row>
    <row r="138" spans="1:11" ht="15" hidden="1" outlineLevel="2" thickTop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idden="1" outlineLevel="2" x14ac:dyDescent="0.3">
      <c r="A139" s="14" t="s">
        <v>172</v>
      </c>
      <c r="B139" s="14"/>
      <c r="C139" s="14"/>
      <c r="D139" s="14"/>
      <c r="E139" s="14">
        <f>+E101</f>
        <v>0</v>
      </c>
      <c r="F139" s="14">
        <f t="shared" ref="F139:K139" si="50">+F101</f>
        <v>0</v>
      </c>
      <c r="G139" s="14">
        <f t="shared" si="50"/>
        <v>0</v>
      </c>
      <c r="H139" s="14">
        <f t="shared" si="50"/>
        <v>0</v>
      </c>
      <c r="I139" s="14">
        <f t="shared" si="50"/>
        <v>0</v>
      </c>
      <c r="J139" s="14">
        <f t="shared" si="50"/>
        <v>0</v>
      </c>
      <c r="K139" s="14">
        <f t="shared" si="50"/>
        <v>0</v>
      </c>
    </row>
    <row r="140" spans="1:11" hidden="1" outlineLevel="2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collapsed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3">
      <c r="A142" s="13" t="s">
        <v>173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hidden="1" outlineLevel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idden="1" outlineLevel="1" x14ac:dyDescent="0.3">
      <c r="A144" s="15" t="s">
        <v>174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3" hidden="1" outlineLevel="1" x14ac:dyDescent="0.3">
      <c r="A145" s="15" t="s">
        <v>182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3" hidden="1" outlineLevel="1" x14ac:dyDescent="0.3">
      <c r="A146" s="14" t="s">
        <v>175</v>
      </c>
      <c r="B146" s="14"/>
      <c r="C146" s="14"/>
      <c r="D146" s="14"/>
      <c r="E146" s="51">
        <f>+E195</f>
        <v>4954646.0273972601</v>
      </c>
      <c r="F146" s="51">
        <f t="shared" ref="F146:K146" si="51">+F195</f>
        <v>3344792.3287671232</v>
      </c>
      <c r="G146" s="51">
        <f t="shared" si="51"/>
        <v>2992993.3561643837</v>
      </c>
      <c r="H146" s="51">
        <f t="shared" si="51"/>
        <v>2886116.9178082193</v>
      </c>
      <c r="I146" s="51">
        <f t="shared" si="51"/>
        <v>4448738.2876712326</v>
      </c>
      <c r="J146" s="51">
        <f t="shared" si="51"/>
        <v>6668314.7260273974</v>
      </c>
      <c r="K146" s="51">
        <f t="shared" si="51"/>
        <v>10325122.94520548</v>
      </c>
    </row>
    <row r="147" spans="1:13" hidden="1" outlineLevel="1" x14ac:dyDescent="0.3">
      <c r="A147" s="14" t="s">
        <v>176</v>
      </c>
      <c r="B147" s="14"/>
      <c r="C147" s="14"/>
      <c r="D147" s="14"/>
      <c r="E147" s="32">
        <f>+E112*E81/365</f>
        <v>52528.767123287675</v>
      </c>
      <c r="F147" s="32">
        <f t="shared" ref="F147:K147" si="52">+F112*F81/365</f>
        <v>75984.65753424658</v>
      </c>
      <c r="G147" s="32">
        <f t="shared" si="52"/>
        <v>121006.8493150685</v>
      </c>
      <c r="H147" s="32">
        <f t="shared" si="52"/>
        <v>189379.72602739726</v>
      </c>
      <c r="I147" s="32">
        <f t="shared" si="52"/>
        <v>262356.16438356164</v>
      </c>
      <c r="J147" s="32">
        <f t="shared" si="52"/>
        <v>367719.45205479453</v>
      </c>
      <c r="K147" s="32">
        <f t="shared" si="52"/>
        <v>436532.05479452055</v>
      </c>
      <c r="M147" s="55"/>
    </row>
    <row r="148" spans="1:13" hidden="1" outlineLevel="1" x14ac:dyDescent="0.3">
      <c r="A148" s="14" t="s">
        <v>177</v>
      </c>
      <c r="B148" s="14"/>
      <c r="C148" s="14"/>
      <c r="D148" s="14"/>
      <c r="E148" s="32">
        <f>+E114*E82/365</f>
        <v>900493.15068493155</v>
      </c>
      <c r="F148" s="32">
        <f t="shared" ref="F148:K148" si="53">+F114*F82/365</f>
        <v>1055342.4657534247</v>
      </c>
      <c r="G148" s="32">
        <f t="shared" si="53"/>
        <v>1452082.1917808219</v>
      </c>
      <c r="H148" s="32">
        <f t="shared" si="53"/>
        <v>2185150.6849315069</v>
      </c>
      <c r="I148" s="32">
        <f t="shared" si="53"/>
        <v>2951506.8493150687</v>
      </c>
      <c r="J148" s="32">
        <f t="shared" si="53"/>
        <v>4035945.2054794519</v>
      </c>
      <c r="K148" s="32">
        <f t="shared" si="53"/>
        <v>4791205.4794520549</v>
      </c>
    </row>
    <row r="149" spans="1:13" hidden="1" outlineLevel="1" x14ac:dyDescent="0.3">
      <c r="A149" s="21" t="s">
        <v>125</v>
      </c>
      <c r="B149" s="21"/>
      <c r="C149" s="21"/>
      <c r="D149" s="21"/>
      <c r="E149" s="30">
        <f>+SUM(E146:E148)</f>
        <v>5907667.9452054789</v>
      </c>
      <c r="F149" s="30">
        <f t="shared" ref="F149:K149" si="54">+SUM(F146:F148)</f>
        <v>4476119.4520547949</v>
      </c>
      <c r="G149" s="30">
        <f t="shared" si="54"/>
        <v>4566082.3972602747</v>
      </c>
      <c r="H149" s="30">
        <f t="shared" si="54"/>
        <v>5260647.3287671236</v>
      </c>
      <c r="I149" s="30">
        <f t="shared" si="54"/>
        <v>7662601.3013698626</v>
      </c>
      <c r="J149" s="30">
        <f t="shared" si="54"/>
        <v>11071979.383561645</v>
      </c>
      <c r="K149" s="30">
        <f t="shared" si="54"/>
        <v>15552860.479452055</v>
      </c>
    </row>
    <row r="150" spans="1:13" hidden="1" outlineLevel="1" x14ac:dyDescent="0.3">
      <c r="A150" s="14" t="s">
        <v>75</v>
      </c>
      <c r="B150" s="14"/>
      <c r="C150" s="14"/>
      <c r="D150" s="14"/>
      <c r="E150" s="51">
        <f>+E241</f>
        <v>240000</v>
      </c>
      <c r="F150" s="51">
        <f t="shared" ref="F150:K150" si="55">+F241</f>
        <v>220000</v>
      </c>
      <c r="G150" s="51">
        <f t="shared" si="55"/>
        <v>190000</v>
      </c>
      <c r="H150" s="51">
        <f t="shared" si="55"/>
        <v>510000</v>
      </c>
      <c r="I150" s="51">
        <f t="shared" si="55"/>
        <v>370000</v>
      </c>
      <c r="J150" s="51">
        <f t="shared" si="55"/>
        <v>1040000</v>
      </c>
      <c r="K150" s="51">
        <f t="shared" si="55"/>
        <v>800000</v>
      </c>
    </row>
    <row r="151" spans="1:13" hidden="1" outlineLevel="1" x14ac:dyDescent="0.3">
      <c r="A151" s="14" t="s">
        <v>178</v>
      </c>
      <c r="B151" s="14"/>
      <c r="C151" s="14"/>
      <c r="D151" s="14"/>
      <c r="E151" s="51">
        <f>+E242</f>
        <v>160000</v>
      </c>
      <c r="F151" s="51">
        <f t="shared" ref="F151:K151" si="56">+F242</f>
        <v>160000</v>
      </c>
      <c r="G151" s="51">
        <f t="shared" si="56"/>
        <v>150000</v>
      </c>
      <c r="H151" s="51">
        <f t="shared" si="56"/>
        <v>130000</v>
      </c>
      <c r="I151" s="51">
        <f t="shared" si="56"/>
        <v>220000</v>
      </c>
      <c r="J151" s="51">
        <f t="shared" si="56"/>
        <v>230000</v>
      </c>
      <c r="K151" s="51">
        <f t="shared" si="56"/>
        <v>550000</v>
      </c>
    </row>
    <row r="152" spans="1:13" ht="15" hidden="1" outlineLevel="1" thickBot="1" x14ac:dyDescent="0.35">
      <c r="A152" s="49" t="s">
        <v>179</v>
      </c>
      <c r="B152" s="49"/>
      <c r="C152" s="49"/>
      <c r="D152" s="49"/>
      <c r="E152" s="57">
        <f>+SUM(E149:E151)</f>
        <v>6307667.9452054789</v>
      </c>
      <c r="F152" s="57">
        <f t="shared" ref="F152:K152" si="57">+SUM(F149:F151)</f>
        <v>4856119.4520547949</v>
      </c>
      <c r="G152" s="57">
        <f t="shared" si="57"/>
        <v>4906082.3972602747</v>
      </c>
      <c r="H152" s="57">
        <f t="shared" si="57"/>
        <v>5900647.3287671236</v>
      </c>
      <c r="I152" s="57">
        <f t="shared" si="57"/>
        <v>8252601.3013698626</v>
      </c>
      <c r="J152" s="57">
        <f t="shared" si="57"/>
        <v>12341979.383561645</v>
      </c>
      <c r="K152" s="57">
        <f t="shared" si="57"/>
        <v>16902860.479452055</v>
      </c>
    </row>
    <row r="153" spans="1:13" ht="15" hidden="1" outlineLevel="1" thickTop="1" x14ac:dyDescent="0.3">
      <c r="A153" s="15" t="s">
        <v>180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3" hidden="1" outlineLevel="1" x14ac:dyDescent="0.3">
      <c r="A154" s="14" t="s">
        <v>181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3" hidden="1" outlineLevel="1" x14ac:dyDescent="0.3">
      <c r="A155" s="14" t="s">
        <v>182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3" hidden="1" outlineLevel="1" x14ac:dyDescent="0.3">
      <c r="A156" s="14" t="s">
        <v>183</v>
      </c>
      <c r="B156" s="14"/>
      <c r="C156" s="14"/>
      <c r="D156" s="14"/>
      <c r="E156" s="32"/>
      <c r="F156" s="32"/>
      <c r="G156" s="32"/>
      <c r="H156" s="32"/>
      <c r="I156" s="32"/>
      <c r="J156" s="32"/>
      <c r="K156" s="32"/>
    </row>
    <row r="157" spans="1:13" hidden="1" outlineLevel="1" x14ac:dyDescent="0.3">
      <c r="A157" s="14" t="s">
        <v>184</v>
      </c>
      <c r="B157" s="14"/>
      <c r="C157" s="14"/>
      <c r="D157" s="14"/>
      <c r="E157" s="32">
        <f t="shared" ref="E157:K157" si="58">+(E114+E121)*E86/365</f>
        <v>880707.94520547939</v>
      </c>
      <c r="F157" s="32">
        <f t="shared" si="58"/>
        <v>769479.45205479453</v>
      </c>
      <c r="G157" s="32">
        <f t="shared" si="58"/>
        <v>776587.39726027392</v>
      </c>
      <c r="H157" s="32">
        <f t="shared" si="58"/>
        <v>845832.32876712328</v>
      </c>
      <c r="I157" s="32">
        <f t="shared" si="58"/>
        <v>1111226.3013698631</v>
      </c>
      <c r="J157" s="32">
        <f t="shared" si="58"/>
        <v>1494404.3835616438</v>
      </c>
      <c r="K157" s="32">
        <f t="shared" si="58"/>
        <v>1751365.4794520547</v>
      </c>
    </row>
    <row r="158" spans="1:13" hidden="1" outlineLevel="1" x14ac:dyDescent="0.3">
      <c r="A158" s="21" t="s">
        <v>125</v>
      </c>
      <c r="B158" s="21"/>
      <c r="C158" s="21"/>
      <c r="D158" s="21"/>
      <c r="E158" s="30">
        <f>+SUM(E156:E157)</f>
        <v>880707.94520547939</v>
      </c>
      <c r="F158" s="30">
        <f t="shared" ref="F158:K158" si="59">+SUM(F156:F157)</f>
        <v>769479.45205479453</v>
      </c>
      <c r="G158" s="30">
        <f t="shared" si="59"/>
        <v>776587.39726027392</v>
      </c>
      <c r="H158" s="30">
        <f t="shared" si="59"/>
        <v>845832.32876712328</v>
      </c>
      <c r="I158" s="30">
        <f t="shared" si="59"/>
        <v>1111226.3013698631</v>
      </c>
      <c r="J158" s="30">
        <f t="shared" si="59"/>
        <v>1494404.3835616438</v>
      </c>
      <c r="K158" s="30">
        <f t="shared" si="59"/>
        <v>1751365.4794520547</v>
      </c>
    </row>
    <row r="159" spans="1:13" hidden="1" outlineLevel="1" x14ac:dyDescent="0.3">
      <c r="A159" s="14" t="s">
        <v>185</v>
      </c>
      <c r="B159" s="14"/>
      <c r="C159" s="14"/>
      <c r="D159" s="14"/>
      <c r="E159" s="14">
        <f>+E249</f>
        <v>0</v>
      </c>
      <c r="F159" s="14">
        <f t="shared" ref="F159:K159" si="60">+F249</f>
        <v>0</v>
      </c>
      <c r="G159" s="14">
        <f t="shared" si="60"/>
        <v>0</v>
      </c>
      <c r="H159" s="14">
        <f t="shared" si="60"/>
        <v>0</v>
      </c>
      <c r="I159" s="14">
        <f t="shared" si="60"/>
        <v>0</v>
      </c>
      <c r="J159" s="14">
        <f t="shared" si="60"/>
        <v>0</v>
      </c>
      <c r="K159" s="14">
        <f t="shared" si="60"/>
        <v>0</v>
      </c>
    </row>
    <row r="160" spans="1:13" hidden="1" outlineLevel="1" x14ac:dyDescent="0.3">
      <c r="A160" s="17" t="s">
        <v>186</v>
      </c>
      <c r="B160" s="17"/>
      <c r="C160" s="17"/>
      <c r="D160" s="17"/>
      <c r="E160" s="54">
        <f>+SUM(E158:E159)</f>
        <v>880707.94520547939</v>
      </c>
      <c r="F160" s="54">
        <f t="shared" ref="F160:K160" si="61">+SUM(F158:F159)</f>
        <v>769479.45205479453</v>
      </c>
      <c r="G160" s="54">
        <f t="shared" si="61"/>
        <v>776587.39726027392</v>
      </c>
      <c r="H160" s="54">
        <f t="shared" si="61"/>
        <v>845832.32876712328</v>
      </c>
      <c r="I160" s="54">
        <f t="shared" si="61"/>
        <v>1111226.3013698631</v>
      </c>
      <c r="J160" s="54">
        <f t="shared" si="61"/>
        <v>1494404.3835616438</v>
      </c>
      <c r="K160" s="54">
        <f t="shared" si="61"/>
        <v>1751365.4794520547</v>
      </c>
    </row>
    <row r="161" spans="1:11" hidden="1" outlineLevel="1" x14ac:dyDescent="0.3">
      <c r="A161" s="15" t="s">
        <v>187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hidden="1" outlineLevel="1" x14ac:dyDescent="0.3">
      <c r="A162" s="14" t="s">
        <v>188</v>
      </c>
      <c r="B162" s="14"/>
      <c r="C162" s="14"/>
      <c r="D162" s="14"/>
      <c r="E162" s="22">
        <f>+$E$100</f>
        <v>8000000</v>
      </c>
      <c r="F162" s="22">
        <f t="shared" ref="F162:K162" si="62">+$E$100</f>
        <v>8000000</v>
      </c>
      <c r="G162" s="22">
        <f t="shared" si="62"/>
        <v>8000000</v>
      </c>
      <c r="H162" s="22">
        <f t="shared" si="62"/>
        <v>8000000</v>
      </c>
      <c r="I162" s="22">
        <f t="shared" si="62"/>
        <v>8000000</v>
      </c>
      <c r="J162" s="22">
        <f t="shared" si="62"/>
        <v>8000000</v>
      </c>
      <c r="K162" s="22">
        <f t="shared" si="62"/>
        <v>8000000</v>
      </c>
    </row>
    <row r="163" spans="1:11" hidden="1" outlineLevel="1" x14ac:dyDescent="0.3">
      <c r="A163" s="14" t="s">
        <v>189</v>
      </c>
      <c r="B163" s="14"/>
      <c r="C163" s="14"/>
      <c r="D163" s="14"/>
      <c r="E163" s="51">
        <f>+E134</f>
        <v>-2573040</v>
      </c>
      <c r="F163" s="51">
        <f t="shared" ref="F163:K163" si="63">+E163+F137</f>
        <v>-3913360</v>
      </c>
      <c r="G163" s="51">
        <f t="shared" si="63"/>
        <v>-3870505</v>
      </c>
      <c r="H163" s="51">
        <f t="shared" si="63"/>
        <v>-2945185</v>
      </c>
      <c r="I163" s="51">
        <f t="shared" si="63"/>
        <v>-858625</v>
      </c>
      <c r="J163" s="51">
        <f t="shared" si="63"/>
        <v>2847575</v>
      </c>
      <c r="K163" s="51">
        <f t="shared" si="63"/>
        <v>7151495</v>
      </c>
    </row>
    <row r="164" spans="1:11" hidden="1" outlineLevel="1" x14ac:dyDescent="0.3">
      <c r="A164" s="21" t="s">
        <v>190</v>
      </c>
      <c r="B164" s="21"/>
      <c r="C164" s="21"/>
      <c r="D164" s="21"/>
      <c r="E164" s="43">
        <f>SUM(E162:E163)</f>
        <v>5426960</v>
      </c>
      <c r="F164" s="43">
        <f t="shared" ref="F164:K164" si="64">SUM(F162:F163)</f>
        <v>4086640</v>
      </c>
      <c r="G164" s="43">
        <f t="shared" si="64"/>
        <v>4129495</v>
      </c>
      <c r="H164" s="43">
        <f t="shared" si="64"/>
        <v>5054815</v>
      </c>
      <c r="I164" s="43">
        <f t="shared" si="64"/>
        <v>7141375</v>
      </c>
      <c r="J164" s="43">
        <f t="shared" si="64"/>
        <v>10847575</v>
      </c>
      <c r="K164" s="43">
        <f t="shared" si="64"/>
        <v>15151495</v>
      </c>
    </row>
    <row r="165" spans="1:11" ht="15" hidden="1" outlineLevel="1" thickBot="1" x14ac:dyDescent="0.35">
      <c r="A165" s="49" t="s">
        <v>191</v>
      </c>
      <c r="B165" s="49"/>
      <c r="C165" s="49"/>
      <c r="D165" s="49"/>
      <c r="E165" s="58">
        <f>+E160+E164</f>
        <v>6307667.9452054799</v>
      </c>
      <c r="F165" s="58">
        <f t="shared" ref="F165:K165" si="65">+F160+F164</f>
        <v>4856119.4520547949</v>
      </c>
      <c r="G165" s="58">
        <f t="shared" si="65"/>
        <v>4906082.3972602738</v>
      </c>
      <c r="H165" s="58">
        <f t="shared" si="65"/>
        <v>5900647.3287671236</v>
      </c>
      <c r="I165" s="58">
        <f t="shared" si="65"/>
        <v>8252601.3013698626</v>
      </c>
      <c r="J165" s="58">
        <f t="shared" si="65"/>
        <v>12341979.383561645</v>
      </c>
      <c r="K165" s="58">
        <f t="shared" si="65"/>
        <v>16902860.479452055</v>
      </c>
    </row>
    <row r="166" spans="1:11" ht="15" hidden="1" outlineLevel="1" thickTop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hidden="1" outlineLevel="1" x14ac:dyDescent="0.3">
      <c r="A167" s="14" t="s">
        <v>197</v>
      </c>
      <c r="B167" s="14"/>
      <c r="C167" s="14"/>
      <c r="D167" s="14"/>
      <c r="E167" s="22">
        <f>+E152-E165</f>
        <v>0</v>
      </c>
      <c r="F167" s="22">
        <f t="shared" ref="F167:K167" si="66">+F152-F165</f>
        <v>0</v>
      </c>
      <c r="G167" s="22">
        <f t="shared" si="66"/>
        <v>0</v>
      </c>
      <c r="H167" s="22">
        <f t="shared" si="66"/>
        <v>0</v>
      </c>
      <c r="I167" s="22">
        <f t="shared" si="66"/>
        <v>0</v>
      </c>
      <c r="J167" s="22">
        <f t="shared" si="66"/>
        <v>0</v>
      </c>
      <c r="K167" s="22">
        <f t="shared" si="66"/>
        <v>0</v>
      </c>
    </row>
    <row r="168" spans="1:11" collapsed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3">
      <c r="A169" s="13" t="s">
        <v>198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hidden="1" outlineLevel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hidden="1" outlineLevel="1" x14ac:dyDescent="0.3">
      <c r="A171" s="15" t="s">
        <v>199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hidden="1" outlineLevel="1" x14ac:dyDescent="0.3">
      <c r="A172" s="14" t="s">
        <v>171</v>
      </c>
      <c r="B172" s="14"/>
      <c r="C172" s="14"/>
      <c r="D172" s="14"/>
      <c r="E172" s="51">
        <f>+E137</f>
        <v>-2573040</v>
      </c>
      <c r="F172" s="51">
        <f t="shared" ref="F172:K172" si="67">+F137</f>
        <v>-1340320</v>
      </c>
      <c r="G172" s="51">
        <f t="shared" si="67"/>
        <v>42855</v>
      </c>
      <c r="H172" s="51">
        <f t="shared" si="67"/>
        <v>925320</v>
      </c>
      <c r="I172" s="51">
        <f t="shared" si="67"/>
        <v>2086560</v>
      </c>
      <c r="J172" s="51">
        <f t="shared" si="67"/>
        <v>3706200</v>
      </c>
      <c r="K172" s="51">
        <f t="shared" si="67"/>
        <v>4303920</v>
      </c>
    </row>
    <row r="173" spans="1:11" hidden="1" outlineLevel="1" x14ac:dyDescent="0.3">
      <c r="A173" s="14" t="s">
        <v>200</v>
      </c>
      <c r="B173" s="14"/>
      <c r="C173" s="14"/>
      <c r="D173" s="14"/>
      <c r="E173" s="34">
        <f>+E132</f>
        <v>100000</v>
      </c>
      <c r="F173" s="32">
        <f t="shared" ref="F173:K173" si="68">+F132</f>
        <v>120000</v>
      </c>
      <c r="G173" s="32">
        <f t="shared" si="68"/>
        <v>140000</v>
      </c>
      <c r="H173" s="32">
        <f t="shared" si="68"/>
        <v>250000</v>
      </c>
      <c r="I173" s="32">
        <f t="shared" si="68"/>
        <v>300000</v>
      </c>
      <c r="J173" s="32">
        <f t="shared" si="68"/>
        <v>420000</v>
      </c>
      <c r="K173" s="32">
        <f t="shared" si="68"/>
        <v>520000</v>
      </c>
    </row>
    <row r="174" spans="1:11" hidden="1" outlineLevel="1" x14ac:dyDescent="0.3">
      <c r="A174" s="14" t="s">
        <v>203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hidden="1" outlineLevel="1" x14ac:dyDescent="0.3">
      <c r="A175" s="14" t="s">
        <v>201</v>
      </c>
      <c r="B175" s="14"/>
      <c r="C175" s="14"/>
      <c r="D175" s="14"/>
      <c r="E175" s="34">
        <f>+E147-D147</f>
        <v>52528.767123287675</v>
      </c>
      <c r="F175" s="34">
        <f>+F147-E147</f>
        <v>23455.890410958906</v>
      </c>
      <c r="G175" s="34">
        <f>+G147-F147</f>
        <v>45022.191780821915</v>
      </c>
      <c r="H175" s="34">
        <f t="shared" ref="H175:K175" si="69">+H147-G147</f>
        <v>68372.876712328769</v>
      </c>
      <c r="I175" s="34">
        <f t="shared" si="69"/>
        <v>72976.438356164377</v>
      </c>
      <c r="J175" s="34">
        <f t="shared" si="69"/>
        <v>105363.28767123289</v>
      </c>
      <c r="K175" s="34">
        <f t="shared" si="69"/>
        <v>68812.602739726019</v>
      </c>
    </row>
    <row r="176" spans="1:11" hidden="1" outlineLevel="1" x14ac:dyDescent="0.3">
      <c r="A176" s="14" t="s">
        <v>177</v>
      </c>
      <c r="B176" s="14"/>
      <c r="C176" s="14"/>
      <c r="D176" s="14"/>
      <c r="E176" s="34">
        <f>+E148-D148</f>
        <v>900493.15068493155</v>
      </c>
      <c r="F176" s="34">
        <f t="shared" ref="F176:K176" si="70">+F148-E148</f>
        <v>154849.31506849313</v>
      </c>
      <c r="G176" s="34">
        <f t="shared" si="70"/>
        <v>396739.72602739721</v>
      </c>
      <c r="H176" s="34">
        <f t="shared" si="70"/>
        <v>733068.49315068498</v>
      </c>
      <c r="I176" s="34">
        <f t="shared" si="70"/>
        <v>766356.16438356182</v>
      </c>
      <c r="J176" s="34">
        <f t="shared" si="70"/>
        <v>1084438.3561643832</v>
      </c>
      <c r="K176" s="34">
        <f t="shared" si="70"/>
        <v>755260.27397260303</v>
      </c>
    </row>
    <row r="177" spans="1:11" hidden="1" outlineLevel="1" x14ac:dyDescent="0.3">
      <c r="A177" s="14" t="s">
        <v>202</v>
      </c>
      <c r="B177" s="14"/>
      <c r="C177" s="14"/>
      <c r="D177" s="14"/>
      <c r="E177" s="34">
        <f>+E157-D157</f>
        <v>880707.94520547939</v>
      </c>
      <c r="F177" s="51">
        <f t="shared" ref="F177:K177" si="71">+F157-E157</f>
        <v>-111228.49315068487</v>
      </c>
      <c r="G177" s="51">
        <f t="shared" si="71"/>
        <v>7107.9452054793946</v>
      </c>
      <c r="H177" s="51">
        <f t="shared" si="71"/>
        <v>69244.93150684936</v>
      </c>
      <c r="I177" s="51">
        <f t="shared" si="71"/>
        <v>265393.97260273981</v>
      </c>
      <c r="J177" s="51">
        <f t="shared" si="71"/>
        <v>383178.08219178068</v>
      </c>
      <c r="K177" s="51">
        <f t="shared" si="71"/>
        <v>256961.09589041094</v>
      </c>
    </row>
    <row r="178" spans="1:11" hidden="1" outlineLevel="1" x14ac:dyDescent="0.3">
      <c r="A178" s="21" t="s">
        <v>125</v>
      </c>
      <c r="B178" s="21"/>
      <c r="C178" s="21"/>
      <c r="D178" s="21"/>
      <c r="E178" s="52">
        <f>+E172+E173-E175-E176+E177</f>
        <v>-2545353.9726027395</v>
      </c>
      <c r="F178" s="52">
        <f t="shared" ref="F178:K178" si="72">+F172+F173-F175-F176+F177</f>
        <v>-1509853.6986301369</v>
      </c>
      <c r="G178" s="52">
        <f t="shared" si="72"/>
        <v>-251798.97260273973</v>
      </c>
      <c r="H178" s="52">
        <f t="shared" si="72"/>
        <v>443123.56164383562</v>
      </c>
      <c r="I178" s="52">
        <f t="shared" si="72"/>
        <v>1812621.3698630137</v>
      </c>
      <c r="J178" s="52">
        <f t="shared" si="72"/>
        <v>3319576.4383561644</v>
      </c>
      <c r="K178" s="52">
        <f t="shared" si="72"/>
        <v>4256808.2191780815</v>
      </c>
    </row>
    <row r="179" spans="1:11" hidden="1" outlineLevel="1" x14ac:dyDescent="0.3">
      <c r="A179" s="14"/>
      <c r="B179" s="14"/>
      <c r="C179" s="14"/>
      <c r="D179" s="14"/>
      <c r="E179" s="34"/>
      <c r="F179" s="14"/>
      <c r="G179" s="14"/>
      <c r="H179" s="14"/>
      <c r="I179" s="14"/>
      <c r="J179" s="14"/>
      <c r="K179" s="14"/>
    </row>
    <row r="180" spans="1:11" hidden="1" outlineLevel="1" x14ac:dyDescent="0.3">
      <c r="A180" s="15" t="s">
        <v>204</v>
      </c>
      <c r="B180" s="14"/>
      <c r="C180" s="14"/>
      <c r="D180" s="14"/>
      <c r="E180" s="32"/>
      <c r="F180" s="14"/>
      <c r="G180" s="14"/>
      <c r="H180" s="14"/>
      <c r="I180" s="14"/>
      <c r="J180" s="14"/>
      <c r="K180" s="14"/>
    </row>
    <row r="181" spans="1:11" hidden="1" outlineLevel="1" x14ac:dyDescent="0.3">
      <c r="A181" s="14" t="s">
        <v>139</v>
      </c>
      <c r="B181" s="14"/>
      <c r="C181" s="14"/>
      <c r="D181" s="14"/>
      <c r="E181" s="51">
        <f>+E89+E90</f>
        <v>500000</v>
      </c>
      <c r="F181" s="32">
        <f t="shared" ref="F181:K181" si="73">+F89+F90</f>
        <v>100000</v>
      </c>
      <c r="G181" s="32">
        <f t="shared" si="73"/>
        <v>100000</v>
      </c>
      <c r="H181" s="32">
        <f t="shared" si="73"/>
        <v>550000</v>
      </c>
      <c r="I181" s="32">
        <f t="shared" si="73"/>
        <v>250000</v>
      </c>
      <c r="J181" s="32">
        <f t="shared" si="73"/>
        <v>1100000</v>
      </c>
      <c r="K181" s="32">
        <f t="shared" si="73"/>
        <v>600000</v>
      </c>
    </row>
    <row r="182" spans="1:11" hidden="1" outlineLevel="1" x14ac:dyDescent="0.3">
      <c r="A182" s="14" t="s">
        <v>205</v>
      </c>
      <c r="B182" s="14"/>
      <c r="C182" s="14"/>
      <c r="D182" s="14"/>
      <c r="E182" s="22">
        <f>+E91</f>
        <v>0</v>
      </c>
      <c r="F182" s="14">
        <f t="shared" ref="F182:K182" si="74">+F91</f>
        <v>0</v>
      </c>
      <c r="G182" s="14">
        <f t="shared" si="74"/>
        <v>0</v>
      </c>
      <c r="H182" s="14">
        <f t="shared" si="74"/>
        <v>0</v>
      </c>
      <c r="I182" s="14">
        <f t="shared" si="74"/>
        <v>0</v>
      </c>
      <c r="J182" s="14">
        <f t="shared" si="74"/>
        <v>0</v>
      </c>
      <c r="K182" s="14">
        <f t="shared" si="74"/>
        <v>0</v>
      </c>
    </row>
    <row r="183" spans="1:11" hidden="1" outlineLevel="1" x14ac:dyDescent="0.3">
      <c r="A183" s="21" t="s">
        <v>125</v>
      </c>
      <c r="B183" s="21"/>
      <c r="C183" s="21"/>
      <c r="D183" s="21"/>
      <c r="E183" s="52">
        <f>+SUM(E181:E182)</f>
        <v>500000</v>
      </c>
      <c r="F183" s="52">
        <f t="shared" ref="F183:K183" si="75">+SUM(F181:F182)</f>
        <v>100000</v>
      </c>
      <c r="G183" s="52">
        <f t="shared" si="75"/>
        <v>100000</v>
      </c>
      <c r="H183" s="52">
        <f t="shared" si="75"/>
        <v>550000</v>
      </c>
      <c r="I183" s="52">
        <f t="shared" si="75"/>
        <v>250000</v>
      </c>
      <c r="J183" s="52">
        <f t="shared" si="75"/>
        <v>1100000</v>
      </c>
      <c r="K183" s="52">
        <f t="shared" si="75"/>
        <v>600000</v>
      </c>
    </row>
    <row r="184" spans="1:11" hidden="1" outlineLevel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hidden="1" outlineLevel="1" x14ac:dyDescent="0.3">
      <c r="A185" s="15" t="s">
        <v>206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hidden="1" outlineLevel="1" x14ac:dyDescent="0.3">
      <c r="A186" s="14" t="s">
        <v>207</v>
      </c>
      <c r="B186" s="14"/>
      <c r="C186" s="14"/>
      <c r="D186" s="14"/>
      <c r="E186" s="14">
        <f>+E99</f>
        <v>0</v>
      </c>
      <c r="F186" s="14">
        <f t="shared" ref="F186:K186" si="76">+F99</f>
        <v>0</v>
      </c>
      <c r="G186" s="14">
        <f t="shared" si="76"/>
        <v>0</v>
      </c>
      <c r="H186" s="14">
        <f t="shared" si="76"/>
        <v>0</v>
      </c>
      <c r="I186" s="14">
        <f t="shared" si="76"/>
        <v>0</v>
      </c>
      <c r="J186" s="14">
        <f t="shared" si="76"/>
        <v>0</v>
      </c>
      <c r="K186" s="14">
        <f t="shared" si="76"/>
        <v>0</v>
      </c>
    </row>
    <row r="187" spans="1:11" hidden="1" outlineLevel="1" x14ac:dyDescent="0.3">
      <c r="A187" s="14" t="s">
        <v>208</v>
      </c>
      <c r="B187" s="14"/>
      <c r="C187" s="14"/>
      <c r="D187" s="14"/>
      <c r="E187" s="22">
        <f>+E100</f>
        <v>8000000</v>
      </c>
      <c r="F187" s="14">
        <f t="shared" ref="F187:K187" si="77">+F100</f>
        <v>0</v>
      </c>
      <c r="G187" s="14">
        <f t="shared" si="77"/>
        <v>0</v>
      </c>
      <c r="H187" s="14">
        <f t="shared" si="77"/>
        <v>0</v>
      </c>
      <c r="I187" s="14">
        <f t="shared" si="77"/>
        <v>0</v>
      </c>
      <c r="J187" s="14">
        <f t="shared" si="77"/>
        <v>0</v>
      </c>
      <c r="K187" s="14">
        <f t="shared" si="77"/>
        <v>0</v>
      </c>
    </row>
    <row r="188" spans="1:11" hidden="1" outlineLevel="1" x14ac:dyDescent="0.3">
      <c r="A188" s="14" t="s">
        <v>209</v>
      </c>
      <c r="B188" s="14"/>
      <c r="C188" s="14"/>
      <c r="D188" s="14"/>
      <c r="E188" s="14">
        <f>+E139</f>
        <v>0</v>
      </c>
      <c r="F188" s="14">
        <f t="shared" ref="F188:K188" si="78">+F139</f>
        <v>0</v>
      </c>
      <c r="G188" s="14">
        <f t="shared" si="78"/>
        <v>0</v>
      </c>
      <c r="H188" s="14">
        <f t="shared" si="78"/>
        <v>0</v>
      </c>
      <c r="I188" s="14">
        <f t="shared" si="78"/>
        <v>0</v>
      </c>
      <c r="J188" s="14">
        <f t="shared" si="78"/>
        <v>0</v>
      </c>
      <c r="K188" s="14">
        <f t="shared" si="78"/>
        <v>0</v>
      </c>
    </row>
    <row r="189" spans="1:11" hidden="1" outlineLevel="1" x14ac:dyDescent="0.3">
      <c r="A189" s="21" t="s">
        <v>125</v>
      </c>
      <c r="B189" s="21"/>
      <c r="C189" s="21"/>
      <c r="D189" s="21"/>
      <c r="E189" s="30">
        <f>+SUM(E186:E188)</f>
        <v>8000000</v>
      </c>
      <c r="F189" s="21">
        <f t="shared" ref="F189:K189" si="79">+SUM(F186:F188)</f>
        <v>0</v>
      </c>
      <c r="G189" s="21">
        <f t="shared" si="79"/>
        <v>0</v>
      </c>
      <c r="H189" s="21">
        <f t="shared" si="79"/>
        <v>0</v>
      </c>
      <c r="I189" s="21">
        <f t="shared" si="79"/>
        <v>0</v>
      </c>
      <c r="J189" s="21">
        <f t="shared" si="79"/>
        <v>0</v>
      </c>
      <c r="K189" s="21">
        <f t="shared" si="79"/>
        <v>0</v>
      </c>
    </row>
    <row r="190" spans="1:11" hidden="1" outlineLevel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hidden="1" outlineLevel="1" x14ac:dyDescent="0.3">
      <c r="A191" s="15" t="s">
        <v>210</v>
      </c>
      <c r="B191" s="14"/>
      <c r="C191" s="14"/>
      <c r="D191" s="14"/>
      <c r="E191" s="51">
        <f>+E178-E183+E189</f>
        <v>4954646.0273972601</v>
      </c>
      <c r="F191" s="51">
        <f t="shared" ref="F191:K191" si="80">+F178-F183+F189</f>
        <v>-1609853.6986301369</v>
      </c>
      <c r="G191" s="51">
        <f t="shared" si="80"/>
        <v>-351798.9726027397</v>
      </c>
      <c r="H191" s="51">
        <f t="shared" si="80"/>
        <v>-106876.43835616438</v>
      </c>
      <c r="I191" s="51">
        <f t="shared" si="80"/>
        <v>1562621.3698630137</v>
      </c>
      <c r="J191" s="51">
        <f t="shared" si="80"/>
        <v>2219576.4383561644</v>
      </c>
      <c r="K191" s="51">
        <f t="shared" si="80"/>
        <v>3656808.2191780815</v>
      </c>
    </row>
    <row r="192" spans="1:11" hidden="1" outlineLevel="1" x14ac:dyDescent="0.3">
      <c r="A192" s="14"/>
      <c r="B192" s="14"/>
      <c r="C192" s="14"/>
      <c r="D192" s="14"/>
      <c r="E192" s="32"/>
      <c r="F192" s="14"/>
      <c r="G192" s="14"/>
      <c r="H192" s="14"/>
      <c r="I192" s="14"/>
      <c r="J192" s="14"/>
      <c r="K192" s="14"/>
    </row>
    <row r="193" spans="1:11" hidden="1" outlineLevel="1" x14ac:dyDescent="0.3">
      <c r="A193" s="14" t="s">
        <v>211</v>
      </c>
      <c r="B193" s="14"/>
      <c r="C193" s="14"/>
      <c r="D193" s="14"/>
      <c r="E193" s="14">
        <v>0</v>
      </c>
      <c r="F193" s="51">
        <f>+E195</f>
        <v>4954646.0273972601</v>
      </c>
      <c r="G193" s="51">
        <f t="shared" ref="G193:K193" si="81">+F195</f>
        <v>3344792.3287671232</v>
      </c>
      <c r="H193" s="51">
        <f t="shared" si="81"/>
        <v>2992993.3561643837</v>
      </c>
      <c r="I193" s="51">
        <f t="shared" si="81"/>
        <v>2886116.9178082193</v>
      </c>
      <c r="J193" s="51">
        <f t="shared" si="81"/>
        <v>4448738.2876712326</v>
      </c>
      <c r="K193" s="51">
        <f t="shared" si="81"/>
        <v>6668314.7260273974</v>
      </c>
    </row>
    <row r="194" spans="1:11" hidden="1" outlineLevel="1" x14ac:dyDescent="0.3">
      <c r="A194" s="14" t="s">
        <v>212</v>
      </c>
      <c r="B194" s="14"/>
      <c r="C194" s="14"/>
      <c r="D194" s="14"/>
      <c r="E194" s="51">
        <f>+E191</f>
        <v>4954646.0273972601</v>
      </c>
      <c r="F194" s="51">
        <f>+F191</f>
        <v>-1609853.6986301369</v>
      </c>
      <c r="G194" s="51">
        <f t="shared" ref="G194:K194" si="82">+G191</f>
        <v>-351798.9726027397</v>
      </c>
      <c r="H194" s="51">
        <f t="shared" si="82"/>
        <v>-106876.43835616438</v>
      </c>
      <c r="I194" s="51">
        <f t="shared" si="82"/>
        <v>1562621.3698630137</v>
      </c>
      <c r="J194" s="51">
        <f t="shared" si="82"/>
        <v>2219576.4383561644</v>
      </c>
      <c r="K194" s="51">
        <f t="shared" si="82"/>
        <v>3656808.2191780815</v>
      </c>
    </row>
    <row r="195" spans="1:11" hidden="1" outlineLevel="1" x14ac:dyDescent="0.3">
      <c r="A195" s="14" t="s">
        <v>213</v>
      </c>
      <c r="B195" s="14"/>
      <c r="C195" s="14"/>
      <c r="D195" s="14"/>
      <c r="E195" s="51">
        <f>+E193+E194</f>
        <v>4954646.0273972601</v>
      </c>
      <c r="F195" s="51">
        <f>+F193+F194</f>
        <v>3344792.3287671232</v>
      </c>
      <c r="G195" s="51">
        <f t="shared" ref="G195:K195" si="83">+G193+G194</f>
        <v>2992993.3561643837</v>
      </c>
      <c r="H195" s="51">
        <f t="shared" si="83"/>
        <v>2886116.9178082193</v>
      </c>
      <c r="I195" s="51">
        <f t="shared" si="83"/>
        <v>4448738.2876712326</v>
      </c>
      <c r="J195" s="51">
        <f t="shared" si="83"/>
        <v>6668314.7260273974</v>
      </c>
      <c r="K195" s="51">
        <f t="shared" si="83"/>
        <v>10325122.94520548</v>
      </c>
    </row>
    <row r="196" spans="1:11" hidden="1" outlineLevel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collapsed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3">
      <c r="A198" s="13" t="s">
        <v>214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hidden="1" outlineLevel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hidden="1" outlineLevel="1" x14ac:dyDescent="0.3">
      <c r="A200" s="15" t="s">
        <v>83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hidden="1" outlineLevel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hidden="1" outlineLevel="1" x14ac:dyDescent="0.3">
      <c r="A202" s="15" t="s">
        <v>215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idden="1" outlineLevel="1" x14ac:dyDescent="0.3">
      <c r="A203" s="14" t="s">
        <v>75</v>
      </c>
      <c r="B203" s="14"/>
      <c r="C203" s="14"/>
      <c r="D203" s="14"/>
      <c r="E203" s="14">
        <v>0</v>
      </c>
      <c r="F203" s="51">
        <f>+E213-E226</f>
        <v>240000</v>
      </c>
      <c r="G203" s="51">
        <f>+F213-F226</f>
        <v>220000</v>
      </c>
      <c r="H203" s="51">
        <f>+G213-G226</f>
        <v>190000</v>
      </c>
      <c r="I203" s="51">
        <f>+H213-H226</f>
        <v>510000</v>
      </c>
      <c r="J203" s="51">
        <f t="shared" ref="J203:K203" si="84">+I213-I226</f>
        <v>370000</v>
      </c>
      <c r="K203" s="51">
        <f t="shared" si="84"/>
        <v>1040000</v>
      </c>
    </row>
    <row r="204" spans="1:11" hidden="1" outlineLevel="1" x14ac:dyDescent="0.3">
      <c r="A204" s="14" t="s">
        <v>178</v>
      </c>
      <c r="B204" s="14"/>
      <c r="C204" s="14"/>
      <c r="D204" s="14"/>
      <c r="E204" s="14">
        <v>0</v>
      </c>
      <c r="F204" s="51">
        <f>+E214-E236</f>
        <v>160000</v>
      </c>
      <c r="G204" s="51">
        <f>+F214-F236</f>
        <v>160000</v>
      </c>
      <c r="H204" s="51">
        <f>+G214-G236</f>
        <v>150000</v>
      </c>
      <c r="I204" s="51">
        <f>+H214-H236</f>
        <v>130000</v>
      </c>
      <c r="J204" s="51">
        <f t="shared" ref="J204:K204" si="85">+I214-I236</f>
        <v>220000</v>
      </c>
      <c r="K204" s="51">
        <f t="shared" si="85"/>
        <v>230000</v>
      </c>
    </row>
    <row r="205" spans="1:11" hidden="1" outlineLevel="1" x14ac:dyDescent="0.3">
      <c r="A205" s="21" t="s">
        <v>125</v>
      </c>
      <c r="B205" s="21"/>
      <c r="C205" s="21"/>
      <c r="D205" s="21"/>
      <c r="E205" s="21">
        <f>SUM(E203:E204)</f>
        <v>0</v>
      </c>
      <c r="F205" s="30">
        <f>SUM(F203:F204)</f>
        <v>400000</v>
      </c>
      <c r="G205" s="30">
        <f>SUM(G203:G204)</f>
        <v>380000</v>
      </c>
      <c r="H205" s="30">
        <f>SUM(H203:H204)</f>
        <v>340000</v>
      </c>
      <c r="I205" s="30">
        <f>SUM(I203:I204)</f>
        <v>640000</v>
      </c>
      <c r="J205" s="30">
        <f t="shared" ref="J205:K205" si="86">SUM(J203:J204)</f>
        <v>590000</v>
      </c>
      <c r="K205" s="30">
        <f t="shared" si="86"/>
        <v>1270000</v>
      </c>
    </row>
    <row r="206" spans="1:11" hidden="1" outlineLevel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hidden="1" outlineLevel="1" x14ac:dyDescent="0.3">
      <c r="A207" s="15" t="s">
        <v>216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hidden="1" outlineLevel="1" x14ac:dyDescent="0.3">
      <c r="A208" s="14" t="s">
        <v>75</v>
      </c>
      <c r="B208" s="14"/>
      <c r="C208" s="14"/>
      <c r="D208" s="14"/>
      <c r="E208" s="22">
        <f t="shared" ref="E208:I209" si="87">+E89</f>
        <v>300000</v>
      </c>
      <c r="F208" s="22">
        <f t="shared" si="87"/>
        <v>50000</v>
      </c>
      <c r="G208" s="22">
        <f t="shared" si="87"/>
        <v>50000</v>
      </c>
      <c r="H208" s="22">
        <f t="shared" si="87"/>
        <v>500000</v>
      </c>
      <c r="I208" s="22">
        <f t="shared" si="87"/>
        <v>50000</v>
      </c>
      <c r="J208" s="22">
        <f t="shared" ref="J208:K208" si="88">+J89</f>
        <v>1000000</v>
      </c>
      <c r="K208" s="22">
        <f t="shared" si="88"/>
        <v>100000</v>
      </c>
    </row>
    <row r="209" spans="1:11" hidden="1" outlineLevel="1" x14ac:dyDescent="0.3">
      <c r="A209" s="14" t="s">
        <v>178</v>
      </c>
      <c r="B209" s="14"/>
      <c r="C209" s="14"/>
      <c r="D209" s="14"/>
      <c r="E209" s="22">
        <f t="shared" si="87"/>
        <v>200000</v>
      </c>
      <c r="F209" s="22">
        <f t="shared" si="87"/>
        <v>50000</v>
      </c>
      <c r="G209" s="22">
        <f t="shared" si="87"/>
        <v>50000</v>
      </c>
      <c r="H209" s="22">
        <f t="shared" si="87"/>
        <v>50000</v>
      </c>
      <c r="I209" s="22">
        <f t="shared" si="87"/>
        <v>200000</v>
      </c>
      <c r="J209" s="22">
        <f t="shared" ref="J209:K209" si="89">+J90</f>
        <v>100000</v>
      </c>
      <c r="K209" s="22">
        <f t="shared" si="89"/>
        <v>500000</v>
      </c>
    </row>
    <row r="210" spans="1:11" hidden="1" outlineLevel="1" x14ac:dyDescent="0.3">
      <c r="A210" s="21" t="s">
        <v>125</v>
      </c>
      <c r="B210" s="21"/>
      <c r="C210" s="21"/>
      <c r="D210" s="21"/>
      <c r="E210" s="43">
        <f>SUM(E208:E209)</f>
        <v>500000</v>
      </c>
      <c r="F210" s="43">
        <f>SUM(F208:F209)</f>
        <v>100000</v>
      </c>
      <c r="G210" s="43">
        <f>SUM(G208:G209)</f>
        <v>100000</v>
      </c>
      <c r="H210" s="43">
        <f>SUM(H208:H209)</f>
        <v>550000</v>
      </c>
      <c r="I210" s="43">
        <f>SUM(I208:I209)</f>
        <v>250000</v>
      </c>
      <c r="J210" s="43">
        <f t="shared" ref="J210:K210" si="90">SUM(J208:J209)</f>
        <v>1100000</v>
      </c>
      <c r="K210" s="43">
        <f t="shared" si="90"/>
        <v>600000</v>
      </c>
    </row>
    <row r="211" spans="1:11" hidden="1" outlineLevel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hidden="1" outlineLevel="1" x14ac:dyDescent="0.3">
      <c r="A212" s="15" t="s">
        <v>112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hidden="1" outlineLevel="1" x14ac:dyDescent="0.3">
      <c r="A213" s="14" t="s">
        <v>75</v>
      </c>
      <c r="B213" s="14"/>
      <c r="C213" s="14"/>
      <c r="D213" s="14"/>
      <c r="E213" s="22">
        <f t="shared" ref="E213:I214" si="91">+E208+E203</f>
        <v>300000</v>
      </c>
      <c r="F213" s="22">
        <f t="shared" si="91"/>
        <v>290000</v>
      </c>
      <c r="G213" s="22">
        <f t="shared" si="91"/>
        <v>270000</v>
      </c>
      <c r="H213" s="22">
        <f t="shared" si="91"/>
        <v>690000</v>
      </c>
      <c r="I213" s="22">
        <f t="shared" si="91"/>
        <v>560000</v>
      </c>
      <c r="J213" s="22">
        <f t="shared" ref="J213:K213" si="92">+J208+J203</f>
        <v>1370000</v>
      </c>
      <c r="K213" s="22">
        <f t="shared" si="92"/>
        <v>1140000</v>
      </c>
    </row>
    <row r="214" spans="1:11" hidden="1" outlineLevel="1" x14ac:dyDescent="0.3">
      <c r="A214" s="14" t="s">
        <v>178</v>
      </c>
      <c r="B214" s="14"/>
      <c r="C214" s="14"/>
      <c r="D214" s="14"/>
      <c r="E214" s="22">
        <f t="shared" si="91"/>
        <v>200000</v>
      </c>
      <c r="F214" s="22">
        <f t="shared" si="91"/>
        <v>210000</v>
      </c>
      <c r="G214" s="22">
        <f t="shared" si="91"/>
        <v>210000</v>
      </c>
      <c r="H214" s="22">
        <f t="shared" si="91"/>
        <v>200000</v>
      </c>
      <c r="I214" s="22">
        <f t="shared" si="91"/>
        <v>330000</v>
      </c>
      <c r="J214" s="22">
        <f t="shared" ref="J214:K214" si="93">+J209+J204</f>
        <v>320000</v>
      </c>
      <c r="K214" s="22">
        <f t="shared" si="93"/>
        <v>730000</v>
      </c>
    </row>
    <row r="215" spans="1:11" hidden="1" outlineLevel="1" x14ac:dyDescent="0.3">
      <c r="A215" s="21" t="s">
        <v>125</v>
      </c>
      <c r="B215" s="21"/>
      <c r="C215" s="21"/>
      <c r="D215" s="21"/>
      <c r="E215" s="43">
        <f>SUM(E213:E214)</f>
        <v>500000</v>
      </c>
      <c r="F215" s="43">
        <f>SUM(F213:F214)</f>
        <v>500000</v>
      </c>
      <c r="G215" s="43">
        <f>SUM(G213:G214)</f>
        <v>480000</v>
      </c>
      <c r="H215" s="43">
        <f>SUM(H213:H214)</f>
        <v>890000</v>
      </c>
      <c r="I215" s="43">
        <f>SUM(I213:I214)</f>
        <v>890000</v>
      </c>
      <c r="J215" s="43">
        <f t="shared" ref="J215:K215" si="94">SUM(J213:J214)</f>
        <v>1690000</v>
      </c>
      <c r="K215" s="43">
        <f t="shared" si="94"/>
        <v>1870000</v>
      </c>
    </row>
    <row r="216" spans="1:11" hidden="1" outlineLevel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hidden="1" outlineLevel="1" x14ac:dyDescent="0.3">
      <c r="A217" s="15" t="s">
        <v>200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hidden="1" outlineLevel="1" x14ac:dyDescent="0.3">
      <c r="A218" s="15" t="s">
        <v>75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hidden="1" outlineLevel="1" x14ac:dyDescent="0.3">
      <c r="A219" s="14">
        <v>2016</v>
      </c>
      <c r="B219" s="14"/>
      <c r="C219" s="14"/>
      <c r="D219" s="14"/>
      <c r="E219" s="56">
        <f>+E89/E94</f>
        <v>60000</v>
      </c>
      <c r="F219" s="51">
        <v>60000</v>
      </c>
      <c r="G219" s="51">
        <v>60000</v>
      </c>
      <c r="H219" s="51">
        <v>60000</v>
      </c>
      <c r="I219" s="51">
        <v>60000</v>
      </c>
      <c r="J219" s="51">
        <v>0</v>
      </c>
      <c r="K219" s="51">
        <v>0</v>
      </c>
    </row>
    <row r="220" spans="1:11" hidden="1" outlineLevel="1" x14ac:dyDescent="0.3">
      <c r="A220" s="14">
        <v>2017</v>
      </c>
      <c r="B220" s="14"/>
      <c r="C220" s="14"/>
      <c r="D220" s="14"/>
      <c r="E220" s="51"/>
      <c r="F220" s="51">
        <f>+F89/F94</f>
        <v>10000</v>
      </c>
      <c r="G220" s="51">
        <f>+G89/G94</f>
        <v>10000</v>
      </c>
      <c r="H220" s="51">
        <v>10000</v>
      </c>
      <c r="I220" s="51">
        <v>10000</v>
      </c>
      <c r="J220" s="51">
        <v>10000</v>
      </c>
      <c r="K220" s="51">
        <v>0</v>
      </c>
    </row>
    <row r="221" spans="1:11" hidden="1" outlineLevel="1" x14ac:dyDescent="0.3">
      <c r="A221" s="14">
        <v>2018</v>
      </c>
      <c r="B221" s="14"/>
      <c r="C221" s="14"/>
      <c r="D221" s="14"/>
      <c r="E221" s="51"/>
      <c r="F221" s="51"/>
      <c r="G221" s="51">
        <f>+G89/G94</f>
        <v>10000</v>
      </c>
      <c r="H221" s="51">
        <v>10000</v>
      </c>
      <c r="I221" s="51">
        <v>10000</v>
      </c>
      <c r="J221" s="51">
        <v>10000</v>
      </c>
      <c r="K221" s="51">
        <v>10000</v>
      </c>
    </row>
    <row r="222" spans="1:11" hidden="1" outlineLevel="1" x14ac:dyDescent="0.3">
      <c r="A222" s="14">
        <v>2019</v>
      </c>
      <c r="B222" s="14"/>
      <c r="C222" s="14"/>
      <c r="D222" s="14"/>
      <c r="E222" s="51"/>
      <c r="F222" s="51"/>
      <c r="G222" s="51"/>
      <c r="H222" s="51">
        <f>+H89/H94</f>
        <v>100000</v>
      </c>
      <c r="I222" s="51">
        <v>100000</v>
      </c>
      <c r="J222" s="51">
        <v>100000</v>
      </c>
      <c r="K222" s="51">
        <v>100000</v>
      </c>
    </row>
    <row r="223" spans="1:11" hidden="1" outlineLevel="1" x14ac:dyDescent="0.3">
      <c r="A223" s="14">
        <v>2020</v>
      </c>
      <c r="B223" s="14"/>
      <c r="C223" s="14"/>
      <c r="D223" s="14"/>
      <c r="E223" s="51"/>
      <c r="F223" s="51"/>
      <c r="G223" s="51"/>
      <c r="H223" s="51"/>
      <c r="I223" s="51">
        <f>+I89/I94</f>
        <v>10000</v>
      </c>
      <c r="J223" s="51">
        <v>10000</v>
      </c>
      <c r="K223" s="51">
        <v>10000</v>
      </c>
    </row>
    <row r="224" spans="1:11" hidden="1" outlineLevel="1" x14ac:dyDescent="0.3">
      <c r="A224" s="14">
        <v>2021</v>
      </c>
      <c r="B224" s="14"/>
      <c r="C224" s="14"/>
      <c r="D224" s="14"/>
      <c r="E224" s="51"/>
      <c r="F224" s="51"/>
      <c r="G224" s="51"/>
      <c r="H224" s="51"/>
      <c r="I224" s="51"/>
      <c r="J224" s="51">
        <f>+J89/J94</f>
        <v>200000</v>
      </c>
      <c r="K224" s="51">
        <v>200000</v>
      </c>
    </row>
    <row r="225" spans="1:11" hidden="1" outlineLevel="1" x14ac:dyDescent="0.3">
      <c r="A225" s="14">
        <v>2022</v>
      </c>
      <c r="B225" s="14"/>
      <c r="C225" s="14"/>
      <c r="D225" s="14"/>
      <c r="E225" s="51"/>
      <c r="F225" s="51"/>
      <c r="G225" s="51"/>
      <c r="H225" s="51"/>
      <c r="I225" s="51"/>
      <c r="J225" s="51"/>
      <c r="K225" s="51">
        <f>+K89/K94</f>
        <v>20000</v>
      </c>
    </row>
    <row r="226" spans="1:11" hidden="1" outlineLevel="1" x14ac:dyDescent="0.3">
      <c r="A226" s="21" t="s">
        <v>112</v>
      </c>
      <c r="B226" s="21"/>
      <c r="C226" s="21"/>
      <c r="D226" s="21"/>
      <c r="E226" s="52">
        <f t="shared" ref="E226:J226" si="95">SUM(E219:E225)</f>
        <v>60000</v>
      </c>
      <c r="F226" s="52">
        <f t="shared" si="95"/>
        <v>70000</v>
      </c>
      <c r="G226" s="52">
        <f t="shared" si="95"/>
        <v>80000</v>
      </c>
      <c r="H226" s="52">
        <f t="shared" si="95"/>
        <v>180000</v>
      </c>
      <c r="I226" s="52">
        <f t="shared" si="95"/>
        <v>190000</v>
      </c>
      <c r="J226" s="52">
        <f t="shared" si="95"/>
        <v>330000</v>
      </c>
      <c r="K226" s="52">
        <f>SUM(K219:K225)</f>
        <v>340000</v>
      </c>
    </row>
    <row r="227" spans="1:11" hidden="1" outlineLevel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hidden="1" outlineLevel="1" x14ac:dyDescent="0.3">
      <c r="A228" s="15" t="s">
        <v>178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hidden="1" outlineLevel="1" x14ac:dyDescent="0.3">
      <c r="A229" s="14">
        <v>2016</v>
      </c>
      <c r="B229" s="14"/>
      <c r="C229" s="14"/>
      <c r="D229" s="14"/>
      <c r="E229" s="51">
        <f>+E90/E95</f>
        <v>40000</v>
      </c>
      <c r="F229" s="51">
        <v>40000</v>
      </c>
      <c r="G229" s="51">
        <v>40000</v>
      </c>
      <c r="H229" s="51">
        <v>40000</v>
      </c>
      <c r="I229" s="51">
        <v>40000</v>
      </c>
      <c r="J229" s="51">
        <v>0</v>
      </c>
      <c r="K229" s="51"/>
    </row>
    <row r="230" spans="1:11" hidden="1" outlineLevel="1" x14ac:dyDescent="0.3">
      <c r="A230" s="14">
        <v>2017</v>
      </c>
      <c r="B230" s="14"/>
      <c r="C230" s="14"/>
      <c r="D230" s="14"/>
      <c r="E230" s="51"/>
      <c r="F230" s="51">
        <f>+F90/F95</f>
        <v>10000</v>
      </c>
      <c r="G230" s="51">
        <v>10000</v>
      </c>
      <c r="H230" s="51">
        <v>10000</v>
      </c>
      <c r="I230" s="51">
        <v>10000</v>
      </c>
      <c r="J230" s="51">
        <v>10000</v>
      </c>
      <c r="K230" s="51">
        <v>0</v>
      </c>
    </row>
    <row r="231" spans="1:11" hidden="1" outlineLevel="1" x14ac:dyDescent="0.3">
      <c r="A231" s="14">
        <v>2018</v>
      </c>
      <c r="B231" s="14"/>
      <c r="C231" s="14"/>
      <c r="D231" s="14"/>
      <c r="E231" s="51"/>
      <c r="F231" s="51"/>
      <c r="G231" s="51">
        <f>+G90/G95</f>
        <v>10000</v>
      </c>
      <c r="H231" s="51">
        <v>10000</v>
      </c>
      <c r="I231" s="51">
        <v>10000</v>
      </c>
      <c r="J231" s="51">
        <v>10000</v>
      </c>
      <c r="K231" s="51">
        <v>10000</v>
      </c>
    </row>
    <row r="232" spans="1:11" hidden="1" outlineLevel="1" x14ac:dyDescent="0.3">
      <c r="A232" s="14">
        <v>2019</v>
      </c>
      <c r="B232" s="14"/>
      <c r="C232" s="14"/>
      <c r="D232" s="14"/>
      <c r="E232" s="51"/>
      <c r="F232" s="51"/>
      <c r="G232" s="51"/>
      <c r="H232" s="51">
        <f>+H90/H95</f>
        <v>10000</v>
      </c>
      <c r="I232" s="51">
        <v>10000</v>
      </c>
      <c r="J232" s="51">
        <v>10000</v>
      </c>
      <c r="K232" s="51">
        <v>10000</v>
      </c>
    </row>
    <row r="233" spans="1:11" hidden="1" outlineLevel="1" x14ac:dyDescent="0.3">
      <c r="A233" s="14">
        <v>2020</v>
      </c>
      <c r="B233" s="14"/>
      <c r="C233" s="14"/>
      <c r="D233" s="14"/>
      <c r="E233" s="51"/>
      <c r="F233" s="51"/>
      <c r="G233" s="51"/>
      <c r="H233" s="51"/>
      <c r="I233" s="51">
        <f>+I90/I95</f>
        <v>40000</v>
      </c>
      <c r="J233" s="51">
        <v>40000</v>
      </c>
      <c r="K233" s="51">
        <v>40000</v>
      </c>
    </row>
    <row r="234" spans="1:11" hidden="1" outlineLevel="1" x14ac:dyDescent="0.3">
      <c r="A234" s="14">
        <v>2021</v>
      </c>
      <c r="B234" s="14"/>
      <c r="C234" s="14"/>
      <c r="D234" s="14"/>
      <c r="E234" s="51"/>
      <c r="F234" s="51"/>
      <c r="G234" s="51"/>
      <c r="H234" s="51"/>
      <c r="I234" s="51"/>
      <c r="J234" s="51">
        <f>+J90/J95</f>
        <v>20000</v>
      </c>
      <c r="K234" s="51">
        <v>20000</v>
      </c>
    </row>
    <row r="235" spans="1:11" hidden="1" outlineLevel="1" x14ac:dyDescent="0.3">
      <c r="A235" s="14">
        <v>2022</v>
      </c>
      <c r="B235" s="14"/>
      <c r="C235" s="14"/>
      <c r="D235" s="14"/>
      <c r="E235" s="51"/>
      <c r="F235" s="51"/>
      <c r="G235" s="51"/>
      <c r="H235" s="51"/>
      <c r="I235" s="51"/>
      <c r="J235" s="51"/>
      <c r="K235" s="51">
        <f>+K90/K95</f>
        <v>100000</v>
      </c>
    </row>
    <row r="236" spans="1:11" hidden="1" outlineLevel="1" x14ac:dyDescent="0.3">
      <c r="A236" s="21" t="s">
        <v>112</v>
      </c>
      <c r="B236" s="21"/>
      <c r="C236" s="21"/>
      <c r="D236" s="21"/>
      <c r="E236" s="52">
        <f t="shared" ref="E236" si="96">SUM(E229:E235)</f>
        <v>40000</v>
      </c>
      <c r="F236" s="52">
        <f t="shared" ref="F236" si="97">SUM(F229:F235)</f>
        <v>50000</v>
      </c>
      <c r="G236" s="52">
        <f t="shared" ref="G236" si="98">SUM(G229:G235)</f>
        <v>60000</v>
      </c>
      <c r="H236" s="52">
        <f t="shared" ref="H236" si="99">SUM(H229:H235)</f>
        <v>70000</v>
      </c>
      <c r="I236" s="52">
        <f t="shared" ref="I236" si="100">SUM(I229:I235)</f>
        <v>110000</v>
      </c>
      <c r="J236" s="52">
        <f t="shared" ref="J236" si="101">SUM(J229:J235)</f>
        <v>90000</v>
      </c>
      <c r="K236" s="52">
        <f>SUM(K229:K235)</f>
        <v>180000</v>
      </c>
    </row>
    <row r="237" spans="1:11" hidden="1" outlineLevel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hidden="1" outlineLevel="1" x14ac:dyDescent="0.3">
      <c r="A238" s="14" t="s">
        <v>125</v>
      </c>
      <c r="B238" s="14"/>
      <c r="C238" s="14"/>
      <c r="D238" s="14"/>
      <c r="E238" s="51">
        <f>+E226+E236</f>
        <v>100000</v>
      </c>
      <c r="F238" s="51">
        <f t="shared" ref="F238:K238" si="102">+F226+F236</f>
        <v>120000</v>
      </c>
      <c r="G238" s="51">
        <f t="shared" si="102"/>
        <v>140000</v>
      </c>
      <c r="H238" s="51">
        <f t="shared" si="102"/>
        <v>250000</v>
      </c>
      <c r="I238" s="51">
        <f t="shared" si="102"/>
        <v>300000</v>
      </c>
      <c r="J238" s="51">
        <f t="shared" si="102"/>
        <v>420000</v>
      </c>
      <c r="K238" s="51">
        <f t="shared" si="102"/>
        <v>520000</v>
      </c>
    </row>
    <row r="239" spans="1:11" hidden="1" outlineLevel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hidden="1" outlineLevel="1" x14ac:dyDescent="0.3">
      <c r="A240" s="15" t="s">
        <v>213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hidden="1" outlineLevel="1" x14ac:dyDescent="0.3">
      <c r="A241" s="14" t="s">
        <v>75</v>
      </c>
      <c r="B241" s="14"/>
      <c r="C241" s="14"/>
      <c r="D241" s="14"/>
      <c r="E241" s="51">
        <f>+E213-E226</f>
        <v>240000</v>
      </c>
      <c r="F241" s="51">
        <f t="shared" ref="F241:K241" si="103">+F213-F226</f>
        <v>220000</v>
      </c>
      <c r="G241" s="51">
        <f t="shared" si="103"/>
        <v>190000</v>
      </c>
      <c r="H241" s="51">
        <f t="shared" si="103"/>
        <v>510000</v>
      </c>
      <c r="I241" s="51">
        <f t="shared" si="103"/>
        <v>370000</v>
      </c>
      <c r="J241" s="51">
        <f t="shared" si="103"/>
        <v>1040000</v>
      </c>
      <c r="K241" s="51">
        <f t="shared" si="103"/>
        <v>800000</v>
      </c>
    </row>
    <row r="242" spans="1:11" hidden="1" outlineLevel="1" x14ac:dyDescent="0.3">
      <c r="A242" s="14" t="s">
        <v>178</v>
      </c>
      <c r="B242" s="14"/>
      <c r="C242" s="14"/>
      <c r="D242" s="14"/>
      <c r="E242" s="51">
        <f>+E214-E236</f>
        <v>160000</v>
      </c>
      <c r="F242" s="51">
        <f t="shared" ref="F242:K242" si="104">+F214-F236</f>
        <v>160000</v>
      </c>
      <c r="G242" s="51">
        <f t="shared" si="104"/>
        <v>150000</v>
      </c>
      <c r="H242" s="51">
        <f t="shared" si="104"/>
        <v>130000</v>
      </c>
      <c r="I242" s="51">
        <f t="shared" si="104"/>
        <v>220000</v>
      </c>
      <c r="J242" s="51">
        <f t="shared" si="104"/>
        <v>230000</v>
      </c>
      <c r="K242" s="51">
        <f t="shared" si="104"/>
        <v>550000</v>
      </c>
    </row>
    <row r="243" spans="1:11" hidden="1" outlineLevel="1" x14ac:dyDescent="0.3">
      <c r="A243" s="21" t="s">
        <v>125</v>
      </c>
      <c r="B243" s="21"/>
      <c r="C243" s="21"/>
      <c r="D243" s="21"/>
      <c r="E243" s="52">
        <f>SUM(E241:E242)</f>
        <v>400000</v>
      </c>
      <c r="F243" s="52">
        <f t="shared" ref="F243:K243" si="105">SUM(F241:F242)</f>
        <v>380000</v>
      </c>
      <c r="G243" s="52">
        <f t="shared" si="105"/>
        <v>340000</v>
      </c>
      <c r="H243" s="52">
        <f t="shared" si="105"/>
        <v>640000</v>
      </c>
      <c r="I243" s="52">
        <f t="shared" si="105"/>
        <v>590000</v>
      </c>
      <c r="J243" s="52">
        <f t="shared" si="105"/>
        <v>1270000</v>
      </c>
      <c r="K243" s="52">
        <f t="shared" si="105"/>
        <v>1350000</v>
      </c>
    </row>
    <row r="244" spans="1:11" hidden="1" outlineLevel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hidden="1" outlineLevel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hidden="1" outlineLevel="1" x14ac:dyDescent="0.3">
      <c r="A246" s="14" t="s">
        <v>217</v>
      </c>
      <c r="B246" s="14"/>
      <c r="C246" s="14"/>
      <c r="D246" s="14"/>
      <c r="F246" s="14"/>
      <c r="G246" s="14"/>
      <c r="H246" s="14"/>
      <c r="I246" s="14"/>
      <c r="J246" s="14"/>
      <c r="K246" s="14"/>
    </row>
    <row r="247" spans="1:11" hidden="1" outlineLevel="1" x14ac:dyDescent="0.3">
      <c r="A247" s="14" t="s">
        <v>211</v>
      </c>
      <c r="B247" s="14"/>
      <c r="C247" s="14"/>
      <c r="D247" s="14"/>
      <c r="E247" s="14">
        <v>0</v>
      </c>
      <c r="F247" s="14">
        <f>+E249</f>
        <v>0</v>
      </c>
      <c r="G247" s="14">
        <f t="shared" ref="G247:K247" si="106">+F249</f>
        <v>0</v>
      </c>
      <c r="H247" s="14">
        <f t="shared" si="106"/>
        <v>0</v>
      </c>
      <c r="I247" s="14">
        <f t="shared" si="106"/>
        <v>0</v>
      </c>
      <c r="J247" s="14">
        <f t="shared" si="106"/>
        <v>0</v>
      </c>
      <c r="K247" s="14">
        <f t="shared" si="106"/>
        <v>0</v>
      </c>
    </row>
    <row r="248" spans="1:11" hidden="1" outlineLevel="1" x14ac:dyDescent="0.3">
      <c r="A248" s="14" t="s">
        <v>146</v>
      </c>
      <c r="B248" s="14"/>
      <c r="C248" s="14"/>
      <c r="D248" s="14"/>
      <c r="E248" s="14">
        <f>+E99</f>
        <v>0</v>
      </c>
      <c r="F248" s="14">
        <f>+F99</f>
        <v>0</v>
      </c>
      <c r="G248" s="14">
        <f t="shared" ref="G248:K248" si="107">+G99</f>
        <v>0</v>
      </c>
      <c r="H248" s="14">
        <f t="shared" si="107"/>
        <v>0</v>
      </c>
      <c r="I248" s="14">
        <f t="shared" si="107"/>
        <v>0</v>
      </c>
      <c r="J248" s="14">
        <f t="shared" si="107"/>
        <v>0</v>
      </c>
      <c r="K248" s="14">
        <f t="shared" si="107"/>
        <v>0</v>
      </c>
    </row>
    <row r="249" spans="1:11" hidden="1" outlineLevel="1" x14ac:dyDescent="0.3">
      <c r="A249" s="21" t="s">
        <v>213</v>
      </c>
      <c r="B249" s="21"/>
      <c r="C249" s="21"/>
      <c r="D249" s="21"/>
      <c r="E249" s="21">
        <f>SUM(E247:E248)</f>
        <v>0</v>
      </c>
      <c r="F249" s="21">
        <f>SUM(F247:F248)</f>
        <v>0</v>
      </c>
      <c r="G249" s="21">
        <f t="shared" ref="G249:K249" si="108">SUM(G247:G248)</f>
        <v>0</v>
      </c>
      <c r="H249" s="21">
        <f t="shared" si="108"/>
        <v>0</v>
      </c>
      <c r="I249" s="21">
        <f t="shared" si="108"/>
        <v>0</v>
      </c>
      <c r="J249" s="21">
        <f t="shared" si="108"/>
        <v>0</v>
      </c>
      <c r="K249" s="21">
        <f t="shared" si="108"/>
        <v>0</v>
      </c>
    </row>
    <row r="250" spans="1:11" hidden="1" outlineLevel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hidden="1" outlineLevel="1" x14ac:dyDescent="0.3">
      <c r="A251" s="14" t="s">
        <v>218</v>
      </c>
      <c r="B251" s="14"/>
      <c r="C251" s="14"/>
      <c r="D251" s="14"/>
      <c r="E251" s="14">
        <f>+E98*E249</f>
        <v>0</v>
      </c>
      <c r="F251" s="14">
        <f>+F98*F249</f>
        <v>0</v>
      </c>
      <c r="G251" s="14">
        <f t="shared" ref="G251:K251" si="109">+G98*G249</f>
        <v>0</v>
      </c>
      <c r="H251" s="14">
        <f t="shared" si="109"/>
        <v>0</v>
      </c>
      <c r="I251" s="14">
        <f t="shared" si="109"/>
        <v>0</v>
      </c>
      <c r="J251" s="14">
        <f t="shared" si="109"/>
        <v>0</v>
      </c>
      <c r="K251" s="14">
        <f t="shared" si="109"/>
        <v>0</v>
      </c>
    </row>
    <row r="252" spans="1:11" hidden="1" outlineLevel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collapsed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3">
      <c r="A254" s="13" t="s">
        <v>219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hidden="1" outlineLevel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hidden="1" outlineLevel="1" x14ac:dyDescent="0.3">
      <c r="A256" s="14" t="s">
        <v>5</v>
      </c>
      <c r="B256" s="14"/>
      <c r="C256" s="14"/>
      <c r="D256" s="14"/>
      <c r="E256" s="29">
        <f>+E119/(E33+E32)</f>
        <v>130.13698630136986</v>
      </c>
      <c r="F256" s="29">
        <f t="shared" ref="F256:K256" si="110">+F119/(F33+F32)</f>
        <v>136.9047619047619</v>
      </c>
      <c r="G256" s="29">
        <f t="shared" si="110"/>
        <v>136.9047619047619</v>
      </c>
      <c r="H256" s="29">
        <f t="shared" si="110"/>
        <v>142.85714285714286</v>
      </c>
      <c r="I256" s="29">
        <f t="shared" si="110"/>
        <v>142.85714285714286</v>
      </c>
      <c r="J256" s="29">
        <f t="shared" si="110"/>
        <v>148.8095238095238</v>
      </c>
      <c r="K256" s="29">
        <f t="shared" si="110"/>
        <v>154.76190476190476</v>
      </c>
    </row>
    <row r="257" spans="1:11" hidden="1" outlineLevel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hidden="1" outlineLevel="1" x14ac:dyDescent="0.3">
      <c r="A258" s="14" t="s">
        <v>220</v>
      </c>
      <c r="B258" s="14"/>
      <c r="C258" s="14"/>
      <c r="D258" s="14"/>
      <c r="E258" s="29">
        <f>+(E122+E119)/E34</f>
        <v>38</v>
      </c>
      <c r="F258" s="29">
        <f t="shared" ref="F258:K258" si="111">+(F122+F119)/F34</f>
        <v>51</v>
      </c>
      <c r="G258" s="29">
        <f t="shared" si="111"/>
        <v>67.25</v>
      </c>
      <c r="H258" s="29">
        <f t="shared" si="111"/>
        <v>84</v>
      </c>
      <c r="I258" s="29">
        <f t="shared" si="111"/>
        <v>99.5</v>
      </c>
      <c r="J258" s="29">
        <f t="shared" si="111"/>
        <v>115</v>
      </c>
      <c r="K258" s="29">
        <f t="shared" si="111"/>
        <v>124</v>
      </c>
    </row>
    <row r="259" spans="1:11" hidden="1" outlineLevel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hidden="1" outlineLevel="1" x14ac:dyDescent="0.3">
      <c r="A260" s="14" t="s">
        <v>221</v>
      </c>
      <c r="B260" s="14"/>
      <c r="C260" s="14"/>
      <c r="D260" s="14"/>
      <c r="E260" s="14">
        <f>+E258/E47</f>
        <v>152</v>
      </c>
      <c r="F260" s="14">
        <f t="shared" ref="F260:K260" si="112">+F258/F47</f>
        <v>204</v>
      </c>
      <c r="G260" s="14">
        <f t="shared" si="112"/>
        <v>269</v>
      </c>
      <c r="H260" s="14">
        <f t="shared" si="112"/>
        <v>336</v>
      </c>
      <c r="I260" s="14">
        <f t="shared" si="112"/>
        <v>398</v>
      </c>
      <c r="J260" s="14">
        <f t="shared" si="112"/>
        <v>460</v>
      </c>
      <c r="K260" s="14">
        <f t="shared" si="112"/>
        <v>496</v>
      </c>
    </row>
    <row r="261" spans="1:11" hidden="1" outlineLevel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hidden="1" outlineLevel="1" x14ac:dyDescent="0.3">
      <c r="A262" s="14" t="s">
        <v>222</v>
      </c>
      <c r="B262" s="14"/>
      <c r="C262" s="14"/>
      <c r="D262" s="14"/>
      <c r="E262" s="62" t="str">
        <f>+TEXT(E260/E256,  "0.0") &amp;"x"</f>
        <v>1.2x</v>
      </c>
      <c r="F262" s="62" t="str">
        <f t="shared" ref="F262:K262" si="113">+TEXT(F260/F256,  "0.0") &amp;"x"</f>
        <v>1.5x</v>
      </c>
      <c r="G262" s="62" t="str">
        <f t="shared" si="113"/>
        <v>2.0x</v>
      </c>
      <c r="H262" s="62" t="str">
        <f t="shared" si="113"/>
        <v>2.4x</v>
      </c>
      <c r="I262" s="62" t="str">
        <f t="shared" si="113"/>
        <v>2.8x</v>
      </c>
      <c r="J262" s="62" t="str">
        <f t="shared" si="113"/>
        <v>3.1x</v>
      </c>
      <c r="K262" s="62" t="str">
        <f t="shared" si="113"/>
        <v>3.2x</v>
      </c>
    </row>
    <row r="263" spans="1:11" hidden="1" outlineLevel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hidden="1" outlineLevel="1" x14ac:dyDescent="0.3">
      <c r="A264" s="14" t="s">
        <v>223</v>
      </c>
      <c r="B264" s="14"/>
      <c r="C264" s="14"/>
      <c r="D264" s="14"/>
      <c r="E264" s="61">
        <f t="shared" ref="E264:J264" si="114">+E256/E258</f>
        <v>3.4246575342465753</v>
      </c>
      <c r="F264" s="61">
        <f t="shared" si="114"/>
        <v>2.6844070961718018</v>
      </c>
      <c r="G264" s="61">
        <f t="shared" si="114"/>
        <v>2.0357585413347494</v>
      </c>
      <c r="H264" s="61">
        <f t="shared" si="114"/>
        <v>1.7006802721088436</v>
      </c>
      <c r="I264" s="61">
        <f t="shared" si="114"/>
        <v>1.4357501794687724</v>
      </c>
      <c r="J264" s="61">
        <f t="shared" si="114"/>
        <v>1.2939958592132503</v>
      </c>
      <c r="K264" s="61">
        <f>+K256/K258</f>
        <v>1.2480798771121351</v>
      </c>
    </row>
    <row r="265" spans="1:11" hidden="1" outlineLevel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collapsed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3">
      <c r="A267" s="13" t="s">
        <v>149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hidden="1" outlineLevel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hidden="1" outlineLevel="1" x14ac:dyDescent="0.3">
      <c r="A269" s="14" t="s">
        <v>224</v>
      </c>
      <c r="B269" s="14"/>
      <c r="C269" s="14"/>
      <c r="D269" s="14"/>
      <c r="E269" s="51">
        <f>+E134</f>
        <v>-2573040</v>
      </c>
      <c r="F269" s="51">
        <f t="shared" ref="F269:K269" si="115">+F134</f>
        <v>-1340320</v>
      </c>
      <c r="G269" s="51">
        <f t="shared" si="115"/>
        <v>57140</v>
      </c>
      <c r="H269" s="51">
        <f t="shared" si="115"/>
        <v>1233760</v>
      </c>
      <c r="I269" s="51">
        <f t="shared" si="115"/>
        <v>2782080</v>
      </c>
      <c r="J269" s="51">
        <f t="shared" si="115"/>
        <v>4941600</v>
      </c>
      <c r="K269" s="51">
        <f t="shared" si="115"/>
        <v>5738560</v>
      </c>
    </row>
    <row r="270" spans="1:11" hidden="1" outlineLevel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hidden="1" outlineLevel="1" x14ac:dyDescent="0.3">
      <c r="A271" s="15" t="s">
        <v>225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hidden="1" outlineLevel="1" x14ac:dyDescent="0.3">
      <c r="A272" s="14" t="s">
        <v>215</v>
      </c>
      <c r="B272" s="14"/>
      <c r="C272" s="14"/>
      <c r="D272" s="14"/>
      <c r="E272" s="51">
        <v>0</v>
      </c>
      <c r="F272" s="51">
        <f>+E276</f>
        <v>2573040</v>
      </c>
      <c r="G272" s="51">
        <f>+F276</f>
        <v>3913360</v>
      </c>
      <c r="H272" s="51">
        <f>+G276</f>
        <v>3856220</v>
      </c>
      <c r="I272" s="51">
        <f>+H276</f>
        <v>2622460</v>
      </c>
      <c r="J272" s="51"/>
      <c r="K272" s="51"/>
    </row>
    <row r="273" spans="1:11" hidden="1" outlineLevel="1" x14ac:dyDescent="0.3">
      <c r="A273" s="14" t="s">
        <v>226</v>
      </c>
      <c r="B273" s="14"/>
      <c r="C273" s="14"/>
      <c r="D273" s="14"/>
      <c r="E273" s="51">
        <f>+IF(E269&lt;1,E269*-1,0)</f>
        <v>2573040</v>
      </c>
      <c r="F273" s="51">
        <f t="shared" ref="F273:K273" si="116">+IF(F269&lt;1,F269*-1,0)</f>
        <v>1340320</v>
      </c>
      <c r="G273" s="51">
        <f t="shared" si="116"/>
        <v>0</v>
      </c>
      <c r="H273" s="51">
        <f t="shared" si="116"/>
        <v>0</v>
      </c>
      <c r="I273" s="51">
        <f t="shared" si="116"/>
        <v>0</v>
      </c>
      <c r="J273" s="51">
        <f t="shared" si="116"/>
        <v>0</v>
      </c>
      <c r="K273" s="51">
        <f t="shared" si="116"/>
        <v>0</v>
      </c>
    </row>
    <row r="274" spans="1:11" hidden="1" outlineLevel="1" x14ac:dyDescent="0.3">
      <c r="A274" s="21" t="s">
        <v>227</v>
      </c>
      <c r="B274" s="21"/>
      <c r="C274" s="21"/>
      <c r="D274" s="21"/>
      <c r="E274" s="52">
        <f>SUM(E272:E273)</f>
        <v>2573040</v>
      </c>
      <c r="F274" s="52">
        <f>SUM(F272:F273)</f>
        <v>3913360</v>
      </c>
      <c r="G274" s="52">
        <f>SUM(G272:G273)</f>
        <v>3913360</v>
      </c>
      <c r="H274" s="52">
        <f>SUM(H272:H273)</f>
        <v>3856220</v>
      </c>
      <c r="I274" s="52">
        <f>SUM(I272:I273)</f>
        <v>2622460</v>
      </c>
      <c r="J274" s="52"/>
      <c r="K274" s="52"/>
    </row>
    <row r="275" spans="1:11" hidden="1" outlineLevel="1" x14ac:dyDescent="0.3">
      <c r="A275" s="14" t="s">
        <v>228</v>
      </c>
      <c r="B275" s="14"/>
      <c r="C275" s="14"/>
      <c r="D275" s="14"/>
      <c r="E275" s="51">
        <f>+IF(E269&lt;1,0,E269)</f>
        <v>0</v>
      </c>
      <c r="F275" s="51">
        <f t="shared" ref="F275:H275" si="117">+IF(F269&lt;1,0,F269)</f>
        <v>0</v>
      </c>
      <c r="G275" s="51">
        <f t="shared" si="117"/>
        <v>57140</v>
      </c>
      <c r="H275" s="51">
        <f t="shared" si="117"/>
        <v>1233760</v>
      </c>
      <c r="I275" s="51">
        <v>2622460</v>
      </c>
      <c r="J275" s="51"/>
      <c r="K275" s="51"/>
    </row>
    <row r="276" spans="1:11" hidden="1" outlineLevel="1" x14ac:dyDescent="0.3">
      <c r="A276" s="21" t="s">
        <v>213</v>
      </c>
      <c r="B276" s="21"/>
      <c r="C276" s="21"/>
      <c r="D276" s="21"/>
      <c r="E276" s="52">
        <f>+E274-E275</f>
        <v>2573040</v>
      </c>
      <c r="F276" s="52">
        <f>+F274-F275</f>
        <v>3913360</v>
      </c>
      <c r="G276" s="52">
        <f>+G274-G275</f>
        <v>3856220</v>
      </c>
      <c r="H276" s="52">
        <f>+H274-H275</f>
        <v>2622460</v>
      </c>
      <c r="I276" s="52">
        <f>+I274-I275</f>
        <v>0</v>
      </c>
      <c r="J276" s="52"/>
      <c r="K276" s="52"/>
    </row>
    <row r="277" spans="1:11" hidden="1" outlineLevel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hidden="1" outlineLevel="1" x14ac:dyDescent="0.3">
      <c r="A278" s="15" t="s">
        <v>229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hidden="1" outlineLevel="1" x14ac:dyDescent="0.3">
      <c r="A279" s="14" t="s">
        <v>230</v>
      </c>
      <c r="B279" s="14"/>
      <c r="C279" s="14"/>
      <c r="D279" s="14"/>
      <c r="E279" s="51">
        <f>+E269</f>
        <v>-2573040</v>
      </c>
      <c r="F279" s="51">
        <f t="shared" ref="F279:K279" si="118">+F269</f>
        <v>-1340320</v>
      </c>
      <c r="G279" s="51">
        <f t="shared" si="118"/>
        <v>57140</v>
      </c>
      <c r="H279" s="51">
        <f t="shared" si="118"/>
        <v>1233760</v>
      </c>
      <c r="I279" s="51">
        <f t="shared" si="118"/>
        <v>2782080</v>
      </c>
      <c r="J279" s="51">
        <f t="shared" si="118"/>
        <v>4941600</v>
      </c>
      <c r="K279" s="51">
        <f t="shared" si="118"/>
        <v>5738560</v>
      </c>
    </row>
    <row r="280" spans="1:11" hidden="1" outlineLevel="1" x14ac:dyDescent="0.3">
      <c r="A280" s="14" t="s">
        <v>168</v>
      </c>
      <c r="B280" s="14"/>
      <c r="C280" s="14"/>
      <c r="D280" s="14"/>
      <c r="E280" s="14">
        <f>+E251</f>
        <v>0</v>
      </c>
      <c r="F280" s="14">
        <f t="shared" ref="F280:K280" si="119">+F251</f>
        <v>0</v>
      </c>
      <c r="G280" s="14">
        <f t="shared" si="119"/>
        <v>0</v>
      </c>
      <c r="H280" s="14">
        <f t="shared" si="119"/>
        <v>0</v>
      </c>
      <c r="I280" s="14">
        <f t="shared" si="119"/>
        <v>0</v>
      </c>
      <c r="J280" s="14">
        <f t="shared" si="119"/>
        <v>0</v>
      </c>
      <c r="K280" s="14">
        <f t="shared" si="119"/>
        <v>0</v>
      </c>
    </row>
    <row r="281" spans="1:11" hidden="1" outlineLevel="1" x14ac:dyDescent="0.3">
      <c r="A281" s="21" t="s">
        <v>231</v>
      </c>
      <c r="B281" s="21"/>
      <c r="C281" s="21"/>
      <c r="D281" s="21"/>
      <c r="E281" s="52">
        <f>+E279+E280</f>
        <v>-2573040</v>
      </c>
      <c r="F281" s="52">
        <f t="shared" ref="F281:K281" si="120">+F279+F280</f>
        <v>-1340320</v>
      </c>
      <c r="G281" s="52">
        <f t="shared" si="120"/>
        <v>57140</v>
      </c>
      <c r="H281" s="52">
        <f t="shared" si="120"/>
        <v>1233760</v>
      </c>
      <c r="I281" s="52">
        <f t="shared" si="120"/>
        <v>2782080</v>
      </c>
      <c r="J281" s="52">
        <f t="shared" si="120"/>
        <v>4941600</v>
      </c>
      <c r="K281" s="52">
        <f t="shared" si="120"/>
        <v>5738560</v>
      </c>
    </row>
    <row r="282" spans="1:11" hidden="1" outlineLevel="1" x14ac:dyDescent="0.3">
      <c r="A282" s="14" t="s">
        <v>232</v>
      </c>
      <c r="B282" s="14"/>
      <c r="C282" s="14"/>
      <c r="D282" s="14"/>
      <c r="E282" s="64">
        <f>+E136</f>
        <v>0</v>
      </c>
      <c r="F282" s="64">
        <f t="shared" ref="F282:K282" si="121">+F136</f>
        <v>0</v>
      </c>
      <c r="G282" s="64">
        <v>0</v>
      </c>
      <c r="H282" s="64">
        <v>0</v>
      </c>
      <c r="I282" s="34">
        <f t="shared" si="121"/>
        <v>695520</v>
      </c>
      <c r="J282" s="34">
        <f t="shared" si="121"/>
        <v>1235400</v>
      </c>
      <c r="K282" s="34">
        <f t="shared" si="121"/>
        <v>1434640</v>
      </c>
    </row>
    <row r="283" spans="1:11" hidden="1" outlineLevel="1" x14ac:dyDescent="0.3">
      <c r="A283" s="14" t="s">
        <v>233</v>
      </c>
      <c r="B283" s="14"/>
      <c r="C283" s="14"/>
      <c r="D283" s="14"/>
      <c r="E283" s="22">
        <f>+E183</f>
        <v>500000</v>
      </c>
      <c r="F283" s="22">
        <f t="shared" ref="F283:K283" si="122">+F183</f>
        <v>100000</v>
      </c>
      <c r="G283" s="22">
        <f t="shared" si="122"/>
        <v>100000</v>
      </c>
      <c r="H283" s="22">
        <f t="shared" si="122"/>
        <v>550000</v>
      </c>
      <c r="I283" s="22">
        <f t="shared" si="122"/>
        <v>250000</v>
      </c>
      <c r="J283" s="22">
        <f t="shared" si="122"/>
        <v>1100000</v>
      </c>
      <c r="K283" s="22">
        <f t="shared" si="122"/>
        <v>600000</v>
      </c>
    </row>
    <row r="284" spans="1:11" hidden="1" outlineLevel="1" x14ac:dyDescent="0.3">
      <c r="A284" s="14" t="s">
        <v>234</v>
      </c>
      <c r="B284" s="14"/>
      <c r="C284" s="14"/>
      <c r="D284" s="14"/>
      <c r="E284" s="51">
        <f>+E238</f>
        <v>100000</v>
      </c>
      <c r="F284" s="51">
        <f t="shared" ref="F284:K284" si="123">+F238</f>
        <v>120000</v>
      </c>
      <c r="G284" s="51">
        <f t="shared" si="123"/>
        <v>140000</v>
      </c>
      <c r="H284" s="51">
        <f t="shared" si="123"/>
        <v>250000</v>
      </c>
      <c r="I284" s="51">
        <f t="shared" si="123"/>
        <v>300000</v>
      </c>
      <c r="J284" s="51">
        <f t="shared" si="123"/>
        <v>420000</v>
      </c>
      <c r="K284" s="51">
        <f t="shared" si="123"/>
        <v>520000</v>
      </c>
    </row>
    <row r="285" spans="1:11" hidden="1" outlineLevel="1" x14ac:dyDescent="0.3">
      <c r="A285" s="14" t="s">
        <v>235</v>
      </c>
      <c r="B285" s="14"/>
      <c r="C285" s="14"/>
      <c r="D285" s="14"/>
      <c r="E285" s="34">
        <f>+E175+E176-E177</f>
        <v>72313.972602739814</v>
      </c>
      <c r="F285" s="34">
        <f t="shared" ref="F285:K285" si="124">+F175+F176-F177</f>
        <v>289533.6986301369</v>
      </c>
      <c r="G285" s="34">
        <f t="shared" si="124"/>
        <v>434653.9726027397</v>
      </c>
      <c r="H285" s="34">
        <f t="shared" si="124"/>
        <v>732196.43835616438</v>
      </c>
      <c r="I285" s="34">
        <f t="shared" si="124"/>
        <v>573938.63013698638</v>
      </c>
      <c r="J285" s="34">
        <f t="shared" si="124"/>
        <v>806623.56164383539</v>
      </c>
      <c r="K285" s="34">
        <f t="shared" si="124"/>
        <v>567111.78082191804</v>
      </c>
    </row>
    <row r="286" spans="1:11" hidden="1" outlineLevel="1" x14ac:dyDescent="0.3">
      <c r="A286" s="17" t="s">
        <v>236</v>
      </c>
      <c r="B286" s="21"/>
      <c r="C286" s="21"/>
      <c r="D286" s="21"/>
      <c r="E286" s="52">
        <f>+E281-E282-E283+E284-E285</f>
        <v>-3045353.9726027399</v>
      </c>
      <c r="F286" s="52">
        <f t="shared" ref="F286:K286" si="125">+F281-F282-F283+F284-F285</f>
        <v>-1609853.6986301369</v>
      </c>
      <c r="G286" s="52">
        <f t="shared" si="125"/>
        <v>-337513.9726027397</v>
      </c>
      <c r="H286" s="52">
        <f t="shared" si="125"/>
        <v>201563.56164383562</v>
      </c>
      <c r="I286" s="52">
        <f t="shared" si="125"/>
        <v>1562621.3698630137</v>
      </c>
      <c r="J286" s="52">
        <f t="shared" si="125"/>
        <v>2219576.4383561648</v>
      </c>
      <c r="K286" s="52">
        <f t="shared" si="125"/>
        <v>3656808.219178082</v>
      </c>
    </row>
    <row r="287" spans="1:11" hidden="1" outlineLevel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hidden="1" outlineLevel="1" x14ac:dyDescent="0.3">
      <c r="A288" s="15" t="s">
        <v>237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hidden="1" outlineLevel="1" x14ac:dyDescent="0.3">
      <c r="A289" s="14" t="s">
        <v>238</v>
      </c>
      <c r="B289" s="14"/>
      <c r="C289" s="14"/>
      <c r="D289" s="26">
        <f>+D105</f>
        <v>0.2</v>
      </c>
      <c r="E289" s="51">
        <f>+NPV(D289,E286:K286)</f>
        <v>-1362002.6690151482</v>
      </c>
      <c r="F289" s="14"/>
      <c r="G289" s="14"/>
      <c r="H289" s="14"/>
      <c r="I289" s="14"/>
      <c r="J289" s="14"/>
      <c r="K289" s="14"/>
    </row>
    <row r="290" spans="1:11" hidden="1" outlineLevel="1" x14ac:dyDescent="0.3">
      <c r="A290" s="14" t="s">
        <v>239</v>
      </c>
      <c r="B290" s="14"/>
      <c r="C290" s="14"/>
      <c r="D290" s="63" t="str">
        <f>+D106</f>
        <v>8.0x</v>
      </c>
      <c r="E290" s="32">
        <f>+K129*8</f>
        <v>50068480</v>
      </c>
      <c r="F290" s="14"/>
      <c r="G290" s="14"/>
      <c r="H290" s="14"/>
      <c r="I290" s="14"/>
      <c r="J290" s="14"/>
      <c r="K290" s="14"/>
    </row>
    <row r="291" spans="1:11" hidden="1" outlineLevel="1" x14ac:dyDescent="0.3">
      <c r="A291" s="14" t="s">
        <v>240</v>
      </c>
      <c r="B291" s="14"/>
      <c r="C291" s="14"/>
      <c r="D291" s="14"/>
      <c r="E291" s="51">
        <f>+E290/(1+D289)^7</f>
        <v>13973193.872885233</v>
      </c>
      <c r="F291" s="14"/>
      <c r="G291" s="14"/>
      <c r="H291" s="14"/>
      <c r="I291" s="14"/>
      <c r="J291" s="14"/>
      <c r="K291" s="14"/>
    </row>
    <row r="292" spans="1:11" hidden="1" outlineLevel="1" x14ac:dyDescent="0.3">
      <c r="A292" s="15" t="s">
        <v>241</v>
      </c>
      <c r="B292" s="14"/>
      <c r="C292" s="14"/>
      <c r="D292" s="14"/>
      <c r="E292" s="65">
        <f>+E289+E291</f>
        <v>12611191.203870084</v>
      </c>
      <c r="F292" s="14"/>
      <c r="G292" s="14"/>
      <c r="H292" s="14"/>
      <c r="I292" s="14"/>
      <c r="J292" s="14"/>
      <c r="K292" s="14"/>
    </row>
    <row r="293" spans="1:11" hidden="1" outlineLevel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hidden="1" outlineLevel="1" x14ac:dyDescent="0.3">
      <c r="A294" s="15" t="s">
        <v>242</v>
      </c>
      <c r="B294" s="14"/>
      <c r="C294" s="14"/>
      <c r="D294" s="14"/>
      <c r="E294" s="66" t="str">
        <f>+TEXT(E292/F110, "0.0")&amp;"x"</f>
        <v>1.6x</v>
      </c>
      <c r="F294" s="14"/>
      <c r="G294" s="14"/>
      <c r="H294" s="14"/>
      <c r="I294" s="14"/>
      <c r="J294" s="14"/>
      <c r="K294" s="14"/>
    </row>
    <row r="295" spans="1:11" hidden="1" outlineLevel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hidden="1" outlineLevel="1" x14ac:dyDescent="0.3">
      <c r="A296" s="15" t="s">
        <v>243</v>
      </c>
      <c r="B296" s="14"/>
      <c r="C296" s="14"/>
      <c r="D296" s="14"/>
      <c r="E296" s="68">
        <f>1-E100/(E292+E100)</f>
        <v>0.61186134654372282</v>
      </c>
      <c r="F296" s="14"/>
      <c r="G296" s="14"/>
      <c r="H296" s="14"/>
      <c r="I296" s="14"/>
      <c r="J296" s="14"/>
      <c r="K296" s="14"/>
    </row>
    <row r="297" spans="1:11" hidden="1" outlineLevel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collapsed="1" x14ac:dyDescent="0.3">
      <c r="A298" s="14"/>
      <c r="B298" s="14"/>
      <c r="C298" s="14"/>
      <c r="D298" s="14"/>
      <c r="E298" s="67"/>
      <c r="F298" s="14"/>
      <c r="G298" s="14"/>
      <c r="H298" s="14"/>
      <c r="I298" s="14"/>
      <c r="J298" s="14"/>
      <c r="K298" s="14"/>
    </row>
    <row r="299" spans="1:11" x14ac:dyDescent="0.3">
      <c r="A299" s="13" t="s">
        <v>244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outlineLevel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outlineLevel="1" x14ac:dyDescent="0.3">
      <c r="A301" s="14" t="s">
        <v>245</v>
      </c>
      <c r="B301" s="14"/>
      <c r="C301" s="14"/>
      <c r="D301" s="14"/>
      <c r="E301" s="22">
        <f>+E112</f>
        <v>3834600</v>
      </c>
      <c r="F301" s="22">
        <f t="shared" ref="F301:K301" si="126">+F112</f>
        <v>5546880</v>
      </c>
      <c r="G301" s="22">
        <f t="shared" si="126"/>
        <v>8833500</v>
      </c>
      <c r="H301" s="22">
        <f t="shared" si="126"/>
        <v>13824720</v>
      </c>
      <c r="I301" s="22">
        <f t="shared" si="126"/>
        <v>19152000</v>
      </c>
      <c r="J301" s="22">
        <f t="shared" si="126"/>
        <v>26843520</v>
      </c>
      <c r="K301" s="22">
        <f t="shared" si="126"/>
        <v>31866840</v>
      </c>
    </row>
    <row r="302" spans="1:11" outlineLevel="1" x14ac:dyDescent="0.3">
      <c r="A302" s="14" t="s">
        <v>160</v>
      </c>
      <c r="B302" s="14"/>
      <c r="C302" s="14"/>
      <c r="D302" s="14"/>
      <c r="E302" s="69">
        <f>+E116</f>
        <v>0.2857142857142857</v>
      </c>
      <c r="F302" s="69">
        <f t="shared" ref="F302:K302" si="127">+F116</f>
        <v>0.30555555555555558</v>
      </c>
      <c r="G302" s="69">
        <f t="shared" si="127"/>
        <v>0.33333333333333331</v>
      </c>
      <c r="H302" s="69">
        <f t="shared" si="127"/>
        <v>0.35897435897435898</v>
      </c>
      <c r="I302" s="69">
        <f t="shared" si="127"/>
        <v>0.375</v>
      </c>
      <c r="J302" s="69">
        <f t="shared" si="127"/>
        <v>0.3902439024390244</v>
      </c>
      <c r="K302" s="69">
        <f t="shared" si="127"/>
        <v>0.3902439024390244</v>
      </c>
    </row>
    <row r="303" spans="1:11" outlineLevel="1" x14ac:dyDescent="0.3">
      <c r="A303" s="14" t="s">
        <v>246</v>
      </c>
      <c r="B303" s="14"/>
      <c r="C303" s="14"/>
      <c r="D303" s="14"/>
      <c r="E303" s="69">
        <f>+E130</f>
        <v>-0.64492776300005217</v>
      </c>
      <c r="F303" s="69">
        <f t="shared" ref="F303:K303" si="128">+F130</f>
        <v>-0.22000115380177684</v>
      </c>
      <c r="G303" s="69">
        <f t="shared" si="128"/>
        <v>2.2317314767645893E-2</v>
      </c>
      <c r="H303" s="69">
        <f t="shared" si="128"/>
        <v>0.10732658599957177</v>
      </c>
      <c r="I303" s="69">
        <f t="shared" si="128"/>
        <v>0.16092731829573934</v>
      </c>
      <c r="J303" s="69">
        <f t="shared" si="128"/>
        <v>0.19973535512481225</v>
      </c>
      <c r="K303" s="69">
        <f t="shared" si="128"/>
        <v>0.19639725809022796</v>
      </c>
    </row>
    <row r="304" spans="1:11" outlineLevel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outlineLevel="1" x14ac:dyDescent="0.3">
      <c r="A305" s="14" t="s">
        <v>247</v>
      </c>
      <c r="B305" s="14"/>
      <c r="C305" s="14"/>
      <c r="D305" s="14"/>
      <c r="E305" s="29">
        <f>+E256</f>
        <v>130.13698630136986</v>
      </c>
      <c r="F305" s="29">
        <f t="shared" ref="F305:K305" si="129">+F256</f>
        <v>136.9047619047619</v>
      </c>
      <c r="G305" s="29">
        <f t="shared" si="129"/>
        <v>136.9047619047619</v>
      </c>
      <c r="H305" s="29">
        <f t="shared" si="129"/>
        <v>142.85714285714286</v>
      </c>
      <c r="I305" s="29">
        <f t="shared" si="129"/>
        <v>142.85714285714286</v>
      </c>
      <c r="J305" s="29">
        <f t="shared" si="129"/>
        <v>148.8095238095238</v>
      </c>
      <c r="K305" s="29">
        <f t="shared" si="129"/>
        <v>154.76190476190476</v>
      </c>
    </row>
    <row r="306" spans="1:11" outlineLevel="1" x14ac:dyDescent="0.3">
      <c r="A306" s="14" t="s">
        <v>248</v>
      </c>
      <c r="B306" s="14"/>
      <c r="C306" s="14"/>
      <c r="D306" s="14"/>
      <c r="E306" s="14">
        <f>+E260</f>
        <v>152</v>
      </c>
      <c r="F306" s="14">
        <f t="shared" ref="F306:K306" si="130">+F260</f>
        <v>204</v>
      </c>
      <c r="G306" s="14">
        <f t="shared" si="130"/>
        <v>269</v>
      </c>
      <c r="H306" s="14">
        <f t="shared" si="130"/>
        <v>336</v>
      </c>
      <c r="I306" s="14">
        <f t="shared" si="130"/>
        <v>398</v>
      </c>
      <c r="J306" s="14">
        <f t="shared" si="130"/>
        <v>460</v>
      </c>
      <c r="K306" s="14">
        <f t="shared" si="130"/>
        <v>496</v>
      </c>
    </row>
    <row r="307" spans="1:11" outlineLevel="1" x14ac:dyDescent="0.3">
      <c r="A307" s="14" t="s">
        <v>16</v>
      </c>
      <c r="B307" s="14"/>
      <c r="C307" s="14"/>
      <c r="D307" s="14"/>
      <c r="E307" s="12">
        <v>1.2</v>
      </c>
      <c r="F307" s="12">
        <v>1.5</v>
      </c>
      <c r="G307" s="12">
        <v>2</v>
      </c>
      <c r="H307" s="12">
        <v>2.4</v>
      </c>
      <c r="I307" s="12">
        <v>2.8</v>
      </c>
      <c r="J307" s="12">
        <v>3.1</v>
      </c>
      <c r="K307" s="12">
        <v>3.2</v>
      </c>
    </row>
    <row r="308" spans="1:11" outlineLevel="1" x14ac:dyDescent="0.3">
      <c r="A308" s="14"/>
      <c r="B308" s="14"/>
      <c r="C308" s="14"/>
      <c r="D308" s="14"/>
      <c r="E308" s="62" t="str">
        <f t="shared" ref="E308:K308" si="131">+E262</f>
        <v>1.2x</v>
      </c>
      <c r="F308" s="62" t="str">
        <f t="shared" si="131"/>
        <v>1.5x</v>
      </c>
      <c r="G308" s="62" t="str">
        <f t="shared" si="131"/>
        <v>2.0x</v>
      </c>
      <c r="H308" s="62" t="str">
        <f t="shared" si="131"/>
        <v>2.4x</v>
      </c>
      <c r="I308" s="62" t="str">
        <f t="shared" si="131"/>
        <v>2.8x</v>
      </c>
      <c r="J308" s="62" t="str">
        <f t="shared" si="131"/>
        <v>3.1x</v>
      </c>
      <c r="K308" s="62" t="str">
        <f t="shared" si="131"/>
        <v>3.2x</v>
      </c>
    </row>
    <row r="309" spans="1:11" outlineLevel="1" x14ac:dyDescent="0.3">
      <c r="A309" s="14" t="s">
        <v>247</v>
      </c>
      <c r="B309" s="14"/>
      <c r="C309" s="14"/>
      <c r="D309" s="14"/>
      <c r="E309" s="29">
        <f>+E256</f>
        <v>130.13698630136986</v>
      </c>
      <c r="F309" s="29">
        <f t="shared" ref="F309:K309" si="132">+F256</f>
        <v>136.9047619047619</v>
      </c>
      <c r="G309" s="29">
        <f t="shared" si="132"/>
        <v>136.9047619047619</v>
      </c>
      <c r="H309" s="29">
        <f t="shared" si="132"/>
        <v>142.85714285714286</v>
      </c>
      <c r="I309" s="29">
        <f t="shared" si="132"/>
        <v>142.85714285714286</v>
      </c>
      <c r="J309" s="29">
        <f t="shared" si="132"/>
        <v>148.8095238095238</v>
      </c>
      <c r="K309" s="29">
        <f t="shared" si="132"/>
        <v>154.76190476190476</v>
      </c>
    </row>
    <row r="310" spans="1:11" outlineLevel="1" x14ac:dyDescent="0.3">
      <c r="A310" s="14" t="s">
        <v>163</v>
      </c>
      <c r="B310" s="14"/>
      <c r="C310" s="14"/>
      <c r="D310" s="14"/>
      <c r="E310" s="29">
        <f>+E258</f>
        <v>38</v>
      </c>
      <c r="F310" s="29">
        <f t="shared" ref="F310:K310" si="133">+F258</f>
        <v>51</v>
      </c>
      <c r="G310" s="29">
        <f t="shared" si="133"/>
        <v>67.25</v>
      </c>
      <c r="H310" s="29">
        <f t="shared" si="133"/>
        <v>84</v>
      </c>
      <c r="I310" s="29">
        <f t="shared" si="133"/>
        <v>99.5</v>
      </c>
      <c r="J310" s="29">
        <f t="shared" si="133"/>
        <v>115</v>
      </c>
      <c r="K310" s="29">
        <f t="shared" si="133"/>
        <v>124</v>
      </c>
    </row>
    <row r="311" spans="1:11" outlineLevel="1" x14ac:dyDescent="0.3">
      <c r="A311" s="14" t="s">
        <v>249</v>
      </c>
      <c r="B311" s="14"/>
      <c r="C311" s="14"/>
      <c r="D311" s="14"/>
      <c r="E311" s="61">
        <f>+E264</f>
        <v>3.4246575342465753</v>
      </c>
      <c r="F311" s="61">
        <f t="shared" ref="F311:K311" si="134">+F264</f>
        <v>2.6844070961718018</v>
      </c>
      <c r="G311" s="61">
        <f t="shared" si="134"/>
        <v>2.0357585413347494</v>
      </c>
      <c r="H311" s="61">
        <f t="shared" si="134"/>
        <v>1.7006802721088436</v>
      </c>
      <c r="I311" s="61">
        <f t="shared" si="134"/>
        <v>1.4357501794687724</v>
      </c>
      <c r="J311" s="61">
        <f t="shared" si="134"/>
        <v>1.2939958592132503</v>
      </c>
      <c r="K311" s="61">
        <f t="shared" si="134"/>
        <v>1.2480798771121351</v>
      </c>
    </row>
    <row r="312" spans="1:11" outlineLevel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outlineLevel="1" x14ac:dyDescent="0.3">
      <c r="A313" s="14" t="s">
        <v>250</v>
      </c>
      <c r="B313" s="14"/>
      <c r="C313" s="14"/>
      <c r="D313" s="14"/>
      <c r="E313" s="56">
        <f>+E314-D314</f>
        <v>-3045353.9726027399</v>
      </c>
      <c r="F313" s="56">
        <f t="shared" ref="F313:K313" si="135">+F314-E314</f>
        <v>-1609853.6986301369</v>
      </c>
      <c r="G313" s="56">
        <f t="shared" si="135"/>
        <v>-351798.97260273946</v>
      </c>
      <c r="H313" s="56">
        <f t="shared" si="135"/>
        <v>-106876.43835616438</v>
      </c>
      <c r="I313" s="56">
        <f t="shared" si="135"/>
        <v>1562621.3698630133</v>
      </c>
      <c r="J313" s="56">
        <f t="shared" si="135"/>
        <v>2219576.4383561648</v>
      </c>
      <c r="K313" s="56">
        <f t="shared" si="135"/>
        <v>3656808.2191780824</v>
      </c>
    </row>
    <row r="314" spans="1:11" outlineLevel="1" x14ac:dyDescent="0.3">
      <c r="A314" s="14" t="s">
        <v>251</v>
      </c>
      <c r="B314" s="14"/>
      <c r="C314" s="14"/>
      <c r="D314" s="22">
        <f>+E100</f>
        <v>8000000</v>
      </c>
      <c r="E314" s="51">
        <f>+E195</f>
        <v>4954646.0273972601</v>
      </c>
      <c r="F314" s="51">
        <f t="shared" ref="F314:K314" si="136">+F195</f>
        <v>3344792.3287671232</v>
      </c>
      <c r="G314" s="51">
        <f t="shared" si="136"/>
        <v>2992993.3561643837</v>
      </c>
      <c r="H314" s="51">
        <f t="shared" si="136"/>
        <v>2886116.9178082193</v>
      </c>
      <c r="I314" s="51">
        <f t="shared" si="136"/>
        <v>4448738.2876712326</v>
      </c>
      <c r="J314" s="51">
        <f t="shared" si="136"/>
        <v>6668314.7260273974</v>
      </c>
      <c r="K314" s="51">
        <f t="shared" si="136"/>
        <v>10325122.94520548</v>
      </c>
    </row>
    <row r="315" spans="1:11" outlineLevel="1" x14ac:dyDescent="0.3">
      <c r="A315" s="14"/>
      <c r="B315" s="14"/>
      <c r="C315" s="14"/>
      <c r="D315" s="14"/>
      <c r="E315" s="14"/>
      <c r="F315" s="51"/>
      <c r="G315" s="51"/>
      <c r="H315" s="51"/>
      <c r="I315" s="51"/>
      <c r="J315" s="51"/>
      <c r="K315" s="51"/>
    </row>
    <row r="316" spans="1:11" outlineLevel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outlineLevel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outlineLevel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outlineLevel="1" x14ac:dyDescent="0.3">
      <c r="A319" s="14"/>
      <c r="B319" s="14"/>
      <c r="C319" s="14"/>
      <c r="D319" s="14"/>
      <c r="E319" s="14"/>
      <c r="F319" s="14"/>
      <c r="G319" s="14"/>
      <c r="H319" s="70"/>
      <c r="I319" s="14"/>
      <c r="J319" s="14"/>
      <c r="K319" s="14"/>
    </row>
    <row r="320" spans="1:11" outlineLevel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outlineLevel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outlineLevel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outlineLevel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outlineLevel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outlineLevel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outlineLevel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outlineLevel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outlineLevel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outlineLevel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outlineLevel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outlineLevel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outlineLevel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outlineLevel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outlineLevel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outlineLevel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outlineLevel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outlineLevel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outlineLevel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outlineLevel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outlineLevel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outlineLevel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outlineLevel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outlineLevel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outlineLevel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outlineLevel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outlineLevel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outlineLevel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A3F5-A36F-416B-AB26-7CD689D5AFEC}">
  <dimension ref="A1:R59"/>
  <sheetViews>
    <sheetView zoomScale="70" zoomScaleNormal="70" workbookViewId="0">
      <pane xSplit="2" ySplit="21" topLeftCell="C58" activePane="bottomRight" state="frozen"/>
      <selection pane="topRight" activeCell="C1" sqref="C1"/>
      <selection pane="bottomLeft" activeCell="A22" sqref="A22"/>
      <selection pane="bottomRight" activeCell="F32" sqref="F32"/>
    </sheetView>
  </sheetViews>
  <sheetFormatPr defaultRowHeight="14.4" x14ac:dyDescent="0.3"/>
  <cols>
    <col min="1" max="1" width="35.77734375" customWidth="1"/>
    <col min="2" max="2" width="11.5546875" customWidth="1"/>
  </cols>
  <sheetData>
    <row r="1" spans="1:3" x14ac:dyDescent="0.3">
      <c r="A1" s="5" t="s">
        <v>252</v>
      </c>
      <c r="B1" s="71" t="s">
        <v>253</v>
      </c>
    </row>
    <row r="2" spans="1:3" x14ac:dyDescent="0.3">
      <c r="A2" t="s">
        <v>254</v>
      </c>
      <c r="B2" s="74">
        <v>89</v>
      </c>
    </row>
    <row r="3" spans="1:3" x14ac:dyDescent="0.3">
      <c r="A3" t="s">
        <v>255</v>
      </c>
      <c r="B3" s="74">
        <v>20.56</v>
      </c>
      <c r="C3" t="s">
        <v>269</v>
      </c>
    </row>
    <row r="4" spans="1:3" x14ac:dyDescent="0.3">
      <c r="A4" t="s">
        <v>256</v>
      </c>
      <c r="B4" s="75">
        <v>25.3</v>
      </c>
    </row>
    <row r="5" spans="1:3" x14ac:dyDescent="0.3">
      <c r="A5" s="5" t="s">
        <v>159</v>
      </c>
      <c r="B5" s="5">
        <f>+B2-B3-B4</f>
        <v>43.14</v>
      </c>
    </row>
    <row r="6" spans="1:3" x14ac:dyDescent="0.3">
      <c r="A6" s="72" t="s">
        <v>257</v>
      </c>
      <c r="B6" s="73">
        <f>+B5/B2</f>
        <v>0.48471910112359551</v>
      </c>
    </row>
    <row r="8" spans="1:3" x14ac:dyDescent="0.3">
      <c r="A8" s="71" t="s">
        <v>258</v>
      </c>
    </row>
    <row r="9" spans="1:3" x14ac:dyDescent="0.3">
      <c r="A9" t="s">
        <v>259</v>
      </c>
      <c r="B9" s="74">
        <v>3.1</v>
      </c>
      <c r="C9" t="s">
        <v>262</v>
      </c>
    </row>
    <row r="10" spans="1:3" x14ac:dyDescent="0.3">
      <c r="A10" t="s">
        <v>260</v>
      </c>
      <c r="B10" s="76">
        <v>7.4999999999999997E-2</v>
      </c>
      <c r="C10" t="s">
        <v>263</v>
      </c>
    </row>
    <row r="11" spans="1:3" x14ac:dyDescent="0.3">
      <c r="A11" t="s">
        <v>261</v>
      </c>
      <c r="B11" s="77">
        <f>+B9/B10</f>
        <v>41.333333333333336</v>
      </c>
    </row>
    <row r="13" spans="1:3" x14ac:dyDescent="0.3">
      <c r="A13" t="s">
        <v>264</v>
      </c>
      <c r="B13" s="60">
        <f>+B5-B11</f>
        <v>1.8066666666666649</v>
      </c>
    </row>
    <row r="15" spans="1:3" x14ac:dyDescent="0.3">
      <c r="A15" s="71" t="s">
        <v>265</v>
      </c>
    </row>
    <row r="16" spans="1:3" x14ac:dyDescent="0.3">
      <c r="A16" t="s">
        <v>266</v>
      </c>
      <c r="B16" s="74">
        <v>2.2000000000000002</v>
      </c>
    </row>
    <row r="17" spans="1:18" x14ac:dyDescent="0.3">
      <c r="A17" t="s">
        <v>267</v>
      </c>
      <c r="B17" s="78">
        <f>+B5*B16</f>
        <v>94.908000000000015</v>
      </c>
    </row>
    <row r="19" spans="1:18" x14ac:dyDescent="0.3">
      <c r="A19" s="5" t="s">
        <v>268</v>
      </c>
      <c r="B19" s="79">
        <f>+B17/B11</f>
        <v>2.2961612903225808</v>
      </c>
    </row>
    <row r="21" spans="1:18" x14ac:dyDescent="0.3">
      <c r="C21" s="5" t="s">
        <v>271</v>
      </c>
      <c r="D21" s="5" t="s">
        <v>272</v>
      </c>
      <c r="E21" s="5" t="s">
        <v>273</v>
      </c>
      <c r="F21" s="5" t="s">
        <v>274</v>
      </c>
      <c r="G21" s="5" t="s">
        <v>275</v>
      </c>
      <c r="H21" s="5" t="s">
        <v>276</v>
      </c>
      <c r="I21" s="5" t="s">
        <v>277</v>
      </c>
      <c r="J21" s="5" t="s">
        <v>278</v>
      </c>
      <c r="K21" s="5" t="s">
        <v>279</v>
      </c>
      <c r="L21" s="5" t="s">
        <v>270</v>
      </c>
      <c r="M21" s="5" t="s">
        <v>280</v>
      </c>
      <c r="N21" s="5" t="s">
        <v>281</v>
      </c>
      <c r="O21" s="5" t="s">
        <v>282</v>
      </c>
      <c r="P21" s="5" t="s">
        <v>283</v>
      </c>
      <c r="Q21" s="5" t="s">
        <v>284</v>
      </c>
      <c r="R21" s="5" t="s">
        <v>285</v>
      </c>
    </row>
    <row r="22" spans="1:18" x14ac:dyDescent="0.3">
      <c r="A22" t="s">
        <v>286</v>
      </c>
      <c r="C22">
        <f>+C55</f>
        <v>26</v>
      </c>
      <c r="D22">
        <f t="shared" ref="D22:R22" si="0">+D55</f>
        <v>40</v>
      </c>
      <c r="E22">
        <f t="shared" si="0"/>
        <v>72</v>
      </c>
      <c r="F22">
        <f t="shared" si="0"/>
        <v>111</v>
      </c>
      <c r="G22">
        <f t="shared" si="0"/>
        <v>153</v>
      </c>
      <c r="H22">
        <f t="shared" si="0"/>
        <v>200</v>
      </c>
      <c r="I22">
        <f t="shared" si="0"/>
        <v>251</v>
      </c>
      <c r="J22">
        <f t="shared" si="0"/>
        <v>308</v>
      </c>
      <c r="K22">
        <f t="shared" si="0"/>
        <v>371</v>
      </c>
      <c r="L22">
        <f t="shared" si="0"/>
        <v>437</v>
      </c>
      <c r="M22">
        <f t="shared" si="0"/>
        <v>508</v>
      </c>
      <c r="N22">
        <f t="shared" si="0"/>
        <v>584</v>
      </c>
      <c r="O22">
        <f t="shared" si="0"/>
        <v>664</v>
      </c>
      <c r="P22">
        <f t="shared" si="0"/>
        <v>752</v>
      </c>
      <c r="Q22">
        <f t="shared" si="0"/>
        <v>842</v>
      </c>
      <c r="R22">
        <f t="shared" si="0"/>
        <v>938</v>
      </c>
    </row>
    <row r="24" spans="1:18" x14ac:dyDescent="0.3">
      <c r="A24" t="s">
        <v>157</v>
      </c>
      <c r="C24" s="84">
        <f>+C22*$B$2</f>
        <v>2314</v>
      </c>
      <c r="D24" s="84">
        <f t="shared" ref="D24:R24" si="1">+D22*$B$2</f>
        <v>3560</v>
      </c>
      <c r="E24" s="84">
        <f t="shared" si="1"/>
        <v>6408</v>
      </c>
      <c r="F24" s="84">
        <f t="shared" si="1"/>
        <v>9879</v>
      </c>
      <c r="G24" s="84">
        <f t="shared" si="1"/>
        <v>13617</v>
      </c>
      <c r="H24" s="84">
        <f t="shared" si="1"/>
        <v>17800</v>
      </c>
      <c r="I24" s="84">
        <f t="shared" si="1"/>
        <v>22339</v>
      </c>
      <c r="J24" s="84">
        <f t="shared" si="1"/>
        <v>27412</v>
      </c>
      <c r="K24" s="84">
        <f t="shared" si="1"/>
        <v>33019</v>
      </c>
      <c r="L24" s="84">
        <f t="shared" si="1"/>
        <v>38893</v>
      </c>
      <c r="M24" s="84">
        <f t="shared" si="1"/>
        <v>45212</v>
      </c>
      <c r="N24" s="84">
        <f t="shared" si="1"/>
        <v>51976</v>
      </c>
      <c r="O24" s="84">
        <f t="shared" si="1"/>
        <v>59096</v>
      </c>
      <c r="P24" s="84">
        <f t="shared" si="1"/>
        <v>66928</v>
      </c>
      <c r="Q24" s="84">
        <f t="shared" si="1"/>
        <v>74938</v>
      </c>
      <c r="R24" s="84">
        <f t="shared" si="1"/>
        <v>83482</v>
      </c>
    </row>
    <row r="25" spans="1:18" x14ac:dyDescent="0.3">
      <c r="C25" s="84" t="s">
        <v>296</v>
      </c>
      <c r="D25" s="84" t="s">
        <v>296</v>
      </c>
      <c r="E25" s="84" t="s">
        <v>296</v>
      </c>
      <c r="F25" s="84" t="s">
        <v>296</v>
      </c>
      <c r="G25" s="84" t="s">
        <v>296</v>
      </c>
      <c r="H25" s="84" t="s">
        <v>296</v>
      </c>
      <c r="I25" s="84" t="s">
        <v>296</v>
      </c>
      <c r="J25" s="84" t="s">
        <v>296</v>
      </c>
      <c r="K25" s="84" t="s">
        <v>296</v>
      </c>
      <c r="L25" s="84" t="s">
        <v>296</v>
      </c>
      <c r="M25" s="84" t="s">
        <v>296</v>
      </c>
      <c r="N25" s="84" t="s">
        <v>296</v>
      </c>
      <c r="O25" s="84" t="s">
        <v>296</v>
      </c>
      <c r="P25" s="84" t="s">
        <v>296</v>
      </c>
      <c r="Q25" s="84" t="s">
        <v>296</v>
      </c>
      <c r="R25" s="84" t="s">
        <v>296</v>
      </c>
    </row>
    <row r="26" spans="1:18" x14ac:dyDescent="0.3">
      <c r="A26" t="s">
        <v>287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</row>
    <row r="27" spans="1:18" x14ac:dyDescent="0.3">
      <c r="A27" t="s">
        <v>288</v>
      </c>
      <c r="C27" s="84">
        <f>+C22*$B$3</f>
        <v>534.55999999999995</v>
      </c>
      <c r="D27" s="84">
        <f t="shared" ref="D27:R27" si="2">+D22*$B$3</f>
        <v>822.4</v>
      </c>
      <c r="E27" s="84">
        <f t="shared" si="2"/>
        <v>1480.32</v>
      </c>
      <c r="F27" s="84">
        <f t="shared" si="2"/>
        <v>2282.16</v>
      </c>
      <c r="G27" s="84">
        <f t="shared" si="2"/>
        <v>3145.68</v>
      </c>
      <c r="H27" s="84">
        <f t="shared" si="2"/>
        <v>4112</v>
      </c>
      <c r="I27" s="84">
        <f t="shared" si="2"/>
        <v>5160.5599999999995</v>
      </c>
      <c r="J27" s="84">
        <f t="shared" si="2"/>
        <v>6332.48</v>
      </c>
      <c r="K27" s="84">
        <f t="shared" si="2"/>
        <v>7627.7599999999993</v>
      </c>
      <c r="L27" s="84">
        <f t="shared" si="2"/>
        <v>8984.7199999999993</v>
      </c>
      <c r="M27" s="84">
        <f t="shared" si="2"/>
        <v>10444.48</v>
      </c>
      <c r="N27" s="84">
        <f t="shared" si="2"/>
        <v>12007.039999999999</v>
      </c>
      <c r="O27" s="84">
        <f t="shared" si="2"/>
        <v>13651.839999999998</v>
      </c>
      <c r="P27" s="84">
        <f t="shared" si="2"/>
        <v>15461.119999999999</v>
      </c>
      <c r="Q27" s="84">
        <f t="shared" si="2"/>
        <v>17311.52</v>
      </c>
      <c r="R27" s="84">
        <f t="shared" si="2"/>
        <v>19285.28</v>
      </c>
    </row>
    <row r="28" spans="1:18" x14ac:dyDescent="0.3">
      <c r="A28" t="s">
        <v>289</v>
      </c>
      <c r="B28" s="86">
        <v>0.3</v>
      </c>
      <c r="C28" s="84"/>
      <c r="D28" s="84"/>
      <c r="E28" s="84"/>
      <c r="F28" s="84"/>
      <c r="G28" s="84">
        <f>+$B$28*G24</f>
        <v>4085.1</v>
      </c>
      <c r="H28" s="84">
        <f t="shared" ref="H28:R28" si="3">+$B$28*H24</f>
        <v>5340</v>
      </c>
      <c r="I28" s="84">
        <f t="shared" si="3"/>
        <v>6701.7</v>
      </c>
      <c r="J28" s="84">
        <f t="shared" si="3"/>
        <v>8223.6</v>
      </c>
      <c r="K28" s="84">
        <f t="shared" si="3"/>
        <v>9905.6999999999989</v>
      </c>
      <c r="L28" s="84">
        <f t="shared" si="3"/>
        <v>11667.9</v>
      </c>
      <c r="M28" s="84">
        <f t="shared" si="3"/>
        <v>13563.6</v>
      </c>
      <c r="N28" s="84">
        <f t="shared" si="3"/>
        <v>15592.8</v>
      </c>
      <c r="O28" s="84">
        <f t="shared" si="3"/>
        <v>17728.8</v>
      </c>
      <c r="P28" s="84">
        <f t="shared" si="3"/>
        <v>20078.399999999998</v>
      </c>
      <c r="Q28" s="84">
        <f t="shared" si="3"/>
        <v>22481.399999999998</v>
      </c>
      <c r="R28" s="84">
        <f t="shared" si="3"/>
        <v>25044.6</v>
      </c>
    </row>
    <row r="29" spans="1:18" x14ac:dyDescent="0.3">
      <c r="A29" t="s">
        <v>290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</row>
    <row r="30" spans="1:18" x14ac:dyDescent="0.3">
      <c r="A30" s="5" t="s">
        <v>291</v>
      </c>
      <c r="B30" s="5"/>
      <c r="C30" s="89">
        <f>+C27+C28+C29</f>
        <v>534.55999999999995</v>
      </c>
      <c r="D30" s="89">
        <f t="shared" ref="D30:R30" si="4">+D27+D28+D29</f>
        <v>822.4</v>
      </c>
      <c r="E30" s="89">
        <f t="shared" si="4"/>
        <v>1480.32</v>
      </c>
      <c r="F30" s="89">
        <f t="shared" si="4"/>
        <v>2282.16</v>
      </c>
      <c r="G30" s="89">
        <f t="shared" si="4"/>
        <v>7230.78</v>
      </c>
      <c r="H30" s="89">
        <f t="shared" si="4"/>
        <v>9452</v>
      </c>
      <c r="I30" s="89">
        <f t="shared" si="4"/>
        <v>11862.259999999998</v>
      </c>
      <c r="J30" s="89">
        <f t="shared" si="4"/>
        <v>14556.08</v>
      </c>
      <c r="K30" s="89">
        <f t="shared" si="4"/>
        <v>17533.46</v>
      </c>
      <c r="L30" s="89">
        <f t="shared" si="4"/>
        <v>20652.62</v>
      </c>
      <c r="M30" s="89">
        <f t="shared" si="4"/>
        <v>24008.080000000002</v>
      </c>
      <c r="N30" s="89">
        <f t="shared" si="4"/>
        <v>27599.839999999997</v>
      </c>
      <c r="O30" s="89">
        <f t="shared" si="4"/>
        <v>31380.639999999999</v>
      </c>
      <c r="P30" s="89">
        <f t="shared" si="4"/>
        <v>35539.519999999997</v>
      </c>
      <c r="Q30" s="89">
        <f t="shared" si="4"/>
        <v>39792.92</v>
      </c>
      <c r="R30" s="89">
        <f t="shared" si="4"/>
        <v>44329.88</v>
      </c>
    </row>
    <row r="32" spans="1:18" x14ac:dyDescent="0.3">
      <c r="A32" s="5" t="s">
        <v>159</v>
      </c>
      <c r="B32" s="5"/>
      <c r="C32" s="89">
        <f>+C24-C30</f>
        <v>1779.44</v>
      </c>
      <c r="D32" s="89">
        <f t="shared" ref="D32:R32" si="5">+D24-D30</f>
        <v>2737.6</v>
      </c>
      <c r="E32" s="89">
        <f t="shared" si="5"/>
        <v>4927.68</v>
      </c>
      <c r="F32" s="89">
        <f t="shared" si="5"/>
        <v>7596.84</v>
      </c>
      <c r="G32" s="89">
        <f t="shared" si="5"/>
        <v>6386.22</v>
      </c>
      <c r="H32" s="89">
        <f t="shared" si="5"/>
        <v>8348</v>
      </c>
      <c r="I32" s="89">
        <f t="shared" si="5"/>
        <v>10476.740000000002</v>
      </c>
      <c r="J32" s="89">
        <f t="shared" si="5"/>
        <v>12855.92</v>
      </c>
      <c r="K32" s="89">
        <f t="shared" si="5"/>
        <v>15485.54</v>
      </c>
      <c r="L32" s="89">
        <f t="shared" si="5"/>
        <v>18240.38</v>
      </c>
      <c r="M32" s="89">
        <f t="shared" si="5"/>
        <v>21203.919999999998</v>
      </c>
      <c r="N32" s="89">
        <f t="shared" si="5"/>
        <v>24376.160000000003</v>
      </c>
      <c r="O32" s="89">
        <f t="shared" si="5"/>
        <v>27715.360000000001</v>
      </c>
      <c r="P32" s="89">
        <f t="shared" si="5"/>
        <v>31388.480000000003</v>
      </c>
      <c r="Q32" s="89">
        <f t="shared" si="5"/>
        <v>35145.08</v>
      </c>
      <c r="R32" s="89">
        <f t="shared" si="5"/>
        <v>39152.120000000003</v>
      </c>
    </row>
    <row r="33" spans="1:18" x14ac:dyDescent="0.3">
      <c r="A33" t="s">
        <v>292</v>
      </c>
      <c r="C33" s="88">
        <f>+C32/C24</f>
        <v>0.76898876404494387</v>
      </c>
      <c r="D33" s="88">
        <f t="shared" ref="D33:R33" si="6">+D32/D24</f>
        <v>0.76898876404494376</v>
      </c>
      <c r="E33" s="88">
        <f t="shared" si="6"/>
        <v>0.76898876404494387</v>
      </c>
      <c r="F33" s="88">
        <f t="shared" si="6"/>
        <v>0.76898876404494387</v>
      </c>
      <c r="G33" s="88">
        <f t="shared" si="6"/>
        <v>0.46898876404494383</v>
      </c>
      <c r="H33" s="88">
        <f t="shared" si="6"/>
        <v>0.46898876404494383</v>
      </c>
      <c r="I33" s="88">
        <f t="shared" si="6"/>
        <v>0.46898876404494388</v>
      </c>
      <c r="J33" s="88">
        <f t="shared" si="6"/>
        <v>0.46898876404494383</v>
      </c>
      <c r="K33" s="88">
        <f t="shared" si="6"/>
        <v>0.46898876404494383</v>
      </c>
      <c r="L33" s="88">
        <f t="shared" si="6"/>
        <v>0.46898876404494383</v>
      </c>
      <c r="M33" s="88">
        <f t="shared" si="6"/>
        <v>0.46898876404494377</v>
      </c>
      <c r="N33" s="88">
        <f t="shared" si="6"/>
        <v>0.46898876404494388</v>
      </c>
      <c r="O33" s="88">
        <f t="shared" si="6"/>
        <v>0.46898876404494383</v>
      </c>
      <c r="P33" s="88">
        <f t="shared" si="6"/>
        <v>0.46898876404494388</v>
      </c>
      <c r="Q33" s="88">
        <f t="shared" si="6"/>
        <v>0.46898876404494383</v>
      </c>
      <c r="R33" s="88">
        <f t="shared" si="6"/>
        <v>0.46898876404494383</v>
      </c>
    </row>
    <row r="35" spans="1:18" x14ac:dyDescent="0.3">
      <c r="A35" t="s">
        <v>293</v>
      </c>
      <c r="C35" s="84">
        <f>+C49</f>
        <v>1000</v>
      </c>
      <c r="D35" s="84">
        <f t="shared" ref="D35:R35" si="7">+D49</f>
        <v>1500</v>
      </c>
      <c r="E35" s="84">
        <f t="shared" si="7"/>
        <v>2500</v>
      </c>
      <c r="F35" s="84">
        <f t="shared" si="7"/>
        <v>3500</v>
      </c>
      <c r="G35" s="84">
        <f t="shared" si="7"/>
        <v>4500</v>
      </c>
      <c r="H35" s="84">
        <f t="shared" si="7"/>
        <v>5500</v>
      </c>
      <c r="I35" s="84">
        <f t="shared" si="7"/>
        <v>6500</v>
      </c>
      <c r="J35" s="84">
        <f t="shared" si="7"/>
        <v>7500</v>
      </c>
      <c r="K35" s="84">
        <f t="shared" si="7"/>
        <v>8500</v>
      </c>
      <c r="L35" s="84">
        <f t="shared" si="7"/>
        <v>9500</v>
      </c>
      <c r="M35" s="84">
        <f t="shared" si="7"/>
        <v>10500</v>
      </c>
      <c r="N35" s="84">
        <f t="shared" si="7"/>
        <v>11500</v>
      </c>
      <c r="O35" s="84">
        <f t="shared" si="7"/>
        <v>12500</v>
      </c>
      <c r="P35" s="84">
        <f t="shared" si="7"/>
        <v>13500</v>
      </c>
      <c r="Q35" s="84">
        <f t="shared" si="7"/>
        <v>14500</v>
      </c>
      <c r="R35" s="84">
        <f t="shared" si="7"/>
        <v>15500</v>
      </c>
    </row>
    <row r="37" spans="1:18" x14ac:dyDescent="0.3">
      <c r="A37" s="5" t="s">
        <v>294</v>
      </c>
      <c r="B37" s="5"/>
      <c r="C37" s="89">
        <f>+C32-C35</f>
        <v>779.44</v>
      </c>
      <c r="D37" s="89">
        <f t="shared" ref="D37:R37" si="8">+D32-D35</f>
        <v>1237.5999999999999</v>
      </c>
      <c r="E37" s="89">
        <f t="shared" si="8"/>
        <v>2427.6800000000003</v>
      </c>
      <c r="F37" s="89">
        <f t="shared" si="8"/>
        <v>4096.84</v>
      </c>
      <c r="G37" s="89">
        <f t="shared" si="8"/>
        <v>1886.2200000000003</v>
      </c>
      <c r="H37" s="89">
        <f t="shared" si="8"/>
        <v>2848</v>
      </c>
      <c r="I37" s="89">
        <f t="shared" si="8"/>
        <v>3976.7400000000016</v>
      </c>
      <c r="J37" s="89">
        <f t="shared" si="8"/>
        <v>5355.92</v>
      </c>
      <c r="K37" s="89">
        <f t="shared" si="8"/>
        <v>6985.5400000000009</v>
      </c>
      <c r="L37" s="89">
        <f t="shared" si="8"/>
        <v>8740.380000000001</v>
      </c>
      <c r="M37" s="89">
        <f t="shared" si="8"/>
        <v>10703.919999999998</v>
      </c>
      <c r="N37" s="89">
        <f t="shared" si="8"/>
        <v>12876.160000000003</v>
      </c>
      <c r="O37" s="89">
        <f t="shared" si="8"/>
        <v>15215.36</v>
      </c>
      <c r="P37" s="89">
        <f t="shared" si="8"/>
        <v>17888.480000000003</v>
      </c>
      <c r="Q37" s="89">
        <f t="shared" si="8"/>
        <v>20645.080000000002</v>
      </c>
      <c r="R37" s="89">
        <f t="shared" si="8"/>
        <v>23652.120000000003</v>
      </c>
    </row>
    <row r="38" spans="1:18" x14ac:dyDescent="0.3">
      <c r="A38" s="72" t="s">
        <v>295</v>
      </c>
      <c r="C38" s="88">
        <f>+C37/C24</f>
        <v>0.33683664649956785</v>
      </c>
      <c r="D38" s="88">
        <f t="shared" ref="D38:R38" si="9">+D37/D24</f>
        <v>0.34764044943820221</v>
      </c>
      <c r="E38" s="88">
        <f t="shared" si="9"/>
        <v>0.37885143570536833</v>
      </c>
      <c r="F38" s="88">
        <f t="shared" si="9"/>
        <v>0.41470189290414011</v>
      </c>
      <c r="G38" s="88">
        <f t="shared" si="9"/>
        <v>0.13851949768671515</v>
      </c>
      <c r="H38" s="88">
        <f t="shared" si="9"/>
        <v>0.16</v>
      </c>
      <c r="I38" s="88">
        <f t="shared" si="9"/>
        <v>0.17801781637494971</v>
      </c>
      <c r="J38" s="88">
        <f t="shared" si="9"/>
        <v>0.1953859623522545</v>
      </c>
      <c r="K38" s="88">
        <f t="shared" si="9"/>
        <v>0.21156122232653929</v>
      </c>
      <c r="L38" s="88">
        <f t="shared" si="9"/>
        <v>0.22472887151929655</v>
      </c>
      <c r="M38" s="88">
        <f t="shared" si="9"/>
        <v>0.2367495355215429</v>
      </c>
      <c r="N38" s="88">
        <f t="shared" si="9"/>
        <v>0.24773279975373255</v>
      </c>
      <c r="O38" s="88">
        <f t="shared" si="9"/>
        <v>0.25746852578854745</v>
      </c>
      <c r="P38" s="88">
        <f t="shared" si="9"/>
        <v>0.26727946449916334</v>
      </c>
      <c r="Q38" s="88">
        <f t="shared" si="9"/>
        <v>0.27549547626037529</v>
      </c>
      <c r="R38" s="88">
        <f t="shared" si="9"/>
        <v>0.28331999712512879</v>
      </c>
    </row>
    <row r="40" spans="1:18" x14ac:dyDescent="0.3">
      <c r="A40" s="80" t="s">
        <v>297</v>
      </c>
      <c r="B40" s="80" t="s">
        <v>298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2" spans="1:18" x14ac:dyDescent="0.3">
      <c r="A42" t="s">
        <v>210</v>
      </c>
      <c r="B42" s="85">
        <v>1000</v>
      </c>
      <c r="C42" s="84">
        <f>+B42+C37</f>
        <v>1779.44</v>
      </c>
      <c r="D42" s="84">
        <f>+C42+D37</f>
        <v>3017.04</v>
      </c>
      <c r="E42" s="84">
        <f t="shared" ref="E42:R42" si="10">+D42+E37</f>
        <v>5444.72</v>
      </c>
      <c r="F42" s="84">
        <f t="shared" si="10"/>
        <v>9541.5600000000013</v>
      </c>
      <c r="G42" s="84">
        <f t="shared" si="10"/>
        <v>11427.780000000002</v>
      </c>
      <c r="H42" s="84">
        <f t="shared" si="10"/>
        <v>14275.780000000002</v>
      </c>
      <c r="I42" s="84">
        <f t="shared" si="10"/>
        <v>18252.520000000004</v>
      </c>
      <c r="J42" s="84">
        <f t="shared" si="10"/>
        <v>23608.440000000002</v>
      </c>
      <c r="K42" s="84">
        <f t="shared" si="10"/>
        <v>30593.980000000003</v>
      </c>
      <c r="L42" s="84">
        <f t="shared" si="10"/>
        <v>39334.36</v>
      </c>
      <c r="M42" s="84">
        <f t="shared" si="10"/>
        <v>50038.28</v>
      </c>
      <c r="N42" s="84">
        <f t="shared" si="10"/>
        <v>62914.44</v>
      </c>
      <c r="O42" s="84">
        <f t="shared" si="10"/>
        <v>78129.8</v>
      </c>
      <c r="P42" s="84">
        <f t="shared" si="10"/>
        <v>96018.28</v>
      </c>
      <c r="Q42" s="84">
        <f t="shared" si="10"/>
        <v>116663.36</v>
      </c>
      <c r="R42" s="84">
        <f t="shared" si="10"/>
        <v>140315.48000000001</v>
      </c>
    </row>
    <row r="44" spans="1:18" x14ac:dyDescent="0.3">
      <c r="A44" t="s">
        <v>310</v>
      </c>
      <c r="B44" s="84">
        <f>+B57*$B$4</f>
        <v>6325</v>
      </c>
      <c r="D44" s="84">
        <f>+D57*$B$4</f>
        <v>12650</v>
      </c>
      <c r="E44" s="84">
        <f t="shared" ref="E44:R44" si="11">+E57*$B$4</f>
        <v>0</v>
      </c>
      <c r="F44" s="84">
        <f t="shared" si="11"/>
        <v>12650</v>
      </c>
      <c r="G44" s="84">
        <f t="shared" si="11"/>
        <v>0</v>
      </c>
      <c r="H44" s="84">
        <f t="shared" si="11"/>
        <v>0</v>
      </c>
      <c r="I44" s="84">
        <f t="shared" si="11"/>
        <v>37950</v>
      </c>
      <c r="J44" s="84">
        <f t="shared" si="11"/>
        <v>0</v>
      </c>
      <c r="K44" s="84">
        <f t="shared" si="11"/>
        <v>0</v>
      </c>
      <c r="L44" s="84">
        <f t="shared" si="11"/>
        <v>0</v>
      </c>
      <c r="M44" s="84">
        <f t="shared" si="11"/>
        <v>0</v>
      </c>
      <c r="N44" s="84">
        <f t="shared" si="11"/>
        <v>101200</v>
      </c>
      <c r="O44" s="84">
        <f t="shared" si="11"/>
        <v>0</v>
      </c>
      <c r="P44" s="84">
        <f t="shared" si="11"/>
        <v>0</v>
      </c>
      <c r="Q44" s="84">
        <f t="shared" si="11"/>
        <v>0</v>
      </c>
      <c r="R44" s="84">
        <f t="shared" si="11"/>
        <v>0</v>
      </c>
    </row>
    <row r="45" spans="1:18" x14ac:dyDescent="0.3">
      <c r="A45" t="s">
        <v>85</v>
      </c>
    </row>
    <row r="47" spans="1:18" x14ac:dyDescent="0.3">
      <c r="A47" s="81" t="str">
        <f>+UPPER("Assumptions")</f>
        <v>ASSUMPTIONS</v>
      </c>
      <c r="B47" s="81" t="s">
        <v>298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9" spans="1:18" x14ac:dyDescent="0.3">
      <c r="A49" t="s">
        <v>299</v>
      </c>
      <c r="B49" s="83" t="s">
        <v>307</v>
      </c>
      <c r="C49" s="85">
        <v>1000</v>
      </c>
      <c r="D49" s="85">
        <v>1500</v>
      </c>
      <c r="E49" s="85">
        <f>+D49+1000</f>
        <v>2500</v>
      </c>
      <c r="F49" s="85">
        <f t="shared" ref="F49:G49" si="12">+E49+1000</f>
        <v>3500</v>
      </c>
      <c r="G49" s="85">
        <f t="shared" si="12"/>
        <v>4500</v>
      </c>
      <c r="H49" s="85">
        <f t="shared" ref="H49:R49" si="13">+G49+1000</f>
        <v>5500</v>
      </c>
      <c r="I49" s="85">
        <f t="shared" si="13"/>
        <v>6500</v>
      </c>
      <c r="J49" s="85">
        <f t="shared" si="13"/>
        <v>7500</v>
      </c>
      <c r="K49" s="85">
        <f t="shared" si="13"/>
        <v>8500</v>
      </c>
      <c r="L49" s="85">
        <f t="shared" si="13"/>
        <v>9500</v>
      </c>
      <c r="M49" s="85">
        <f t="shared" si="13"/>
        <v>10500</v>
      </c>
      <c r="N49" s="85">
        <f t="shared" si="13"/>
        <v>11500</v>
      </c>
      <c r="O49" s="85">
        <f t="shared" si="13"/>
        <v>12500</v>
      </c>
      <c r="P49" s="85">
        <f t="shared" si="13"/>
        <v>13500</v>
      </c>
      <c r="Q49" s="85">
        <f t="shared" si="13"/>
        <v>14500</v>
      </c>
      <c r="R49" s="85">
        <f t="shared" si="13"/>
        <v>15500</v>
      </c>
    </row>
    <row r="50" spans="1:18" x14ac:dyDescent="0.3">
      <c r="A50" t="s">
        <v>300</v>
      </c>
      <c r="B50" s="83" t="s">
        <v>307</v>
      </c>
      <c r="C50" s="60">
        <f>+$B$11</f>
        <v>41.333333333333336</v>
      </c>
      <c r="D50" s="60">
        <f t="shared" ref="D50:R50" si="14">+$B$11</f>
        <v>41.333333333333336</v>
      </c>
      <c r="E50" s="60">
        <f t="shared" si="14"/>
        <v>41.333333333333336</v>
      </c>
      <c r="F50" s="60">
        <f t="shared" si="14"/>
        <v>41.333333333333336</v>
      </c>
      <c r="G50" s="60">
        <f t="shared" si="14"/>
        <v>41.333333333333336</v>
      </c>
      <c r="H50" s="60">
        <f t="shared" si="14"/>
        <v>41.333333333333336</v>
      </c>
      <c r="I50" s="60">
        <f t="shared" si="14"/>
        <v>41.333333333333336</v>
      </c>
      <c r="J50" s="60">
        <f t="shared" si="14"/>
        <v>41.333333333333336</v>
      </c>
      <c r="K50" s="60">
        <f t="shared" si="14"/>
        <v>41.333333333333336</v>
      </c>
      <c r="L50" s="60">
        <f t="shared" si="14"/>
        <v>41.333333333333336</v>
      </c>
      <c r="M50" s="60">
        <f t="shared" si="14"/>
        <v>41.333333333333336</v>
      </c>
      <c r="N50" s="60">
        <f t="shared" si="14"/>
        <v>41.333333333333336</v>
      </c>
      <c r="O50" s="60">
        <f t="shared" si="14"/>
        <v>41.333333333333336</v>
      </c>
      <c r="P50" s="60">
        <f t="shared" si="14"/>
        <v>41.333333333333336</v>
      </c>
      <c r="Q50" s="60">
        <f t="shared" si="14"/>
        <v>41.333333333333336</v>
      </c>
      <c r="R50" s="60">
        <f t="shared" si="14"/>
        <v>41.333333333333336</v>
      </c>
    </row>
    <row r="51" spans="1:18" x14ac:dyDescent="0.3">
      <c r="A51" t="s">
        <v>301</v>
      </c>
      <c r="B51" s="83" t="s">
        <v>308</v>
      </c>
      <c r="C51">
        <f>+ROUND(C49/C50,0)</f>
        <v>24</v>
      </c>
      <c r="D51">
        <f t="shared" ref="D51:G51" si="15">+ROUND(D49/D50,0)</f>
        <v>36</v>
      </c>
      <c r="E51">
        <f t="shared" si="15"/>
        <v>60</v>
      </c>
      <c r="F51">
        <f t="shared" si="15"/>
        <v>85</v>
      </c>
      <c r="G51">
        <f t="shared" si="15"/>
        <v>109</v>
      </c>
      <c r="H51">
        <f t="shared" ref="H51" si="16">+ROUND(H49/H50,0)</f>
        <v>133</v>
      </c>
      <c r="I51">
        <f t="shared" ref="I51" si="17">+ROUND(I49/I50,0)</f>
        <v>157</v>
      </c>
      <c r="J51">
        <f t="shared" ref="J51" si="18">+ROUND(J49/J50,0)</f>
        <v>181</v>
      </c>
      <c r="K51">
        <f t="shared" ref="K51" si="19">+ROUND(K49/K50,0)</f>
        <v>206</v>
      </c>
      <c r="L51">
        <f t="shared" ref="L51" si="20">+ROUND(L49/L50,0)</f>
        <v>230</v>
      </c>
      <c r="M51">
        <f t="shared" ref="M51" si="21">+ROUND(M49/M50,0)</f>
        <v>254</v>
      </c>
      <c r="N51">
        <f t="shared" ref="N51" si="22">+ROUND(N49/N50,0)</f>
        <v>278</v>
      </c>
      <c r="O51">
        <f t="shared" ref="O51" si="23">+ROUND(O49/O50,0)</f>
        <v>302</v>
      </c>
      <c r="P51">
        <f t="shared" ref="P51" si="24">+ROUND(P49/P50,0)</f>
        <v>327</v>
      </c>
      <c r="Q51">
        <f t="shared" ref="Q51" si="25">+ROUND(Q49/Q50,0)</f>
        <v>351</v>
      </c>
      <c r="R51">
        <f t="shared" ref="R51" si="26">+ROUND(R49/R50,0)</f>
        <v>375</v>
      </c>
    </row>
    <row r="53" spans="1:18" x14ac:dyDescent="0.3">
      <c r="A53" t="s">
        <v>302</v>
      </c>
      <c r="B53" s="83" t="s">
        <v>309</v>
      </c>
      <c r="C53" s="86">
        <v>0.1</v>
      </c>
      <c r="D53" s="86">
        <v>0.1</v>
      </c>
      <c r="E53" s="86">
        <f>+D53+0.1</f>
        <v>0.2</v>
      </c>
      <c r="F53" s="86">
        <f>+E53+0.1</f>
        <v>0.30000000000000004</v>
      </c>
      <c r="G53" s="86">
        <f>+F53+0.1</f>
        <v>0.4</v>
      </c>
      <c r="H53" s="86">
        <f t="shared" ref="H53:R53" si="27">+G53+0.1</f>
        <v>0.5</v>
      </c>
      <c r="I53" s="86">
        <f t="shared" si="27"/>
        <v>0.6</v>
      </c>
      <c r="J53" s="86">
        <f t="shared" si="27"/>
        <v>0.7</v>
      </c>
      <c r="K53" s="86">
        <f t="shared" si="27"/>
        <v>0.79999999999999993</v>
      </c>
      <c r="L53" s="86">
        <f t="shared" si="27"/>
        <v>0.89999999999999991</v>
      </c>
      <c r="M53" s="86">
        <f t="shared" si="27"/>
        <v>0.99999999999999989</v>
      </c>
      <c r="N53" s="86">
        <f t="shared" si="27"/>
        <v>1.0999999999999999</v>
      </c>
      <c r="O53" s="86">
        <f t="shared" si="27"/>
        <v>1.2</v>
      </c>
      <c r="P53" s="86">
        <f t="shared" si="27"/>
        <v>1.3</v>
      </c>
      <c r="Q53" s="86">
        <f t="shared" si="27"/>
        <v>1.4000000000000001</v>
      </c>
      <c r="R53" s="86">
        <f t="shared" si="27"/>
        <v>1.5000000000000002</v>
      </c>
    </row>
    <row r="54" spans="1:18" x14ac:dyDescent="0.3">
      <c r="A54" t="s">
        <v>303</v>
      </c>
      <c r="B54" s="83" t="s">
        <v>308</v>
      </c>
      <c r="C54" s="2">
        <f>+ROUND(C51*C53,0)</f>
        <v>2</v>
      </c>
      <c r="D54" s="2">
        <f t="shared" ref="D54:G54" si="28">+ROUND(D51*D53,0)</f>
        <v>4</v>
      </c>
      <c r="E54" s="2">
        <f t="shared" si="28"/>
        <v>12</v>
      </c>
      <c r="F54" s="2">
        <f t="shared" si="28"/>
        <v>26</v>
      </c>
      <c r="G54" s="2">
        <f t="shared" si="28"/>
        <v>44</v>
      </c>
      <c r="H54" s="2">
        <f t="shared" ref="H54" si="29">+ROUND(H51*H53,0)</f>
        <v>67</v>
      </c>
      <c r="I54" s="2">
        <f t="shared" ref="I54" si="30">+ROUND(I51*I53,0)</f>
        <v>94</v>
      </c>
      <c r="J54" s="2">
        <f t="shared" ref="J54" si="31">+ROUND(J51*J53,0)</f>
        <v>127</v>
      </c>
      <c r="K54" s="2">
        <f t="shared" ref="K54" si="32">+ROUND(K51*K53,0)</f>
        <v>165</v>
      </c>
      <c r="L54" s="2">
        <f t="shared" ref="L54" si="33">+ROUND(L51*L53,0)</f>
        <v>207</v>
      </c>
      <c r="M54" s="2">
        <f t="shared" ref="M54" si="34">+ROUND(M51*M53,0)</f>
        <v>254</v>
      </c>
      <c r="N54" s="2">
        <f t="shared" ref="N54" si="35">+ROUND(N51*N53,0)</f>
        <v>306</v>
      </c>
      <c r="O54" s="2">
        <f t="shared" ref="O54" si="36">+ROUND(O51*O53,0)</f>
        <v>362</v>
      </c>
      <c r="P54" s="2">
        <f t="shared" ref="P54" si="37">+ROUND(P51*P53,0)</f>
        <v>425</v>
      </c>
      <c r="Q54" s="2">
        <f t="shared" ref="Q54" si="38">+ROUND(Q51*Q53,0)</f>
        <v>491</v>
      </c>
      <c r="R54" s="2">
        <f t="shared" ref="R54" si="39">+ROUND(R51*R53,0)</f>
        <v>563</v>
      </c>
    </row>
    <row r="55" spans="1:18" x14ac:dyDescent="0.3">
      <c r="A55" t="s">
        <v>286</v>
      </c>
      <c r="B55" s="83" t="s">
        <v>308</v>
      </c>
      <c r="C55">
        <f>+C51+C54</f>
        <v>26</v>
      </c>
      <c r="D55">
        <f t="shared" ref="D55:G55" si="40">+D51+D54</f>
        <v>40</v>
      </c>
      <c r="E55">
        <f t="shared" si="40"/>
        <v>72</v>
      </c>
      <c r="F55">
        <f t="shared" si="40"/>
        <v>111</v>
      </c>
      <c r="G55">
        <f t="shared" si="40"/>
        <v>153</v>
      </c>
      <c r="H55">
        <f t="shared" ref="H55" si="41">+H51+H54</f>
        <v>200</v>
      </c>
      <c r="I55">
        <f t="shared" ref="I55" si="42">+I51+I54</f>
        <v>251</v>
      </c>
      <c r="J55">
        <f t="shared" ref="J55" si="43">+J51+J54</f>
        <v>308</v>
      </c>
      <c r="K55">
        <f t="shared" ref="K55" si="44">+K51+K54</f>
        <v>371</v>
      </c>
      <c r="L55">
        <f t="shared" ref="L55" si="45">+L51+L54</f>
        <v>437</v>
      </c>
      <c r="M55">
        <f t="shared" ref="M55" si="46">+M51+M54</f>
        <v>508</v>
      </c>
      <c r="N55">
        <f t="shared" ref="N55" si="47">+N51+N54</f>
        <v>584</v>
      </c>
      <c r="O55">
        <f t="shared" ref="O55" si="48">+O51+O54</f>
        <v>664</v>
      </c>
      <c r="P55">
        <f t="shared" ref="P55" si="49">+P51+P54</f>
        <v>752</v>
      </c>
      <c r="Q55">
        <f t="shared" ref="Q55" si="50">+Q51+Q54</f>
        <v>842</v>
      </c>
      <c r="R55">
        <f t="shared" ref="R55" si="51">+R51+R54</f>
        <v>938</v>
      </c>
    </row>
    <row r="57" spans="1:18" x14ac:dyDescent="0.3">
      <c r="A57" t="s">
        <v>304</v>
      </c>
      <c r="B57" s="82">
        <v>250</v>
      </c>
      <c r="C57" s="82"/>
      <c r="D57" s="82">
        <v>500</v>
      </c>
      <c r="E57" s="82"/>
      <c r="F57" s="82">
        <v>500</v>
      </c>
      <c r="G57" s="82"/>
      <c r="H57" s="82"/>
      <c r="I57" s="82">
        <v>1500</v>
      </c>
      <c r="J57" s="82"/>
      <c r="K57" s="82"/>
      <c r="L57" s="82"/>
      <c r="M57" s="82"/>
      <c r="N57" s="82">
        <v>4000</v>
      </c>
      <c r="O57" s="82"/>
      <c r="P57" s="82"/>
      <c r="Q57" s="82"/>
      <c r="R57" s="82"/>
    </row>
    <row r="58" spans="1:18" x14ac:dyDescent="0.3">
      <c r="A58" t="s">
        <v>305</v>
      </c>
      <c r="B58" s="87"/>
      <c r="C58" s="87"/>
      <c r="D58" s="87"/>
      <c r="E58" s="87"/>
      <c r="F58" s="87"/>
      <c r="G58" s="87">
        <f>+D57</f>
        <v>500</v>
      </c>
      <c r="H58" s="87">
        <f t="shared" ref="H58:R58" si="52">+E57</f>
        <v>0</v>
      </c>
      <c r="I58" s="87">
        <f t="shared" si="52"/>
        <v>500</v>
      </c>
      <c r="J58" s="87">
        <f t="shared" si="52"/>
        <v>0</v>
      </c>
      <c r="K58" s="87">
        <f t="shared" si="52"/>
        <v>0</v>
      </c>
      <c r="L58" s="87">
        <f t="shared" si="52"/>
        <v>1500</v>
      </c>
      <c r="M58" s="87">
        <f t="shared" si="52"/>
        <v>0</v>
      </c>
      <c r="N58" s="87">
        <f t="shared" si="52"/>
        <v>0</v>
      </c>
      <c r="O58" s="87">
        <f t="shared" si="52"/>
        <v>0</v>
      </c>
      <c r="P58" s="87">
        <f t="shared" si="52"/>
        <v>0</v>
      </c>
      <c r="Q58" s="87">
        <f t="shared" si="52"/>
        <v>4000</v>
      </c>
      <c r="R58" s="87">
        <f t="shared" si="52"/>
        <v>0</v>
      </c>
    </row>
    <row r="59" spans="1:18" x14ac:dyDescent="0.3">
      <c r="A59" t="s">
        <v>306</v>
      </c>
      <c r="B59" s="84">
        <f>+B57+B58</f>
        <v>250</v>
      </c>
      <c r="C59" s="84">
        <f>+B59-C51+C58</f>
        <v>226</v>
      </c>
      <c r="D59" s="84">
        <f t="shared" ref="D59:R59" si="53">+C59-D51+D58</f>
        <v>190</v>
      </c>
      <c r="E59" s="84">
        <f t="shared" si="53"/>
        <v>130</v>
      </c>
      <c r="F59" s="84">
        <f t="shared" si="53"/>
        <v>45</v>
      </c>
      <c r="G59" s="84">
        <f t="shared" si="53"/>
        <v>436</v>
      </c>
      <c r="H59" s="84">
        <f t="shared" si="53"/>
        <v>303</v>
      </c>
      <c r="I59" s="84">
        <f t="shared" si="53"/>
        <v>646</v>
      </c>
      <c r="J59" s="84">
        <f t="shared" si="53"/>
        <v>465</v>
      </c>
      <c r="K59" s="84">
        <f t="shared" si="53"/>
        <v>259</v>
      </c>
      <c r="L59" s="84">
        <f t="shared" si="53"/>
        <v>1529</v>
      </c>
      <c r="M59" s="84">
        <f t="shared" si="53"/>
        <v>1275</v>
      </c>
      <c r="N59" s="84">
        <f t="shared" si="53"/>
        <v>997</v>
      </c>
      <c r="O59" s="84">
        <f t="shared" si="53"/>
        <v>695</v>
      </c>
      <c r="P59" s="84">
        <f t="shared" si="53"/>
        <v>368</v>
      </c>
      <c r="Q59" s="84">
        <f t="shared" si="53"/>
        <v>4017</v>
      </c>
      <c r="R59" s="84">
        <f t="shared" si="53"/>
        <v>3642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Financial Model</vt:lpstr>
      <vt:lpstr>Financial Model- Amazon Busines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2024-10-20T12:22:35Z</dcterms:modified>
</cp:coreProperties>
</file>